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5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6.xml" ContentType="application/vnd.openxmlformats-officedocument.spreadsheetml.comments+xml"/>
  <Override PartName="/xl/worksheets/sheet16.xml" ContentType="application/vnd.openxmlformats-officedocument.spreadsheetml.worksheet+xml"/>
  <Override PartName="/xl/comments/comment7.xml" ContentType="application/vnd.openxmlformats-officedocument.spreadsheetml.comments+xml"/>
  <Override PartName="/xl/worksheets/sheet17.xml" ContentType="application/vnd.openxmlformats-officedocument.spreadsheetml.worksheet+xml"/>
  <Override PartName="/xl/comments/comment8.xml" ContentType="application/vnd.openxmlformats-officedocument.spreadsheetml.comments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comments/comment10.xml" ContentType="application/vnd.openxmlformats-officedocument.spreadsheetml.comments+xml"/>
  <Override PartName="/xl/worksheets/sheet20.xml" ContentType="application/vnd.openxmlformats-officedocument.spreadsheetml.worksheet+xml"/>
  <Override PartName="/xl/comments/comment11.xml" ContentType="application/vnd.openxmlformats-officedocument.spreadsheetml.comments+xml"/>
  <Override PartName="/xl/worksheets/sheet21.xml" ContentType="application/vnd.openxmlformats-officedocument.spreadsheetml.worksheet+xml"/>
  <Override PartName="/xl/comments/comment12.xml" ContentType="application/vnd.openxmlformats-officedocument.spreadsheetml.comments+xml"/>
  <Override PartName="/xl/worksheets/sheet22.xml" ContentType="application/vnd.openxmlformats-officedocument.spreadsheetml.worksheet+xml"/>
  <Override PartName="/xl/comments/comment13.xml" ContentType="application/vnd.openxmlformats-officedocument.spreadsheetml.comments+xml"/>
  <Override PartName="/xl/worksheets/sheet23.xml" ContentType="application/vnd.openxmlformats-officedocument.spreadsheetml.worksheet+xml"/>
  <Override PartName="/xl/comments/comment14.xml" ContentType="application/vnd.openxmlformats-officedocument.spreadsheetml.comments+xml"/>
  <Override PartName="/xl/worksheets/sheet24.xml" ContentType="application/vnd.openxmlformats-officedocument.spreadsheetml.worksheet+xml"/>
  <Override PartName="/xl/comments/comment15.xml" ContentType="application/vnd.openxmlformats-officedocument.spreadsheetml.comments+xml"/>
  <Override PartName="/xl/worksheets/sheet25.xml" ContentType="application/vnd.openxmlformats-officedocument.spreadsheetml.worksheet+xml"/>
  <Override PartName="/xl/comments/comment16.xml" ContentType="application/vnd.openxmlformats-officedocument.spreadsheetml.comments+xml"/>
  <Override PartName="/xl/worksheets/sheet26.xml" ContentType="application/vnd.openxmlformats-officedocument.spreadsheetml.worksheet+xml"/>
  <Override PartName="/xl/comments/comment17.xml" ContentType="application/vnd.openxmlformats-officedocument.spreadsheetml.comments+xml"/>
  <Override PartName="/xl/worksheets/sheet27.xml" ContentType="application/vnd.openxmlformats-officedocument.spreadsheetml.worksheet+xml"/>
  <Override PartName="/xl/comments/comment18.xml" ContentType="application/vnd.openxmlformats-officedocument.spreadsheetml.comments+xml"/>
  <Override PartName="/xl/worksheets/sheet28.xml" ContentType="application/vnd.openxmlformats-officedocument.spreadsheetml.worksheet+xml"/>
  <Override PartName="/xl/comments/comment19.xml" ContentType="application/vnd.openxmlformats-officedocument.spreadsheetml.comments+xml"/>
  <Override PartName="/xl/worksheets/sheet29.xml" ContentType="application/vnd.openxmlformats-officedocument.spreadsheetml.worksheet+xml"/>
  <Override PartName="/xl/comments/comment20.xml" ContentType="application/vnd.openxmlformats-officedocument.spreadsheetml.comments+xml"/>
  <Override PartName="/xl/worksheets/sheet30.xml" ContentType="application/vnd.openxmlformats-officedocument.spreadsheetml.worksheet+xml"/>
  <Override PartName="/xl/comments/comment21.xml" ContentType="application/vnd.openxmlformats-officedocument.spreadsheetml.comments+xml"/>
  <Override PartName="/xl/worksheets/sheet31.xml" ContentType="application/vnd.openxmlformats-officedocument.spreadsheetml.worksheet+xml"/>
  <Override PartName="/xl/comments/comment22.xml" ContentType="application/vnd.openxmlformats-officedocument.spreadsheetml.comments+xml"/>
  <Override PartName="/xl/worksheets/sheet32.xml" ContentType="application/vnd.openxmlformats-officedocument.spreadsheetml.worksheet+xml"/>
  <Override PartName="/xl/comments/comment23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4.xml" ContentType="application/vnd.openxmlformats-officedocument.spreadsheetml.comments+xml"/>
  <Override PartName="/xl/worksheets/sheet35.xml" ContentType="application/vnd.openxmlformats-officedocument.spreadsheetml.worksheet+xml"/>
  <Override PartName="/xl/comments/comment25.xml" ContentType="application/vnd.openxmlformats-officedocument.spreadsheetml.comments+xml"/>
  <Override PartName="/xl/worksheets/sheet36.xml" ContentType="application/vnd.openxmlformats-officedocument.spreadsheetml.worksheet+xml"/>
  <Override PartName="/xl/comments/comment26.xml" ContentType="application/vnd.openxmlformats-officedocument.spreadsheetml.comments+xml"/>
  <Override PartName="/xl/worksheets/sheet37.xml" ContentType="application/vnd.openxmlformats-officedocument.spreadsheetml.worksheet+xml"/>
  <Override PartName="/xl/comments/comment27.xml" ContentType="application/vnd.openxmlformats-officedocument.spreadsheetml.comments+xml"/>
  <Override PartName="/xl/worksheets/sheet38.xml" ContentType="application/vnd.openxmlformats-officedocument.spreadsheetml.worksheet+xml"/>
  <Override PartName="/xl/comments/comment28.xml" ContentType="application/vnd.openxmlformats-officedocument.spreadsheetml.comments+xml"/>
  <Override PartName="/xl/worksheets/sheet39.xml" ContentType="application/vnd.openxmlformats-officedocument.spreadsheetml.worksheet+xml"/>
  <Override PartName="/xl/comments/comment29.xml" ContentType="application/vnd.openxmlformats-officedocument.spreadsheetml.comments+xml"/>
  <Override PartName="/xl/worksheets/sheet40.xml" ContentType="application/vnd.openxmlformats-officedocument.spreadsheetml.worksheet+xml"/>
  <Override PartName="/xl/comments/comment30.xml" ContentType="application/vnd.openxmlformats-officedocument.spreadsheetml.comments+xml"/>
  <Override PartName="/xl/worksheets/sheet41.xml" ContentType="application/vnd.openxmlformats-officedocument.spreadsheetml.worksheet+xml"/>
  <Override PartName="/xl/comments/comment31.xml" ContentType="application/vnd.openxmlformats-officedocument.spreadsheetml.comments+xml"/>
  <Override PartName="/xl/worksheets/sheet42.xml" ContentType="application/vnd.openxmlformats-officedocument.spreadsheetml.worksheet+xml"/>
  <Override PartName="/xl/comments/comment32.xml" ContentType="application/vnd.openxmlformats-officedocument.spreadsheetml.comments+xml"/>
  <Override PartName="/xl/worksheets/sheet43.xml" ContentType="application/vnd.openxmlformats-officedocument.spreadsheetml.worksheet+xml"/>
  <Override PartName="/xl/comments/comment33.xml" ContentType="application/vnd.openxmlformats-officedocument.spreadsheetml.comments+xml"/>
  <Override PartName="/xl/worksheets/sheet44.xml" ContentType="application/vnd.openxmlformats-officedocument.spreadsheetml.worksheet+xml"/>
  <Override PartName="/xl/comments/comment34.xml" ContentType="application/vnd.openxmlformats-officedocument.spreadsheetml.comments+xml"/>
  <Override PartName="/xl/worksheets/sheet45.xml" ContentType="application/vnd.openxmlformats-officedocument.spreadsheetml.worksheet+xml"/>
  <Override PartName="/xl/comments/comment35.xml" ContentType="application/vnd.openxmlformats-officedocument.spreadsheetml.comments+xml"/>
  <Override PartName="/xl/worksheets/sheet46.xml" ContentType="application/vnd.openxmlformats-officedocument.spreadsheetml.worksheet+xml"/>
  <Override PartName="/xl/comments/comment36.xml" ContentType="application/vnd.openxmlformats-officedocument.spreadsheetml.comments+xml"/>
  <Override PartName="/xl/worksheets/sheet47.xml" ContentType="application/vnd.openxmlformats-officedocument.spreadsheetml.worksheet+xml"/>
  <Override PartName="/xl/comments/comment37.xml" ContentType="application/vnd.openxmlformats-officedocument.spreadsheetml.comments+xml"/>
  <Override PartName="/xl/worksheets/sheet48.xml" ContentType="application/vnd.openxmlformats-officedocument.spreadsheetml.worksheet+xml"/>
  <Override PartName="/xl/comments/comment38.xml" ContentType="application/vnd.openxmlformats-officedocument.spreadsheetml.comments+xml"/>
  <Override PartName="/xl/worksheets/sheet49.xml" ContentType="application/vnd.openxmlformats-officedocument.spreadsheetml.worksheet+xml"/>
  <Override PartName="/xl/comments/comment39.xml" ContentType="application/vnd.openxmlformats-officedocument.spreadsheetml.comments+xml"/>
  <Override PartName="/xl/worksheets/sheet50.xml" ContentType="application/vnd.openxmlformats-officedocument.spreadsheetml.worksheet+xml"/>
  <Override PartName="/xl/comments/comment40.xml" ContentType="application/vnd.openxmlformats-officedocument.spreadsheetml.comments+xml"/>
  <Override PartName="/xl/worksheets/sheet51.xml" ContentType="application/vnd.openxmlformats-officedocument.spreadsheetml.worksheet+xml"/>
  <Override PartName="/xl/comments/comment41.xml" ContentType="application/vnd.openxmlformats-officedocument.spreadsheetml.comments+xml"/>
  <Override PartName="/xl/worksheets/sheet52.xml" ContentType="application/vnd.openxmlformats-officedocument.spreadsheetml.worksheet+xml"/>
  <Override PartName="/xl/comments/comment42.xml" ContentType="application/vnd.openxmlformats-officedocument.spreadsheetml.comments+xml"/>
  <Override PartName="/xl/worksheets/sheet53.xml" ContentType="application/vnd.openxmlformats-officedocument.spreadsheetml.worksheet+xml"/>
  <Override PartName="/xl/comments/comment43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5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000"/>
    <numFmt numFmtId="169" formatCode="0.0%"/>
    <numFmt numFmtId="170" formatCode="mmm/yy"/>
    <numFmt numFmtId="171" formatCode="0.0%;[Red]-0.0%;&quot;-&quot;"/>
    <numFmt numFmtId="172" formatCode="mm/yyyy"/>
    <numFmt numFmtId="173" formatCode="&quot;R$&quot; #,##0"/>
    <numFmt numFmtId="174" formatCode="yyyy-mm-dd h:mm:ss"/>
    <numFmt numFmtId="175" formatCode="0.0"/>
    <numFmt numFmtId="176" formatCode="0.000000"/>
    <numFmt numFmtId="177" formatCode="&quot;R$&quot; #,##0;[Red]-&quot;R$&quot; #,##0;&quot;-&quot;"/>
    <numFmt numFmtId="178" formatCode="&quot;R$&quot; #,##0.00;[Red]-&quot;R$&quot; #,##0.00;&quot;-&quot;"/>
  </numFmts>
  <fonts count="2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7030A0"/>
    </font>
    <font>
      <name val="Arial"/>
      <b val="1"/>
      <color rgb="00C65911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10" fillId="4" borderId="0" applyAlignment="1" pivotButton="0" quotePrefix="0" xfId="0">
      <alignment vertical="center"/>
    </xf>
    <xf numFmtId="0" fontId="0" fillId="4" borderId="0" pivotButton="0" quotePrefix="0" xfId="0"/>
    <xf numFmtId="0" fontId="11" fillId="4" borderId="0" applyAlignment="1" pivotButton="0" quotePrefix="0" xfId="0">
      <alignment vertical="top"/>
    </xf>
    <xf numFmtId="0" fontId="16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7" fontId="17" fillId="6" borderId="7" applyAlignment="1" pivotButton="0" quotePrefix="0" xfId="0">
      <alignment horizontal="left" vertical="center" indent="1"/>
    </xf>
    <xf numFmtId="169" fontId="17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5" fillId="12" borderId="0" applyAlignment="1" pivotButton="0" quotePrefix="0" xfId="0">
      <alignment horizontal="center" vertical="center"/>
    </xf>
    <xf numFmtId="0" fontId="26" fillId="12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7" fillId="7" borderId="11" applyAlignment="1" pivotButton="0" quotePrefix="0" xfId="0">
      <alignment horizontal="center"/>
    </xf>
    <xf numFmtId="178" fontId="2" fillId="7" borderId="11" pivotButton="0" quotePrefix="0" xfId="0"/>
    <xf numFmtId="10" fontId="2" fillId="7" borderId="11" pivotButton="0" quotePrefix="0" xfId="0"/>
    <xf numFmtId="1" fontId="27" fillId="8" borderId="11" applyAlignment="1" pivotButton="0" quotePrefix="0" xfId="0">
      <alignment horizontal="center"/>
    </xf>
    <xf numFmtId="178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8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2" fillId="0" borderId="0" pivotButton="0" quotePrefix="0" xfId="0"/>
    <xf numFmtId="0" fontId="25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9" fontId="2" fillId="7" borderId="11" pivotButton="0" quotePrefix="0" xfId="0"/>
    <xf numFmtId="0" fontId="2" fillId="8" borderId="11" applyAlignment="1" pivotButton="0" quotePrefix="0" xfId="0">
      <alignment indent="1"/>
    </xf>
    <xf numFmtId="169" fontId="2" fillId="8" borderId="11" pivotButton="0" quotePrefix="0" xfId="0"/>
    <xf numFmtId="0" fontId="7" fillId="4" borderId="0" applyAlignment="1" pivotButton="0" quotePrefix="0" xfId="0">
      <alignment indent="1"/>
    </xf>
    <xf numFmtId="169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8" fontId="4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164" fontId="4" fillId="2" borderId="1" pivotButton="0" quotePrefix="0" xfId="0"/>
    <xf numFmtId="164" fontId="3" fillId="0" borderId="1" pivotButton="0" quotePrefix="0" xfId="0"/>
    <xf numFmtId="4" fontId="4" fillId="2" borderId="1" pivotButton="0" quotePrefix="0" xfId="0"/>
    <xf numFmtId="4" fontId="3" fillId="0" borderId="1" pivotButton="0" quotePrefix="0" xfId="0"/>
    <xf numFmtId="0" fontId="11" fillId="4" borderId="0" pivotButton="0" quotePrefix="0" xfId="0"/>
    <xf numFmtId="0" fontId="12" fillId="0" borderId="0" applyAlignment="1" pivotButton="0" quotePrefix="0" xfId="0">
      <alignment horizontal="right"/>
    </xf>
    <xf numFmtId="1" fontId="13" fillId="2" borderId="1" pivotButton="0" quotePrefix="0" xfId="0"/>
    <xf numFmtId="172" fontId="14" fillId="2" borderId="1" pivotButton="0" quotePrefix="0" xfId="0"/>
    <xf numFmtId="167" fontId="15" fillId="0" borderId="0" applyAlignment="1" pivotButton="0" quotePrefix="0" xfId="0">
      <alignment horizontal="left"/>
    </xf>
    <xf numFmtId="173" fontId="17" fillId="6" borderId="7" applyAlignment="1" pivotButton="0" quotePrefix="0" xfId="0">
      <alignment horizontal="left" vertical="center" indent="1"/>
    </xf>
    <xf numFmtId="4" fontId="17" fillId="6" borderId="7" applyAlignment="1" pivotButton="0" quotePrefix="0" xfId="0">
      <alignment horizontal="left" vertical="center" indent="1"/>
    </xf>
    <xf numFmtId="0" fontId="19" fillId="6" borderId="7" applyAlignment="1" pivotButton="0" quotePrefix="0" xfId="0">
      <alignment horizontal="left" vertical="center" indent="1"/>
    </xf>
    <xf numFmtId="0" fontId="20" fillId="4" borderId="0" applyAlignment="1" pivotButton="0" quotePrefix="0" xfId="0">
      <alignment horizontal="left" vertical="center" wrapText="1"/>
    </xf>
    <xf numFmtId="0" fontId="20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9" fontId="2" fillId="7" borderId="11" applyAlignment="1" pivotButton="0" quotePrefix="0" xfId="0">
      <alignment horizontal="right" vertical="top"/>
    </xf>
    <xf numFmtId="169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21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9" fontId="2" fillId="8" borderId="11" applyAlignment="1" pivotButton="0" quotePrefix="0" xfId="0">
      <alignment horizontal="right" vertical="top"/>
    </xf>
    <xf numFmtId="169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21" fillId="8" borderId="11" applyAlignment="1" pivotButton="0" quotePrefix="0" xfId="0">
      <alignment vertical="top" wrapText="1"/>
    </xf>
    <xf numFmtId="0" fontId="15" fillId="9" borderId="11" applyAlignment="1" pivotButton="0" quotePrefix="0" xfId="0">
      <alignment horizontal="left" vertical="top"/>
    </xf>
    <xf numFmtId="0" fontId="15" fillId="9" borderId="11" applyAlignment="1" pivotButton="0" quotePrefix="0" xfId="0">
      <alignment vertical="top" wrapText="1"/>
    </xf>
    <xf numFmtId="169" fontId="15" fillId="9" borderId="11" applyAlignment="1" pivotButton="0" quotePrefix="0" xfId="0">
      <alignment horizontal="right" vertical="top"/>
    </xf>
    <xf numFmtId="164" fontId="15" fillId="9" borderId="11" applyAlignment="1" pivotButton="0" quotePrefix="0" xfId="0">
      <alignment horizontal="right" vertical="top"/>
    </xf>
    <xf numFmtId="0" fontId="15" fillId="9" borderId="11" pivotButton="0" quotePrefix="0" xfId="0"/>
    <xf numFmtId="164" fontId="7" fillId="4" borderId="0" applyAlignment="1" pivotButton="0" quotePrefix="0" xfId="0">
      <alignment horizontal="right"/>
    </xf>
    <xf numFmtId="169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9" fontId="2" fillId="0" borderId="11" applyAlignment="1" pivotButton="0" quotePrefix="0" xfId="0">
      <alignment horizontal="right"/>
    </xf>
    <xf numFmtId="170" fontId="7" fillId="4" borderId="0" applyAlignment="1" pivotButton="0" quotePrefix="0" xfId="0">
      <alignment horizontal="center" vertical="center" wrapText="1"/>
    </xf>
    <xf numFmtId="0" fontId="8" fillId="0" borderId="1" pivotButton="0" quotePrefix="0" xfId="0"/>
    <xf numFmtId="164" fontId="2" fillId="0" borderId="0" pivotButton="0" quotePrefix="0" xfId="0"/>
    <xf numFmtId="0" fontId="9" fillId="0" borderId="1" pivotButton="0" quotePrefix="0" xfId="0"/>
    <xf numFmtId="165" fontId="3" fillId="0" borderId="1" pivotButton="0" quotePrefix="0" xfId="0"/>
    <xf numFmtId="171" fontId="2" fillId="0" borderId="1" pivotButton="0" quotePrefix="0" xfId="0"/>
    <xf numFmtId="0" fontId="23" fillId="0" borderId="0" pivotButton="0" quotePrefix="0" xfId="0"/>
    <xf numFmtId="170" fontId="5" fillId="0" borderId="1" pivotButton="0" quotePrefix="0" xfId="0"/>
    <xf numFmtId="10" fontId="4" fillId="0" borderId="1" pivotButton="0" quotePrefix="0" xfId="0"/>
    <xf numFmtId="172" fontId="4" fillId="0" borderId="1" pivotButton="0" quotePrefix="0" xfId="0"/>
    <xf numFmtId="10" fontId="2" fillId="0" borderId="0" pivotButton="0" quotePrefix="0" xfId="0"/>
    <xf numFmtId="0" fontId="24" fillId="0" borderId="0" pivotButton="0" quotePrefix="0" xfId="0"/>
    <xf numFmtId="172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2" fontId="5" fillId="0" borderId="1" pivotButton="0" quotePrefix="0" xfId="0"/>
    <xf numFmtId="1" fontId="24" fillId="0" borderId="0" pivotButton="0" quotePrefix="0" xfId="0"/>
    <xf numFmtId="170" fontId="7" fillId="4" borderId="1" pivotButton="0" quotePrefix="0" xfId="0"/>
    <xf numFmtId="175" fontId="2" fillId="0" borderId="1" pivotButton="0" quotePrefix="0" xfId="0"/>
    <xf numFmtId="176" fontId="2" fillId="0" borderId="0" pivotButton="0" quotePrefix="0" xfId="0"/>
    <xf numFmtId="165" fontId="2" fillId="0" borderId="0" pivotButton="0" quotePrefix="0" xfId="0"/>
    <xf numFmtId="165" fontId="3" fillId="5" borderId="1" pivotButton="0" quotePrefix="0" xfId="0"/>
    <xf numFmtId="170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70" fontId="2" fillId="0" borderId="1" pivotButton="0" quotePrefix="0" xfId="0"/>
    <xf numFmtId="169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1" fontId="3" fillId="5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BI'!$H$67:$CA$67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BI'!$H$66:$CA$66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G10" authorId="0" shapeId="0">
      <text>
        <t>Valor em INCC do orçamento, copiado da aba VALOR POR PL da planilha original da obra (nas obras novas: orçamento em R$ ÷ INCC base).</t>
      </text>
    </comment>
    <comment ref="H10" authorId="0" shapeId="0">
      <text>
        <t>Meta da distribuição em INCC = INCC do orçamento (G) × fator da projeção (S) — nunca abaixo do incorrido em INCC (a PL fecha no que foi efetivamente gasto). A soma do fluxo em INCC de cada PL é igual a este valor. Taxa de administração 'somente incorrido': meta = incorrido em INCC.</t>
      </text>
    </comment>
    <comment ref="L10" authorId="0" shapeId="0">
      <text>
        <t>Calculada: incorrido em R$ + (meta em INCC − incorrido em INCC) × INCC do corte. O controle da obra é em INCC: a distribuição de cada PL soma a coluna H.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S10" authorId="0" shapeId="0">
      <text>
        <t>Reorçamento (projeção) da PL: meta em INCC = INCC do orçamento × fator. Fator = projeção ÷ orçamento, os dois na mesma base de reajuste (planilha de medição financeira, aba ANÁLISE IEC: coluna W ÷ coluna H). Vazio = 1 (sem reorçamento).</t>
      </text>
    </comment>
    <comment ref="E63" authorId="0" shapeId="0">
      <text>
        <t>Fonte: Ed. Jardim - Medição Financeira - Prévia de Setembro-26 (PAINEL D94/D96). O ajuste (coluna G) entra no mês de corte na aba MODELO PARA BI (linha AJUSTE DE CONCILIAÇÃO): R$ na curva em R$ e INCC no total em INCC.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C58" authorId="0" shapeId="0">
      <text>
        <t>Incorrido informado pela medição financeira − incorrido do ERP (VALOR POR PL, linhas 63-64), lançado no mês de corte.</t>
      </text>
    </comment>
    <comment ref="C59" authorId="0" shapeId="0">
      <text>
        <t>Orçamento em INCC (VALOR POR PL!G50) − soma distribuída nas PLs (projeções). Lançada em 06/2030; no fluxo em R$ entra pelo INCC do corte. Variação negativa (projeções acima do orçamento) não gera contingência: fica zero.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BZ4" authorId="0" shapeId="0">
      <text>
        <t>Realizado até o 1º mês do horizonte (coluna D, 'Acu até'), convertido em INCC pelo índice de CADA mês em que foi pago (aba INCC-FGV). É o valor usado na linha 'Acu até' das abas de disciplina.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69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2.xml" Id="comments" /><Relationship Type="http://schemas.openxmlformats.org/officeDocument/2006/relationships/vmlDrawing" Target="/xl/drawings/commentsDrawing42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3.xml" Id="comments" /><Relationship Type="http://schemas.openxmlformats.org/officeDocument/2006/relationships/vmlDrawing" Target="/xl/drawings/commentsDrawing4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(META EM INCC − INCORRIDO EM INCC) é distribuído nos meses futuros e convertido em R$ pelo INCC do corte; a linha DIFERENÇA fica zerada.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fechado. A meta de cada PL é em INCC (coluna H); a projeção em R$ (coluna L) é calculada.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'MODELO PARA BI'!E66</f>
        <v/>
      </c>
      <c r="D6" s="13">
        <f>SUMPRODUCT(('MODELO PARA BI'!$H$1:$CA$1&lt;='VALOR POR PL'!$P$5)*'MODELO PARA BI'!$H$65:$CA$65)</f>
        <v/>
      </c>
      <c r="E6" s="14">
        <f>IF(B6=0,0,D6/B6)</f>
        <v/>
      </c>
      <c r="F6" s="13">
        <f>SUMPRODUCT((YEAR('MODELO PARA BI'!$H$1:$CA$1)='RETRATO 2027'!$D$5)*'MODELO PARA BI'!$H$65:$CA$65)</f>
        <v/>
      </c>
      <c r="H6" s="13">
        <f>SUM('MODELO PARA BI'!$H$65:$CA$65)-D6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com contingência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BI'!$H$65:$CA$65)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BI'!$H$65:$CA$65)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BI'!$H$65:$CA$65)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BI'!$H$65:$CA$65)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BI'!$H$65:$CA$65)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BI'!$H$65:$CA$65)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BI'!$H$65:$CA$65)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BI'!$H$65:$CA$65)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BI'!$H$65:$CA$65)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BI'!$H$65:$CA$65)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BI'!$H$65:$CA$65)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BI'!$H$65:$CA$65)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BI'!$H$65:$CA$65)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BI'!$H$65:$CA$65)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S64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  <col width="12" customWidth="1" min="19" max="19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IFERROR(INDEX('"INCC-FGV"'!$B$2:$B$800,MATCH(P5,'"INCC-FGV"'!$A$2:$A$800,0)),IFERROR(INDEX('"INCC-FGV"'!$B$2:$B$800,MATCH(P5,'"INCC-FGV"'!$A$2:$A$800,1)),"FALTA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(orçamento)</t>
        </is>
      </c>
      <c r="H10" s="58" t="inlineStr">
        <is>
          <t>META EM INCC
(soma da
distribuição)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  <c r="S10" s="58" t="inlineStr">
        <is>
          <t>FATOR DA
PROJEÇÃO
(reorçamento)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53" t="n">
        <v>2308.91531</v>
      </c>
      <c r="H11" s="49">
        <f>MAX(G11*IF(S11="",1,S11),'PROJETO'!$K$8)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60">
        <f>'PROJETO'!$J$7</f>
        <v/>
      </c>
      <c r="M11" s="49">
        <f>L11-K11</f>
        <v/>
      </c>
      <c r="N11" s="51">
        <f>IF(D11="","",IF('PROJETO'!$K$8&gt;'PROJETO'!$K$6+0.01,"⚠ Incorrido acima da meta em INCC",IF(AND('PROJETO'!$K$18&gt;1,'PROJETO'!$K$17=0),"⚠ Saldo sem curva (preencha a coluna H da aba)",IF(ABS('PROJETO'!$D$80)&gt;0.01,"⚠ Verificar","OK"))))</f>
        <v/>
      </c>
      <c r="O11" s="61">
        <f>'PROJETO'!$K$16</f>
        <v/>
      </c>
      <c r="P11" s="62">
        <f>'PROJETO'!$K$14</f>
        <v/>
      </c>
      <c r="Q11" s="59" t="inlineStr">
        <is>
          <t>01</t>
        </is>
      </c>
      <c r="R11" s="59" t="n"/>
      <c r="S11" s="63" t="n">
        <v>0.98527105</v>
      </c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53" t="n">
        <v>103.700935</v>
      </c>
      <c r="H12" s="49">
        <f>MAX(G12*IF(S12="",1,S12),'SEGUROS'!$K$8)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60">
        <f>'SEGUROS'!$J$7</f>
        <v/>
      </c>
      <c r="M12" s="49">
        <f>L12-K12</f>
        <v/>
      </c>
      <c r="N12" s="51">
        <f>IF(D12="","",IF('SEGUROS'!$K$8&gt;'SEGUROS'!$K$6+0.01,"⚠ Incorrido acima da meta em INCC",IF(AND('SEGUROS'!$K$18&gt;1,'SEGUROS'!$K$17=0),"⚠ Saldo sem curva (preencha a coluna H da aba)",IF(ABS('SEGUROS'!$D$80)&gt;0.01,"⚠ Verificar","OK"))))</f>
        <v/>
      </c>
      <c r="O12" s="61">
        <f>'SEGUROS'!$K$16</f>
        <v/>
      </c>
      <c r="P12" s="62">
        <f>'SEGUROS'!$K$14</f>
        <v/>
      </c>
      <c r="Q12" s="59" t="inlineStr">
        <is>
          <t>02</t>
        </is>
      </c>
      <c r="R12" s="59" t="n"/>
      <c r="S12" s="63" t="n">
        <v>0.92468838</v>
      </c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53" t="n">
        <v>127.292474</v>
      </c>
      <c r="H13" s="49">
        <f>MAX(G13*IF(S13="",1,S13),'TAX. DIVERSAS'!$K$8)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60">
        <f>'TAX. DIVERSAS'!$J$7</f>
        <v/>
      </c>
      <c r="M13" s="49">
        <f>L13-K13</f>
        <v/>
      </c>
      <c r="N13" s="51">
        <f>IF(D13="","",IF('TAX. DIVERSAS'!$K$8&gt;'TAX. DIVERSAS'!$K$6+0.01,"⚠ Incorrido acima da meta em INCC",IF(AND('TAX. DIVERSAS'!$K$18&gt;1,'TAX. DIVERSAS'!$K$17=0),"⚠ Saldo sem curva (preencha a coluna H da aba)",IF(ABS('TAX. DIVERSAS'!$D$80)&gt;0.01,"⚠ Verificar","OK"))))</f>
        <v/>
      </c>
      <c r="O13" s="61">
        <f>'TAX. DIVERSAS'!$K$16</f>
        <v/>
      </c>
      <c r="P13" s="62">
        <f>'TAX. DIVERSAS'!$K$14</f>
        <v/>
      </c>
      <c r="Q13" s="59" t="inlineStr">
        <is>
          <t>03</t>
        </is>
      </c>
      <c r="R13" s="59" t="n"/>
      <c r="S13" s="63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53" t="n">
        <v>844.504092</v>
      </c>
      <c r="H14" s="49">
        <f>MAX(G14*IF(S14="",1,S14),'BARRACÃO DE OBRA'!$K$8)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60">
        <f>'BARRACÃO DE OBRA'!$J$7</f>
        <v/>
      </c>
      <c r="M14" s="49">
        <f>L14-K14</f>
        <v/>
      </c>
      <c r="N14" s="51">
        <f>IF(D14="","",IF('BARRACÃO DE OBRA'!$K$8&gt;'BARRACÃO DE OBRA'!$K$6+0.01,"⚠ Incorrido acima da meta em INCC",IF(AND('BARRACÃO DE OBRA'!$K$18&gt;1,'BARRACÃO DE OBRA'!$K$17=0),"⚠ Saldo sem curva (preencha a coluna H da aba)",IF(ABS('BARRACÃO DE OBRA'!$D$80)&gt;0.01,"⚠ Verificar","OK"))))</f>
        <v/>
      </c>
      <c r="O14" s="61">
        <f>'BARRACÃO DE OBRA'!$K$16</f>
        <v/>
      </c>
      <c r="P14" s="62">
        <f>'BARRACÃO DE OBRA'!$K$14</f>
        <v/>
      </c>
      <c r="Q14" s="59" t="inlineStr">
        <is>
          <t>04</t>
        </is>
      </c>
      <c r="R14" s="59" t="n"/>
      <c r="S14" s="63" t="n">
        <v>1.14967706</v>
      </c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53" t="n">
        <v>42.430825</v>
      </c>
      <c r="H15" s="49">
        <f>MAX(G15*IF(S15="",1,S15),'LIG. PROVISÓRIAS'!$K$8)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60">
        <f>'LIG. PROVISÓRIAS'!$J$7</f>
        <v/>
      </c>
      <c r="M15" s="49">
        <f>L15-K15</f>
        <v/>
      </c>
      <c r="N15" s="51">
        <f>IF(D15="","",IF('LIG. PROVISÓRIAS'!$K$8&gt;'LIG. PROVISÓRIAS'!$K$6+0.01,"⚠ Incorrido acima da meta em INCC",IF(AND('LIG. PROVISÓRIAS'!$K$18&gt;1,'LIG. PROVISÓRIAS'!$K$17=0),"⚠ Saldo sem curva (preencha a coluna H da aba)",IF(ABS('LIG. PROVISÓRIAS'!$D$80)&gt;0.01,"⚠ Verificar","OK"))))</f>
        <v/>
      </c>
      <c r="O15" s="61">
        <f>'LIG. PROVISÓRIAS'!$K$16</f>
        <v/>
      </c>
      <c r="P15" s="62">
        <f>'LIG. PROVISÓRIAS'!$K$14</f>
        <v/>
      </c>
      <c r="Q15" s="59" t="inlineStr">
        <is>
          <t>05</t>
        </is>
      </c>
      <c r="R15" s="59" t="n"/>
      <c r="S15" s="63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53" t="n">
        <v>326.717349</v>
      </c>
      <c r="H16" s="49">
        <f>MAX(G16*IF(S16="",1,S16),'CONSUMOS'!$K$8)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60">
        <f>'CONSUMOS'!$J$7</f>
        <v/>
      </c>
      <c r="M16" s="49">
        <f>L16-K16</f>
        <v/>
      </c>
      <c r="N16" s="51">
        <f>IF(D16="","",IF('CONSUMOS'!$K$8&gt;'CONSUMOS'!$K$6+0.01,"⚠ Incorrido acima da meta em INCC",IF(AND('CONSUMOS'!$K$18&gt;1,'CONSUMOS'!$K$17=0),"⚠ Saldo sem curva (preencha a coluna H da aba)",IF(ABS('CONSUMOS'!$D$80)&gt;0.01,"⚠ Verificar","OK"))))</f>
        <v/>
      </c>
      <c r="O16" s="61">
        <f>'CONSUMOS'!$K$16</f>
        <v/>
      </c>
      <c r="P16" s="62">
        <f>'CONSUMOS'!$K$14</f>
        <v/>
      </c>
      <c r="Q16" s="59" t="inlineStr">
        <is>
          <t>06</t>
        </is>
      </c>
      <c r="R16" s="59" t="n"/>
      <c r="S16" s="63" t="n">
        <v>1.37539931</v>
      </c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53" t="n">
        <v>111.16876</v>
      </c>
      <c r="H17" s="49">
        <f>MAX(G17*IF(S17="",1,S17),'DIVERSOS'!$K$8)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60">
        <f>'DIVERSOS'!$J$7</f>
        <v/>
      </c>
      <c r="M17" s="49">
        <f>L17-K17</f>
        <v/>
      </c>
      <c r="N17" s="51">
        <f>IF(D17="","",IF('DIVERSOS'!$K$8&gt;'DIVERSOS'!$K$6+0.01,"⚠ Incorrido acima da meta em INCC",IF(AND('DIVERSOS'!$K$18&gt;1,'DIVERSOS'!$K$17=0),"⚠ Saldo sem curva (preencha a coluna H da aba)",IF(ABS('DIVERSOS'!$D$80)&gt;0.01,"⚠ Verificar","OK"))))</f>
        <v/>
      </c>
      <c r="O17" s="61">
        <f>'DIVERSOS'!$K$16</f>
        <v/>
      </c>
      <c r="P17" s="62">
        <f>'DIVERSOS'!$K$14</f>
        <v/>
      </c>
      <c r="Q17" s="59" t="inlineStr">
        <is>
          <t>07</t>
        </is>
      </c>
      <c r="R17" s="59" t="n"/>
      <c r="S17" s="63" t="n">
        <v>1.91291433</v>
      </c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53" t="n">
        <v>630.284441</v>
      </c>
      <c r="H18" s="49">
        <f>MAX(G18*IF(S18="",1,S18),'TRANSPORTES'!$K$8)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60">
        <f>'TRANSPORTES'!$J$7</f>
        <v/>
      </c>
      <c r="M18" s="49">
        <f>L18-K18</f>
        <v/>
      </c>
      <c r="N18" s="51">
        <f>IF(D18="","",IF('TRANSPORTES'!$K$8&gt;'TRANSPORTES'!$K$6+0.01,"⚠ Incorrido acima da meta em INCC",IF(AND('TRANSPORTES'!$K$18&gt;1,'TRANSPORTES'!$K$17=0),"⚠ Saldo sem curva (preencha a coluna H da aba)",IF(ABS('TRANSPORTES'!$D$80)&gt;0.01,"⚠ Verificar","OK"))))</f>
        <v/>
      </c>
      <c r="O18" s="61">
        <f>'TRANSPORTES'!$K$16</f>
        <v/>
      </c>
      <c r="P18" s="62">
        <f>'TRANSPORTES'!$K$14</f>
        <v/>
      </c>
      <c r="Q18" s="59" t="inlineStr">
        <is>
          <t>08</t>
        </is>
      </c>
      <c r="R18" s="59" t="n"/>
      <c r="S18" s="63" t="n">
        <v>0.99358932</v>
      </c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53" t="n">
        <v>683.511246</v>
      </c>
      <c r="H19" s="49">
        <f>MAX(G19*IF(S19="",1,S19),'CONSULTORIAS'!$K$8)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60">
        <f>'CONSULTORIAS'!$J$7</f>
        <v/>
      </c>
      <c r="M19" s="49">
        <f>L19-K19</f>
        <v/>
      </c>
      <c r="N19" s="51">
        <f>IF(D19="","",IF('CONSULTORIAS'!$K$8&gt;'CONSULTORIAS'!$K$6+0.01,"⚠ Incorrido acima da meta em INCC",IF(AND('CONSULTORIAS'!$K$18&gt;1,'CONSULTORIAS'!$K$17=0),"⚠ Saldo sem curva (preencha a coluna H da aba)",IF(ABS('CONSULTORIAS'!$D$80)&gt;0.01,"⚠ Verificar","OK"))))</f>
        <v/>
      </c>
      <c r="O19" s="61">
        <f>'CONSULTORIAS'!$K$16</f>
        <v/>
      </c>
      <c r="P19" s="62">
        <f>'CONSULTORIAS'!$K$14</f>
        <v/>
      </c>
      <c r="Q19" s="59" t="inlineStr">
        <is>
          <t>09</t>
        </is>
      </c>
      <c r="R19" s="59" t="n"/>
      <c r="S19" s="63" t="n">
        <v>1.05101587</v>
      </c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53" t="n">
        <v>12314.822187</v>
      </c>
      <c r="H20" s="49">
        <f>MAX(G20*IF(S20="",1,S20),'MDO'!$K$8)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60">
        <f>'MDO'!$J$7</f>
        <v/>
      </c>
      <c r="M20" s="49">
        <f>L20-K20</f>
        <v/>
      </c>
      <c r="N20" s="51">
        <f>IF(D20="","",IF('MDO'!$K$8&gt;'MDO'!$K$6+0.01,"⚠ Incorrido acima da meta em INCC",IF(AND('MDO'!$K$18&gt;1,'MDO'!$K$17=0),"⚠ Saldo sem curva (preencha a coluna H da aba)",IF(ABS('MDO'!$D$80)&gt;0.01,"⚠ Verificar","OK"))))</f>
        <v/>
      </c>
      <c r="O20" s="61">
        <f>'MDO'!$K$16</f>
        <v/>
      </c>
      <c r="P20" s="62">
        <f>'MDO'!$K$14</f>
        <v/>
      </c>
      <c r="Q20" s="59" t="inlineStr">
        <is>
          <t>10</t>
        </is>
      </c>
      <c r="R20" s="59" t="n"/>
      <c r="S20" s="63" t="n">
        <v>1.07173555</v>
      </c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53" t="n">
        <v>3706.883114</v>
      </c>
      <c r="H21" s="49">
        <f>MAX(G21*IF(S21="",1,S21),'EQUIP E FER'!$K$8)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60">
        <f>'EQUIP E FER'!$J$7</f>
        <v/>
      </c>
      <c r="M21" s="49">
        <f>L21-K21</f>
        <v/>
      </c>
      <c r="N21" s="51">
        <f>IF(D21="","",IF('EQUIP E FER'!$K$8&gt;'EQUIP E FER'!$K$6+0.01,"⚠ Incorrido acima da meta em INCC",IF(AND('EQUIP E FER'!$K$18&gt;1,'EQUIP E FER'!$K$17=0),"⚠ Saldo sem curva (preencha a coluna H da aba)",IF(ABS('EQUIP E FER'!$D$80)&gt;0.01,"⚠ Verificar","OK"))))</f>
        <v/>
      </c>
      <c r="O21" s="61">
        <f>'EQUIP E FER'!$K$16</f>
        <v/>
      </c>
      <c r="P21" s="62">
        <f>'EQUIP E FER'!$K$14</f>
        <v/>
      </c>
      <c r="Q21" s="59" t="inlineStr">
        <is>
          <t>11</t>
        </is>
      </c>
      <c r="R21" s="59" t="n"/>
      <c r="S21" s="63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53" t="n">
        <v>505.132755</v>
      </c>
      <c r="H22" s="49">
        <f>MAX(G22*IF(S22="",1,S22),'SERV. INICIAIS'!$K$8)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60">
        <f>'SERV. INICIAIS'!$J$7</f>
        <v/>
      </c>
      <c r="M22" s="49">
        <f>L22-K22</f>
        <v/>
      </c>
      <c r="N22" s="51">
        <f>IF(D22="","",IF('SERV. INICIAIS'!$K$8&gt;'SERV. INICIAIS'!$K$6+0.01,"⚠ Incorrido acima da meta em INCC",IF(AND('SERV. INICIAIS'!$K$18&gt;1,'SERV. INICIAIS'!$K$17=0),"⚠ Saldo sem curva (preencha a coluna H da aba)",IF(ABS('SERV. INICIAIS'!$D$80)&gt;0.01,"⚠ Verificar","OK"))))</f>
        <v/>
      </c>
      <c r="O22" s="61">
        <f>'SERV. INICIAIS'!$K$16</f>
        <v/>
      </c>
      <c r="P22" s="62">
        <f>'SERV. INICIAIS'!$K$14</f>
        <v/>
      </c>
      <c r="Q22" s="59" t="inlineStr">
        <is>
          <t>12</t>
        </is>
      </c>
      <c r="R22" s="59" t="n"/>
      <c r="S22" s="63" t="n">
        <v>0.94977267</v>
      </c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53" t="n">
        <v>1174.614899</v>
      </c>
      <c r="H23" s="49">
        <f>MAX(G23*IF(S23="",1,S23),'CONTENÇÃO'!$K$8)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60">
        <f>'CONTENÇÃO'!$J$7</f>
        <v/>
      </c>
      <c r="M23" s="49">
        <f>L23-K23</f>
        <v/>
      </c>
      <c r="N23" s="51">
        <f>IF(D23="","",IF('CONTENÇÃO'!$K$8&gt;'CONTENÇÃO'!$K$6+0.01,"⚠ Incorrido acima da meta em INCC",IF(AND('CONTENÇÃO'!$K$18&gt;1,'CONTENÇÃO'!$K$17=0),"⚠ Saldo sem curva (preencha a coluna H da aba)",IF(ABS('CONTENÇÃO'!$D$80)&gt;0.01,"⚠ Verificar","OK"))))</f>
        <v/>
      </c>
      <c r="O23" s="61">
        <f>'CONTENÇÃO'!$K$16</f>
        <v/>
      </c>
      <c r="P23" s="62">
        <f>'CONTENÇÃO'!$K$14</f>
        <v/>
      </c>
      <c r="Q23" s="59" t="inlineStr">
        <is>
          <t>13</t>
        </is>
      </c>
      <c r="R23" s="59" t="n"/>
      <c r="S23" s="63" t="n">
        <v>0.86030236</v>
      </c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53" t="n">
        <v>2495.525964</v>
      </c>
      <c r="H24" s="49">
        <f>MAX(G24*IF(S24="",1,S24),'TERRAPLENAGEM'!$K$8)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60">
        <f>'TERRAPLENAGEM'!$J$7</f>
        <v/>
      </c>
      <c r="M24" s="49">
        <f>L24-K24</f>
        <v/>
      </c>
      <c r="N24" s="51">
        <f>IF(D24="","",IF('TERRAPLENAGEM'!$K$8&gt;'TERRAPLENAGEM'!$K$6+0.01,"⚠ Incorrido acima da meta em INCC",IF(AND('TERRAPLENAGEM'!$K$18&gt;1,'TERRAPLENAGEM'!$K$17=0),"⚠ Saldo sem curva (preencha a coluna H da aba)",IF(ABS('TERRAPLENAGEM'!$D$80)&gt;0.01,"⚠ Verificar","OK"))))</f>
        <v/>
      </c>
      <c r="O24" s="61">
        <f>'TERRAPLENAGEM'!$K$16</f>
        <v/>
      </c>
      <c r="P24" s="62">
        <f>'TERRAPLENAGEM'!$K$14</f>
        <v/>
      </c>
      <c r="Q24" s="59" t="inlineStr">
        <is>
          <t>14</t>
        </is>
      </c>
      <c r="R24" s="59" t="n"/>
      <c r="S24" s="63" t="n">
        <v>0.8078573100000001</v>
      </c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53" t="n">
        <v>4536.618156</v>
      </c>
      <c r="H25" s="49">
        <f>MAX(G25*IF(S25="",1,S25),'FUND. PROF'!$K$8)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60">
        <f>'FUND. PROF'!$J$7</f>
        <v/>
      </c>
      <c r="M25" s="49">
        <f>L25-K25</f>
        <v/>
      </c>
      <c r="N25" s="51">
        <f>IF(D25="","",IF('FUND. PROF'!$K$8&gt;'FUND. PROF'!$K$6+0.01,"⚠ Incorrido acima da meta em INCC",IF(AND('FUND. PROF'!$K$18&gt;1,'FUND. PROF'!$K$17=0),"⚠ Saldo sem curva (preencha a coluna H da aba)",IF(ABS('FUND. PROF'!$D$80)&gt;0.01,"⚠ Verificar","OK"))))</f>
        <v/>
      </c>
      <c r="O25" s="61">
        <f>'FUND. PROF'!$K$16</f>
        <v/>
      </c>
      <c r="P25" s="62">
        <f>'FUND. PROF'!$K$14</f>
        <v/>
      </c>
      <c r="Q25" s="59" t="inlineStr">
        <is>
          <t>15</t>
        </is>
      </c>
      <c r="R25" s="59" t="n"/>
      <c r="S25" s="63" t="n">
        <v>0.7564801799999999</v>
      </c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53" t="n">
        <v>3439.267102</v>
      </c>
      <c r="H26" s="49">
        <f>MAX(G26*IF(S26="",1,S26),'FUND. SUP'!$K$8)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60">
        <f>'FUND. SUP'!$J$7</f>
        <v/>
      </c>
      <c r="M26" s="49">
        <f>L26-K26</f>
        <v/>
      </c>
      <c r="N26" s="51">
        <f>IF(D26="","",IF('FUND. SUP'!$K$8&gt;'FUND. SUP'!$K$6+0.01,"⚠ Incorrido acima da meta em INCC",IF(AND('FUND. SUP'!$K$18&gt;1,'FUND. SUP'!$K$17=0),"⚠ Saldo sem curva (preencha a coluna H da aba)",IF(ABS('FUND. SUP'!$D$80)&gt;0.01,"⚠ Verificar","OK"))))</f>
        <v/>
      </c>
      <c r="O26" s="61">
        <f>'FUND. SUP'!$K$16</f>
        <v/>
      </c>
      <c r="P26" s="62">
        <f>'FUND. SUP'!$K$14</f>
        <v/>
      </c>
      <c r="Q26" s="59" t="inlineStr">
        <is>
          <t>16</t>
        </is>
      </c>
      <c r="R26" s="59" t="n"/>
      <c r="S26" s="63" t="n">
        <v>0.79334164</v>
      </c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53" t="n">
        <v>17204.230308</v>
      </c>
      <c r="H27" s="49">
        <f>MAX(G27*IF(S27="",1,S27),'ESTRUTURA'!$K$8)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60">
        <f>'ESTRUTURA'!$J$7</f>
        <v/>
      </c>
      <c r="M27" s="49">
        <f>L27-K27</f>
        <v/>
      </c>
      <c r="N27" s="51">
        <f>IF(D27="","",IF('ESTRUTURA'!$K$8&gt;'ESTRUTURA'!$K$6+0.01,"⚠ Incorrido acima da meta em INCC",IF(AND('ESTRUTURA'!$K$18&gt;1,'ESTRUTURA'!$K$17=0),"⚠ Saldo sem curva (preencha a coluna H da aba)",IF(ABS('ESTRUTURA'!$D$80)&gt;0.01,"⚠ Verificar","OK"))))</f>
        <v/>
      </c>
      <c r="O27" s="61">
        <f>'ESTRUTURA'!$K$16</f>
        <v/>
      </c>
      <c r="P27" s="62">
        <f>'ESTRUTURA'!$K$14</f>
        <v/>
      </c>
      <c r="Q27" s="59" t="inlineStr">
        <is>
          <t>17</t>
        </is>
      </c>
      <c r="R27" s="59" t="n"/>
      <c r="S27" s="63" t="n">
        <v>0.97528193</v>
      </c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53" t="n">
        <v>2554.076099</v>
      </c>
      <c r="H28" s="49">
        <f>MAX(G28*IF(S28="",1,S28),'ALVENARIA'!$K$8)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60">
        <f>'ALVENARIA'!$J$7</f>
        <v/>
      </c>
      <c r="M28" s="49">
        <f>L28-K28</f>
        <v/>
      </c>
      <c r="N28" s="51">
        <f>IF(D28="","",IF('ALVENARIA'!$K$8&gt;'ALVENARIA'!$K$6+0.01,"⚠ Incorrido acima da meta em INCC",IF(AND('ALVENARIA'!$K$18&gt;1,'ALVENARIA'!$K$17=0),"⚠ Saldo sem curva (preencha a coluna H da aba)",IF(ABS('ALVENARIA'!$D$80)&gt;0.01,"⚠ Verificar","OK"))))</f>
        <v/>
      </c>
      <c r="O28" s="61">
        <f>'ALVENARIA'!$K$16</f>
        <v/>
      </c>
      <c r="P28" s="62">
        <f>'ALVENARIA'!$K$14</f>
        <v/>
      </c>
      <c r="Q28" s="59" t="inlineStr">
        <is>
          <t>19</t>
        </is>
      </c>
      <c r="R28" s="59" t="n"/>
      <c r="S28" s="63" t="n">
        <v>1.10361789</v>
      </c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53" t="n">
        <v>3224.446723</v>
      </c>
      <c r="H29" s="49">
        <f>MAX(G29*IF(S29="",1,S29),'IMPERMEABILIZAÇÃO'!$K$8)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60">
        <f>'IMPERMEABILIZAÇÃO'!$J$7</f>
        <v/>
      </c>
      <c r="M29" s="49">
        <f>L29-K29</f>
        <v/>
      </c>
      <c r="N29" s="51">
        <f>IF(D29="","",IF('IMPERMEABILIZAÇÃO'!$K$8&gt;'IMPERMEABILIZAÇÃO'!$K$6+0.01,"⚠ Incorrido acima da meta em INCC",IF(AND('IMPERMEABILIZAÇÃO'!$K$18&gt;1,'IMPERMEABILIZAÇÃO'!$K$17=0),"⚠ Saldo sem curva (preencha a coluna H da aba)",IF(ABS('IMPERMEABILIZAÇÃO'!$D$80)&gt;0.01,"⚠ Verificar","OK"))))</f>
        <v/>
      </c>
      <c r="O29" s="61">
        <f>'IMPERMEABILIZAÇÃO'!$K$16</f>
        <v/>
      </c>
      <c r="P29" s="62">
        <f>'IMPERMEABILIZAÇÃO'!$K$14</f>
        <v/>
      </c>
      <c r="Q29" s="59" t="inlineStr">
        <is>
          <t>20</t>
        </is>
      </c>
      <c r="R29" s="59" t="n"/>
      <c r="S29" s="63" t="n">
        <v>0.79244915</v>
      </c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53" t="n">
        <v>7240.910891</v>
      </c>
      <c r="H30" s="49">
        <f>MAX(G30*IF(S30="",1,S30),'INST. ELÉTRICA'!$K$8)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60">
        <f>'INST. ELÉTRICA'!$J$7</f>
        <v/>
      </c>
      <c r="M30" s="49">
        <f>L30-K30</f>
        <v/>
      </c>
      <c r="N30" s="51">
        <f>IF(D30="","",IF('INST. ELÉTRICA'!$K$8&gt;'INST. ELÉTRICA'!$K$6+0.01,"⚠ Incorrido acima da meta em INCC",IF(AND('INST. ELÉTRICA'!$K$18&gt;1,'INST. ELÉTRICA'!$K$17=0),"⚠ Saldo sem curva (preencha a coluna H da aba)",IF(ABS('INST. ELÉTRICA'!$D$80)&gt;0.01,"⚠ Verificar","OK"))))</f>
        <v/>
      </c>
      <c r="O30" s="61">
        <f>'INST. ELÉTRICA'!$K$16</f>
        <v/>
      </c>
      <c r="P30" s="62">
        <f>'INST. ELÉTRICA'!$K$14</f>
        <v/>
      </c>
      <c r="Q30" s="59" t="inlineStr">
        <is>
          <t>21</t>
        </is>
      </c>
      <c r="R30" s="59" t="n"/>
      <c r="S30" s="63" t="n">
        <v>1.00144773</v>
      </c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53" t="n">
        <v>4396.001794</v>
      </c>
      <c r="H31" s="49">
        <f>MAX(G31*IF(S31="",1,S31),'INST. HIDRO'!$K$8)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60">
        <f>'INST. HIDRO'!$J$7</f>
        <v/>
      </c>
      <c r="M31" s="49">
        <f>L31-K31</f>
        <v/>
      </c>
      <c r="N31" s="51">
        <f>IF(D31="","",IF('INST. HIDRO'!$K$8&gt;'INST. HIDRO'!$K$6+0.01,"⚠ Incorrido acima da meta em INCC",IF(AND('INST. HIDRO'!$K$18&gt;1,'INST. HIDRO'!$K$17=0),"⚠ Saldo sem curva (preencha a coluna H da aba)",IF(ABS('INST. HIDRO'!$D$80)&gt;0.01,"⚠ Verificar","OK"))))</f>
        <v/>
      </c>
      <c r="O31" s="61">
        <f>'INST. HIDRO'!$K$16</f>
        <v/>
      </c>
      <c r="P31" s="62">
        <f>'INST. HIDRO'!$K$14</f>
        <v/>
      </c>
      <c r="Q31" s="59" t="inlineStr">
        <is>
          <t>22</t>
        </is>
      </c>
      <c r="R31" s="59" t="n"/>
      <c r="S31" s="63" t="n">
        <v>0.9918169100000001</v>
      </c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53" t="n">
        <v>549.500224</v>
      </c>
      <c r="H32" s="49">
        <f>MAX(G32*IF(S32="",1,S32),'INST. INC'!$K$8)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60">
        <f>'INST. INC'!$J$7</f>
        <v/>
      </c>
      <c r="M32" s="49">
        <f>L32-K32</f>
        <v/>
      </c>
      <c r="N32" s="51">
        <f>IF(D32="","",IF('INST. INC'!$K$8&gt;'INST. INC'!$K$6+0.01,"⚠ Incorrido acima da meta em INCC",IF(AND('INST. INC'!$K$18&gt;1,'INST. INC'!$K$17=0),"⚠ Saldo sem curva (preencha a coluna H da aba)",IF(ABS('INST. INC'!$D$80)&gt;0.01,"⚠ Verificar","OK"))))</f>
        <v/>
      </c>
      <c r="O32" s="61">
        <f>'INST. INC'!$K$16</f>
        <v/>
      </c>
      <c r="P32" s="62">
        <f>'INST. INC'!$K$14</f>
        <v/>
      </c>
      <c r="Q32" s="59" t="inlineStr">
        <is>
          <t>23</t>
        </is>
      </c>
      <c r="R32" s="59" t="n"/>
      <c r="S32" s="63" t="n">
        <v>1.0975986</v>
      </c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53" t="n">
        <v>4315.910939</v>
      </c>
      <c r="H33" s="49">
        <f>MAX(G33*IF(S33="",1,S33),'INST. ESP'!$K$8)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60">
        <f>'INST. ESP'!$J$7</f>
        <v/>
      </c>
      <c r="M33" s="49">
        <f>L33-K33</f>
        <v/>
      </c>
      <c r="N33" s="51">
        <f>IF(D33="","",IF('INST. ESP'!$K$8&gt;'INST. ESP'!$K$6+0.01,"⚠ Incorrido acima da meta em INCC",IF(AND('INST. ESP'!$K$18&gt;1,'INST. ESP'!$K$17=0),"⚠ Saldo sem curva (preencha a coluna H da aba)",IF(ABS('INST. ESP'!$D$80)&gt;0.01,"⚠ Verificar","OK"))))</f>
        <v/>
      </c>
      <c r="O33" s="61">
        <f>'INST. ESP'!$K$16</f>
        <v/>
      </c>
      <c r="P33" s="62">
        <f>'INST. ESP'!$K$14</f>
        <v/>
      </c>
      <c r="Q33" s="59" t="inlineStr">
        <is>
          <t>24</t>
        </is>
      </c>
      <c r="R33" s="59" t="n"/>
      <c r="S33" s="63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53" t="n">
        <v>2240.335333</v>
      </c>
      <c r="H34" s="49">
        <f>MAX(G34*IF(S34="",1,S34),'ELEVADORES '!$K$8)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60">
        <f>'ELEVADORES '!$J$7</f>
        <v/>
      </c>
      <c r="M34" s="49">
        <f>L34-K34</f>
        <v/>
      </c>
      <c r="N34" s="51">
        <f>IF(D34="","",IF('ELEVADORES '!$K$8&gt;'ELEVADORES '!$K$6+0.01,"⚠ Incorrido acima da meta em INCC",IF(AND('ELEVADORES '!$K$18&gt;1,'ELEVADORES '!$K$17=0),"⚠ Saldo sem curva (preencha a coluna H da aba)",IF(ABS('ELEVADORES '!$D$80)&gt;0.01,"⚠ Verificar","OK"))))</f>
        <v/>
      </c>
      <c r="O34" s="61">
        <f>'ELEVADORES '!$K$16</f>
        <v/>
      </c>
      <c r="P34" s="62">
        <f>'ELEVADORES '!$K$14</f>
        <v/>
      </c>
      <c r="Q34" s="59" t="inlineStr">
        <is>
          <t>25</t>
        </is>
      </c>
      <c r="R34" s="59" t="n"/>
      <c r="S34" s="63" t="n">
        <v>0.83615249</v>
      </c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53" t="n">
        <v>10997.770422</v>
      </c>
      <c r="H35" s="49">
        <f>MAX(G35*IF(S35="",1,S35),'ESQUADRIAS'!$K$8)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60">
        <f>'ESQUADRIAS'!$J$7</f>
        <v/>
      </c>
      <c r="M35" s="49">
        <f>L35-K35</f>
        <v/>
      </c>
      <c r="N35" s="51">
        <f>IF(D35="","",IF('ESQUADRIAS'!$K$8&gt;'ESQUADRIAS'!$K$6+0.01,"⚠ Incorrido acima da meta em INCC",IF(AND('ESQUADRIAS'!$K$18&gt;1,'ESQUADRIAS'!$K$17=0),"⚠ Saldo sem curva (preencha a coluna H da aba)",IF(ABS('ESQUADRIAS'!$D$80)&gt;0.01,"⚠ Verificar","OK"))))</f>
        <v/>
      </c>
      <c r="O35" s="61">
        <f>'ESQUADRIAS'!$K$16</f>
        <v/>
      </c>
      <c r="P35" s="62">
        <f>'ESQUADRIAS'!$K$14</f>
        <v/>
      </c>
      <c r="Q35" s="59" t="inlineStr">
        <is>
          <t>26</t>
        </is>
      </c>
      <c r="R35" s="59" t="n"/>
      <c r="S35" s="63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53" t="n">
        <v>377.768024</v>
      </c>
      <c r="H36" s="49">
        <f>MAX(G36*IF(S36="",1,S36),'SERRALHERIA'!$K$8)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60">
        <f>'SERRALHERIA'!$J$7</f>
        <v/>
      </c>
      <c r="M36" s="49">
        <f>L36-K36</f>
        <v/>
      </c>
      <c r="N36" s="51">
        <f>IF(D36="","",IF('SERRALHERIA'!$K$8&gt;'SERRALHERIA'!$K$6+0.01,"⚠ Incorrido acima da meta em INCC",IF(AND('SERRALHERIA'!$K$18&gt;1,'SERRALHERIA'!$K$17=0),"⚠ Saldo sem curva (preencha a coluna H da aba)",IF(ABS('SERRALHERIA'!$D$80)&gt;0.01,"⚠ Verificar","OK"))))</f>
        <v/>
      </c>
      <c r="O36" s="61">
        <f>'SERRALHERIA'!$K$16</f>
        <v/>
      </c>
      <c r="P36" s="62">
        <f>'SERRALHERIA'!$K$14</f>
        <v/>
      </c>
      <c r="Q36" s="59" t="inlineStr">
        <is>
          <t>27</t>
        </is>
      </c>
      <c r="R36" s="59" t="n"/>
      <c r="S36" s="63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53" t="n">
        <v>1467.132128</v>
      </c>
      <c r="H37" s="49">
        <f>MAX(G37*IF(S37="",1,S37),'MARCENARIA'!$K$8)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60">
        <f>'MARCENARIA'!$J$7</f>
        <v/>
      </c>
      <c r="M37" s="49">
        <f>L37-K37</f>
        <v/>
      </c>
      <c r="N37" s="51">
        <f>IF(D37="","",IF('MARCENARIA'!$K$8&gt;'MARCENARIA'!$K$6+0.01,"⚠ Incorrido acima da meta em INCC",IF(AND('MARCENARIA'!$K$18&gt;1,'MARCENARIA'!$K$17=0),"⚠ Saldo sem curva (preencha a coluna H da aba)",IF(ABS('MARCENARIA'!$D$80)&gt;0.01,"⚠ Verificar","OK"))))</f>
        <v/>
      </c>
      <c r="O37" s="61">
        <f>'MARCENARIA'!$K$16</f>
        <v/>
      </c>
      <c r="P37" s="62">
        <f>'MARCENARIA'!$K$14</f>
        <v/>
      </c>
      <c r="Q37" s="59" t="inlineStr">
        <is>
          <t>28</t>
        </is>
      </c>
      <c r="R37" s="59" t="n"/>
      <c r="S37" s="63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53" t="n">
        <v>952.653053</v>
      </c>
      <c r="H38" s="49">
        <f>MAX(G38*IF(S38="",1,S38),'REV. PISOS'!$K$8)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60">
        <f>'REV. PISOS'!$J$7</f>
        <v/>
      </c>
      <c r="M38" s="49">
        <f>L38-K38</f>
        <v/>
      </c>
      <c r="N38" s="51">
        <f>IF(D38="","",IF('REV. PISOS'!$K$8&gt;'REV. PISOS'!$K$6+0.01,"⚠ Incorrido acima da meta em INCC",IF(AND('REV. PISOS'!$K$18&gt;1,'REV. PISOS'!$K$17=0),"⚠ Saldo sem curva (preencha a coluna H da aba)",IF(ABS('REV. PISOS'!$D$80)&gt;0.01,"⚠ Verificar","OK"))))</f>
        <v/>
      </c>
      <c r="O38" s="61">
        <f>'REV. PISOS'!$K$16</f>
        <v/>
      </c>
      <c r="P38" s="62">
        <f>'REV. PISOS'!$K$14</f>
        <v/>
      </c>
      <c r="Q38" s="59" t="inlineStr">
        <is>
          <t>29</t>
        </is>
      </c>
      <c r="R38" s="59" t="n"/>
      <c r="S38" s="63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53" t="n">
        <v>2142.113877</v>
      </c>
      <c r="H39" s="49">
        <f>MAX(G39*IF(S39="",1,S39),'REV. PAREDE'!$K$8)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60">
        <f>'REV. PAREDE'!$J$7</f>
        <v/>
      </c>
      <c r="M39" s="49">
        <f>L39-K39</f>
        <v/>
      </c>
      <c r="N39" s="51">
        <f>IF(D39="","",IF('REV. PAREDE'!$K$8&gt;'REV. PAREDE'!$K$6+0.01,"⚠ Incorrido acima da meta em INCC",IF(AND('REV. PAREDE'!$K$18&gt;1,'REV. PAREDE'!$K$17=0),"⚠ Saldo sem curva (preencha a coluna H da aba)",IF(ABS('REV. PAREDE'!$D$80)&gt;0.01,"⚠ Verificar","OK"))))</f>
        <v/>
      </c>
      <c r="O39" s="61">
        <f>'REV. PAREDE'!$K$16</f>
        <v/>
      </c>
      <c r="P39" s="62">
        <f>'REV. PAREDE'!$K$14</f>
        <v/>
      </c>
      <c r="Q39" s="59" t="inlineStr">
        <is>
          <t>30</t>
        </is>
      </c>
      <c r="R39" s="59" t="n"/>
      <c r="S39" s="63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53" t="n">
        <v>14910.134644</v>
      </c>
      <c r="H40" s="49">
        <f>MAX(G40*IF(S40="",1,S40),'REV. ACAB'!$K$8)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60">
        <f>'REV. ACAB'!$J$7</f>
        <v/>
      </c>
      <c r="M40" s="49">
        <f>L40-K40</f>
        <v/>
      </c>
      <c r="N40" s="51">
        <f>IF(D40="","",IF('REV. ACAB'!$K$8&gt;'REV. ACAB'!$K$6+0.01,"⚠ Incorrido acima da meta em INCC",IF(AND('REV. ACAB'!$K$18&gt;1,'REV. ACAB'!$K$17=0),"⚠ Saldo sem curva (preencha a coluna H da aba)",IF(ABS('REV. ACAB'!$D$80)&gt;0.01,"⚠ Verificar","OK"))))</f>
        <v/>
      </c>
      <c r="O40" s="61">
        <f>'REV. ACAB'!$K$16</f>
        <v/>
      </c>
      <c r="P40" s="62">
        <f>'REV. ACAB'!$K$14</f>
        <v/>
      </c>
      <c r="Q40" s="59" t="inlineStr">
        <is>
          <t>31</t>
        </is>
      </c>
      <c r="R40" s="59" t="n"/>
      <c r="S40" s="63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53" t="n">
        <v>165.638059</v>
      </c>
      <c r="H41" s="49">
        <f>MAX(G41*IF(S41="",1,S41),'EST. METÁLICA'!$K$8)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60">
        <f>'EST. METÁLICA'!$J$7</f>
        <v/>
      </c>
      <c r="M41" s="49">
        <f>L41-K41</f>
        <v/>
      </c>
      <c r="N41" s="51">
        <f>IF(D41="","",IF('EST. METÁLICA'!$K$8&gt;'EST. METÁLICA'!$K$6+0.01,"⚠ Incorrido acima da meta em INCC",IF(AND('EST. METÁLICA'!$K$18&gt;1,'EST. METÁLICA'!$K$17=0),"⚠ Saldo sem curva (preencha a coluna H da aba)",IF(ABS('EST. METÁLICA'!$D$80)&gt;0.01,"⚠ Verificar","OK"))))</f>
        <v/>
      </c>
      <c r="O41" s="61">
        <f>'EST. METÁLICA'!$K$16</f>
        <v/>
      </c>
      <c r="P41" s="62">
        <f>'EST. METÁLICA'!$K$14</f>
        <v/>
      </c>
      <c r="Q41" s="59" t="inlineStr">
        <is>
          <t>18</t>
        </is>
      </c>
      <c r="R41" s="59" t="n"/>
      <c r="S41" s="63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53" t="n">
        <v>6283.968554</v>
      </c>
      <c r="H42" s="49">
        <f>MAX(G42*IF(S42="",1,S42),'REV. FACHADA'!$K$8)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60">
        <f>'REV. FACHADA'!$J$7</f>
        <v/>
      </c>
      <c r="M42" s="49">
        <f>L42-K42</f>
        <v/>
      </c>
      <c r="N42" s="51">
        <f>IF(D42="","",IF('REV. FACHADA'!$K$8&gt;'REV. FACHADA'!$K$6+0.01,"⚠ Incorrido acima da meta em INCC",IF(AND('REV. FACHADA'!$K$18&gt;1,'REV. FACHADA'!$K$17=0),"⚠ Saldo sem curva (preencha a coluna H da aba)",IF(ABS('REV. FACHADA'!$D$80)&gt;0.01,"⚠ Verificar","OK"))))</f>
        <v/>
      </c>
      <c r="O42" s="61">
        <f>'REV. FACHADA'!$K$16</f>
        <v/>
      </c>
      <c r="P42" s="62">
        <f>'REV. FACHADA'!$K$14</f>
        <v/>
      </c>
      <c r="Q42" s="59" t="inlineStr">
        <is>
          <t>32</t>
        </is>
      </c>
      <c r="R42" s="59" t="n"/>
      <c r="S42" s="63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53" t="n">
        <v>1717.765235</v>
      </c>
      <c r="H43" s="49">
        <f>MAX(G43*IF(S43="",1,S43),'FORRO'!$K$8)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60">
        <f>'FORRO'!$J$7</f>
        <v/>
      </c>
      <c r="M43" s="49">
        <f>L43-K43</f>
        <v/>
      </c>
      <c r="N43" s="51">
        <f>IF(D43="","",IF('FORRO'!$K$8&gt;'FORRO'!$K$6+0.01,"⚠ Incorrido acima da meta em INCC",IF(AND('FORRO'!$K$18&gt;1,'FORRO'!$K$17=0),"⚠ Saldo sem curva (preencha a coluna H da aba)",IF(ABS('FORRO'!$D$80)&gt;0.01,"⚠ Verificar","OK"))))</f>
        <v/>
      </c>
      <c r="O43" s="61">
        <f>'FORRO'!$K$16</f>
        <v/>
      </c>
      <c r="P43" s="62">
        <f>'FORRO'!$K$14</f>
        <v/>
      </c>
      <c r="Q43" s="59" t="inlineStr">
        <is>
          <t>33</t>
        </is>
      </c>
      <c r="R43" s="59" t="n"/>
      <c r="S43" s="63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53" t="n">
        <v>959.867899</v>
      </c>
      <c r="H44" s="49">
        <f>MAX(G44*IF(S44="",1,S44),'LOUÇAS'!$K$8)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60">
        <f>'LOUÇAS'!$J$7</f>
        <v/>
      </c>
      <c r="M44" s="49">
        <f>L44-K44</f>
        <v/>
      </c>
      <c r="N44" s="51">
        <f>IF(D44="","",IF('LOUÇAS'!$K$8&gt;'LOUÇAS'!$K$6+0.01,"⚠ Incorrido acima da meta em INCC",IF(AND('LOUÇAS'!$K$18&gt;1,'LOUÇAS'!$K$17=0),"⚠ Saldo sem curva (preencha a coluna H da aba)",IF(ABS('LOUÇAS'!$D$80)&gt;0.01,"⚠ Verificar","OK"))))</f>
        <v/>
      </c>
      <c r="O44" s="61">
        <f>'LOUÇAS'!$K$16</f>
        <v/>
      </c>
      <c r="P44" s="62">
        <f>'LOUÇAS'!$K$14</f>
        <v/>
      </c>
      <c r="Q44" s="59" t="inlineStr">
        <is>
          <t>34</t>
        </is>
      </c>
      <c r="R44" s="59" t="n"/>
      <c r="S44" s="63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53" t="n">
        <v>1859.209137</v>
      </c>
      <c r="H45" s="49">
        <f>MAX(G45*IF(S45="",1,S45),'PINTURA'!$K$8)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60">
        <f>'PINTURA'!$J$7</f>
        <v/>
      </c>
      <c r="M45" s="49">
        <f>L45-K45</f>
        <v/>
      </c>
      <c r="N45" s="51">
        <f>IF(D45="","",IF('PINTURA'!$K$8&gt;'PINTURA'!$K$6+0.01,"⚠ Incorrido acima da meta em INCC",IF(AND('PINTURA'!$K$18&gt;1,'PINTURA'!$K$17=0),"⚠ Saldo sem curva (preencha a coluna H da aba)",IF(ABS('PINTURA'!$D$80)&gt;0.01,"⚠ Verificar","OK"))))</f>
        <v/>
      </c>
      <c r="O45" s="61">
        <f>'PINTURA'!$K$16</f>
        <v/>
      </c>
      <c r="P45" s="62">
        <f>'PINTURA'!$K$14</f>
        <v/>
      </c>
      <c r="Q45" s="59" t="inlineStr">
        <is>
          <t>35</t>
        </is>
      </c>
      <c r="R45" s="59" t="n"/>
      <c r="S45" s="63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53" t="n">
        <v>2046.85503</v>
      </c>
      <c r="H46" s="49">
        <f>MAX(G46*IF(S46="",1,S46),'PAISAGISMO'!$K$8)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60">
        <f>'PAISAGISMO'!$J$7</f>
        <v/>
      </c>
      <c r="M46" s="49">
        <f>L46-K46</f>
        <v/>
      </c>
      <c r="N46" s="51">
        <f>IF(D46="","",IF('PAISAGISMO'!$K$8&gt;'PAISAGISMO'!$K$6+0.01,"⚠ Incorrido acima da meta em INCC",IF(AND('PAISAGISMO'!$K$18&gt;1,'PAISAGISMO'!$K$17=0),"⚠ Saldo sem curva (preencha a coluna H da aba)",IF(ABS('PAISAGISMO'!$D$80)&gt;0.01,"⚠ Verificar","OK"))))</f>
        <v/>
      </c>
      <c r="O46" s="61">
        <f>'PAISAGISMO'!$K$16</f>
        <v/>
      </c>
      <c r="P46" s="62">
        <f>'PAISAGISMO'!$K$14</f>
        <v/>
      </c>
      <c r="Q46" s="59" t="inlineStr">
        <is>
          <t>36</t>
        </is>
      </c>
      <c r="R46" s="59" t="n"/>
      <c r="S46" s="63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53" t="n">
        <v>619.25415</v>
      </c>
      <c r="H47" s="49">
        <f>MAX(G47*IF(S47="",1,S47),'LIMPEZA'!$K$8)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60">
        <f>'LIMPEZA'!$J$7</f>
        <v/>
      </c>
      <c r="M47" s="49">
        <f>L47-K47</f>
        <v/>
      </c>
      <c r="N47" s="51">
        <f>IF(D47="","",IF('LIMPEZA'!$K$8&gt;'LIMPEZA'!$K$6+0.01,"⚠ Incorrido acima da meta em INCC",IF(AND('LIMPEZA'!$K$18&gt;1,'LIMPEZA'!$K$17=0),"⚠ Saldo sem curva (preencha a coluna H da aba)",IF(ABS('LIMPEZA'!$D$80)&gt;0.01,"⚠ Verificar","OK"))))</f>
        <v/>
      </c>
      <c r="O47" s="61">
        <f>'LIMPEZA'!$K$16</f>
        <v/>
      </c>
      <c r="P47" s="62">
        <f>'LIMPEZA'!$K$14</f>
        <v/>
      </c>
      <c r="Q47" s="59" t="inlineStr">
        <is>
          <t>37</t>
        </is>
      </c>
      <c r="R47" s="59" t="n"/>
      <c r="S47" s="63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53" t="n">
        <v>1748</v>
      </c>
      <c r="H48" s="60">
        <f>'TAX. ADM'!$K$8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0">
        <f>'TAX. ADM'!$J$7</f>
        <v/>
      </c>
      <c r="M48" s="49">
        <f>L48-K48</f>
        <v/>
      </c>
      <c r="N48" s="51">
        <f>IF(D48="","",IF('TAX. ADM'!$K$8&gt;'TAX. ADM'!$K$6+0.01,"⚠ Incorrido acima da meta em INCC",IF(AND('TAX. ADM'!$K$18&gt;1,'TAX. ADM'!$K$17=0),"⚠ Saldo sem curva (preencha a coluna H da aba)",IF(ABS('TAX. ADM'!$D$80)&gt;0.01,"⚠ Verificar","OK"))))</f>
        <v/>
      </c>
      <c r="O48" s="61">
        <f>'TAX. ADM'!$K$16</f>
        <v/>
      </c>
      <c r="P48" s="62">
        <f>'TAX. ADM'!$K$14</f>
        <v/>
      </c>
      <c r="Q48" s="59" t="inlineStr">
        <is>
          <t>00</t>
        </is>
      </c>
      <c r="R48" s="59" t="n"/>
      <c r="S48" s="63" t="n"/>
    </row>
    <row r="49">
      <c r="D49" s="46" t="inlineStr">
        <is>
          <t>TOTAIS (sem taxa de adm.)</t>
        </is>
      </c>
      <c r="E49" s="64">
        <f>SUM(E11:E47)</f>
        <v/>
      </c>
      <c r="F49" s="65">
        <f>SUM(F11:F47)</f>
        <v/>
      </c>
      <c r="G49" s="65">
        <f>SUM(G11:G47)</f>
        <v/>
      </c>
      <c r="H49" s="65">
        <f>SUM(H11:H47)</f>
        <v/>
      </c>
      <c r="K49" s="65">
        <f>SUM(K11:K47)</f>
        <v/>
      </c>
      <c r="L49" s="65">
        <f>SUM(L11:L47)</f>
        <v/>
      </c>
      <c r="M49" s="65">
        <f>SUM(M11:M47)</f>
        <v/>
      </c>
    </row>
    <row r="50">
      <c r="D50" s="46" t="inlineStr">
        <is>
          <t>TOTAL COM TAXA DE ADMINISTRAÇÃO</t>
        </is>
      </c>
      <c r="E50" s="64">
        <f>SUM(E11:E48)</f>
        <v/>
      </c>
      <c r="F50" s="65">
        <f>SUM(F11:F48)</f>
        <v/>
      </c>
      <c r="G50" s="65">
        <f>SUM(G11:G48)</f>
        <v/>
      </c>
      <c r="H50" s="65">
        <f>SUM(H11:H48)</f>
        <v/>
      </c>
      <c r="K50" s="65">
        <f>SUM(K11:K48)</f>
        <v/>
      </c>
      <c r="L50" s="65">
        <f>SUM(L11:L48)</f>
        <v/>
      </c>
      <c r="M50" s="65">
        <f>SUM(M11:M48)</f>
        <v/>
      </c>
    </row>
    <row r="53">
      <c r="D53" s="66" t="inlineStr">
        <is>
          <t>CONFERÊNCIA GERAL</t>
        </is>
      </c>
      <c r="E53" s="66" t="inlineStr">
        <is>
          <t>RESULTADO</t>
        </is>
      </c>
      <c r="F53" s="66" t="inlineStr">
        <is>
          <t>STATUS</t>
        </is>
      </c>
      <c r="G53" s="67" t="n"/>
      <c r="H53" s="68" t="n"/>
    </row>
    <row r="54">
      <c r="D54" s="51" t="inlineStr">
        <is>
          <t>Disciplinas com pendência (coluna N)</t>
        </is>
      </c>
      <c r="E54" s="69">
        <f>COUNTIF(N11:N48,"⚠*")</f>
        <v/>
      </c>
      <c r="F54" s="51">
        <f>IF(E54=0,"OK","⚠ Veja a coluna N")</f>
        <v/>
      </c>
      <c r="G54" s="67" t="n"/>
      <c r="H54" s="68" t="n"/>
    </row>
    <row r="55">
      <c r="D55" s="51" t="inlineStr">
        <is>
          <t>Grupos do ERP sem correspondência</t>
        </is>
      </c>
      <c r="E55" s="70">
        <f>'DADOS HISTORICOS'!C2</f>
        <v/>
      </c>
      <c r="F55" s="51">
        <f>IF(E55=0,"OK","⚠ Veja nomes em vermelho em DADOS BRUTOS")</f>
        <v/>
      </c>
      <c r="G55" s="67" t="n"/>
      <c r="H55" s="68" t="n"/>
    </row>
    <row r="56">
      <c r="D56" s="51" t="inlineStr">
        <is>
          <t>Valores do ERP fora do horizonte (R$)</t>
        </is>
      </c>
      <c r="E56" s="71">
        <f>'DADOS HISTORICOS'!BX44</f>
        <v/>
      </c>
      <c r="F56" s="51">
        <f>IF(ABS(E56)&lt;1,"OK","⚠ Aumente o horizonte ou revise datas")</f>
        <v/>
      </c>
      <c r="G56" s="67" t="n"/>
      <c r="H56" s="68" t="n"/>
    </row>
    <row r="57">
      <c r="D57" s="51" t="inlineStr">
        <is>
          <t>INCC do mês de corte</t>
        </is>
      </c>
      <c r="E57" s="72">
        <f>IF(ISNUMBER(P7),P7,0)</f>
        <v/>
      </c>
      <c r="F57" s="51">
        <f>IF(COUNTIF('"INCC-FGV"'!$A$2:$A$800,P5)&gt;0,"OK",IF(E57&gt;0,"⚠ INCC do mês de corte não cadastrado: usando o último índice disponível","⚠ Inclua o índice na aba INCC-FGV"))</f>
        <v/>
      </c>
      <c r="G57" s="67" t="n"/>
      <c r="H57" s="68" t="n"/>
    </row>
    <row r="58">
      <c r="D58" s="51" t="inlineStr">
        <is>
          <t>Meses realizados sem INCC</t>
        </is>
      </c>
      <c r="E58" s="70">
        <f>SUMPRODUCT(('MODELO PARA BI'!$H$1:$CA$1&lt;=P5)*(COUNTIF('"INCC-FGV"'!$A$2:$A$800,'MODELO PARA BI'!$H$1:$CA$1)=0))+SUMPRODUCT(('DADOS HISTORICOS'!$CB$1:$JS$1=0)*('DADOS HISTORICOS'!$CB$4:$JS$4&lt;&gt;"")*('DADOS HISTORICOS'!$CB$4:$JS$4&lt;=P5)*(ABS('DADOS HISTORICOS'!$CB$44:$JS$44)&gt;0.5))</f>
        <v/>
      </c>
      <c r="F58" s="51">
        <f>IF(E58=0,"OK","⚠ Complete a aba INCC-FGV (há mês com desembolso sem índice)")</f>
        <v/>
      </c>
      <c r="G58" s="67" t="n"/>
      <c r="H58" s="68" t="n"/>
    </row>
    <row r="59">
      <c r="D59" s="51" t="inlineStr">
        <is>
          <t>Fluxo total − meta total (INCC)</t>
        </is>
      </c>
      <c r="E59" s="56">
        <f>'MODELO PARA BI'!E63-'MODELO PARA BI'!E59-'MODELO PARA BI'!E58-H50</f>
        <v/>
      </c>
      <c r="F59" s="51">
        <f>IF(H50=0,"⚠ Preencha o orçamento (coluna F)",IF(ABS(E59)&lt;0.01,"OK","⚠ Distribuição em INCC diferente da meta"))</f>
        <v/>
      </c>
      <c r="G59" s="67" t="n"/>
      <c r="H59" s="68" t="n"/>
    </row>
    <row r="62" ht="30" customHeight="1">
      <c r="D62" s="66" t="inlineStr">
        <is>
          <t>CONCILIAÇÃO COM A MEDIÇÃO FINANCEIRA (incorrido até o corte)</t>
        </is>
      </c>
      <c r="E62" s="58" t="inlineStr">
        <is>
          <t>INFORMADO
(medição)</t>
        </is>
      </c>
      <c r="F62" s="58" t="inlineStr">
        <is>
          <t>ERP
(ferramenta)</t>
        </is>
      </c>
      <c r="G62" s="58" t="inlineStr">
        <is>
          <t>AJUSTE
(informado − ERP)</t>
        </is>
      </c>
    </row>
    <row r="63">
      <c r="D63" s="51" t="inlineStr">
        <is>
          <t>Incorrido (R$)</t>
        </is>
      </c>
      <c r="E63" s="73" t="n">
        <v>42586104.68</v>
      </c>
      <c r="F63" s="60">
        <f>SUMPRODUCT(('PROJETO'!$B$5:$B$76&lt;=$P$5)*'PROJETO'!$C$5:$C$76)+SUMPRODUCT(('SEGUROS'!$B$5:$B$76&lt;=$P$5)*'SEGUROS'!$C$5:$C$76)+SUMPRODUCT(('TAX. DIVERSAS'!$B$5:$B$76&lt;=$P$5)*'TAX. DIVERSAS'!$C$5:$C$76)+SUMPRODUCT(('BARRACÃO DE OBRA'!$B$5:$B$76&lt;=$P$5)*'BARRACÃO DE OBRA'!$C$5:$C$76)+SUMPRODUCT(('LIG. PROVISÓRIAS'!$B$5:$B$76&lt;=$P$5)*'LIG. PROVISÓRIAS'!$C$5:$C$76)+SUMPRODUCT(('CONSUMOS'!$B$5:$B$76&lt;=$P$5)*'CONSUMOS'!$C$5:$C$76)+SUMPRODUCT(('DIVERSOS'!$B$5:$B$76&lt;=$P$5)*'DIVERSOS'!$C$5:$C$76)+SUMPRODUCT(('TRANSPORTES'!$B$5:$B$76&lt;=$P$5)*'TRANSPORTES'!$C$5:$C$76)+SUMPRODUCT(('CONSULTORIAS'!$B$5:$B$76&lt;=$P$5)*'CONSULTORIAS'!$C$5:$C$76)+SUMPRODUCT(('MDO'!$B$5:$B$76&lt;=$P$5)*'MDO'!$C$5:$C$76)+SUMPRODUCT(('EQUIP E FER'!$B$5:$B$76&lt;=$P$5)*'EQUIP E FER'!$C$5:$C$76)+SUMPRODUCT(('SERV. INICIAIS'!$B$5:$B$76&lt;=$P$5)*'SERV. INICIAIS'!$C$5:$C$76)+SUMPRODUCT(('CONTENÇÃO'!$B$5:$B$76&lt;=$P$5)*'CONTENÇÃO'!$C$5:$C$76)+SUMPRODUCT(('TERRAPLENAGEM'!$B$5:$B$76&lt;=$P$5)*'TERRAPLENAGEM'!$C$5:$C$76)+SUMPRODUCT(('FUND. PROF'!$B$5:$B$76&lt;=$P$5)*'FUND. PROF'!$C$5:$C$76)+SUMPRODUCT(('FUND. SUP'!$B$5:$B$76&lt;=$P$5)*'FUND. SUP'!$C$5:$C$76)+SUMPRODUCT(('ESTRUTURA'!$B$5:$B$76&lt;=$P$5)*'ESTRUTURA'!$C$5:$C$76)+SUMPRODUCT(('ALVENARIA'!$B$5:$B$76&lt;=$P$5)*'ALVENARIA'!$C$5:$C$76)+SUMPRODUCT(('IMPERMEABILIZAÇÃO'!$B$5:$B$76&lt;=$P$5)*'IMPERMEABILIZAÇÃO'!$C$5:$C$76)+SUMPRODUCT(('INST. ELÉTRICA'!$B$5:$B$76&lt;=$P$5)*'INST. ELÉTRICA'!$C$5:$C$76)+SUMPRODUCT(('INST. HIDRO'!$B$5:$B$76&lt;=$P$5)*'INST. HIDRO'!$C$5:$C$76)+SUMPRODUCT(('INST. INC'!$B$5:$B$76&lt;=$P$5)*'INST. INC'!$C$5:$C$76)+SUMPRODUCT(('INST. ESP'!$B$5:$B$76&lt;=$P$5)*'INST. ESP'!$C$5:$C$76)+SUMPRODUCT(('ELEVADORES '!$B$5:$B$76&lt;=$P$5)*'ELEVADORES '!$C$5:$C$76)+SUMPRODUCT(('ESQUADRIAS'!$B$5:$B$76&lt;=$P$5)*'ESQUADRIAS'!$C$5:$C$76)+SUMPRODUCT(('SERRALHERIA'!$B$5:$B$76&lt;=$P$5)*'SERRALHERIA'!$C$5:$C$76)+SUMPRODUCT(('MARCENARIA'!$B$5:$B$76&lt;=$P$5)*'MARCENARIA'!$C$5:$C$76)+SUMPRODUCT(('REV. PISOS'!$B$5:$B$76&lt;=$P$5)*'REV. PISOS'!$C$5:$C$76)+SUMPRODUCT(('REV. PAREDE'!$B$5:$B$76&lt;=$P$5)*'REV. PAREDE'!$C$5:$C$76)+SUMPRODUCT(('REV. ACAB'!$B$5:$B$76&lt;=$P$5)*'REV. ACAB'!$C$5:$C$76)+SUMPRODUCT(('EST. METÁLICA'!$B$5:$B$76&lt;=$P$5)*'EST. METÁLICA'!$C$5:$C$76)+SUMPRODUCT(('REV. FACHADA'!$B$5:$B$76&lt;=$P$5)*'REV. FACHADA'!$C$5:$C$76)+SUMPRODUCT(('FORRO'!$B$5:$B$76&lt;=$P$5)*'FORRO'!$C$5:$C$76)+SUMPRODUCT(('LOUÇAS'!$B$5:$B$76&lt;=$P$5)*'LOUÇAS'!$C$5:$C$76)+SUMPRODUCT(('PINTURA'!$B$5:$B$76&lt;=$P$5)*'PINTURA'!$C$5:$C$76)+SUMPRODUCT(('PAISAGISMO'!$B$5:$B$76&lt;=$P$5)*'PAISAGISMO'!$C$5:$C$76)+SUMPRODUCT(('LIMPEZA'!$B$5:$B$76&lt;=$P$5)*'LIMPEZA'!$C$5:$C$76)+SUMPRODUCT(('TAX. ADM'!$B$5:$B$76&lt;=$P$5)*'TAX. ADM'!$C$5:$C$76)</f>
        <v/>
      </c>
      <c r="G63" s="74">
        <f>E63-F63</f>
        <v/>
      </c>
    </row>
    <row r="64">
      <c r="D64" s="51" t="inlineStr">
        <is>
          <t>Incorrido (INCC)</t>
        </is>
      </c>
      <c r="E64" s="75" t="n">
        <v>35062</v>
      </c>
      <c r="F64" s="56">
        <f>SUMPRODUCT(('PROJETO'!$B$5:$B$76&lt;=$P$5)*'PROJETO'!$L$5:$L$76)+SUMPRODUCT(('SEGUROS'!$B$5:$B$76&lt;=$P$5)*'SEGUROS'!$L$5:$L$76)+SUMPRODUCT(('TAX. DIVERSAS'!$B$5:$B$76&lt;=$P$5)*'TAX. DIVERSAS'!$L$5:$L$76)+SUMPRODUCT(('BARRACÃO DE OBRA'!$B$5:$B$76&lt;=$P$5)*'BARRACÃO DE OBRA'!$L$5:$L$76)+SUMPRODUCT(('LIG. PROVISÓRIAS'!$B$5:$B$76&lt;=$P$5)*'LIG. PROVISÓRIAS'!$L$5:$L$76)+SUMPRODUCT(('CONSUMOS'!$B$5:$B$76&lt;=$P$5)*'CONSUMOS'!$L$5:$L$76)+SUMPRODUCT(('DIVERSOS'!$B$5:$B$76&lt;=$P$5)*'DIVERSOS'!$L$5:$L$76)+SUMPRODUCT(('TRANSPORTES'!$B$5:$B$76&lt;=$P$5)*'TRANSPORTES'!$L$5:$L$76)+SUMPRODUCT(('CONSULTORIAS'!$B$5:$B$76&lt;=$P$5)*'CONSULTORIAS'!$L$5:$L$76)+SUMPRODUCT(('MDO'!$B$5:$B$76&lt;=$P$5)*'MDO'!$L$5:$L$76)+SUMPRODUCT(('EQUIP E FER'!$B$5:$B$76&lt;=$P$5)*'EQUIP E FER'!$L$5:$L$76)+SUMPRODUCT(('SERV. INICIAIS'!$B$5:$B$76&lt;=$P$5)*'SERV. INICIAIS'!$L$5:$L$76)+SUMPRODUCT(('CONTENÇÃO'!$B$5:$B$76&lt;=$P$5)*'CONTENÇÃO'!$L$5:$L$76)+SUMPRODUCT(('TERRAPLENAGEM'!$B$5:$B$76&lt;=$P$5)*'TERRAPLENAGEM'!$L$5:$L$76)+SUMPRODUCT(('FUND. PROF'!$B$5:$B$76&lt;=$P$5)*'FUND. PROF'!$L$5:$L$76)+SUMPRODUCT(('FUND. SUP'!$B$5:$B$76&lt;=$P$5)*'FUND. SUP'!$L$5:$L$76)+SUMPRODUCT(('ESTRUTURA'!$B$5:$B$76&lt;=$P$5)*'ESTRUTURA'!$L$5:$L$76)+SUMPRODUCT(('ALVENARIA'!$B$5:$B$76&lt;=$P$5)*'ALVENARIA'!$L$5:$L$76)+SUMPRODUCT(('IMPERMEABILIZAÇÃO'!$B$5:$B$76&lt;=$P$5)*'IMPERMEABILIZAÇÃO'!$L$5:$L$76)+SUMPRODUCT(('INST. ELÉTRICA'!$B$5:$B$76&lt;=$P$5)*'INST. ELÉTRICA'!$L$5:$L$76)+SUMPRODUCT(('INST. HIDRO'!$B$5:$B$76&lt;=$P$5)*'INST. HIDRO'!$L$5:$L$76)+SUMPRODUCT(('INST. INC'!$B$5:$B$76&lt;=$P$5)*'INST. INC'!$L$5:$L$76)+SUMPRODUCT(('INST. ESP'!$B$5:$B$76&lt;=$P$5)*'INST. ESP'!$L$5:$L$76)+SUMPRODUCT(('ELEVADORES '!$B$5:$B$76&lt;=$P$5)*'ELEVADORES '!$L$5:$L$76)+SUMPRODUCT(('ESQUADRIAS'!$B$5:$B$76&lt;=$P$5)*'ESQUADRIAS'!$L$5:$L$76)+SUMPRODUCT(('SERRALHERIA'!$B$5:$B$76&lt;=$P$5)*'SERRALHERIA'!$L$5:$L$76)+SUMPRODUCT(('MARCENARIA'!$B$5:$B$76&lt;=$P$5)*'MARCENARIA'!$L$5:$L$76)+SUMPRODUCT(('REV. PISOS'!$B$5:$B$76&lt;=$P$5)*'REV. PISOS'!$L$5:$L$76)+SUMPRODUCT(('REV. PAREDE'!$B$5:$B$76&lt;=$P$5)*'REV. PAREDE'!$L$5:$L$76)+SUMPRODUCT(('REV. ACAB'!$B$5:$B$76&lt;=$P$5)*'REV. ACAB'!$L$5:$L$76)+SUMPRODUCT(('EST. METÁLICA'!$B$5:$B$76&lt;=$P$5)*'EST. METÁLICA'!$L$5:$L$76)+SUMPRODUCT(('REV. FACHADA'!$B$5:$B$76&lt;=$P$5)*'REV. FACHADA'!$L$5:$L$76)+SUMPRODUCT(('FORRO'!$B$5:$B$76&lt;=$P$5)*'FORRO'!$L$5:$L$76)+SUMPRODUCT(('LOUÇAS'!$B$5:$B$76&lt;=$P$5)*'LOUÇAS'!$L$5:$L$76)+SUMPRODUCT(('PINTURA'!$B$5:$B$76&lt;=$P$5)*'PINTURA'!$L$5:$L$76)+SUMPRODUCT(('PAISAGISMO'!$B$5:$B$76&lt;=$P$5)*'PAISAGISMO'!$L$5:$L$76)+SUMPRODUCT(('LIMPEZA'!$B$5:$B$76&lt;=$P$5)*'LIMPEZA'!$L$5:$L$76)+SUMPRODUCT(('TAX. ADM'!$B$5:$B$76&lt;=$P$5)*'TAX. ADM'!$L$5:$L$76)</f>
        <v/>
      </c>
      <c r="G64" s="76">
        <f>E64-F64</f>
        <v/>
      </c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7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8" t="inlineStr">
        <is>
          <t>ANO DO RETRATO →</t>
        </is>
      </c>
      <c r="D5" s="79" t="n">
        <v>2027</v>
      </c>
      <c r="E5" s="78" t="inlineStr">
        <is>
          <t>INCC →</t>
        </is>
      </c>
      <c r="F5" s="80">
        <f>'VALOR POR PL'!$P$5</f>
        <v/>
      </c>
      <c r="G5" s="56">
        <f>IFERROR(INDEX('"INCC-FGV"'!$B$2:$B$800,MATCH(DATE(YEAR(F5),MONTH(F5),1),'"INCC-FGV"'!$A$2:$A$800,0)),IFERROR(INDEX('"INCC-FGV"'!$B$2:$B$800,MATCH(DATE(YEAR(F5),MONTH(F5),1),'"INCC-FGV"'!$A$2:$A$800,1)),"FALTA INCC"))</f>
        <v/>
      </c>
      <c r="J5" s="78" t="inlineStr">
        <is>
          <t>SITUAÇÃO EM →</t>
        </is>
      </c>
      <c r="K5" s="81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82">
        <f>F53</f>
        <v/>
      </c>
      <c r="D8" s="83">
        <f>G53</f>
        <v/>
      </c>
      <c r="F8" s="82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84">
        <f t="array" ref="K8">INDEX(C12:C50,MATCH(MAX(IF(LEN(B12:B50)=2,F12:F50)),IF(LEN(B12:B50)=2,F12:F50),0))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 t="array" ref="K9">"R$ "&amp;TEXT(MAX(IF(LEN(B12:B50)=2,F12:F50))/1000000,"0.0")&amp;" mi no ano"</f>
        <v/>
      </c>
    </row>
    <row r="11" ht="44" customHeight="1">
      <c r="B11" s="85" t="inlineStr">
        <is>
          <t>Cód.</t>
        </is>
      </c>
      <c r="C11" s="85" t="inlineStr">
        <is>
          <t>PL / serviço</t>
        </is>
      </c>
      <c r="D11" s="86" t="inlineStr">
        <is>
          <t>Execução física
fim do ano
(Prevision)</t>
        </is>
      </c>
      <c r="E11" s="86" t="inlineStr">
        <is>
          <t>Execução física
no corte
(Prevision)</t>
        </is>
      </c>
      <c r="F11" s="86" t="inlineStr">
        <is>
          <t>Desembolso
no ano
R$ nominal</t>
        </is>
      </c>
      <c r="G11" s="86" t="inlineStr">
        <is>
          <t>Desembolso
no ano
INCC</t>
        </is>
      </c>
      <c r="H11" s="86" t="inlineStr">
        <is>
          <t>Desembolso no ano
R$ do INCC
selecionado</t>
        </is>
      </c>
      <c r="I11" s="86" t="inlineStr">
        <is>
          <t>% do
ano</t>
        </is>
      </c>
      <c r="J11" s="86" t="inlineStr">
        <is>
          <t>Avanço
financeiro
fim do ano</t>
        </is>
      </c>
      <c r="K11" s="85">
        <f>"Situação em 31/12/"&amp;D5&amp;" (cronograma de atividades do Prevision)"</f>
        <v/>
      </c>
      <c r="L11" s="85" t="inlineStr">
        <is>
          <t>Anotação do modelo anterior / justificativa</t>
        </is>
      </c>
    </row>
    <row r="12" ht="16.2" customHeight="1">
      <c r="B12" s="87">
        <f>'VALOR POR PL'!C11</f>
        <v/>
      </c>
      <c r="C12" s="88">
        <f>'VALOR POR PL'!D11</f>
        <v/>
      </c>
      <c r="D12" s="89">
        <f>IF(OR('VALOR POR PL'!I11&lt;&gt;"DIRETO",'CP RESUMO'!$C$5=""),"",IFERROR(INDEX('CP RESUMO'!$D$5:$BW$5,MATCH(DATE($D$5,12,1),'CP RESUMO'!$D$4:$BW$4,0))/100,""))</f>
        <v/>
      </c>
      <c r="E12" s="90">
        <f>IF('VALOR POR PL'!I11&lt;&gt;"DIRETO","",'PROJETO'!$K$14)</f>
        <v/>
      </c>
      <c r="F12" s="91">
        <f>SUMPRODUCT((YEAR('PROJETO'!$B$5:$B$76)=$D$5)*('PROJETO'!$C$5:$C$76+'PROJETO'!$D$5:$D$76))</f>
        <v/>
      </c>
      <c r="G12" s="91">
        <f>SUMPRODUCT((YEAR('MODELO PARA BI'!$H$1:$CA$1)=$D$5)*'MODELO PARA BI'!$H$34:$CA$34)</f>
        <v/>
      </c>
      <c r="H12" s="91">
        <f>IF(ISNUMBER($G$5),G12*$G$5,0)</f>
        <v/>
      </c>
      <c r="I12" s="89">
        <f>IF($F$53=0,0,F12/$F$53)</f>
        <v/>
      </c>
      <c r="J12" s="89">
        <f>IF('VALOR POR PL'!L11=0,0,SUMPRODUCT(('PROJETO'!$B$5:$B$76&lt;=DATE($D$5,12,1))*('PROJETO'!$C$5:$C$76+'PROJETO'!$D$5:$D$76))/'VALOR POR PL'!L11)</f>
        <v/>
      </c>
      <c r="K12" s="92">
        <f t="array" ref="K12">IF(COUNTIF('CRONOGRAMA ATIVIDADES'!$M$5:$M$6004,B12)=0,"",IF(COUNTIFS('CRONOGRAMA ATIVIDADES'!$M$5:$M$6004,B12,'CRONOGRAMA ATIVIDADES'!$O$5:$O$6004,"CONCLUÍDA")=COUNTIF('CRONOGRAMA ATIVIDADES'!$M$5:$M$6004,B12),"Concluído (todas as "&amp;COUNTIF('CRONOGRAMA ATIVIDADES'!$M$5:$M$6004,B12)&amp;" atividades)",IF(COUNTIFS('CRONOGRAMA ATIVIDADES'!$M$5:$M$6004,B12,'CRONOGRAMA ATIVIDADES'!$O$5:$O$6004,"A INICIAR")=COUNTIF('CRONOGRAMA ATIVIDADES'!$M$5:$M$6004,B12),"Não iniciado · início previsto em "&amp;CHOOSE(MONTH(_xlfn.MINIFS('CRONOGRAMA ATIVIDADES'!$F$5:$F$6004,'CRONOGRAMA ATIVIDADES'!$M$5:$M$6004,B12)),"jan","fev","mar","abr","mai","jun","jul","ago","set","out","nov","dez")&amp;"/"&amp;YEAR(_xlfn.MINIFS('CRONOGRAMA ATIVIDADES'!$F$5:$F$6004,'CRONOGRAMA ATIVIDADES'!$M$5:$M$6004,B12)),_xlfn.TEXTJOIN(" / ",TRUE,IF(('CRONOGRAMA ATIVIDADES'!$S$5:$S$304=B12)*('CRONOGRAMA ATIVIDADES'!$AA$5:$AA$304&lt;&gt;""),'CRONOGRAMA ATIVIDADES'!$AA$5:$AA$304,"")))))</f>
        <v/>
      </c>
      <c r="L12" s="93" t="n"/>
      <c r="M12" s="94">
        <f>'VALOR POR PL'!L11</f>
        <v/>
      </c>
      <c r="N12" s="94">
        <f>IF('VALOR POR PL'!I11="DIRETO",'VALOR POR PL'!L11,0)</f>
        <v/>
      </c>
    </row>
    <row r="13" ht="16.2" customHeight="1">
      <c r="B13" s="95">
        <f>'VALOR POR PL'!C12</f>
        <v/>
      </c>
      <c r="C13" s="96">
        <f>'VALOR POR PL'!D12</f>
        <v/>
      </c>
      <c r="D13" s="97">
        <f>IF(OR('VALOR POR PL'!I12&lt;&gt;"DIRETO",'CP RESUMO'!$C$6=""),"",IFERROR(INDEX('CP RESUMO'!$D$6:$BW$6,MATCH(DATE($D$5,12,1),'CP RESUMO'!$D$4:$BW$4,0))/100,""))</f>
        <v/>
      </c>
      <c r="E13" s="98">
        <f>IF('VALOR POR PL'!I12&lt;&gt;"DIRETO","",'SEGUROS'!$K$14)</f>
        <v/>
      </c>
      <c r="F13" s="99">
        <f>SUMPRODUCT((YEAR('SEGUROS'!$B$5:$B$76)=$D$5)*('SEGUROS'!$C$5:$C$76+'SEGUROS'!$D$5:$D$76))</f>
        <v/>
      </c>
      <c r="G13" s="99">
        <f>SUMPRODUCT((YEAR('MODELO PARA BI'!$H$1:$CA$1)=$D$5)*'MODELO PARA BI'!$H$45:$CA$45)</f>
        <v/>
      </c>
      <c r="H13" s="99">
        <f>IF(ISNUMBER($G$5),G13*$G$5,0)</f>
        <v/>
      </c>
      <c r="I13" s="97">
        <f>IF($F$53=0,0,F13/$F$53)</f>
        <v/>
      </c>
      <c r="J13" s="97">
        <f>IF('VALOR POR PL'!L12=0,0,SUMPRODUCT(('SEGUROS'!$B$5:$B$76&lt;=DATE($D$5,12,1))*('SEGUROS'!$C$5:$C$76+'SEGUROS'!$D$5:$D$76))/'VALOR POR PL'!L12)</f>
        <v/>
      </c>
      <c r="K13" s="100">
        <f t="array" ref="K13">IF(COUNTIF('CRONOGRAMA ATIVIDADES'!$M$5:$M$6004,B13)=0,"",IF(COUNTIFS('CRONOGRAMA ATIVIDADES'!$M$5:$M$6004,B13,'CRONOGRAMA ATIVIDADES'!$O$5:$O$6004,"CONCLUÍDA")=COUNTIF('CRONOGRAMA ATIVIDADES'!$M$5:$M$6004,B13),"Concluído (todas as "&amp;COUNTIF('CRONOGRAMA ATIVIDADES'!$M$5:$M$6004,B13)&amp;" atividades)",IF(COUNTIFS('CRONOGRAMA ATIVIDADES'!$M$5:$M$6004,B13,'CRONOGRAMA ATIVIDADES'!$O$5:$O$6004,"A INICIAR")=COUNTIF('CRONOGRAMA ATIVIDADES'!$M$5:$M$6004,B13),"Não iniciado · início previsto em "&amp;CHOOSE(MONTH(_xlfn.MINIFS('CRONOGRAMA ATIVIDADES'!$F$5:$F$6004,'CRONOGRAMA ATIVIDADES'!$M$5:$M$6004,B13)),"jan","fev","mar","abr","mai","jun","jul","ago","set","out","nov","dez")&amp;"/"&amp;YEAR(_xlfn.MINIFS('CRONOGRAMA ATIVIDADES'!$F$5:$F$6004,'CRONOGRAMA ATIVIDADES'!$M$5:$M$6004,B13)),_xlfn.TEXTJOIN(" / ",TRUE,IF(('CRONOGRAMA ATIVIDADES'!$S$5:$S$304=B13)*('CRONOGRAMA ATIVIDADES'!$AA$5:$AA$304&lt;&gt;""),'CRONOGRAMA ATIVIDADES'!$AA$5:$AA$304,"")))))</f>
        <v/>
      </c>
      <c r="L13" s="101" t="n"/>
      <c r="M13" s="94">
        <f>'VALOR POR PL'!L12</f>
        <v/>
      </c>
      <c r="N13" s="94">
        <f>IF('VALOR POR PL'!I12="DIRETO",'VALOR POR PL'!L12,0)</f>
        <v/>
      </c>
    </row>
    <row r="14" ht="16.2" customHeight="1">
      <c r="B14" s="87">
        <f>'VALOR POR PL'!C13</f>
        <v/>
      </c>
      <c r="C14" s="88">
        <f>'VALOR POR PL'!D13</f>
        <v/>
      </c>
      <c r="D14" s="89">
        <f>IF(OR('VALOR POR PL'!I13&lt;&gt;"DIRETO",'CP RESUMO'!$C$7=""),"",IFERROR(INDEX('CP RESUMO'!$D$7:$BW$7,MATCH(DATE($D$5,12,1),'CP RESUMO'!$D$4:$BW$4,0))/100,""))</f>
        <v/>
      </c>
      <c r="E14" s="90">
        <f>IF('VALOR POR PL'!I13&lt;&gt;"DIRETO","",'TAX. DIVERSAS'!$K$14)</f>
        <v/>
      </c>
      <c r="F14" s="91">
        <f>SUMPRODUCT((YEAR('TAX. DIVERSAS'!$B$5:$B$76)=$D$5)*('TAX. DIVERSAS'!$C$5:$C$76+'TAX. DIVERSAS'!$D$5:$D$76))</f>
        <v/>
      </c>
      <c r="G14" s="91">
        <f>SUMPRODUCT((YEAR('MODELO PARA BI'!$H$1:$CA$1)=$D$5)*'MODELO PARA BI'!$H$53:$CA$53)</f>
        <v/>
      </c>
      <c r="H14" s="91">
        <f>IF(ISNUMBER($G$5),G14*$G$5,0)</f>
        <v/>
      </c>
      <c r="I14" s="89">
        <f>IF($F$53=0,0,F14/$F$53)</f>
        <v/>
      </c>
      <c r="J14" s="89">
        <f>IF('VALOR POR PL'!L13=0,0,SUMPRODUCT(('TAX. DIVERSAS'!$B$5:$B$76&lt;=DATE($D$5,12,1))*('TAX. DIVERSAS'!$C$5:$C$76+'TAX. DIVERSAS'!$D$5:$D$76))/'VALOR POR PL'!L13)</f>
        <v/>
      </c>
      <c r="K14" s="92">
        <f t="array" ref="K14">IF(COUNTIF('CRONOGRAMA ATIVIDADES'!$M$5:$M$6004,B14)=0,"",IF(COUNTIFS('CRONOGRAMA ATIVIDADES'!$M$5:$M$6004,B14,'CRONOGRAMA ATIVIDADES'!$O$5:$O$6004,"CONCLUÍDA")=COUNTIF('CRONOGRAMA ATIVIDADES'!$M$5:$M$6004,B14),"Concluído (todas as "&amp;COUNTIF('CRONOGRAMA ATIVIDADES'!$M$5:$M$6004,B14)&amp;" atividades)",IF(COUNTIFS('CRONOGRAMA ATIVIDADES'!$M$5:$M$6004,B14,'CRONOGRAMA ATIVIDADES'!$O$5:$O$6004,"A INICIAR")=COUNTIF('CRONOGRAMA ATIVIDADES'!$M$5:$M$6004,B14),"Não iniciado · início previsto em "&amp;CHOOSE(MONTH(_xlfn.MINIFS('CRONOGRAMA ATIVIDADES'!$F$5:$F$6004,'CRONOGRAMA ATIVIDADES'!$M$5:$M$6004,B14)),"jan","fev","mar","abr","mai","jun","jul","ago","set","out","nov","dez")&amp;"/"&amp;YEAR(_xlfn.MINIFS('CRONOGRAMA ATIVIDADES'!$F$5:$F$6004,'CRONOGRAMA ATIVIDADES'!$M$5:$M$6004,B14)),_xlfn.TEXTJOIN(" / ",TRUE,IF(('CRONOGRAMA ATIVIDADES'!$S$5:$S$304=B14)*('CRONOGRAMA ATIVIDADES'!$AA$5:$AA$304&lt;&gt;""),'CRONOGRAMA ATIVIDADES'!$AA$5:$AA$304,"")))))</f>
        <v/>
      </c>
      <c r="L14" s="93" t="n"/>
      <c r="M14" s="94">
        <f>'VALOR POR PL'!L13</f>
        <v/>
      </c>
      <c r="N14" s="94">
        <f>IF('VALOR POR PL'!I13="DIRETO",'VALOR POR PL'!L13,0)</f>
        <v/>
      </c>
    </row>
    <row r="15" ht="16.2" customHeight="1">
      <c r="B15" s="95">
        <f>'VALOR POR PL'!C14</f>
        <v/>
      </c>
      <c r="C15" s="96">
        <f>'VALOR POR PL'!D14</f>
        <v/>
      </c>
      <c r="D15" s="97">
        <f>IF(OR('VALOR POR PL'!I14&lt;&gt;"DIRETO",'CP RESUMO'!$C$8=""),"",IFERROR(INDEX('CP RESUMO'!$D$8:$BW$8,MATCH(DATE($D$5,12,1),'CP RESUMO'!$D$4:$BW$4,0))/100,""))</f>
        <v/>
      </c>
      <c r="E15" s="98">
        <f>IF('VALOR POR PL'!I14&lt;&gt;"DIRETO","",'BARRACÃO DE OBRA'!$K$14)</f>
        <v/>
      </c>
      <c r="F15" s="99">
        <f>SUMPRODUCT((YEAR('BARRACÃO DE OBRA'!$B$5:$B$76)=$D$5)*('BARRACÃO DE OBRA'!$C$5:$C$76+'BARRACÃO DE OBRA'!$D$5:$D$76))</f>
        <v/>
      </c>
      <c r="G15" s="99">
        <f>SUMPRODUCT((YEAR('MODELO PARA BI'!$H$1:$CA$1)=$D$5)*'MODELO PARA BI'!$H$3:$CA$3)</f>
        <v/>
      </c>
      <c r="H15" s="99">
        <f>IF(ISNUMBER($G$5),G15*$G$5,0)</f>
        <v/>
      </c>
      <c r="I15" s="97">
        <f>IF($F$53=0,0,F15/$F$53)</f>
        <v/>
      </c>
      <c r="J15" s="97">
        <f>IF('VALOR POR PL'!L14=0,0,SUMPRODUCT(('BARRACÃO DE OBRA'!$B$5:$B$76&lt;=DATE($D$5,12,1))*('BARRACÃO DE OBRA'!$C$5:$C$76+'BARRACÃO DE OBRA'!$D$5:$D$76))/'VALOR POR PL'!L14)</f>
        <v/>
      </c>
      <c r="K15" s="100">
        <f t="array" ref="K15">IF(COUNTIF('CRONOGRAMA ATIVIDADES'!$M$5:$M$6004,B15)=0,"",IF(COUNTIFS('CRONOGRAMA ATIVIDADES'!$M$5:$M$6004,B15,'CRONOGRAMA ATIVIDADES'!$O$5:$O$6004,"CONCLUÍDA")=COUNTIF('CRONOGRAMA ATIVIDADES'!$M$5:$M$6004,B15),"Concluído (todas as "&amp;COUNTIF('CRONOGRAMA ATIVIDADES'!$M$5:$M$6004,B15)&amp;" atividades)",IF(COUNTIFS('CRONOGRAMA ATIVIDADES'!$M$5:$M$6004,B15,'CRONOGRAMA ATIVIDADES'!$O$5:$O$6004,"A INICIAR")=COUNTIF('CRONOGRAMA ATIVIDADES'!$M$5:$M$6004,B15),"Não iniciado · início previsto em "&amp;CHOOSE(MONTH(_xlfn.MINIFS('CRONOGRAMA ATIVIDADES'!$F$5:$F$6004,'CRONOGRAMA ATIVIDADES'!$M$5:$M$6004,B15)),"jan","fev","mar","abr","mai","jun","jul","ago","set","out","nov","dez")&amp;"/"&amp;YEAR(_xlfn.MINIFS('CRONOGRAMA ATIVIDADES'!$F$5:$F$6004,'CRONOGRAMA ATIVIDADES'!$M$5:$M$6004,B15)),_xlfn.TEXTJOIN(" / ",TRUE,IF(('CRONOGRAMA ATIVIDADES'!$S$5:$S$304=B15)*('CRONOGRAMA ATIVIDADES'!$AA$5:$AA$304&lt;&gt;""),'CRONOGRAMA ATIVIDADES'!$AA$5:$AA$304,"")))))</f>
        <v/>
      </c>
      <c r="L15" s="101" t="n"/>
      <c r="M15" s="94">
        <f>'VALOR POR PL'!L14</f>
        <v/>
      </c>
      <c r="N15" s="94">
        <f>IF('VALOR POR PL'!I14="DIRETO",'VALOR POR PL'!L14,0)</f>
        <v/>
      </c>
    </row>
    <row r="16" ht="29.4" customHeight="1">
      <c r="B16" s="87">
        <f>'VALOR POR PL'!C15</f>
        <v/>
      </c>
      <c r="C16" s="88">
        <f>'VALOR POR PL'!D15</f>
        <v/>
      </c>
      <c r="D16" s="89">
        <f>IF(OR('VALOR POR PL'!I15&lt;&gt;"DIRETO",'CP RESUMO'!$C$9=""),"",IFERROR(INDEX('CP RESUMO'!$D$9:$BW$9,MATCH(DATE($D$5,12,1),'CP RESUMO'!$D$4:$BW$4,0))/100,""))</f>
        <v/>
      </c>
      <c r="E16" s="90">
        <f>IF('VALOR POR PL'!I15&lt;&gt;"DIRETO","",'LIG. PROVISÓRIAS'!$K$14)</f>
        <v/>
      </c>
      <c r="F16" s="91">
        <f>SUMPRODUCT((YEAR('LIG. PROVISÓRIAS'!$B$5:$B$76)=$D$5)*('LIG. PROVISÓRIAS'!$C$5:$C$76+'LIG. PROVISÓRIAS'!$D$5:$D$76))</f>
        <v/>
      </c>
      <c r="G16" s="91">
        <f>SUMPRODUCT((YEAR('MODELO PARA BI'!$H$1:$CA$1)=$D$5)*'MODELO PARA BI'!$H$25:$CA$25)</f>
        <v/>
      </c>
      <c r="H16" s="91">
        <f>IF(ISNUMBER($G$5),G16*$G$5,0)</f>
        <v/>
      </c>
      <c r="I16" s="89">
        <f>IF($F$53=0,0,F16/$F$53)</f>
        <v/>
      </c>
      <c r="J16" s="89">
        <f>IF('VALOR POR PL'!L15=0,0,SUMPRODUCT(('LIG. PROVISÓRIAS'!$B$5:$B$76&lt;=DATE($D$5,12,1))*('LIG. PROVISÓRIAS'!$C$5:$C$76+'LIG. PROVISÓRIAS'!$D$5:$D$76))/'VALOR POR PL'!L15)</f>
        <v/>
      </c>
      <c r="K16" s="92">
        <f t="array" ref="K16">IF(COUNTIF('CRONOGRAMA ATIVIDADES'!$M$5:$M$6004,B16)=0,"",IF(COUNTIFS('CRONOGRAMA ATIVIDADES'!$M$5:$M$6004,B16,'CRONOGRAMA ATIVIDADES'!$O$5:$O$6004,"CONCLUÍDA")=COUNTIF('CRONOGRAMA ATIVIDADES'!$M$5:$M$6004,B16),"Concluído (todas as "&amp;COUNTIF('CRONOGRAMA ATIVIDADES'!$M$5:$M$6004,B16)&amp;" atividades)",IF(COUNTIFS('CRONOGRAMA ATIVIDADES'!$M$5:$M$6004,B16,'CRONOGRAMA ATIVIDADES'!$O$5:$O$6004,"A INICIAR")=COUNTIF('CRONOGRAMA ATIVIDADES'!$M$5:$M$6004,B16),"Não iniciado · início previsto em "&amp;CHOOSE(MONTH(_xlfn.MINIFS('CRONOGRAMA ATIVIDADES'!$F$5:$F$6004,'CRONOGRAMA ATIVIDADES'!$M$5:$M$6004,B16)),"jan","fev","mar","abr","mai","jun","jul","ago","set","out","nov","dez")&amp;"/"&amp;YEAR(_xlfn.MINIFS('CRONOGRAMA ATIVIDADES'!$F$5:$F$6004,'CRONOGRAMA ATIVIDADES'!$M$5:$M$6004,B16)),_xlfn.TEXTJOIN(" / ",TRUE,IF(('CRONOGRAMA ATIVIDADES'!$S$5:$S$304=B16)*('CRONOGRAMA ATIVIDADES'!$AA$5:$AA$304&lt;&gt;""),'CRONOGRAMA ATIVIDADES'!$AA$5:$AA$304,"")))))</f>
        <v/>
      </c>
      <c r="L16" s="93" t="n"/>
      <c r="M16" s="94">
        <f>'VALOR POR PL'!L15</f>
        <v/>
      </c>
      <c r="N16" s="94">
        <f>IF('VALOR POR PL'!I15="DIRETO",'VALOR POR PL'!L15,0)</f>
        <v/>
      </c>
    </row>
    <row r="17" ht="16.2" customHeight="1">
      <c r="B17" s="95">
        <f>'VALOR POR PL'!C16</f>
        <v/>
      </c>
      <c r="C17" s="96">
        <f>'VALOR POR PL'!D16</f>
        <v/>
      </c>
      <c r="D17" s="97">
        <f>IF(OR('VALOR POR PL'!I16&lt;&gt;"DIRETO",'CP RESUMO'!$C$10=""),"",IFERROR(INDEX('CP RESUMO'!$D$10:$BW$10,MATCH(DATE($D$5,12,1),'CP RESUMO'!$D$4:$BW$4,0))/100,""))</f>
        <v/>
      </c>
      <c r="E17" s="98">
        <f>IF('VALOR POR PL'!I16&lt;&gt;"DIRETO","",'CONSUMOS'!$K$14)</f>
        <v/>
      </c>
      <c r="F17" s="99">
        <f>SUMPRODUCT((YEAR('CONSUMOS'!$B$5:$B$76)=$D$5)*('CONSUMOS'!$C$5:$C$76+'CONSUMOS'!$D$5:$D$76))</f>
        <v/>
      </c>
      <c r="G17" s="99">
        <f>SUMPRODUCT((YEAR('MODELO PARA BI'!$H$1:$CA$1)=$D$5)*'MODELO PARA BI'!$H$5:$CA$5)</f>
        <v/>
      </c>
      <c r="H17" s="99">
        <f>IF(ISNUMBER($G$5),G17*$G$5,0)</f>
        <v/>
      </c>
      <c r="I17" s="97">
        <f>IF($F$53=0,0,F17/$F$53)</f>
        <v/>
      </c>
      <c r="J17" s="97">
        <f>IF('VALOR POR PL'!L16=0,0,SUMPRODUCT(('CONSUMOS'!$B$5:$B$76&lt;=DATE($D$5,12,1))*('CONSUMOS'!$C$5:$C$76+'CONSUMOS'!$D$5:$D$76))/'VALOR POR PL'!L16)</f>
        <v/>
      </c>
      <c r="K17" s="100">
        <f t="array" ref="K17">IF(COUNTIF('CRONOGRAMA ATIVIDADES'!$M$5:$M$6004,B17)=0,"",IF(COUNTIFS('CRONOGRAMA ATIVIDADES'!$M$5:$M$6004,B17,'CRONOGRAMA ATIVIDADES'!$O$5:$O$6004,"CONCLUÍDA")=COUNTIF('CRONOGRAMA ATIVIDADES'!$M$5:$M$6004,B17),"Concluído (todas as "&amp;COUNTIF('CRONOGRAMA ATIVIDADES'!$M$5:$M$6004,B17)&amp;" atividades)",IF(COUNTIFS('CRONOGRAMA ATIVIDADES'!$M$5:$M$6004,B17,'CRONOGRAMA ATIVIDADES'!$O$5:$O$6004,"A INICIAR")=COUNTIF('CRONOGRAMA ATIVIDADES'!$M$5:$M$6004,B17),"Não iniciado · início previsto em "&amp;CHOOSE(MONTH(_xlfn.MINIFS('CRONOGRAMA ATIVIDADES'!$F$5:$F$6004,'CRONOGRAMA ATIVIDADES'!$M$5:$M$6004,B17)),"jan","fev","mar","abr","mai","jun","jul","ago","set","out","nov","dez")&amp;"/"&amp;YEAR(_xlfn.MINIFS('CRONOGRAMA ATIVIDADES'!$F$5:$F$6004,'CRONOGRAMA ATIVIDADES'!$M$5:$M$6004,B17)),_xlfn.TEXTJOIN(" / ",TRUE,IF(('CRONOGRAMA ATIVIDADES'!$S$5:$S$304=B17)*('CRONOGRAMA ATIVIDADES'!$AA$5:$AA$304&lt;&gt;""),'CRONOGRAMA ATIVIDADES'!$AA$5:$AA$304,"")))))</f>
        <v/>
      </c>
      <c r="L17" s="101" t="n"/>
      <c r="M17" s="94">
        <f>'VALOR POR PL'!L16</f>
        <v/>
      </c>
      <c r="N17" s="94">
        <f>IF('VALOR POR PL'!I16="DIRETO",'VALOR POR PL'!L16,0)</f>
        <v/>
      </c>
    </row>
    <row r="18" ht="16.2" customHeight="1">
      <c r="B18" s="87">
        <f>'VALOR POR PL'!C17</f>
        <v/>
      </c>
      <c r="C18" s="88">
        <f>'VALOR POR PL'!D17</f>
        <v/>
      </c>
      <c r="D18" s="89">
        <f>IF(OR('VALOR POR PL'!I17&lt;&gt;"DIRETO",'CP RESUMO'!$C$11=""),"",IFERROR(INDEX('CP RESUMO'!$D$11:$BW$11,MATCH(DATE($D$5,12,1),'CP RESUMO'!$D$4:$BW$4,0))/100,""))</f>
        <v/>
      </c>
      <c r="E18" s="90">
        <f>IF('VALOR POR PL'!I17&lt;&gt;"DIRETO","",'DIVERSOS'!$K$14)</f>
        <v/>
      </c>
      <c r="F18" s="91">
        <f>SUMPRODUCT((YEAR('DIVERSOS'!$B$5:$B$76)=$D$5)*('DIVERSOS'!$C$5:$C$76+'DIVERSOS'!$D$5:$D$76))</f>
        <v/>
      </c>
      <c r="G18" s="91">
        <f>SUMPRODUCT((YEAR('MODELO PARA BI'!$H$1:$CA$1)=$D$5)*'MODELO PARA BI'!$H$9:$CA$9)</f>
        <v/>
      </c>
      <c r="H18" s="91">
        <f>IF(ISNUMBER($G$5),G18*$G$5,0)</f>
        <v/>
      </c>
      <c r="I18" s="89">
        <f>IF($F$53=0,0,F18/$F$53)</f>
        <v/>
      </c>
      <c r="J18" s="89">
        <f>IF('VALOR POR PL'!L17=0,0,SUMPRODUCT(('DIVERSOS'!$B$5:$B$76&lt;=DATE($D$5,12,1))*('DIVERSOS'!$C$5:$C$76+'DIVERSOS'!$D$5:$D$76))/'VALOR POR PL'!L17)</f>
        <v/>
      </c>
      <c r="K18" s="92">
        <f t="array" ref="K18">IF(COUNTIF('CRONOGRAMA ATIVIDADES'!$M$5:$M$6004,B18)=0,"",IF(COUNTIFS('CRONOGRAMA ATIVIDADES'!$M$5:$M$6004,B18,'CRONOGRAMA ATIVIDADES'!$O$5:$O$6004,"CONCLUÍDA")=COUNTIF('CRONOGRAMA ATIVIDADES'!$M$5:$M$6004,B18),"Concluído (todas as "&amp;COUNTIF('CRONOGRAMA ATIVIDADES'!$M$5:$M$6004,B18)&amp;" atividades)",IF(COUNTIFS('CRONOGRAMA ATIVIDADES'!$M$5:$M$6004,B18,'CRONOGRAMA ATIVIDADES'!$O$5:$O$6004,"A INICIAR")=COUNTIF('CRONOGRAMA ATIVIDADES'!$M$5:$M$6004,B18),"Não iniciado · início previsto em "&amp;CHOOSE(MONTH(_xlfn.MINIFS('CRONOGRAMA ATIVIDADES'!$F$5:$F$6004,'CRONOGRAMA ATIVIDADES'!$M$5:$M$6004,B18)),"jan","fev","mar","abr","mai","jun","jul","ago","set","out","nov","dez")&amp;"/"&amp;YEAR(_xlfn.MINIFS('CRONOGRAMA ATIVIDADES'!$F$5:$F$6004,'CRONOGRAMA ATIVIDADES'!$M$5:$M$6004,B18)),_xlfn.TEXTJOIN(" / ",TRUE,IF(('CRONOGRAMA ATIVIDADES'!$S$5:$S$304=B18)*('CRONOGRAMA ATIVIDADES'!$AA$5:$AA$304&lt;&gt;""),'CRONOGRAMA ATIVIDADES'!$AA$5:$AA$304,"")))))</f>
        <v/>
      </c>
      <c r="L18" s="93" t="n"/>
      <c r="M18" s="94">
        <f>'VALOR POR PL'!L17</f>
        <v/>
      </c>
      <c r="N18" s="94">
        <f>IF('VALOR POR PL'!I17="DIRETO",'VALOR POR PL'!L17,0)</f>
        <v/>
      </c>
    </row>
    <row r="19" ht="16.2" customHeight="1">
      <c r="B19" s="95">
        <f>'VALOR POR PL'!C18</f>
        <v/>
      </c>
      <c r="C19" s="96">
        <f>'VALOR POR PL'!D18</f>
        <v/>
      </c>
      <c r="D19" s="97">
        <f>IF(OR('VALOR POR PL'!I18&lt;&gt;"DIRETO",'CP RESUMO'!$C$12=""),"",IFERROR(INDEX('CP RESUMO'!$D$12:$BW$12,MATCH(DATE($D$5,12,1),'CP RESUMO'!$D$4:$BW$4,0))/100,""))</f>
        <v/>
      </c>
      <c r="E19" s="98">
        <f>IF('VALOR POR PL'!I18&lt;&gt;"DIRETO","",'TRANSPORTES'!$K$14)</f>
        <v/>
      </c>
      <c r="F19" s="99">
        <f>SUMPRODUCT((YEAR('TRANSPORTES'!$B$5:$B$76)=$D$5)*('TRANSPORTES'!$C$5:$C$76+'TRANSPORTES'!$D$5:$D$76))</f>
        <v/>
      </c>
      <c r="G19" s="99">
        <f>SUMPRODUCT((YEAR('MODELO PARA BI'!$H$1:$CA$1)=$D$5)*'MODELO PARA BI'!$H$50:$CA$50)</f>
        <v/>
      </c>
      <c r="H19" s="99">
        <f>IF(ISNUMBER($G$5),G19*$G$5,0)</f>
        <v/>
      </c>
      <c r="I19" s="97">
        <f>IF($F$53=0,0,F19/$F$53)</f>
        <v/>
      </c>
      <c r="J19" s="97">
        <f>IF('VALOR POR PL'!L18=0,0,SUMPRODUCT(('TRANSPORTES'!$B$5:$B$76&lt;=DATE($D$5,12,1))*('TRANSPORTES'!$C$5:$C$76+'TRANSPORTES'!$D$5:$D$76))/'VALOR POR PL'!L18)</f>
        <v/>
      </c>
      <c r="K19" s="100">
        <f t="array" ref="K19">IF(COUNTIF('CRONOGRAMA ATIVIDADES'!$M$5:$M$6004,B19)=0,"",IF(COUNTIFS('CRONOGRAMA ATIVIDADES'!$M$5:$M$6004,B19,'CRONOGRAMA ATIVIDADES'!$O$5:$O$6004,"CONCLUÍDA")=COUNTIF('CRONOGRAMA ATIVIDADES'!$M$5:$M$6004,B19),"Concluído (todas as "&amp;COUNTIF('CRONOGRAMA ATIVIDADES'!$M$5:$M$6004,B19)&amp;" atividades)",IF(COUNTIFS('CRONOGRAMA ATIVIDADES'!$M$5:$M$6004,B19,'CRONOGRAMA ATIVIDADES'!$O$5:$O$6004,"A INICIAR")=COUNTIF('CRONOGRAMA ATIVIDADES'!$M$5:$M$6004,B19),"Não iniciado · início previsto em "&amp;CHOOSE(MONTH(_xlfn.MINIFS('CRONOGRAMA ATIVIDADES'!$F$5:$F$6004,'CRONOGRAMA ATIVIDADES'!$M$5:$M$6004,B19)),"jan","fev","mar","abr","mai","jun","jul","ago","set","out","nov","dez")&amp;"/"&amp;YEAR(_xlfn.MINIFS('CRONOGRAMA ATIVIDADES'!$F$5:$F$6004,'CRONOGRAMA ATIVIDADES'!$M$5:$M$6004,B19)),_xlfn.TEXTJOIN(" / ",TRUE,IF(('CRONOGRAMA ATIVIDADES'!$S$5:$S$304=B19)*('CRONOGRAMA ATIVIDADES'!$AA$5:$AA$304&lt;&gt;""),'CRONOGRAMA ATIVIDADES'!$AA$5:$AA$304,"")))))</f>
        <v/>
      </c>
      <c r="L19" s="101" t="n"/>
      <c r="M19" s="94">
        <f>'VALOR POR PL'!L18</f>
        <v/>
      </c>
      <c r="N19" s="94">
        <f>IF('VALOR POR PL'!I18="DIRETO",'VALOR POR PL'!L18,0)</f>
        <v/>
      </c>
    </row>
    <row r="20" ht="16.2" customHeight="1">
      <c r="B20" s="87">
        <f>'VALOR POR PL'!C19</f>
        <v/>
      </c>
      <c r="C20" s="88">
        <f>'VALOR POR PL'!D19</f>
        <v/>
      </c>
      <c r="D20" s="89">
        <f>IF(OR('VALOR POR PL'!I19&lt;&gt;"DIRETO",'CP RESUMO'!$C$13=""),"",IFERROR(INDEX('CP RESUMO'!$D$13:$BW$13,MATCH(DATE($D$5,12,1),'CP RESUMO'!$D$4:$BW$4,0))/100,""))</f>
        <v/>
      </c>
      <c r="E20" s="90">
        <f>IF('VALOR POR PL'!I19&lt;&gt;"DIRETO","",'CONSULTORIAS'!$K$14)</f>
        <v/>
      </c>
      <c r="F20" s="91">
        <f>SUMPRODUCT((YEAR('CONSULTORIAS'!$B$5:$B$76)=$D$5)*('CONSULTORIAS'!$C$5:$C$76+'CONSULTORIAS'!$D$5:$D$76))</f>
        <v/>
      </c>
      <c r="G20" s="91">
        <f>SUMPRODUCT((YEAR('MODELO PARA BI'!$H$1:$CA$1)=$D$5)*'MODELO PARA BI'!$H$4:$CA$4)</f>
        <v/>
      </c>
      <c r="H20" s="91">
        <f>IF(ISNUMBER($G$5),G20*$G$5,0)</f>
        <v/>
      </c>
      <c r="I20" s="89">
        <f>IF($F$53=0,0,F20/$F$53)</f>
        <v/>
      </c>
      <c r="J20" s="89">
        <f>IF('VALOR POR PL'!L19=0,0,SUMPRODUCT(('CONSULTORIAS'!$B$5:$B$76&lt;=DATE($D$5,12,1))*('CONSULTORIAS'!$C$5:$C$76+'CONSULTORIAS'!$D$5:$D$76))/'VALOR POR PL'!L19)</f>
        <v/>
      </c>
      <c r="K20" s="92">
        <f t="array" ref="K20">IF(COUNTIF('CRONOGRAMA ATIVIDADES'!$M$5:$M$6004,B20)=0,"",IF(COUNTIFS('CRONOGRAMA ATIVIDADES'!$M$5:$M$6004,B20,'CRONOGRAMA ATIVIDADES'!$O$5:$O$6004,"CONCLUÍDA")=COUNTIF('CRONOGRAMA ATIVIDADES'!$M$5:$M$6004,B20),"Concluído (todas as "&amp;COUNTIF('CRONOGRAMA ATIVIDADES'!$M$5:$M$6004,B20)&amp;" atividades)",IF(COUNTIFS('CRONOGRAMA ATIVIDADES'!$M$5:$M$6004,B20,'CRONOGRAMA ATIVIDADES'!$O$5:$O$6004,"A INICIAR")=COUNTIF('CRONOGRAMA ATIVIDADES'!$M$5:$M$6004,B20),"Não iniciado · início previsto em "&amp;CHOOSE(MONTH(_xlfn.MINIFS('CRONOGRAMA ATIVIDADES'!$F$5:$F$6004,'CRONOGRAMA ATIVIDADES'!$M$5:$M$6004,B20)),"jan","fev","mar","abr","mai","jun","jul","ago","set","out","nov","dez")&amp;"/"&amp;YEAR(_xlfn.MINIFS('CRONOGRAMA ATIVIDADES'!$F$5:$F$6004,'CRONOGRAMA ATIVIDADES'!$M$5:$M$6004,B20)),_xlfn.TEXTJOIN(" / ",TRUE,IF(('CRONOGRAMA ATIVIDADES'!$S$5:$S$304=B20)*('CRONOGRAMA ATIVIDADES'!$AA$5:$AA$304&lt;&gt;""),'CRONOGRAMA ATIVIDADES'!$AA$5:$AA$304,"")))))</f>
        <v/>
      </c>
      <c r="L20" s="93" t="n"/>
      <c r="M20" s="94">
        <f>'VALOR POR PL'!L19</f>
        <v/>
      </c>
      <c r="N20" s="94">
        <f>IF('VALOR POR PL'!I19="DIRETO",'VALOR POR PL'!L19,0)</f>
        <v/>
      </c>
    </row>
    <row r="21" ht="16.2" customHeight="1">
      <c r="B21" s="95">
        <f>'VALOR POR PL'!C20</f>
        <v/>
      </c>
      <c r="C21" s="96">
        <f>'VALOR POR PL'!D20</f>
        <v/>
      </c>
      <c r="D21" s="97">
        <f>IF(OR('VALOR POR PL'!I20&lt;&gt;"DIRETO",'CP RESUMO'!$C$14=""),"",IFERROR(INDEX('CP RESUMO'!$D$14:$BW$14,MATCH(DATE($D$5,12,1),'CP RESUMO'!$D$4:$BW$4,0))/100,""))</f>
        <v/>
      </c>
      <c r="E21" s="98">
        <f>IF('VALOR POR PL'!I20&lt;&gt;"DIRETO","",'MDO'!$K$14)</f>
        <v/>
      </c>
      <c r="F21" s="99">
        <f>SUMPRODUCT((YEAR('MDO'!$B$5:$B$76)=$D$5)*('MDO'!$C$5:$C$76+'MDO'!$D$5:$D$76))</f>
        <v/>
      </c>
      <c r="G21" s="99">
        <f>SUMPRODUCT((YEAR('MODELO PARA BI'!$H$1:$CA$1)=$D$5)*'MODELO PARA BI'!$H$28:$CA$28)</f>
        <v/>
      </c>
      <c r="H21" s="99">
        <f>IF(ISNUMBER($G$5),G21*$G$5,0)</f>
        <v/>
      </c>
      <c r="I21" s="97">
        <f>IF($F$53=0,0,F21/$F$53)</f>
        <v/>
      </c>
      <c r="J21" s="97">
        <f>IF('VALOR POR PL'!L20=0,0,SUMPRODUCT(('MDO'!$B$5:$B$76&lt;=DATE($D$5,12,1))*('MDO'!$C$5:$C$76+'MDO'!$D$5:$D$76))/'VALOR POR PL'!L20)</f>
        <v/>
      </c>
      <c r="K21" s="100">
        <f t="array" ref="K21">IF(COUNTIF('CRONOGRAMA ATIVIDADES'!$M$5:$M$6004,B21)=0,"",IF(COUNTIFS('CRONOGRAMA ATIVIDADES'!$M$5:$M$6004,B21,'CRONOGRAMA ATIVIDADES'!$O$5:$O$6004,"CONCLUÍDA")=COUNTIF('CRONOGRAMA ATIVIDADES'!$M$5:$M$6004,B21),"Concluído (todas as "&amp;COUNTIF('CRONOGRAMA ATIVIDADES'!$M$5:$M$6004,B21)&amp;" atividades)",IF(COUNTIFS('CRONOGRAMA ATIVIDADES'!$M$5:$M$6004,B21,'CRONOGRAMA ATIVIDADES'!$O$5:$O$6004,"A INICIAR")=COUNTIF('CRONOGRAMA ATIVIDADES'!$M$5:$M$6004,B21),"Não iniciado · início previsto em "&amp;CHOOSE(MONTH(_xlfn.MINIFS('CRONOGRAMA ATIVIDADES'!$F$5:$F$6004,'CRONOGRAMA ATIVIDADES'!$M$5:$M$6004,B21)),"jan","fev","mar","abr","mai","jun","jul","ago","set","out","nov","dez")&amp;"/"&amp;YEAR(_xlfn.MINIFS('CRONOGRAMA ATIVIDADES'!$F$5:$F$6004,'CRONOGRAMA ATIVIDADES'!$M$5:$M$6004,B21)),_xlfn.TEXTJOIN(" / ",TRUE,IF(('CRONOGRAMA ATIVIDADES'!$S$5:$S$304=B21)*('CRONOGRAMA ATIVIDADES'!$AA$5:$AA$304&lt;&gt;""),'CRONOGRAMA ATIVIDADES'!$AA$5:$AA$304,"")))))</f>
        <v/>
      </c>
      <c r="L21" s="101" t="n"/>
      <c r="M21" s="94">
        <f>'VALOR POR PL'!L20</f>
        <v/>
      </c>
      <c r="N21" s="94">
        <f>IF('VALOR POR PL'!I20="DIRETO",'VALOR POR PL'!L20,0)</f>
        <v/>
      </c>
    </row>
    <row r="22" ht="16.2" customHeight="1">
      <c r="B22" s="87">
        <f>'VALOR POR PL'!C21</f>
        <v/>
      </c>
      <c r="C22" s="88">
        <f>'VALOR POR PL'!D21</f>
        <v/>
      </c>
      <c r="D22" s="89">
        <f>IF(OR('VALOR POR PL'!I21&lt;&gt;"DIRETO",'CP RESUMO'!$C$15=""),"",IFERROR(INDEX('CP RESUMO'!$D$15:$BW$15,MATCH(DATE($D$5,12,1),'CP RESUMO'!$D$4:$BW$4,0))/100,""))</f>
        <v/>
      </c>
      <c r="E22" s="90">
        <f>IF('VALOR POR PL'!I21&lt;&gt;"DIRETO","",'EQUIP E FER'!$K$14)</f>
        <v/>
      </c>
      <c r="F22" s="91">
        <f>SUMPRODUCT((YEAR('EQUIP E FER'!$B$5:$B$76)=$D$5)*('EQUIP E FER'!$C$5:$C$76+'EQUIP E FER'!$D$5:$D$76))</f>
        <v/>
      </c>
      <c r="G22" s="91">
        <f>SUMPRODUCT((YEAR('MODELO PARA BI'!$H$1:$CA$1)=$D$5)*'MODELO PARA BI'!$H$12:$CA$12)</f>
        <v/>
      </c>
      <c r="H22" s="91">
        <f>IF(ISNUMBER($G$5),G22*$G$5,0)</f>
        <v/>
      </c>
      <c r="I22" s="89">
        <f>IF($F$53=0,0,F22/$F$53)</f>
        <v/>
      </c>
      <c r="J22" s="89">
        <f>IF('VALOR POR PL'!L21=0,0,SUMPRODUCT(('EQUIP E FER'!$B$5:$B$76&lt;=DATE($D$5,12,1))*('EQUIP E FER'!$C$5:$C$76+'EQUIP E FER'!$D$5:$D$76))/'VALOR POR PL'!L21)</f>
        <v/>
      </c>
      <c r="K22" s="92">
        <f t="array" ref="K22">IF(COUNTIF('CRONOGRAMA ATIVIDADES'!$M$5:$M$6004,B22)=0,"",IF(COUNTIFS('CRONOGRAMA ATIVIDADES'!$M$5:$M$6004,B22,'CRONOGRAMA ATIVIDADES'!$O$5:$O$6004,"CONCLUÍDA")=COUNTIF('CRONOGRAMA ATIVIDADES'!$M$5:$M$6004,B22),"Concluído (todas as "&amp;COUNTIF('CRONOGRAMA ATIVIDADES'!$M$5:$M$6004,B22)&amp;" atividades)",IF(COUNTIFS('CRONOGRAMA ATIVIDADES'!$M$5:$M$6004,B22,'CRONOGRAMA ATIVIDADES'!$O$5:$O$6004,"A INICIAR")=COUNTIF('CRONOGRAMA ATIVIDADES'!$M$5:$M$6004,B22),"Não iniciado · início previsto em "&amp;CHOOSE(MONTH(_xlfn.MINIFS('CRONOGRAMA ATIVIDADES'!$F$5:$F$6004,'CRONOGRAMA ATIVIDADES'!$M$5:$M$6004,B22)),"jan","fev","mar","abr","mai","jun","jul","ago","set","out","nov","dez")&amp;"/"&amp;YEAR(_xlfn.MINIFS('CRONOGRAMA ATIVIDADES'!$F$5:$F$6004,'CRONOGRAMA ATIVIDADES'!$M$5:$M$6004,B22)),_xlfn.TEXTJOIN(" / ",TRUE,IF(('CRONOGRAMA ATIVIDADES'!$S$5:$S$304=B22)*('CRONOGRAMA ATIVIDADES'!$AA$5:$AA$304&lt;&gt;""),'CRONOGRAMA ATIVIDADES'!$AA$5:$AA$304,"")))))</f>
        <v/>
      </c>
      <c r="L22" s="93" t="n"/>
      <c r="M22" s="94">
        <f>'VALOR POR PL'!L21</f>
        <v/>
      </c>
      <c r="N22" s="94">
        <f>IF('VALOR POR PL'!I21="DIRETO",'VALOR POR PL'!L21,0)</f>
        <v/>
      </c>
    </row>
    <row r="23" ht="16.2" customHeight="1">
      <c r="B23" s="102" t="inlineStr">
        <is>
          <t>01 a 11</t>
        </is>
      </c>
      <c r="C23" s="103" t="inlineStr">
        <is>
          <t>INDIRETOS</t>
        </is>
      </c>
      <c r="D23" s="104">
        <f>IFERROR(SUMPRODUCT(D12:D22,N12:N22)/SUMPRODUCT(ISNUMBER(D12:D22)*N12:N22),"")</f>
        <v/>
      </c>
      <c r="E23" s="104">
        <f>IFERROR(SUMPRODUCT(E12:E22,N12:N22)/SUMPRODUCT(ISNUMBER(E12:E22)*N12:N22),"")</f>
        <v/>
      </c>
      <c r="F23" s="105">
        <f>SUM(F12:F22)</f>
        <v/>
      </c>
      <c r="G23" s="105">
        <f>SUM(G12:G22)</f>
        <v/>
      </c>
      <c r="H23" s="105">
        <f>SUM(H12:H22)</f>
        <v/>
      </c>
      <c r="I23" s="104">
        <f>IF($F$53=0,0,F23/$F$53)</f>
        <v/>
      </c>
      <c r="J23" s="104">
        <f>IFERROR(SUMPRODUCT(J12:J22,M12:M22)/SUM(M12:M22),0)</f>
        <v/>
      </c>
      <c r="K23" s="106" t="n"/>
      <c r="L23" s="106" t="n"/>
      <c r="M23">
        <f>SUM(M12:M22)</f>
        <v/>
      </c>
      <c r="N23">
        <f>SUM(N12:N22)</f>
        <v/>
      </c>
    </row>
    <row r="24" ht="16.2" customHeight="1">
      <c r="B24" s="87">
        <f>'VALOR POR PL'!C22</f>
        <v/>
      </c>
      <c r="C24" s="88">
        <f>'VALOR POR PL'!D22</f>
        <v/>
      </c>
      <c r="D24" s="89">
        <f>IF(OR('VALOR POR PL'!I22&lt;&gt;"DIRETO",'CP RESUMO'!$C$16=""),"",IFERROR(INDEX('CP RESUMO'!$D$16:$BW$16,MATCH(DATE($D$5,12,1),'CP RESUMO'!$D$4:$BW$4,0))/100,""))</f>
        <v/>
      </c>
      <c r="E24" s="90">
        <f>IF('VALOR POR PL'!I22&lt;&gt;"DIRETO","",'SERV. INICIAIS'!$K$14)</f>
        <v/>
      </c>
      <c r="F24" s="91">
        <f>SUMPRODUCT((YEAR('SERV. INICIAIS'!$B$5:$B$76)=$D$5)*('SERV. INICIAIS'!$C$5:$C$76+'SERV. INICIAIS'!$D$5:$D$76))</f>
        <v/>
      </c>
      <c r="G24" s="91">
        <f>SUMPRODUCT((YEAR('MODELO PARA BI'!$H$1:$CA$1)=$D$5)*'MODELO PARA BI'!$H$55:$CA$55)</f>
        <v/>
      </c>
      <c r="H24" s="91">
        <f>IF(ISNUMBER($G$5),G24*$G$5,0)</f>
        <v/>
      </c>
      <c r="I24" s="89">
        <f>IF($F$53=0,0,F24/$F$53)</f>
        <v/>
      </c>
      <c r="J24" s="89">
        <f>IF('VALOR POR PL'!L22=0,0,SUMPRODUCT(('SERV. INICIAIS'!$B$5:$B$76&lt;=DATE($D$5,12,1))*('SERV. INICIAIS'!$C$5:$C$76+'SERV. INICIAIS'!$D$5:$D$76))/'VALOR POR PL'!L22)</f>
        <v/>
      </c>
      <c r="K24" s="92">
        <f t="array" ref="K24">IF(COUNTIF('CRONOGRAMA ATIVIDADES'!$M$5:$M$6004,B24)=0,"",IF(COUNTIFS('CRONOGRAMA ATIVIDADES'!$M$5:$M$6004,B24,'CRONOGRAMA ATIVIDADES'!$O$5:$O$6004,"CONCLUÍDA")=COUNTIF('CRONOGRAMA ATIVIDADES'!$M$5:$M$6004,B24),"Concluído (todas as "&amp;COUNTIF('CRONOGRAMA ATIVIDADES'!$M$5:$M$6004,B24)&amp;" atividades)",IF(COUNTIFS('CRONOGRAMA ATIVIDADES'!$M$5:$M$6004,B24,'CRONOGRAMA ATIVIDADES'!$O$5:$O$6004,"A INICIAR")=COUNTIF('CRONOGRAMA ATIVIDADES'!$M$5:$M$6004,B24),"Não iniciado · início previsto em "&amp;CHOOSE(MONTH(_xlfn.MINIFS('CRONOGRAMA ATIVIDADES'!$F$5:$F$6004,'CRONOGRAMA ATIVIDADES'!$M$5:$M$6004,B24)),"jan","fev","mar","abr","mai","jun","jul","ago","set","out","nov","dez")&amp;"/"&amp;YEAR(_xlfn.MINIFS('CRONOGRAMA ATIVIDADES'!$F$5:$F$6004,'CRONOGRAMA ATIVIDADES'!$M$5:$M$6004,B24)),_xlfn.TEXTJOIN(" / ",TRUE,IF(('CRONOGRAMA ATIVIDADES'!$S$5:$S$304=B24)*('CRONOGRAMA ATIVIDADES'!$AA$5:$AA$304&lt;&gt;""),'CRONOGRAMA ATIVIDADES'!$AA$5:$AA$304,"")))))</f>
        <v/>
      </c>
      <c r="L24" s="93" t="n"/>
      <c r="M24" s="94">
        <f>'VALOR POR PL'!L22</f>
        <v/>
      </c>
      <c r="N24" s="94">
        <f>IF('VALOR POR PL'!I22="DIRETO",'VALOR POR PL'!L22,0)</f>
        <v/>
      </c>
    </row>
    <row r="25" ht="16.2" customHeight="1">
      <c r="B25" s="95">
        <f>'VALOR POR PL'!C23</f>
        <v/>
      </c>
      <c r="C25" s="96">
        <f>'VALOR POR PL'!D23</f>
        <v/>
      </c>
      <c r="D25" s="97">
        <f>IF(OR('VALOR POR PL'!I23&lt;&gt;"DIRETO",'CP RESUMO'!$C$17=""),"",IFERROR(INDEX('CP RESUMO'!$D$17:$BW$17,MATCH(DATE($D$5,12,1),'CP RESUMO'!$D$4:$BW$4,0))/100,""))</f>
        <v/>
      </c>
      <c r="E25" s="98">
        <f>IF('VALOR POR PL'!I23&lt;&gt;"DIRETO","",'CONTENÇÃO'!$K$14)</f>
        <v/>
      </c>
      <c r="F25" s="99">
        <f>SUMPRODUCT((YEAR('CONTENÇÃO'!$B$5:$B$76)=$D$5)*('CONTENÇÃO'!$C$5:$C$76+'CONTENÇÃO'!$D$5:$D$76))</f>
        <v/>
      </c>
      <c r="G25" s="99">
        <f>SUMPRODUCT((YEAR('MODELO PARA BI'!$H$1:$CA$1)=$D$5)*'MODELO PARA BI'!$H$6:$CA$6)</f>
        <v/>
      </c>
      <c r="H25" s="99">
        <f>IF(ISNUMBER($G$5),G25*$G$5,0)</f>
        <v/>
      </c>
      <c r="I25" s="97">
        <f>IF($F$53=0,0,F25/$F$53)</f>
        <v/>
      </c>
      <c r="J25" s="97">
        <f>IF('VALOR POR PL'!L23=0,0,SUMPRODUCT(('CONTENÇÃO'!$B$5:$B$76&lt;=DATE($D$5,12,1))*('CONTENÇÃO'!$C$5:$C$76+'CONTENÇÃO'!$D$5:$D$76))/'VALOR POR PL'!L23)</f>
        <v/>
      </c>
      <c r="K25" s="100">
        <f t="array" ref="K25">IF(COUNTIF('CRONOGRAMA ATIVIDADES'!$M$5:$M$6004,B25)=0,"",IF(COUNTIFS('CRONOGRAMA ATIVIDADES'!$M$5:$M$6004,B25,'CRONOGRAMA ATIVIDADES'!$O$5:$O$6004,"CONCLUÍDA")=COUNTIF('CRONOGRAMA ATIVIDADES'!$M$5:$M$6004,B25),"Concluído (todas as "&amp;COUNTIF('CRONOGRAMA ATIVIDADES'!$M$5:$M$6004,B25)&amp;" atividades)",IF(COUNTIFS('CRONOGRAMA ATIVIDADES'!$M$5:$M$6004,B25,'CRONOGRAMA ATIVIDADES'!$O$5:$O$6004,"A INICIAR")=COUNTIF('CRONOGRAMA ATIVIDADES'!$M$5:$M$6004,B25),"Não iniciado · início previsto em "&amp;CHOOSE(MONTH(_xlfn.MINIFS('CRONOGRAMA ATIVIDADES'!$F$5:$F$6004,'CRONOGRAMA ATIVIDADES'!$M$5:$M$6004,B25)),"jan","fev","mar","abr","mai","jun","jul","ago","set","out","nov","dez")&amp;"/"&amp;YEAR(_xlfn.MINIFS('CRONOGRAMA ATIVIDADES'!$F$5:$F$6004,'CRONOGRAMA ATIVIDADES'!$M$5:$M$6004,B25)),_xlfn.TEXTJOIN(" / ",TRUE,IF(('CRONOGRAMA ATIVIDADES'!$S$5:$S$304=B25)*('CRONOGRAMA ATIVIDADES'!$AA$5:$AA$304&lt;&gt;""),'CRONOGRAMA ATIVIDADES'!$AA$5:$AA$304,"")))))</f>
        <v/>
      </c>
      <c r="L25" s="101" t="n"/>
      <c r="M25" s="94">
        <f>'VALOR POR PL'!L23</f>
        <v/>
      </c>
      <c r="N25" s="94">
        <f>IF('VALOR POR PL'!I23="DIRETO",'VALOR POR PL'!L23,0)</f>
        <v/>
      </c>
    </row>
    <row r="26" ht="16.2" customHeight="1">
      <c r="B26" s="87">
        <f>'VALOR POR PL'!C24</f>
        <v/>
      </c>
      <c r="C26" s="88">
        <f>'VALOR POR PL'!D24</f>
        <v/>
      </c>
      <c r="D26" s="89">
        <f>IF(OR('VALOR POR PL'!I24&lt;&gt;"DIRETO",'CP RESUMO'!$C$18=""),"",IFERROR(INDEX('CP RESUMO'!$D$18:$BW$18,MATCH(DATE($D$5,12,1),'CP RESUMO'!$D$4:$BW$4,0))/100,""))</f>
        <v/>
      </c>
      <c r="E26" s="90">
        <f>IF('VALOR POR PL'!I24&lt;&gt;"DIRETO","",'TERRAPLENAGEM'!$K$14)</f>
        <v/>
      </c>
      <c r="F26" s="91">
        <f>SUMPRODUCT((YEAR('TERRAPLENAGEM'!$B$5:$B$76)=$D$5)*('TERRAPLENAGEM'!$C$5:$C$76+'TERRAPLENAGEM'!$D$5:$D$76))</f>
        <v/>
      </c>
      <c r="G26" s="91">
        <f>SUMPRODUCT((YEAR('MODELO PARA BI'!$H$1:$CA$1)=$D$5)*'MODELO PARA BI'!$H$48:$CA$48)</f>
        <v/>
      </c>
      <c r="H26" s="91">
        <f>IF(ISNUMBER($G$5),G26*$G$5,0)</f>
        <v/>
      </c>
      <c r="I26" s="89">
        <f>IF($F$53=0,0,F26/$F$53)</f>
        <v/>
      </c>
      <c r="J26" s="89">
        <f>IF('VALOR POR PL'!L24=0,0,SUMPRODUCT(('TERRAPLENAGEM'!$B$5:$B$76&lt;=DATE($D$5,12,1))*('TERRAPLENAGEM'!$C$5:$C$76+'TERRAPLENAGEM'!$D$5:$D$76))/'VALOR POR PL'!L24)</f>
        <v/>
      </c>
      <c r="K26" s="92">
        <f t="array" ref="K26">IF(COUNTIF('CRONOGRAMA ATIVIDADES'!$M$5:$M$6004,B26)=0,"",IF(COUNTIFS('CRONOGRAMA ATIVIDADES'!$M$5:$M$6004,B26,'CRONOGRAMA ATIVIDADES'!$O$5:$O$6004,"CONCLUÍDA")=COUNTIF('CRONOGRAMA ATIVIDADES'!$M$5:$M$6004,B26),"Concluído (todas as "&amp;COUNTIF('CRONOGRAMA ATIVIDADES'!$M$5:$M$6004,B26)&amp;" atividades)",IF(COUNTIFS('CRONOGRAMA ATIVIDADES'!$M$5:$M$6004,B26,'CRONOGRAMA ATIVIDADES'!$O$5:$O$6004,"A INICIAR")=COUNTIF('CRONOGRAMA ATIVIDADES'!$M$5:$M$6004,B26),"Não iniciado · início previsto em "&amp;CHOOSE(MONTH(_xlfn.MINIFS('CRONOGRAMA ATIVIDADES'!$F$5:$F$6004,'CRONOGRAMA ATIVIDADES'!$M$5:$M$6004,B26)),"jan","fev","mar","abr","mai","jun","jul","ago","set","out","nov","dez")&amp;"/"&amp;YEAR(_xlfn.MINIFS('CRONOGRAMA ATIVIDADES'!$F$5:$F$6004,'CRONOGRAMA ATIVIDADES'!$M$5:$M$6004,B26)),_xlfn.TEXTJOIN(" / ",TRUE,IF(('CRONOGRAMA ATIVIDADES'!$S$5:$S$304=B26)*('CRONOGRAMA ATIVIDADES'!$AA$5:$AA$304&lt;&gt;""),'CRONOGRAMA ATIVIDADES'!$AA$5:$AA$304,"")))))</f>
        <v/>
      </c>
      <c r="L26" s="93" t="n"/>
      <c r="M26" s="94">
        <f>'VALOR POR PL'!L24</f>
        <v/>
      </c>
      <c r="N26" s="94">
        <f>IF('VALOR POR PL'!I24="DIRETO",'VALOR POR PL'!L24,0)</f>
        <v/>
      </c>
    </row>
    <row r="27" ht="16.2" customHeight="1">
      <c r="B27" s="95">
        <f>'VALOR POR PL'!C25</f>
        <v/>
      </c>
      <c r="C27" s="96">
        <f>'VALOR POR PL'!D25</f>
        <v/>
      </c>
      <c r="D27" s="97">
        <f>IF(OR('VALOR POR PL'!I25&lt;&gt;"DIRETO",'CP RESUMO'!$C$19=""),"",IFERROR(INDEX('CP RESUMO'!$D$19:$BW$19,MATCH(DATE($D$5,12,1),'CP RESUMO'!$D$4:$BW$4,0))/100,""))</f>
        <v/>
      </c>
      <c r="E27" s="98">
        <f>IF('VALOR POR PL'!I25&lt;&gt;"DIRETO","",'FUND. PROF'!$K$14)</f>
        <v/>
      </c>
      <c r="F27" s="99">
        <f>SUMPRODUCT((YEAR('FUND. PROF'!$B$5:$B$76)=$D$5)*('FUND. PROF'!$C$5:$C$76+'FUND. PROF'!$D$5:$D$76))</f>
        <v/>
      </c>
      <c r="G27" s="99">
        <f>SUMPRODUCT((YEAR('MODELO PARA BI'!$H$1:$CA$1)=$D$5)*'MODELO PARA BI'!$H$17:$CA$17)</f>
        <v/>
      </c>
      <c r="H27" s="99">
        <f>IF(ISNUMBER($G$5),G27*$G$5,0)</f>
        <v/>
      </c>
      <c r="I27" s="97">
        <f>IF($F$53=0,0,F27/$F$53)</f>
        <v/>
      </c>
      <c r="J27" s="97">
        <f>IF('VALOR POR PL'!L25=0,0,SUMPRODUCT(('FUND. PROF'!$B$5:$B$76&lt;=DATE($D$5,12,1))*('FUND. PROF'!$C$5:$C$76+'FUND. PROF'!$D$5:$D$76))/'VALOR POR PL'!L25)</f>
        <v/>
      </c>
      <c r="K27" s="100">
        <f t="array" ref="K27">IF(COUNTIF('CRONOGRAMA ATIVIDADES'!$M$5:$M$6004,B27)=0,"",IF(COUNTIFS('CRONOGRAMA ATIVIDADES'!$M$5:$M$6004,B27,'CRONOGRAMA ATIVIDADES'!$O$5:$O$6004,"CONCLUÍDA")=COUNTIF('CRONOGRAMA ATIVIDADES'!$M$5:$M$6004,B27),"Concluído (todas as "&amp;COUNTIF('CRONOGRAMA ATIVIDADES'!$M$5:$M$6004,B27)&amp;" atividades)",IF(COUNTIFS('CRONOGRAMA ATIVIDADES'!$M$5:$M$6004,B27,'CRONOGRAMA ATIVIDADES'!$O$5:$O$6004,"A INICIAR")=COUNTIF('CRONOGRAMA ATIVIDADES'!$M$5:$M$6004,B27),"Não iniciado · início previsto em "&amp;CHOOSE(MONTH(_xlfn.MINIFS('CRONOGRAMA ATIVIDADES'!$F$5:$F$6004,'CRONOGRAMA ATIVIDADES'!$M$5:$M$6004,B27)),"jan","fev","mar","abr","mai","jun","jul","ago","set","out","nov","dez")&amp;"/"&amp;YEAR(_xlfn.MINIFS('CRONOGRAMA ATIVIDADES'!$F$5:$F$6004,'CRONOGRAMA ATIVIDADES'!$M$5:$M$6004,B27)),_xlfn.TEXTJOIN(" / ",TRUE,IF(('CRONOGRAMA ATIVIDADES'!$S$5:$S$304=B27)*('CRONOGRAMA ATIVIDADES'!$AA$5:$AA$304&lt;&gt;""),'CRONOGRAMA ATIVIDADES'!$AA$5:$AA$304,"")))))</f>
        <v/>
      </c>
      <c r="L27" s="101" t="n"/>
      <c r="M27" s="94">
        <f>'VALOR POR PL'!L25</f>
        <v/>
      </c>
      <c r="N27" s="94">
        <f>IF('VALOR POR PL'!I25="DIRETO",'VALOR POR PL'!L25,0)</f>
        <v/>
      </c>
    </row>
    <row r="28" ht="16.2" customHeight="1">
      <c r="B28" s="87">
        <f>'VALOR POR PL'!C26</f>
        <v/>
      </c>
      <c r="C28" s="88">
        <f>'VALOR POR PL'!D26</f>
        <v/>
      </c>
      <c r="D28" s="89">
        <f>IF(OR('VALOR POR PL'!I26&lt;&gt;"DIRETO",'CP RESUMO'!$C$20=""),"",IFERROR(INDEX('CP RESUMO'!$D$20:$BW$20,MATCH(DATE($D$5,12,1),'CP RESUMO'!$D$4:$BW$4,0))/100,""))</f>
        <v/>
      </c>
      <c r="E28" s="90">
        <f>IF('VALOR POR PL'!I26&lt;&gt;"DIRETO","",'FUND. SUP'!$K$14)</f>
        <v/>
      </c>
      <c r="F28" s="91">
        <f>SUMPRODUCT((YEAR('FUND. SUP'!$B$5:$B$76)=$D$5)*('FUND. SUP'!$C$5:$C$76+'FUND. SUP'!$D$5:$D$76))</f>
        <v/>
      </c>
      <c r="G28" s="91">
        <f>SUMPRODUCT((YEAR('MODELO PARA BI'!$H$1:$CA$1)=$D$5)*'MODELO PARA BI'!$H$18:$CA$18)</f>
        <v/>
      </c>
      <c r="H28" s="91">
        <f>IF(ISNUMBER($G$5),G28*$G$5,0)</f>
        <v/>
      </c>
      <c r="I28" s="89">
        <f>IF($F$53=0,0,F28/$F$53)</f>
        <v/>
      </c>
      <c r="J28" s="89">
        <f>IF('VALOR POR PL'!L26=0,0,SUMPRODUCT(('FUND. SUP'!$B$5:$B$76&lt;=DATE($D$5,12,1))*('FUND. SUP'!$C$5:$C$76+'FUND. SUP'!$D$5:$D$76))/'VALOR POR PL'!L26)</f>
        <v/>
      </c>
      <c r="K28" s="92">
        <f t="array" ref="K28">IF(COUNTIF('CRONOGRAMA ATIVIDADES'!$M$5:$M$6004,B28)=0,"",IF(COUNTIFS('CRONOGRAMA ATIVIDADES'!$M$5:$M$6004,B28,'CRONOGRAMA ATIVIDADES'!$O$5:$O$6004,"CONCLUÍDA")=COUNTIF('CRONOGRAMA ATIVIDADES'!$M$5:$M$6004,B28),"Concluído (todas as "&amp;COUNTIF('CRONOGRAMA ATIVIDADES'!$M$5:$M$6004,B28)&amp;" atividades)",IF(COUNTIFS('CRONOGRAMA ATIVIDADES'!$M$5:$M$6004,B28,'CRONOGRAMA ATIVIDADES'!$O$5:$O$6004,"A INICIAR")=COUNTIF('CRONOGRAMA ATIVIDADES'!$M$5:$M$6004,B28),"Não iniciado · início previsto em "&amp;CHOOSE(MONTH(_xlfn.MINIFS('CRONOGRAMA ATIVIDADES'!$F$5:$F$6004,'CRONOGRAMA ATIVIDADES'!$M$5:$M$6004,B28)),"jan","fev","mar","abr","mai","jun","jul","ago","set","out","nov","dez")&amp;"/"&amp;YEAR(_xlfn.MINIFS('CRONOGRAMA ATIVIDADES'!$F$5:$F$6004,'CRONOGRAMA ATIVIDADES'!$M$5:$M$6004,B28)),_xlfn.TEXTJOIN(" / ",TRUE,IF(('CRONOGRAMA ATIVIDADES'!$S$5:$S$304=B28)*('CRONOGRAMA ATIVIDADES'!$AA$5:$AA$304&lt;&gt;""),'CRONOGRAMA ATIVIDADES'!$AA$5:$AA$304,"")))))</f>
        <v/>
      </c>
      <c r="L28" s="93" t="n"/>
      <c r="M28" s="94">
        <f>'VALOR POR PL'!L26</f>
        <v/>
      </c>
      <c r="N28" s="94">
        <f>IF('VALOR POR PL'!I26="DIRETO",'VALOR POR PL'!L26,0)</f>
        <v/>
      </c>
    </row>
    <row r="29" ht="29.4" customHeight="1">
      <c r="B29" s="102" t="inlineStr">
        <is>
          <t>12 a 16</t>
        </is>
      </c>
      <c r="C29" s="103" t="inlineStr">
        <is>
          <t>SERVIÇOS INICIAIS, CONTENÇÃO, TERRAPLENAGEM E FUNDAÇÕES</t>
        </is>
      </c>
      <c r="D29" s="104">
        <f>IFERROR(SUMPRODUCT(D24:D28,N24:N28)/SUMPRODUCT(ISNUMBER(D24:D28)*N24:N28),"")</f>
        <v/>
      </c>
      <c r="E29" s="104">
        <f>IFERROR(SUMPRODUCT(E24:E28,N24:N28)/SUMPRODUCT(ISNUMBER(E24:E28)*N24:N28),"")</f>
        <v/>
      </c>
      <c r="F29" s="105">
        <f>SUM(F24:F28)</f>
        <v/>
      </c>
      <c r="G29" s="105">
        <f>SUM(G24:G28)</f>
        <v/>
      </c>
      <c r="H29" s="105">
        <f>SUM(H24:H28)</f>
        <v/>
      </c>
      <c r="I29" s="104">
        <f>IF($F$53=0,0,F29/$F$53)</f>
        <v/>
      </c>
      <c r="J29" s="104">
        <f>IFERROR(SUMPRODUCT(J24:J28,M24:M28)/SUM(M24:M28),0)</f>
        <v/>
      </c>
      <c r="K29" s="106" t="n"/>
      <c r="L29" s="106" t="n"/>
      <c r="M29">
        <f>SUM(M24:M28)</f>
        <v/>
      </c>
      <c r="N29">
        <f>SUM(N24:N28)</f>
        <v/>
      </c>
    </row>
    <row r="30" ht="16.2" customHeight="1">
      <c r="B30" s="87">
        <f>'VALOR POR PL'!C27</f>
        <v/>
      </c>
      <c r="C30" s="88">
        <f>'VALOR POR PL'!D27</f>
        <v/>
      </c>
      <c r="D30" s="89">
        <f>IF(OR('VALOR POR PL'!I27&lt;&gt;"DIRETO",'CP RESUMO'!$C$21=""),"",IFERROR(INDEX('CP RESUMO'!$D$21:$BW$21,MATCH(DATE($D$5,12,1),'CP RESUMO'!$D$4:$BW$4,0))/100,""))</f>
        <v/>
      </c>
      <c r="E30" s="90">
        <f>IF('VALOR POR PL'!I27&lt;&gt;"DIRETO","",'ESTRUTURA'!$K$14)</f>
        <v/>
      </c>
      <c r="F30" s="91">
        <f>SUMPRODUCT((YEAR('ESTRUTURA'!$B$5:$B$76)=$D$5)*('ESTRUTURA'!$C$5:$C$76+'ESTRUTURA'!$D$5:$D$76))</f>
        <v/>
      </c>
      <c r="G30" s="91">
        <f>SUMPRODUCT((YEAR('MODELO PARA BI'!$H$1:$CA$1)=$D$5)*'MODELO PARA BI'!$H$15:$CA$15)</f>
        <v/>
      </c>
      <c r="H30" s="91">
        <f>IF(ISNUMBER($G$5),G30*$G$5,0)</f>
        <v/>
      </c>
      <c r="I30" s="89">
        <f>IF($F$53=0,0,F30/$F$53)</f>
        <v/>
      </c>
      <c r="J30" s="89">
        <f>IF('VALOR POR PL'!L27=0,0,SUMPRODUCT(('ESTRUTURA'!$B$5:$B$76&lt;=DATE($D$5,12,1))*('ESTRUTURA'!$C$5:$C$76+'ESTRUTURA'!$D$5:$D$76))/'VALOR POR PL'!L27)</f>
        <v/>
      </c>
      <c r="K30" s="92">
        <f t="array" ref="K30">IF(COUNTIF('CRONOGRAMA ATIVIDADES'!$M$5:$M$6004,B30)=0,"",IF(COUNTIFS('CRONOGRAMA ATIVIDADES'!$M$5:$M$6004,B30,'CRONOGRAMA ATIVIDADES'!$O$5:$O$6004,"CONCLUÍDA")=COUNTIF('CRONOGRAMA ATIVIDADES'!$M$5:$M$6004,B30),"Concluído (todas as "&amp;COUNTIF('CRONOGRAMA ATIVIDADES'!$M$5:$M$6004,B30)&amp;" atividades)",IF(COUNTIFS('CRONOGRAMA ATIVIDADES'!$M$5:$M$6004,B30,'CRONOGRAMA ATIVIDADES'!$O$5:$O$6004,"A INICIAR")=COUNTIF('CRONOGRAMA ATIVIDADES'!$M$5:$M$6004,B30),"Não iniciado · início previsto em "&amp;CHOOSE(MONTH(_xlfn.MINIFS('CRONOGRAMA ATIVIDADES'!$F$5:$F$6004,'CRONOGRAMA ATIVIDADES'!$M$5:$M$6004,B30)),"jan","fev","mar","abr","mai","jun","jul","ago","set","out","nov","dez")&amp;"/"&amp;YEAR(_xlfn.MINIFS('CRONOGRAMA ATIVIDADES'!$F$5:$F$6004,'CRONOGRAMA ATIVIDADES'!$M$5:$M$6004,B30)),_xlfn.TEXTJOIN(" / ",TRUE,IF(('CRONOGRAMA ATIVIDADES'!$S$5:$S$304=B30)*('CRONOGRAMA ATIVIDADES'!$AA$5:$AA$304&lt;&gt;""),'CRONOGRAMA ATIVIDADES'!$AA$5:$AA$304,"")))))</f>
        <v/>
      </c>
      <c r="L30" s="93" t="n"/>
      <c r="M30" s="94">
        <f>'VALOR POR PL'!L27</f>
        <v/>
      </c>
      <c r="N30" s="94">
        <f>IF('VALOR POR PL'!I27="DIRETO",'VALOR POR PL'!L27,0)</f>
        <v/>
      </c>
    </row>
    <row r="31" ht="29.4" customHeight="1">
      <c r="B31" s="95">
        <f>'VALOR POR PL'!C28</f>
        <v/>
      </c>
      <c r="C31" s="96">
        <f>'VALOR POR PL'!D28</f>
        <v/>
      </c>
      <c r="D31" s="97">
        <f>IF(OR('VALOR POR PL'!I28&lt;&gt;"DIRETO",'CP RESUMO'!$C$22=""),"",IFERROR(INDEX('CP RESUMO'!$D$22:$BW$22,MATCH(DATE($D$5,12,1),'CP RESUMO'!$D$4:$BW$4,0))/100,""))</f>
        <v/>
      </c>
      <c r="E31" s="98">
        <f>IF('VALOR POR PL'!I28&lt;&gt;"DIRETO","",'ALVENARIA'!$K$14)</f>
        <v/>
      </c>
      <c r="F31" s="99">
        <f>SUMPRODUCT((YEAR('ALVENARIA'!$B$5:$B$76)=$D$5)*('ALVENARIA'!$C$5:$C$76+'ALVENARIA'!$D$5:$D$76))</f>
        <v/>
      </c>
      <c r="G31" s="99">
        <f>SUMPRODUCT((YEAR('MODELO PARA BI'!$H$1:$CA$1)=$D$5)*'MODELO PARA BI'!$H$2:$CA$2)</f>
        <v/>
      </c>
      <c r="H31" s="99">
        <f>IF(ISNUMBER($G$5),G31*$G$5,0)</f>
        <v/>
      </c>
      <c r="I31" s="97">
        <f>IF($F$53=0,0,F31/$F$53)</f>
        <v/>
      </c>
      <c r="J31" s="97">
        <f>IF('VALOR POR PL'!L28=0,0,SUMPRODUCT(('ALVENARIA'!$B$5:$B$76&lt;=DATE($D$5,12,1))*('ALVENARIA'!$C$5:$C$76+'ALVENARIA'!$D$5:$D$76))/'VALOR POR PL'!L28)</f>
        <v/>
      </c>
      <c r="K31" s="100">
        <f t="array" ref="K31">IF(COUNTIF('CRONOGRAMA ATIVIDADES'!$M$5:$M$6004,B31)=0,"",IF(COUNTIFS('CRONOGRAMA ATIVIDADES'!$M$5:$M$6004,B31,'CRONOGRAMA ATIVIDADES'!$O$5:$O$6004,"CONCLUÍDA")=COUNTIF('CRONOGRAMA ATIVIDADES'!$M$5:$M$6004,B31),"Concluído (todas as "&amp;COUNTIF('CRONOGRAMA ATIVIDADES'!$M$5:$M$6004,B31)&amp;" atividades)",IF(COUNTIFS('CRONOGRAMA ATIVIDADES'!$M$5:$M$6004,B31,'CRONOGRAMA ATIVIDADES'!$O$5:$O$6004,"A INICIAR")=COUNTIF('CRONOGRAMA ATIVIDADES'!$M$5:$M$6004,B31),"Não iniciado · início previsto em "&amp;CHOOSE(MONTH(_xlfn.MINIFS('CRONOGRAMA ATIVIDADES'!$F$5:$F$6004,'CRONOGRAMA ATIVIDADES'!$M$5:$M$6004,B31)),"jan","fev","mar","abr","mai","jun","jul","ago","set","out","nov","dez")&amp;"/"&amp;YEAR(_xlfn.MINIFS('CRONOGRAMA ATIVIDADES'!$F$5:$F$6004,'CRONOGRAMA ATIVIDADES'!$M$5:$M$6004,B31)),_xlfn.TEXTJOIN(" / ",TRUE,IF(('CRONOGRAMA ATIVIDADES'!$S$5:$S$304=B31)*('CRONOGRAMA ATIVIDADES'!$AA$5:$AA$304&lt;&gt;""),'CRONOGRAMA ATIVIDADES'!$AA$5:$AA$304,"")))))</f>
        <v/>
      </c>
      <c r="L31" s="101" t="n"/>
      <c r="M31" s="94">
        <f>'VALOR POR PL'!L28</f>
        <v/>
      </c>
      <c r="N31" s="94">
        <f>IF('VALOR POR PL'!I28="DIRETO",'VALOR POR PL'!L28,0)</f>
        <v/>
      </c>
    </row>
    <row r="32" ht="42.59999999999999" customHeight="1">
      <c r="B32" s="87">
        <f>'VALOR POR PL'!C29</f>
        <v/>
      </c>
      <c r="C32" s="88">
        <f>'VALOR POR PL'!D29</f>
        <v/>
      </c>
      <c r="D32" s="89">
        <f>IF(OR('VALOR POR PL'!I29&lt;&gt;"DIRETO",'CP RESUMO'!$C$23=""),"",IFERROR(INDEX('CP RESUMO'!$D$23:$BW$23,MATCH(DATE($D$5,12,1),'CP RESUMO'!$D$4:$BW$4,0))/100,""))</f>
        <v/>
      </c>
      <c r="E32" s="90">
        <f>IF('VALOR POR PL'!I29&lt;&gt;"DIRETO","",'IMPERMEABILIZAÇÃO'!$K$14)</f>
        <v/>
      </c>
      <c r="F32" s="91">
        <f>SUMPRODUCT((YEAR('IMPERMEABILIZAÇÃO'!$B$5:$B$76)=$D$5)*('IMPERMEABILIZAÇÃO'!$C$5:$C$76+'IMPERMEABILIZAÇÃO'!$D$5:$D$76))</f>
        <v/>
      </c>
      <c r="G32" s="91">
        <f>SUMPRODUCT((YEAR('MODELO PARA BI'!$H$1:$CA$1)=$D$5)*'MODELO PARA BI'!$H$19:$CA$19)</f>
        <v/>
      </c>
      <c r="H32" s="91">
        <f>IF(ISNUMBER($G$5),G32*$G$5,0)</f>
        <v/>
      </c>
      <c r="I32" s="89">
        <f>IF($F$53=0,0,F32/$F$53)</f>
        <v/>
      </c>
      <c r="J32" s="89">
        <f>IF('VALOR POR PL'!L29=0,0,SUMPRODUCT(('IMPERMEABILIZAÇÃO'!$B$5:$B$76&lt;=DATE($D$5,12,1))*('IMPERMEABILIZAÇÃO'!$C$5:$C$76+'IMPERMEABILIZAÇÃO'!$D$5:$D$76))/'VALOR POR PL'!L29)</f>
        <v/>
      </c>
      <c r="K32" s="92">
        <f t="array" ref="K32">IF(COUNTIF('CRONOGRAMA ATIVIDADES'!$M$5:$M$6004,B32)=0,"",IF(COUNTIFS('CRONOGRAMA ATIVIDADES'!$M$5:$M$6004,B32,'CRONOGRAMA ATIVIDADES'!$O$5:$O$6004,"CONCLUÍDA")=COUNTIF('CRONOGRAMA ATIVIDADES'!$M$5:$M$6004,B32),"Concluído (todas as "&amp;COUNTIF('CRONOGRAMA ATIVIDADES'!$M$5:$M$6004,B32)&amp;" atividades)",IF(COUNTIFS('CRONOGRAMA ATIVIDADES'!$M$5:$M$6004,B32,'CRONOGRAMA ATIVIDADES'!$O$5:$O$6004,"A INICIAR")=COUNTIF('CRONOGRAMA ATIVIDADES'!$M$5:$M$6004,B32),"Não iniciado · início previsto em "&amp;CHOOSE(MONTH(_xlfn.MINIFS('CRONOGRAMA ATIVIDADES'!$F$5:$F$6004,'CRONOGRAMA ATIVIDADES'!$M$5:$M$6004,B32)),"jan","fev","mar","abr","mai","jun","jul","ago","set","out","nov","dez")&amp;"/"&amp;YEAR(_xlfn.MINIFS('CRONOGRAMA ATIVIDADES'!$F$5:$F$6004,'CRONOGRAMA ATIVIDADES'!$M$5:$M$6004,B32)),_xlfn.TEXTJOIN(" / ",TRUE,IF(('CRONOGRAMA ATIVIDADES'!$S$5:$S$304=B32)*('CRONOGRAMA ATIVIDADES'!$AA$5:$AA$304&lt;&gt;""),'CRONOGRAMA ATIVIDADES'!$AA$5:$AA$304,"")))))</f>
        <v/>
      </c>
      <c r="L32" s="93" t="n"/>
      <c r="M32" s="94">
        <f>'VALOR POR PL'!L29</f>
        <v/>
      </c>
      <c r="N32" s="94">
        <f>IF('VALOR POR PL'!I29="DIRETO",'VALOR POR PL'!L29,0)</f>
        <v/>
      </c>
    </row>
    <row r="33" ht="69" customHeight="1">
      <c r="B33" s="95">
        <f>'VALOR POR PL'!C30</f>
        <v/>
      </c>
      <c r="C33" s="96">
        <f>'VALOR POR PL'!D30</f>
        <v/>
      </c>
      <c r="D33" s="97">
        <f>IF(OR('VALOR POR PL'!I30&lt;&gt;"DIRETO",'CP RESUMO'!$C$24=""),"",IFERROR(INDEX('CP RESUMO'!$D$24:$BW$24,MATCH(DATE($D$5,12,1),'CP RESUMO'!$D$4:$BW$4,0))/100,""))</f>
        <v/>
      </c>
      <c r="E33" s="98">
        <f>IF('VALOR POR PL'!I30&lt;&gt;"DIRETO","",'INST. ELÉTRICA'!$K$14)</f>
        <v/>
      </c>
      <c r="F33" s="99">
        <f>SUMPRODUCT((YEAR('INST. ELÉTRICA'!$B$5:$B$76)=$D$5)*('INST. ELÉTRICA'!$C$5:$C$76+'INST. ELÉTRICA'!$D$5:$D$76))</f>
        <v/>
      </c>
      <c r="G33" s="99">
        <f>SUMPRODUCT((YEAR('MODELO PARA BI'!$H$1:$CA$1)=$D$5)*'MODELO PARA BI'!$H$21:$CA$21)</f>
        <v/>
      </c>
      <c r="H33" s="99">
        <f>IF(ISNUMBER($G$5),G33*$G$5,0)</f>
        <v/>
      </c>
      <c r="I33" s="97">
        <f>IF($F$53=0,0,F33/$F$53)</f>
        <v/>
      </c>
      <c r="J33" s="97">
        <f>IF('VALOR POR PL'!L30=0,0,SUMPRODUCT(('INST. ELÉTRICA'!$B$5:$B$76&lt;=DATE($D$5,12,1))*('INST. ELÉTRICA'!$C$5:$C$76+'INST. ELÉTRICA'!$D$5:$D$76))/'VALOR POR PL'!L30)</f>
        <v/>
      </c>
      <c r="K33" s="100">
        <f t="array" ref="K33">IF(COUNTIF('CRONOGRAMA ATIVIDADES'!$M$5:$M$6004,B33)=0,"",IF(COUNTIFS('CRONOGRAMA ATIVIDADES'!$M$5:$M$6004,B33,'CRONOGRAMA ATIVIDADES'!$O$5:$O$6004,"CONCLUÍDA")=COUNTIF('CRONOGRAMA ATIVIDADES'!$M$5:$M$6004,B33),"Concluído (todas as "&amp;COUNTIF('CRONOGRAMA ATIVIDADES'!$M$5:$M$6004,B33)&amp;" atividades)",IF(COUNTIFS('CRONOGRAMA ATIVIDADES'!$M$5:$M$6004,B33,'CRONOGRAMA ATIVIDADES'!$O$5:$O$6004,"A INICIAR")=COUNTIF('CRONOGRAMA ATIVIDADES'!$M$5:$M$6004,B33),"Não iniciado · início previsto em "&amp;CHOOSE(MONTH(_xlfn.MINIFS('CRONOGRAMA ATIVIDADES'!$F$5:$F$6004,'CRONOGRAMA ATIVIDADES'!$M$5:$M$6004,B33)),"jan","fev","mar","abr","mai","jun","jul","ago","set","out","nov","dez")&amp;"/"&amp;YEAR(_xlfn.MINIFS('CRONOGRAMA ATIVIDADES'!$F$5:$F$6004,'CRONOGRAMA ATIVIDADES'!$M$5:$M$6004,B33)),_xlfn.TEXTJOIN(" / ",TRUE,IF(('CRONOGRAMA ATIVIDADES'!$S$5:$S$304=B33)*('CRONOGRAMA ATIVIDADES'!$AA$5:$AA$304&lt;&gt;""),'CRONOGRAMA ATIVIDADES'!$AA$5:$AA$304,"")))))</f>
        <v/>
      </c>
      <c r="L33" s="101" t="n"/>
      <c r="M33" s="94">
        <f>'VALOR POR PL'!L30</f>
        <v/>
      </c>
      <c r="N33" s="94">
        <f>IF('VALOR POR PL'!I30="DIRETO",'VALOR POR PL'!L30,0)</f>
        <v/>
      </c>
    </row>
    <row r="34" ht="29.4" customHeight="1">
      <c r="B34" s="87">
        <f>'VALOR POR PL'!C31</f>
        <v/>
      </c>
      <c r="C34" s="88">
        <f>'VALOR POR PL'!D31</f>
        <v/>
      </c>
      <c r="D34" s="89">
        <f>IF(OR('VALOR POR PL'!I31&lt;&gt;"DIRETO",'CP RESUMO'!$C$25=""),"",IFERROR(INDEX('CP RESUMO'!$D$25:$BW$25,MATCH(DATE($D$5,12,1),'CP RESUMO'!$D$4:$BW$4,0))/100,""))</f>
        <v/>
      </c>
      <c r="E34" s="90">
        <f>IF('VALOR POR PL'!I31&lt;&gt;"DIRETO","",'INST. HIDRO'!$K$14)</f>
        <v/>
      </c>
      <c r="F34" s="91">
        <f>SUMPRODUCT((YEAR('INST. HIDRO'!$B$5:$B$76)=$D$5)*('INST. HIDRO'!$C$5:$C$76+'INST. HIDRO'!$D$5:$D$76))</f>
        <v/>
      </c>
      <c r="G34" s="91">
        <f>SUMPRODUCT((YEAR('MODELO PARA BI'!$H$1:$CA$1)=$D$5)*'MODELO PARA BI'!$H$23:$CA$23)</f>
        <v/>
      </c>
      <c r="H34" s="91">
        <f>IF(ISNUMBER($G$5),G34*$G$5,0)</f>
        <v/>
      </c>
      <c r="I34" s="89">
        <f>IF($F$53=0,0,F34/$F$53)</f>
        <v/>
      </c>
      <c r="J34" s="89">
        <f>IF('VALOR POR PL'!L31=0,0,SUMPRODUCT(('INST. HIDRO'!$B$5:$B$76&lt;=DATE($D$5,12,1))*('INST. HIDRO'!$C$5:$C$76+'INST. HIDRO'!$D$5:$D$76))/'VALOR POR PL'!L31)</f>
        <v/>
      </c>
      <c r="K34" s="92">
        <f t="array" ref="K34">IF(COUNTIF('CRONOGRAMA ATIVIDADES'!$M$5:$M$6004,B34)=0,"",IF(COUNTIFS('CRONOGRAMA ATIVIDADES'!$M$5:$M$6004,B34,'CRONOGRAMA ATIVIDADES'!$O$5:$O$6004,"CONCLUÍDA")=COUNTIF('CRONOGRAMA ATIVIDADES'!$M$5:$M$6004,B34),"Concluído (todas as "&amp;COUNTIF('CRONOGRAMA ATIVIDADES'!$M$5:$M$6004,B34)&amp;" atividades)",IF(COUNTIFS('CRONOGRAMA ATIVIDADES'!$M$5:$M$6004,B34,'CRONOGRAMA ATIVIDADES'!$O$5:$O$6004,"A INICIAR")=COUNTIF('CRONOGRAMA ATIVIDADES'!$M$5:$M$6004,B34),"Não iniciado · início previsto em "&amp;CHOOSE(MONTH(_xlfn.MINIFS('CRONOGRAMA ATIVIDADES'!$F$5:$F$6004,'CRONOGRAMA ATIVIDADES'!$M$5:$M$6004,B34)),"jan","fev","mar","abr","mai","jun","jul","ago","set","out","nov","dez")&amp;"/"&amp;YEAR(_xlfn.MINIFS('CRONOGRAMA ATIVIDADES'!$F$5:$F$6004,'CRONOGRAMA ATIVIDADES'!$M$5:$M$6004,B34)),_xlfn.TEXTJOIN(" / ",TRUE,IF(('CRONOGRAMA ATIVIDADES'!$S$5:$S$304=B34)*('CRONOGRAMA ATIVIDADES'!$AA$5:$AA$304&lt;&gt;""),'CRONOGRAMA ATIVIDADES'!$AA$5:$AA$304,"")))))</f>
        <v/>
      </c>
      <c r="L34" s="93" t="n"/>
      <c r="M34" s="94">
        <f>'VALOR POR PL'!L31</f>
        <v/>
      </c>
      <c r="N34" s="94">
        <f>IF('VALOR POR PL'!I31="DIRETO",'VALOR POR PL'!L31,0)</f>
        <v/>
      </c>
    </row>
    <row r="35" ht="16.2" customHeight="1">
      <c r="B35" s="95">
        <f>'VALOR POR PL'!C32</f>
        <v/>
      </c>
      <c r="C35" s="96">
        <f>'VALOR POR PL'!D32</f>
        <v/>
      </c>
      <c r="D35" s="97">
        <f>IF(OR('VALOR POR PL'!I32&lt;&gt;"DIRETO",'CP RESUMO'!$C$26=""),"",IFERROR(INDEX('CP RESUMO'!$D$26:$BW$26,MATCH(DATE($D$5,12,1),'CP RESUMO'!$D$4:$BW$4,0))/100,""))</f>
        <v/>
      </c>
      <c r="E35" s="98">
        <f>IF('VALOR POR PL'!I32&lt;&gt;"DIRETO","",'INST. INC'!$K$14)</f>
        <v/>
      </c>
      <c r="F35" s="99">
        <f>SUMPRODUCT((YEAR('INST. INC'!$B$5:$B$76)=$D$5)*('INST. INC'!$C$5:$C$76+'INST. INC'!$D$5:$D$76))</f>
        <v/>
      </c>
      <c r="G35" s="99">
        <f>SUMPRODUCT((YEAR('MODELO PARA BI'!$H$1:$CA$1)=$D$5)*'MODELO PARA BI'!$H$20:$CA$20)</f>
        <v/>
      </c>
      <c r="H35" s="99">
        <f>IF(ISNUMBER($G$5),G35*$G$5,0)</f>
        <v/>
      </c>
      <c r="I35" s="97">
        <f>IF($F$53=0,0,F35/$F$53)</f>
        <v/>
      </c>
      <c r="J35" s="97">
        <f>IF('VALOR POR PL'!L32=0,0,SUMPRODUCT(('INST. INC'!$B$5:$B$76&lt;=DATE($D$5,12,1))*('INST. INC'!$C$5:$C$76+'INST. INC'!$D$5:$D$76))/'VALOR POR PL'!L32)</f>
        <v/>
      </c>
      <c r="K35" s="100">
        <f t="array" ref="K35">IF(COUNTIF('CRONOGRAMA ATIVIDADES'!$M$5:$M$6004,B35)=0,"",IF(COUNTIFS('CRONOGRAMA ATIVIDADES'!$M$5:$M$6004,B35,'CRONOGRAMA ATIVIDADES'!$O$5:$O$6004,"CONCLUÍDA")=COUNTIF('CRONOGRAMA ATIVIDADES'!$M$5:$M$6004,B35),"Concluído (todas as "&amp;COUNTIF('CRONOGRAMA ATIVIDADES'!$M$5:$M$6004,B35)&amp;" atividades)",IF(COUNTIFS('CRONOGRAMA ATIVIDADES'!$M$5:$M$6004,B35,'CRONOGRAMA ATIVIDADES'!$O$5:$O$6004,"A INICIAR")=COUNTIF('CRONOGRAMA ATIVIDADES'!$M$5:$M$6004,B35),"Não iniciado · início previsto em "&amp;CHOOSE(MONTH(_xlfn.MINIFS('CRONOGRAMA ATIVIDADES'!$F$5:$F$6004,'CRONOGRAMA ATIVIDADES'!$M$5:$M$6004,B35)),"jan","fev","mar","abr","mai","jun","jul","ago","set","out","nov","dez")&amp;"/"&amp;YEAR(_xlfn.MINIFS('CRONOGRAMA ATIVIDADES'!$F$5:$F$6004,'CRONOGRAMA ATIVIDADES'!$M$5:$M$6004,B35)),_xlfn.TEXTJOIN(" / ",TRUE,IF(('CRONOGRAMA ATIVIDADES'!$S$5:$S$304=B35)*('CRONOGRAMA ATIVIDADES'!$AA$5:$AA$304&lt;&gt;""),'CRONOGRAMA ATIVIDADES'!$AA$5:$AA$304,"")))))</f>
        <v/>
      </c>
      <c r="L35" s="101" t="n"/>
      <c r="M35" s="94">
        <f>'VALOR POR PL'!L32</f>
        <v/>
      </c>
      <c r="N35" s="94">
        <f>IF('VALOR POR PL'!I32="DIRETO",'VALOR POR PL'!L32,0)</f>
        <v/>
      </c>
    </row>
    <row r="36" ht="29.4" customHeight="1">
      <c r="B36" s="87">
        <f>'VALOR POR PL'!C33</f>
        <v/>
      </c>
      <c r="C36" s="88">
        <f>'VALOR POR PL'!D33</f>
        <v/>
      </c>
      <c r="D36" s="89">
        <f>IF(OR('VALOR POR PL'!I33&lt;&gt;"DIRETO",'CP RESUMO'!$C$27=""),"",IFERROR(INDEX('CP RESUMO'!$D$27:$BW$27,MATCH(DATE($D$5,12,1),'CP RESUMO'!$D$4:$BW$4,0))/100,""))</f>
        <v/>
      </c>
      <c r="E36" s="90">
        <f>IF('VALOR POR PL'!I33&lt;&gt;"DIRETO","",'INST. ESP'!$K$14)</f>
        <v/>
      </c>
      <c r="F36" s="91">
        <f>SUMPRODUCT((YEAR('INST. ESP'!$B$5:$B$76)=$D$5)*('INST. ESP'!$C$5:$C$76+'INST. ESP'!$D$5:$D$76))</f>
        <v/>
      </c>
      <c r="G36" s="91">
        <f>SUMPRODUCT((YEAR('MODELO PARA BI'!$H$1:$CA$1)=$D$5)*'MODELO PARA BI'!$H$22:$CA$22)</f>
        <v/>
      </c>
      <c r="H36" s="91">
        <f>IF(ISNUMBER($G$5),G36*$G$5,0)</f>
        <v/>
      </c>
      <c r="I36" s="89">
        <f>IF($F$53=0,0,F36/$F$53)</f>
        <v/>
      </c>
      <c r="J36" s="89">
        <f>IF('VALOR POR PL'!L33=0,0,SUMPRODUCT(('INST. ESP'!$B$5:$B$76&lt;=DATE($D$5,12,1))*('INST. ESP'!$C$5:$C$76+'INST. ESP'!$D$5:$D$76))/'VALOR POR PL'!L33)</f>
        <v/>
      </c>
      <c r="K36" s="92">
        <f t="array" ref="K36">IF(COUNTIF('CRONOGRAMA ATIVIDADES'!$M$5:$M$6004,B36)=0,"",IF(COUNTIFS('CRONOGRAMA ATIVIDADES'!$M$5:$M$6004,B36,'CRONOGRAMA ATIVIDADES'!$O$5:$O$6004,"CONCLUÍDA")=COUNTIF('CRONOGRAMA ATIVIDADES'!$M$5:$M$6004,B36),"Concluído (todas as "&amp;COUNTIF('CRONOGRAMA ATIVIDADES'!$M$5:$M$6004,B36)&amp;" atividades)",IF(COUNTIFS('CRONOGRAMA ATIVIDADES'!$M$5:$M$6004,B36,'CRONOGRAMA ATIVIDADES'!$O$5:$O$6004,"A INICIAR")=COUNTIF('CRONOGRAMA ATIVIDADES'!$M$5:$M$6004,B36),"Não iniciado · início previsto em "&amp;CHOOSE(MONTH(_xlfn.MINIFS('CRONOGRAMA ATIVIDADES'!$F$5:$F$6004,'CRONOGRAMA ATIVIDADES'!$M$5:$M$6004,B36)),"jan","fev","mar","abr","mai","jun","jul","ago","set","out","nov","dez")&amp;"/"&amp;YEAR(_xlfn.MINIFS('CRONOGRAMA ATIVIDADES'!$F$5:$F$6004,'CRONOGRAMA ATIVIDADES'!$M$5:$M$6004,B36)),_xlfn.TEXTJOIN(" / ",TRUE,IF(('CRONOGRAMA ATIVIDADES'!$S$5:$S$304=B36)*('CRONOGRAMA ATIVIDADES'!$AA$5:$AA$304&lt;&gt;""),'CRONOGRAMA ATIVIDADES'!$AA$5:$AA$304,"")))))</f>
        <v/>
      </c>
      <c r="L36" s="93" t="n"/>
      <c r="M36" s="94">
        <f>'VALOR POR PL'!L33</f>
        <v/>
      </c>
      <c r="N36" s="94">
        <f>IF('VALOR POR PL'!I33="DIRETO",'VALOR POR PL'!L33,0)</f>
        <v/>
      </c>
    </row>
    <row r="37" ht="29.4" customHeight="1">
      <c r="B37" s="95">
        <f>'VALOR POR PL'!C34</f>
        <v/>
      </c>
      <c r="C37" s="96">
        <f>'VALOR POR PL'!D34</f>
        <v/>
      </c>
      <c r="D37" s="97">
        <f>IF(OR('VALOR POR PL'!I34&lt;&gt;"DIRETO",'CP RESUMO'!$C$28=""),"",IFERROR(INDEX('CP RESUMO'!$D$28:$BW$28,MATCH(DATE($D$5,12,1),'CP RESUMO'!$D$4:$BW$4,0))/100,""))</f>
        <v/>
      </c>
      <c r="E37" s="98">
        <f>IF('VALOR POR PL'!I34&lt;&gt;"DIRETO","",'ELEVADORES '!$K$14)</f>
        <v/>
      </c>
      <c r="F37" s="99">
        <f>SUMPRODUCT((YEAR('ELEVADORES '!$B$5:$B$76)=$D$5)*('ELEVADORES '!$C$5:$C$76+'ELEVADORES '!$D$5:$D$76))</f>
        <v/>
      </c>
      <c r="G37" s="99">
        <f>SUMPRODUCT((YEAR('MODELO PARA BI'!$H$1:$CA$1)=$D$5)*'MODELO PARA BI'!$H$10:$CA$10)</f>
        <v/>
      </c>
      <c r="H37" s="99">
        <f>IF(ISNUMBER($G$5),G37*$G$5,0)</f>
        <v/>
      </c>
      <c r="I37" s="97">
        <f>IF($F$53=0,0,F37/$F$53)</f>
        <v/>
      </c>
      <c r="J37" s="97">
        <f>IF('VALOR POR PL'!L34=0,0,SUMPRODUCT(('ELEVADORES '!$B$5:$B$76&lt;=DATE($D$5,12,1))*('ELEVADORES '!$C$5:$C$76+'ELEVADORES '!$D$5:$D$76))/'VALOR POR PL'!L34)</f>
        <v/>
      </c>
      <c r="K37" s="100">
        <f t="array" ref="K37">IF(COUNTIF('CRONOGRAMA ATIVIDADES'!$M$5:$M$6004,B37)=0,"",IF(COUNTIFS('CRONOGRAMA ATIVIDADES'!$M$5:$M$6004,B37,'CRONOGRAMA ATIVIDADES'!$O$5:$O$6004,"CONCLUÍDA")=COUNTIF('CRONOGRAMA ATIVIDADES'!$M$5:$M$6004,B37),"Concluído (todas as "&amp;COUNTIF('CRONOGRAMA ATIVIDADES'!$M$5:$M$6004,B37)&amp;" atividades)",IF(COUNTIFS('CRONOGRAMA ATIVIDADES'!$M$5:$M$6004,B37,'CRONOGRAMA ATIVIDADES'!$O$5:$O$6004,"A INICIAR")=COUNTIF('CRONOGRAMA ATIVIDADES'!$M$5:$M$6004,B37),"Não iniciado · início previsto em "&amp;CHOOSE(MONTH(_xlfn.MINIFS('CRONOGRAMA ATIVIDADES'!$F$5:$F$6004,'CRONOGRAMA ATIVIDADES'!$M$5:$M$6004,B37)),"jan","fev","mar","abr","mai","jun","jul","ago","set","out","nov","dez")&amp;"/"&amp;YEAR(_xlfn.MINIFS('CRONOGRAMA ATIVIDADES'!$F$5:$F$6004,'CRONOGRAMA ATIVIDADES'!$M$5:$M$6004,B37)),_xlfn.TEXTJOIN(" / ",TRUE,IF(('CRONOGRAMA ATIVIDADES'!$S$5:$S$304=B37)*('CRONOGRAMA ATIVIDADES'!$AA$5:$AA$304&lt;&gt;""),'CRONOGRAMA ATIVIDADES'!$AA$5:$AA$304,"")))))</f>
        <v/>
      </c>
      <c r="L37" s="101" t="n"/>
      <c r="M37" s="94">
        <f>'VALOR POR PL'!L34</f>
        <v/>
      </c>
      <c r="N37" s="94">
        <f>IF('VALOR POR PL'!I34="DIRETO",'VALOR POR PL'!L34,0)</f>
        <v/>
      </c>
    </row>
    <row r="38" ht="29.4" customHeight="1">
      <c r="B38" s="87">
        <f>'VALOR POR PL'!C35</f>
        <v/>
      </c>
      <c r="C38" s="88">
        <f>'VALOR POR PL'!D35</f>
        <v/>
      </c>
      <c r="D38" s="89">
        <f>IF(OR('VALOR POR PL'!I35&lt;&gt;"DIRETO",'CP RESUMO'!$C$29=""),"",IFERROR(INDEX('CP RESUMO'!$D$29:$BW$29,MATCH(DATE($D$5,12,1),'CP RESUMO'!$D$4:$BW$4,0))/100,""))</f>
        <v/>
      </c>
      <c r="E38" s="90">
        <f>IF('VALOR POR PL'!I35&lt;&gt;"DIRETO","",'ESQUADRIAS'!$K$14)</f>
        <v/>
      </c>
      <c r="F38" s="91">
        <f>SUMPRODUCT((YEAR('ESQUADRIAS'!$B$5:$B$76)=$D$5)*('ESQUADRIAS'!$C$5:$C$76+'ESQUADRIAS'!$D$5:$D$76))</f>
        <v/>
      </c>
      <c r="G38" s="91">
        <f>SUMPRODUCT((YEAR('MODELO PARA BI'!$H$1:$CA$1)=$D$5)*'MODELO PARA BI'!$H$13:$CA$13)</f>
        <v/>
      </c>
      <c r="H38" s="91">
        <f>IF(ISNUMBER($G$5),G38*$G$5,0)</f>
        <v/>
      </c>
      <c r="I38" s="89">
        <f>IF($F$53=0,0,F38/$F$53)</f>
        <v/>
      </c>
      <c r="J38" s="89">
        <f>IF('VALOR POR PL'!L35=0,0,SUMPRODUCT(('ESQUADRIAS'!$B$5:$B$76&lt;=DATE($D$5,12,1))*('ESQUADRIAS'!$C$5:$C$76+'ESQUADRIAS'!$D$5:$D$76))/'VALOR POR PL'!L35)</f>
        <v/>
      </c>
      <c r="K38" s="92">
        <f t="array" ref="K38">IF(COUNTIF('CRONOGRAMA ATIVIDADES'!$M$5:$M$6004,B38)=0,"",IF(COUNTIFS('CRONOGRAMA ATIVIDADES'!$M$5:$M$6004,B38,'CRONOGRAMA ATIVIDADES'!$O$5:$O$6004,"CONCLUÍDA")=COUNTIF('CRONOGRAMA ATIVIDADES'!$M$5:$M$6004,B38),"Concluído (todas as "&amp;COUNTIF('CRONOGRAMA ATIVIDADES'!$M$5:$M$6004,B38)&amp;" atividades)",IF(COUNTIFS('CRONOGRAMA ATIVIDADES'!$M$5:$M$6004,B38,'CRONOGRAMA ATIVIDADES'!$O$5:$O$6004,"A INICIAR")=COUNTIF('CRONOGRAMA ATIVIDADES'!$M$5:$M$6004,B38),"Não iniciado · início previsto em "&amp;CHOOSE(MONTH(_xlfn.MINIFS('CRONOGRAMA ATIVIDADES'!$F$5:$F$6004,'CRONOGRAMA ATIVIDADES'!$M$5:$M$6004,B38)),"jan","fev","mar","abr","mai","jun","jul","ago","set","out","nov","dez")&amp;"/"&amp;YEAR(_xlfn.MINIFS('CRONOGRAMA ATIVIDADES'!$F$5:$F$6004,'CRONOGRAMA ATIVIDADES'!$M$5:$M$6004,B38)),_xlfn.TEXTJOIN(" / ",TRUE,IF(('CRONOGRAMA ATIVIDADES'!$S$5:$S$304=B38)*('CRONOGRAMA ATIVIDADES'!$AA$5:$AA$304&lt;&gt;""),'CRONOGRAMA ATIVIDADES'!$AA$5:$AA$304,"")))))</f>
        <v/>
      </c>
      <c r="L38" s="93" t="n"/>
      <c r="M38" s="94">
        <f>'VALOR POR PL'!L35</f>
        <v/>
      </c>
      <c r="N38" s="94">
        <f>IF('VALOR POR PL'!I35="DIRETO",'VALOR POR PL'!L35,0)</f>
        <v/>
      </c>
    </row>
    <row r="39" ht="16.2" customHeight="1">
      <c r="B39" s="95">
        <f>'VALOR POR PL'!C36</f>
        <v/>
      </c>
      <c r="C39" s="96">
        <f>'VALOR POR PL'!D36</f>
        <v/>
      </c>
      <c r="D39" s="97">
        <f>IF(OR('VALOR POR PL'!I36&lt;&gt;"DIRETO",'CP RESUMO'!$C$30=""),"",IFERROR(INDEX('CP RESUMO'!$D$30:$BW$30,MATCH(DATE($D$5,12,1),'CP RESUMO'!$D$4:$BW$4,0))/100,""))</f>
        <v/>
      </c>
      <c r="E39" s="98">
        <f>IF('VALOR POR PL'!I36&lt;&gt;"DIRETO","",'SERRALHERIA'!$K$14)</f>
        <v/>
      </c>
      <c r="F39" s="99">
        <f>SUMPRODUCT((YEAR('SERRALHERIA'!$B$5:$B$76)=$D$5)*('SERRALHERIA'!$C$5:$C$76+'SERRALHERIA'!$D$5:$D$76))</f>
        <v/>
      </c>
      <c r="G39" s="99">
        <f>SUMPRODUCT((YEAR('MODELO PARA BI'!$H$1:$CA$1)=$D$5)*'MODELO PARA BI'!$H$46:$CA$46)</f>
        <v/>
      </c>
      <c r="H39" s="99">
        <f>IF(ISNUMBER($G$5),G39*$G$5,0)</f>
        <v/>
      </c>
      <c r="I39" s="97">
        <f>IF($F$53=0,0,F39/$F$53)</f>
        <v/>
      </c>
      <c r="J39" s="97">
        <f>IF('VALOR POR PL'!L36=0,0,SUMPRODUCT(('SERRALHERIA'!$B$5:$B$76&lt;=DATE($D$5,12,1))*('SERRALHERIA'!$C$5:$C$76+'SERRALHERIA'!$D$5:$D$76))/'VALOR POR PL'!L36)</f>
        <v/>
      </c>
      <c r="K39" s="100">
        <f t="array" ref="K39">IF(COUNTIF('CRONOGRAMA ATIVIDADES'!$M$5:$M$6004,B39)=0,"",IF(COUNTIFS('CRONOGRAMA ATIVIDADES'!$M$5:$M$6004,B39,'CRONOGRAMA ATIVIDADES'!$O$5:$O$6004,"CONCLUÍDA")=COUNTIF('CRONOGRAMA ATIVIDADES'!$M$5:$M$6004,B39),"Concluído (todas as "&amp;COUNTIF('CRONOGRAMA ATIVIDADES'!$M$5:$M$6004,B39)&amp;" atividades)",IF(COUNTIFS('CRONOGRAMA ATIVIDADES'!$M$5:$M$6004,B39,'CRONOGRAMA ATIVIDADES'!$O$5:$O$6004,"A INICIAR")=COUNTIF('CRONOGRAMA ATIVIDADES'!$M$5:$M$6004,B39),"Não iniciado · início previsto em "&amp;CHOOSE(MONTH(_xlfn.MINIFS('CRONOGRAMA ATIVIDADES'!$F$5:$F$6004,'CRONOGRAMA ATIVIDADES'!$M$5:$M$6004,B39)),"jan","fev","mar","abr","mai","jun","jul","ago","set","out","nov","dez")&amp;"/"&amp;YEAR(_xlfn.MINIFS('CRONOGRAMA ATIVIDADES'!$F$5:$F$6004,'CRONOGRAMA ATIVIDADES'!$M$5:$M$6004,B39)),_xlfn.TEXTJOIN(" / ",TRUE,IF(('CRONOGRAMA ATIVIDADES'!$S$5:$S$304=B39)*('CRONOGRAMA ATIVIDADES'!$AA$5:$AA$304&lt;&gt;""),'CRONOGRAMA ATIVIDADES'!$AA$5:$AA$304,"")))))</f>
        <v/>
      </c>
      <c r="L39" s="101" t="n"/>
      <c r="M39" s="94">
        <f>'VALOR POR PL'!L36</f>
        <v/>
      </c>
      <c r="N39" s="94">
        <f>IF('VALOR POR PL'!I36="DIRETO",'VALOR POR PL'!L36,0)</f>
        <v/>
      </c>
    </row>
    <row r="40" ht="16.2" customHeight="1">
      <c r="B40" s="87">
        <f>'VALOR POR PL'!C37</f>
        <v/>
      </c>
      <c r="C40" s="88">
        <f>'VALOR POR PL'!D37</f>
        <v/>
      </c>
      <c r="D40" s="89">
        <f>IF(OR('VALOR POR PL'!I37&lt;&gt;"DIRETO",'CP RESUMO'!$C$31=""),"",IFERROR(INDEX('CP RESUMO'!$D$31:$BW$31,MATCH(DATE($D$5,12,1),'CP RESUMO'!$D$4:$BW$4,0))/100,""))</f>
        <v/>
      </c>
      <c r="E40" s="90">
        <f>IF('VALOR POR PL'!I37&lt;&gt;"DIRETO","",'MARCENARIA'!$K$14)</f>
        <v/>
      </c>
      <c r="F40" s="91">
        <f>SUMPRODUCT((YEAR('MARCENARIA'!$B$5:$B$76)=$D$5)*('MARCENARIA'!$C$5:$C$76+'MARCENARIA'!$D$5:$D$76))</f>
        <v/>
      </c>
      <c r="G40" s="91">
        <f>SUMPRODUCT((YEAR('MODELO PARA BI'!$H$1:$CA$1)=$D$5)*'MODELO PARA BI'!$H$29:$CA$29)</f>
        <v/>
      </c>
      <c r="H40" s="91">
        <f>IF(ISNUMBER($G$5),G40*$G$5,0)</f>
        <v/>
      </c>
      <c r="I40" s="89">
        <f>IF($F$53=0,0,F40/$F$53)</f>
        <v/>
      </c>
      <c r="J40" s="89">
        <f>IF('VALOR POR PL'!L37=0,0,SUMPRODUCT(('MARCENARIA'!$B$5:$B$76&lt;=DATE($D$5,12,1))*('MARCENARIA'!$C$5:$C$76+'MARCENARIA'!$D$5:$D$76))/'VALOR POR PL'!L37)</f>
        <v/>
      </c>
      <c r="K40" s="92">
        <f t="array" ref="K40">IF(COUNTIF('CRONOGRAMA ATIVIDADES'!$M$5:$M$6004,B40)=0,"",IF(COUNTIFS('CRONOGRAMA ATIVIDADES'!$M$5:$M$6004,B40,'CRONOGRAMA ATIVIDADES'!$O$5:$O$6004,"CONCLUÍDA")=COUNTIF('CRONOGRAMA ATIVIDADES'!$M$5:$M$6004,B40),"Concluído (todas as "&amp;COUNTIF('CRONOGRAMA ATIVIDADES'!$M$5:$M$6004,B40)&amp;" atividades)",IF(COUNTIFS('CRONOGRAMA ATIVIDADES'!$M$5:$M$6004,B40,'CRONOGRAMA ATIVIDADES'!$O$5:$O$6004,"A INICIAR")=COUNTIF('CRONOGRAMA ATIVIDADES'!$M$5:$M$6004,B40),"Não iniciado · início previsto em "&amp;CHOOSE(MONTH(_xlfn.MINIFS('CRONOGRAMA ATIVIDADES'!$F$5:$F$6004,'CRONOGRAMA ATIVIDADES'!$M$5:$M$6004,B40)),"jan","fev","mar","abr","mai","jun","jul","ago","set","out","nov","dez")&amp;"/"&amp;YEAR(_xlfn.MINIFS('CRONOGRAMA ATIVIDADES'!$F$5:$F$6004,'CRONOGRAMA ATIVIDADES'!$M$5:$M$6004,B40)),_xlfn.TEXTJOIN(" / ",TRUE,IF(('CRONOGRAMA ATIVIDADES'!$S$5:$S$304=B40)*('CRONOGRAMA ATIVIDADES'!$AA$5:$AA$304&lt;&gt;""),'CRONOGRAMA ATIVIDADES'!$AA$5:$AA$304,"")))))</f>
        <v/>
      </c>
      <c r="L40" s="93" t="n"/>
      <c r="M40" s="94">
        <f>'VALOR POR PL'!L37</f>
        <v/>
      </c>
      <c r="N40" s="94">
        <f>IF('VALOR POR PL'!I37="DIRETO",'VALOR POR PL'!L37,0)</f>
        <v/>
      </c>
    </row>
    <row r="41" ht="16.2" customHeight="1">
      <c r="B41" s="95">
        <f>'VALOR POR PL'!C38</f>
        <v/>
      </c>
      <c r="C41" s="96">
        <f>'VALOR POR PL'!D38</f>
        <v/>
      </c>
      <c r="D41" s="97">
        <f>IF(OR('VALOR POR PL'!I38&lt;&gt;"DIRETO",'CP RESUMO'!$C$32=""),"",IFERROR(INDEX('CP RESUMO'!$D$32:$BW$32,MATCH(DATE($D$5,12,1),'CP RESUMO'!$D$4:$BW$4,0))/100,""))</f>
        <v/>
      </c>
      <c r="E41" s="98">
        <f>IF('VALOR POR PL'!I38&lt;&gt;"DIRETO","",'REV. PISOS'!$K$14)</f>
        <v/>
      </c>
      <c r="F41" s="99">
        <f>SUMPRODUCT((YEAR('REV. PISOS'!$B$5:$B$76)=$D$5)*('REV. PISOS'!$C$5:$C$76+'REV. PISOS'!$D$5:$D$76))</f>
        <v/>
      </c>
      <c r="G41" s="99">
        <f>SUMPRODUCT((YEAR('MODELO PARA BI'!$H$1:$CA$1)=$D$5)*'MODELO PARA BI'!$H$37:$CA$37)</f>
        <v/>
      </c>
      <c r="H41" s="99">
        <f>IF(ISNUMBER($G$5),G41*$G$5,0)</f>
        <v/>
      </c>
      <c r="I41" s="97">
        <f>IF($F$53=0,0,F41/$F$53)</f>
        <v/>
      </c>
      <c r="J41" s="97">
        <f>IF('VALOR POR PL'!L38=0,0,SUMPRODUCT(('REV. PISOS'!$B$5:$B$76&lt;=DATE($D$5,12,1))*('REV. PISOS'!$C$5:$C$76+'REV. PISOS'!$D$5:$D$76))/'VALOR POR PL'!L38)</f>
        <v/>
      </c>
      <c r="K41" s="100">
        <f t="array" ref="K41">IF(COUNTIF('CRONOGRAMA ATIVIDADES'!$M$5:$M$6004,B41)=0,"",IF(COUNTIFS('CRONOGRAMA ATIVIDADES'!$M$5:$M$6004,B41,'CRONOGRAMA ATIVIDADES'!$O$5:$O$6004,"CONCLUÍDA")=COUNTIF('CRONOGRAMA ATIVIDADES'!$M$5:$M$6004,B41),"Concluído (todas as "&amp;COUNTIF('CRONOGRAMA ATIVIDADES'!$M$5:$M$6004,B41)&amp;" atividades)",IF(COUNTIFS('CRONOGRAMA ATIVIDADES'!$M$5:$M$6004,B41,'CRONOGRAMA ATIVIDADES'!$O$5:$O$6004,"A INICIAR")=COUNTIF('CRONOGRAMA ATIVIDADES'!$M$5:$M$6004,B41),"Não iniciado · início previsto em "&amp;CHOOSE(MONTH(_xlfn.MINIFS('CRONOGRAMA ATIVIDADES'!$F$5:$F$6004,'CRONOGRAMA ATIVIDADES'!$M$5:$M$6004,B41)),"jan","fev","mar","abr","mai","jun","jul","ago","set","out","nov","dez")&amp;"/"&amp;YEAR(_xlfn.MINIFS('CRONOGRAMA ATIVIDADES'!$F$5:$F$6004,'CRONOGRAMA ATIVIDADES'!$M$5:$M$6004,B41)),_xlfn.TEXTJOIN(" / ",TRUE,IF(('CRONOGRAMA ATIVIDADES'!$S$5:$S$304=B41)*('CRONOGRAMA ATIVIDADES'!$AA$5:$AA$304&lt;&gt;""),'CRONOGRAMA ATIVIDADES'!$AA$5:$AA$304,"")))))</f>
        <v/>
      </c>
      <c r="L41" s="101" t="n"/>
      <c r="M41" s="94">
        <f>'VALOR POR PL'!L38</f>
        <v/>
      </c>
      <c r="N41" s="94">
        <f>IF('VALOR POR PL'!I38="DIRETO",'VALOR POR PL'!L38,0)</f>
        <v/>
      </c>
    </row>
    <row r="42" ht="29.4" customHeight="1">
      <c r="B42" s="87">
        <f>'VALOR POR PL'!C39</f>
        <v/>
      </c>
      <c r="C42" s="88">
        <f>'VALOR POR PL'!D39</f>
        <v/>
      </c>
      <c r="D42" s="89">
        <f>IF(OR('VALOR POR PL'!I39&lt;&gt;"DIRETO",'CP RESUMO'!$C$33=""),"",IFERROR(INDEX('CP RESUMO'!$D$33:$BW$33,MATCH(DATE($D$5,12,1),'CP RESUMO'!$D$4:$BW$4,0))/100,""))</f>
        <v/>
      </c>
      <c r="E42" s="90">
        <f>IF('VALOR POR PL'!I39&lt;&gt;"DIRETO","",'REV. PAREDE'!$K$14)</f>
        <v/>
      </c>
      <c r="F42" s="91">
        <f>SUMPRODUCT((YEAR('REV. PAREDE'!$B$5:$B$76)=$D$5)*('REV. PAREDE'!$C$5:$C$76+'REV. PAREDE'!$D$5:$D$76))</f>
        <v/>
      </c>
      <c r="G42" s="91">
        <f>SUMPRODUCT((YEAR('MODELO PARA BI'!$H$1:$CA$1)=$D$5)*'MODELO PARA BI'!$H$38:$CA$38)</f>
        <v/>
      </c>
      <c r="H42" s="91">
        <f>IF(ISNUMBER($G$5),G42*$G$5,0)</f>
        <v/>
      </c>
      <c r="I42" s="89">
        <f>IF($F$53=0,0,F42/$F$53)</f>
        <v/>
      </c>
      <c r="J42" s="89">
        <f>IF('VALOR POR PL'!L39=0,0,SUMPRODUCT(('REV. PAREDE'!$B$5:$B$76&lt;=DATE($D$5,12,1))*('REV. PAREDE'!$C$5:$C$76+'REV. PAREDE'!$D$5:$D$76))/'VALOR POR PL'!L39)</f>
        <v/>
      </c>
      <c r="K42" s="92">
        <f t="array" ref="K42">IF(COUNTIF('CRONOGRAMA ATIVIDADES'!$M$5:$M$6004,B42)=0,"",IF(COUNTIFS('CRONOGRAMA ATIVIDADES'!$M$5:$M$6004,B42,'CRONOGRAMA ATIVIDADES'!$O$5:$O$6004,"CONCLUÍDA")=COUNTIF('CRONOGRAMA ATIVIDADES'!$M$5:$M$6004,B42),"Concluído (todas as "&amp;COUNTIF('CRONOGRAMA ATIVIDADES'!$M$5:$M$6004,B42)&amp;" atividades)",IF(COUNTIFS('CRONOGRAMA ATIVIDADES'!$M$5:$M$6004,B42,'CRONOGRAMA ATIVIDADES'!$O$5:$O$6004,"A INICIAR")=COUNTIF('CRONOGRAMA ATIVIDADES'!$M$5:$M$6004,B42),"Não iniciado · início previsto em "&amp;CHOOSE(MONTH(_xlfn.MINIFS('CRONOGRAMA ATIVIDADES'!$F$5:$F$6004,'CRONOGRAMA ATIVIDADES'!$M$5:$M$6004,B42)),"jan","fev","mar","abr","mai","jun","jul","ago","set","out","nov","dez")&amp;"/"&amp;YEAR(_xlfn.MINIFS('CRONOGRAMA ATIVIDADES'!$F$5:$F$6004,'CRONOGRAMA ATIVIDADES'!$M$5:$M$6004,B42)),_xlfn.TEXTJOIN(" / ",TRUE,IF(('CRONOGRAMA ATIVIDADES'!$S$5:$S$304=B42)*('CRONOGRAMA ATIVIDADES'!$AA$5:$AA$304&lt;&gt;""),'CRONOGRAMA ATIVIDADES'!$AA$5:$AA$304,"")))))</f>
        <v/>
      </c>
      <c r="L42" s="93" t="n"/>
      <c r="M42" s="94">
        <f>'VALOR POR PL'!L39</f>
        <v/>
      </c>
      <c r="N42" s="94">
        <f>IF('VALOR POR PL'!I39="DIRETO",'VALOR POR PL'!L39,0)</f>
        <v/>
      </c>
    </row>
    <row r="43" ht="55.8" customHeight="1">
      <c r="B43" s="95">
        <f>'VALOR POR PL'!C40</f>
        <v/>
      </c>
      <c r="C43" s="96">
        <f>'VALOR POR PL'!D40</f>
        <v/>
      </c>
      <c r="D43" s="97">
        <f>IF(OR('VALOR POR PL'!I40&lt;&gt;"DIRETO",'CP RESUMO'!$C$34=""),"",IFERROR(INDEX('CP RESUMO'!$D$34:$BW$34,MATCH(DATE($D$5,12,1),'CP RESUMO'!$D$4:$BW$4,0))/100,""))</f>
        <v/>
      </c>
      <c r="E43" s="98">
        <f>IF('VALOR POR PL'!I40&lt;&gt;"DIRETO","",'REV. ACAB'!$K$14)</f>
        <v/>
      </c>
      <c r="F43" s="99">
        <f>SUMPRODUCT((YEAR('REV. ACAB'!$B$5:$B$76)=$D$5)*('REV. ACAB'!$C$5:$C$76+'REV. ACAB'!$D$5:$D$76))</f>
        <v/>
      </c>
      <c r="G43" s="99">
        <f>SUMPRODUCT((YEAR('MODELO PARA BI'!$H$1:$CA$1)=$D$5)*'MODELO PARA BI'!$H$36:$CA$36)</f>
        <v/>
      </c>
      <c r="H43" s="99">
        <f>IF(ISNUMBER($G$5),G43*$G$5,0)</f>
        <v/>
      </c>
      <c r="I43" s="97">
        <f>IF($F$53=0,0,F43/$F$53)</f>
        <v/>
      </c>
      <c r="J43" s="97">
        <f>IF('VALOR POR PL'!L40=0,0,SUMPRODUCT(('REV. ACAB'!$B$5:$B$76&lt;=DATE($D$5,12,1))*('REV. ACAB'!$C$5:$C$76+'REV. ACAB'!$D$5:$D$76))/'VALOR POR PL'!L40)</f>
        <v/>
      </c>
      <c r="K43" s="100">
        <f t="array" ref="K43">IF(COUNTIF('CRONOGRAMA ATIVIDADES'!$M$5:$M$6004,B43)=0,"",IF(COUNTIFS('CRONOGRAMA ATIVIDADES'!$M$5:$M$6004,B43,'CRONOGRAMA ATIVIDADES'!$O$5:$O$6004,"CONCLUÍDA")=COUNTIF('CRONOGRAMA ATIVIDADES'!$M$5:$M$6004,B43),"Concluído (todas as "&amp;COUNTIF('CRONOGRAMA ATIVIDADES'!$M$5:$M$6004,B43)&amp;" atividades)",IF(COUNTIFS('CRONOGRAMA ATIVIDADES'!$M$5:$M$6004,B43,'CRONOGRAMA ATIVIDADES'!$O$5:$O$6004,"A INICIAR")=COUNTIF('CRONOGRAMA ATIVIDADES'!$M$5:$M$6004,B43),"Não iniciado · início previsto em "&amp;CHOOSE(MONTH(_xlfn.MINIFS('CRONOGRAMA ATIVIDADES'!$F$5:$F$6004,'CRONOGRAMA ATIVIDADES'!$M$5:$M$6004,B43)),"jan","fev","mar","abr","mai","jun","jul","ago","set","out","nov","dez")&amp;"/"&amp;YEAR(_xlfn.MINIFS('CRONOGRAMA ATIVIDADES'!$F$5:$F$6004,'CRONOGRAMA ATIVIDADES'!$M$5:$M$6004,B43)),_xlfn.TEXTJOIN(" / ",TRUE,IF(('CRONOGRAMA ATIVIDADES'!$S$5:$S$304=B43)*('CRONOGRAMA ATIVIDADES'!$AA$5:$AA$304&lt;&gt;""),'CRONOGRAMA ATIVIDADES'!$AA$5:$AA$304,"")))))</f>
        <v/>
      </c>
      <c r="L43" s="101" t="n"/>
      <c r="M43" s="94">
        <f>'VALOR POR PL'!L40</f>
        <v/>
      </c>
      <c r="N43" s="94">
        <f>IF('VALOR POR PL'!I40="DIRETO",'VALOR POR PL'!L40,0)</f>
        <v/>
      </c>
    </row>
    <row r="44" ht="16.2" customHeight="1">
      <c r="B44" s="87">
        <f>'VALOR POR PL'!C41</f>
        <v/>
      </c>
      <c r="C44" s="88">
        <f>'VALOR POR PL'!D41</f>
        <v/>
      </c>
      <c r="D44" s="89">
        <f>IF(OR('VALOR POR PL'!I41&lt;&gt;"DIRETO",'CP RESUMO'!$C$35=""),"",IFERROR(INDEX('CP RESUMO'!$D$35:$BW$35,MATCH(DATE($D$5,12,1),'CP RESUMO'!$D$4:$BW$4,0))/100,""))</f>
        <v/>
      </c>
      <c r="E44" s="90">
        <f>IF('VALOR POR PL'!I41&lt;&gt;"DIRETO","",'EST. METÁLICA'!$K$14)</f>
        <v/>
      </c>
      <c r="F44" s="91">
        <f>SUMPRODUCT((YEAR('EST. METÁLICA'!$B$5:$B$76)=$D$5)*('EST. METÁLICA'!$C$5:$C$76+'EST. METÁLICA'!$D$5:$D$76))</f>
        <v/>
      </c>
      <c r="G44" s="91">
        <f>SUMPRODUCT((YEAR('MODELO PARA BI'!$H$1:$CA$1)=$D$5)*'MODELO PARA BI'!$H$32:$CA$32)</f>
        <v/>
      </c>
      <c r="H44" s="91">
        <f>IF(ISNUMBER($G$5),G44*$G$5,0)</f>
        <v/>
      </c>
      <c r="I44" s="89">
        <f>IF($F$53=0,0,F44/$F$53)</f>
        <v/>
      </c>
      <c r="J44" s="89">
        <f>IF('VALOR POR PL'!L41=0,0,SUMPRODUCT(('EST. METÁLICA'!$B$5:$B$76&lt;=DATE($D$5,12,1))*('EST. METÁLICA'!$C$5:$C$76+'EST. METÁLICA'!$D$5:$D$76))/'VALOR POR PL'!L41)</f>
        <v/>
      </c>
      <c r="K44" s="92">
        <f t="array" ref="K44">IF(COUNTIF('CRONOGRAMA ATIVIDADES'!$M$5:$M$6004,B44)=0,"",IF(COUNTIFS('CRONOGRAMA ATIVIDADES'!$M$5:$M$6004,B44,'CRONOGRAMA ATIVIDADES'!$O$5:$O$6004,"CONCLUÍDA")=COUNTIF('CRONOGRAMA ATIVIDADES'!$M$5:$M$6004,B44),"Concluído (todas as "&amp;COUNTIF('CRONOGRAMA ATIVIDADES'!$M$5:$M$6004,B44)&amp;" atividades)",IF(COUNTIFS('CRONOGRAMA ATIVIDADES'!$M$5:$M$6004,B44,'CRONOGRAMA ATIVIDADES'!$O$5:$O$6004,"A INICIAR")=COUNTIF('CRONOGRAMA ATIVIDADES'!$M$5:$M$6004,B44),"Não iniciado · início previsto em "&amp;CHOOSE(MONTH(_xlfn.MINIFS('CRONOGRAMA ATIVIDADES'!$F$5:$F$6004,'CRONOGRAMA ATIVIDADES'!$M$5:$M$6004,B44)),"jan","fev","mar","abr","mai","jun","jul","ago","set","out","nov","dez")&amp;"/"&amp;YEAR(_xlfn.MINIFS('CRONOGRAMA ATIVIDADES'!$F$5:$F$6004,'CRONOGRAMA ATIVIDADES'!$M$5:$M$6004,B44)),_xlfn.TEXTJOIN(" / ",TRUE,IF(('CRONOGRAMA ATIVIDADES'!$S$5:$S$304=B44)*('CRONOGRAMA ATIVIDADES'!$AA$5:$AA$304&lt;&gt;""),'CRONOGRAMA ATIVIDADES'!$AA$5:$AA$304,"")))))</f>
        <v/>
      </c>
      <c r="L44" s="93" t="n"/>
      <c r="M44" s="94">
        <f>'VALOR POR PL'!L41</f>
        <v/>
      </c>
      <c r="N44" s="94">
        <f>IF('VALOR POR PL'!I41="DIRETO",'VALOR POR PL'!L41,0)</f>
        <v/>
      </c>
    </row>
    <row r="45" ht="69" customHeight="1">
      <c r="B45" s="95">
        <f>'VALOR POR PL'!C42</f>
        <v/>
      </c>
      <c r="C45" s="96">
        <f>'VALOR POR PL'!D42</f>
        <v/>
      </c>
      <c r="D45" s="97">
        <f>IF(OR('VALOR POR PL'!I42&lt;&gt;"DIRETO",'CP RESUMO'!$C$36=""),"",IFERROR(INDEX('CP RESUMO'!$D$36:$BW$36,MATCH(DATE($D$5,12,1),'CP RESUMO'!$D$4:$BW$4,0))/100,""))</f>
        <v/>
      </c>
      <c r="E45" s="98">
        <f>IF('VALOR POR PL'!I42&lt;&gt;"DIRETO","",'REV. FACHADA'!$K$14)</f>
        <v/>
      </c>
      <c r="F45" s="99">
        <f>SUMPRODUCT((YEAR('REV. FACHADA'!$B$5:$B$76)=$D$5)*('REV. FACHADA'!$C$5:$C$76+'REV. FACHADA'!$D$5:$D$76))</f>
        <v/>
      </c>
      <c r="G45" s="99">
        <f>SUMPRODUCT((YEAR('MODELO PARA BI'!$H$1:$CA$1)=$D$5)*'MODELO PARA BI'!$H$39:$CA$39)</f>
        <v/>
      </c>
      <c r="H45" s="99">
        <f>IF(ISNUMBER($G$5),G45*$G$5,0)</f>
        <v/>
      </c>
      <c r="I45" s="97">
        <f>IF($F$53=0,0,F45/$F$53)</f>
        <v/>
      </c>
      <c r="J45" s="97">
        <f>IF('VALOR POR PL'!L42=0,0,SUMPRODUCT(('REV. FACHADA'!$B$5:$B$76&lt;=DATE($D$5,12,1))*('REV. FACHADA'!$C$5:$C$76+'REV. FACHADA'!$D$5:$D$76))/'VALOR POR PL'!L42)</f>
        <v/>
      </c>
      <c r="K45" s="100">
        <f t="array" ref="K45">IF(COUNTIF('CRONOGRAMA ATIVIDADES'!$M$5:$M$6004,B45)=0,"",IF(COUNTIFS('CRONOGRAMA ATIVIDADES'!$M$5:$M$6004,B45,'CRONOGRAMA ATIVIDADES'!$O$5:$O$6004,"CONCLUÍDA")=COUNTIF('CRONOGRAMA ATIVIDADES'!$M$5:$M$6004,B45),"Concluído (todas as "&amp;COUNTIF('CRONOGRAMA ATIVIDADES'!$M$5:$M$6004,B45)&amp;" atividades)",IF(COUNTIFS('CRONOGRAMA ATIVIDADES'!$M$5:$M$6004,B45,'CRONOGRAMA ATIVIDADES'!$O$5:$O$6004,"A INICIAR")=COUNTIF('CRONOGRAMA ATIVIDADES'!$M$5:$M$6004,B45),"Não iniciado · início previsto em "&amp;CHOOSE(MONTH(_xlfn.MINIFS('CRONOGRAMA ATIVIDADES'!$F$5:$F$6004,'CRONOGRAMA ATIVIDADES'!$M$5:$M$6004,B45)),"jan","fev","mar","abr","mai","jun","jul","ago","set","out","nov","dez")&amp;"/"&amp;YEAR(_xlfn.MINIFS('CRONOGRAMA ATIVIDADES'!$F$5:$F$6004,'CRONOGRAMA ATIVIDADES'!$M$5:$M$6004,B45)),_xlfn.TEXTJOIN(" / ",TRUE,IF(('CRONOGRAMA ATIVIDADES'!$S$5:$S$304=B45)*('CRONOGRAMA ATIVIDADES'!$AA$5:$AA$304&lt;&gt;""),'CRONOGRAMA ATIVIDADES'!$AA$5:$AA$304,"")))))</f>
        <v/>
      </c>
      <c r="L45" s="101" t="n"/>
      <c r="M45" s="94">
        <f>'VALOR POR PL'!L42</f>
        <v/>
      </c>
      <c r="N45" s="94">
        <f>IF('VALOR POR PL'!I42="DIRETO",'VALOR POR PL'!L42,0)</f>
        <v/>
      </c>
    </row>
    <row r="46" ht="29.4" customHeight="1">
      <c r="B46" s="87">
        <f>'VALOR POR PL'!C43</f>
        <v/>
      </c>
      <c r="C46" s="88">
        <f>'VALOR POR PL'!D43</f>
        <v/>
      </c>
      <c r="D46" s="89">
        <f>IF(OR('VALOR POR PL'!I43&lt;&gt;"DIRETO",'CP RESUMO'!$C$37=""),"",IFERROR(INDEX('CP RESUMO'!$D$37:$BW$37,MATCH(DATE($D$5,12,1),'CP RESUMO'!$D$4:$BW$4,0))/100,""))</f>
        <v/>
      </c>
      <c r="E46" s="90">
        <f>IF('VALOR POR PL'!I43&lt;&gt;"DIRETO","",'FORRO'!$K$14)</f>
        <v/>
      </c>
      <c r="F46" s="91">
        <f>SUMPRODUCT((YEAR('FORRO'!$B$5:$B$76)=$D$5)*('FORRO'!$C$5:$C$76+'FORRO'!$D$5:$D$76))</f>
        <v/>
      </c>
      <c r="G46" s="91">
        <f>SUMPRODUCT((YEAR('MODELO PARA BI'!$H$1:$CA$1)=$D$5)*'MODELO PARA BI'!$H$16:$CA$16)</f>
        <v/>
      </c>
      <c r="H46" s="91">
        <f>IF(ISNUMBER($G$5),G46*$G$5,0)</f>
        <v/>
      </c>
      <c r="I46" s="89">
        <f>IF($F$53=0,0,F46/$F$53)</f>
        <v/>
      </c>
      <c r="J46" s="89">
        <f>IF('VALOR POR PL'!L43=0,0,SUMPRODUCT(('FORRO'!$B$5:$B$76&lt;=DATE($D$5,12,1))*('FORRO'!$C$5:$C$76+'FORRO'!$D$5:$D$76))/'VALOR POR PL'!L43)</f>
        <v/>
      </c>
      <c r="K46" s="92">
        <f t="array" ref="K46">IF(COUNTIF('CRONOGRAMA ATIVIDADES'!$M$5:$M$6004,B46)=0,"",IF(COUNTIFS('CRONOGRAMA ATIVIDADES'!$M$5:$M$6004,B46,'CRONOGRAMA ATIVIDADES'!$O$5:$O$6004,"CONCLUÍDA")=COUNTIF('CRONOGRAMA ATIVIDADES'!$M$5:$M$6004,B46),"Concluído (todas as "&amp;COUNTIF('CRONOGRAMA ATIVIDADES'!$M$5:$M$6004,B46)&amp;" atividades)",IF(COUNTIFS('CRONOGRAMA ATIVIDADES'!$M$5:$M$6004,B46,'CRONOGRAMA ATIVIDADES'!$O$5:$O$6004,"A INICIAR")=COUNTIF('CRONOGRAMA ATIVIDADES'!$M$5:$M$6004,B46),"Não iniciado · início previsto em "&amp;CHOOSE(MONTH(_xlfn.MINIFS('CRONOGRAMA ATIVIDADES'!$F$5:$F$6004,'CRONOGRAMA ATIVIDADES'!$M$5:$M$6004,B46)),"jan","fev","mar","abr","mai","jun","jul","ago","set","out","nov","dez")&amp;"/"&amp;YEAR(_xlfn.MINIFS('CRONOGRAMA ATIVIDADES'!$F$5:$F$6004,'CRONOGRAMA ATIVIDADES'!$M$5:$M$6004,B46)),_xlfn.TEXTJOIN(" / ",TRUE,IF(('CRONOGRAMA ATIVIDADES'!$S$5:$S$304=B46)*('CRONOGRAMA ATIVIDADES'!$AA$5:$AA$304&lt;&gt;""),'CRONOGRAMA ATIVIDADES'!$AA$5:$AA$304,"")))))</f>
        <v/>
      </c>
      <c r="L46" s="93" t="n"/>
      <c r="M46" s="94">
        <f>'VALOR POR PL'!L43</f>
        <v/>
      </c>
      <c r="N46" s="94">
        <f>IF('VALOR POR PL'!I43="DIRETO",'VALOR POR PL'!L43,0)</f>
        <v/>
      </c>
    </row>
    <row r="47" ht="16.2" customHeight="1">
      <c r="B47" s="95">
        <f>'VALOR POR PL'!C44</f>
        <v/>
      </c>
      <c r="C47" s="96">
        <f>'VALOR POR PL'!D44</f>
        <v/>
      </c>
      <c r="D47" s="97">
        <f>IF(OR('VALOR POR PL'!I44&lt;&gt;"DIRETO",'CP RESUMO'!$C$38=""),"",IFERROR(INDEX('CP RESUMO'!$D$38:$BW$38,MATCH(DATE($D$5,12,1),'CP RESUMO'!$D$4:$BW$4,0))/100,""))</f>
        <v/>
      </c>
      <c r="E47" s="98">
        <f>IF('VALOR POR PL'!I44&lt;&gt;"DIRETO","",'LOUÇAS'!$K$14)</f>
        <v/>
      </c>
      <c r="F47" s="99">
        <f>SUMPRODUCT((YEAR('LOUÇAS'!$B$5:$B$76)=$D$5)*('LOUÇAS'!$C$5:$C$76+'LOUÇAS'!$D$5:$D$76))</f>
        <v/>
      </c>
      <c r="G47" s="99">
        <f>SUMPRODUCT((YEAR('MODELO PARA BI'!$H$1:$CA$1)=$D$5)*'MODELO PARA BI'!$H$27:$CA$27)</f>
        <v/>
      </c>
      <c r="H47" s="99">
        <f>IF(ISNUMBER($G$5),G47*$G$5,0)</f>
        <v/>
      </c>
      <c r="I47" s="97">
        <f>IF($F$53=0,0,F47/$F$53)</f>
        <v/>
      </c>
      <c r="J47" s="97">
        <f>IF('VALOR POR PL'!L44=0,0,SUMPRODUCT(('LOUÇAS'!$B$5:$B$76&lt;=DATE($D$5,12,1))*('LOUÇAS'!$C$5:$C$76+'LOUÇAS'!$D$5:$D$76))/'VALOR POR PL'!L44)</f>
        <v/>
      </c>
      <c r="K47" s="100">
        <f t="array" ref="K47">IF(COUNTIF('CRONOGRAMA ATIVIDADES'!$M$5:$M$6004,B47)=0,"",IF(COUNTIFS('CRONOGRAMA ATIVIDADES'!$M$5:$M$6004,B47,'CRONOGRAMA ATIVIDADES'!$O$5:$O$6004,"CONCLUÍDA")=COUNTIF('CRONOGRAMA ATIVIDADES'!$M$5:$M$6004,B47),"Concluído (todas as "&amp;COUNTIF('CRONOGRAMA ATIVIDADES'!$M$5:$M$6004,B47)&amp;" atividades)",IF(COUNTIFS('CRONOGRAMA ATIVIDADES'!$M$5:$M$6004,B47,'CRONOGRAMA ATIVIDADES'!$O$5:$O$6004,"A INICIAR")=COUNTIF('CRONOGRAMA ATIVIDADES'!$M$5:$M$6004,B47),"Não iniciado · início previsto em "&amp;CHOOSE(MONTH(_xlfn.MINIFS('CRONOGRAMA ATIVIDADES'!$F$5:$F$6004,'CRONOGRAMA ATIVIDADES'!$M$5:$M$6004,B47)),"jan","fev","mar","abr","mai","jun","jul","ago","set","out","nov","dez")&amp;"/"&amp;YEAR(_xlfn.MINIFS('CRONOGRAMA ATIVIDADES'!$F$5:$F$6004,'CRONOGRAMA ATIVIDADES'!$M$5:$M$6004,B47)),_xlfn.TEXTJOIN(" / ",TRUE,IF(('CRONOGRAMA ATIVIDADES'!$S$5:$S$304=B47)*('CRONOGRAMA ATIVIDADES'!$AA$5:$AA$304&lt;&gt;""),'CRONOGRAMA ATIVIDADES'!$AA$5:$AA$304,"")))))</f>
        <v/>
      </c>
      <c r="L47" s="101" t="n"/>
      <c r="M47" s="94">
        <f>'VALOR POR PL'!L44</f>
        <v/>
      </c>
      <c r="N47" s="94">
        <f>IF('VALOR POR PL'!I44="DIRETO",'VALOR POR PL'!L44,0)</f>
        <v/>
      </c>
    </row>
    <row r="48" ht="29.4" customHeight="1">
      <c r="B48" s="87">
        <f>'VALOR POR PL'!C45</f>
        <v/>
      </c>
      <c r="C48" s="88">
        <f>'VALOR POR PL'!D45</f>
        <v/>
      </c>
      <c r="D48" s="89">
        <f>IF(OR('VALOR POR PL'!I45&lt;&gt;"DIRETO",'CP RESUMO'!$C$39=""),"",IFERROR(INDEX('CP RESUMO'!$D$39:$BW$39,MATCH(DATE($D$5,12,1),'CP RESUMO'!$D$4:$BW$4,0))/100,""))</f>
        <v/>
      </c>
      <c r="E48" s="90">
        <f>IF('VALOR POR PL'!I45&lt;&gt;"DIRETO","",'PINTURA'!$K$14)</f>
        <v/>
      </c>
      <c r="F48" s="91">
        <f>SUMPRODUCT((YEAR('PINTURA'!$B$5:$B$76)=$D$5)*('PINTURA'!$C$5:$C$76+'PINTURA'!$D$5:$D$76))</f>
        <v/>
      </c>
      <c r="G48" s="91">
        <f>SUMPRODUCT((YEAR('MODELO PARA BI'!$H$1:$CA$1)=$D$5)*'MODELO PARA BI'!$H$33:$CA$33)</f>
        <v/>
      </c>
      <c r="H48" s="91">
        <f>IF(ISNUMBER($G$5),G48*$G$5,0)</f>
        <v/>
      </c>
      <c r="I48" s="89">
        <f>IF($F$53=0,0,F48/$F$53)</f>
        <v/>
      </c>
      <c r="J48" s="89">
        <f>IF('VALOR POR PL'!L45=0,0,SUMPRODUCT(('PINTURA'!$B$5:$B$76&lt;=DATE($D$5,12,1))*('PINTURA'!$C$5:$C$76+'PINTURA'!$D$5:$D$76))/'VALOR POR PL'!L45)</f>
        <v/>
      </c>
      <c r="K48" s="92">
        <f t="array" ref="K48">IF(COUNTIF('CRONOGRAMA ATIVIDADES'!$M$5:$M$6004,B48)=0,"",IF(COUNTIFS('CRONOGRAMA ATIVIDADES'!$M$5:$M$6004,B48,'CRONOGRAMA ATIVIDADES'!$O$5:$O$6004,"CONCLUÍDA")=COUNTIF('CRONOGRAMA ATIVIDADES'!$M$5:$M$6004,B48),"Concluído (todas as "&amp;COUNTIF('CRONOGRAMA ATIVIDADES'!$M$5:$M$6004,B48)&amp;" atividades)",IF(COUNTIFS('CRONOGRAMA ATIVIDADES'!$M$5:$M$6004,B48,'CRONOGRAMA ATIVIDADES'!$O$5:$O$6004,"A INICIAR")=COUNTIF('CRONOGRAMA ATIVIDADES'!$M$5:$M$6004,B48),"Não iniciado · início previsto em "&amp;CHOOSE(MONTH(_xlfn.MINIFS('CRONOGRAMA ATIVIDADES'!$F$5:$F$6004,'CRONOGRAMA ATIVIDADES'!$M$5:$M$6004,B48)),"jan","fev","mar","abr","mai","jun","jul","ago","set","out","nov","dez")&amp;"/"&amp;YEAR(_xlfn.MINIFS('CRONOGRAMA ATIVIDADES'!$F$5:$F$6004,'CRONOGRAMA ATIVIDADES'!$M$5:$M$6004,B48)),_xlfn.TEXTJOIN(" / ",TRUE,IF(('CRONOGRAMA ATIVIDADES'!$S$5:$S$304=B48)*('CRONOGRAMA ATIVIDADES'!$AA$5:$AA$304&lt;&gt;""),'CRONOGRAMA ATIVIDADES'!$AA$5:$AA$304,"")))))</f>
        <v/>
      </c>
      <c r="L48" s="93" t="n"/>
      <c r="M48" s="94">
        <f>'VALOR POR PL'!L45</f>
        <v/>
      </c>
      <c r="N48" s="94">
        <f>IF('VALOR POR PL'!I45="DIRETO",'VALOR POR PL'!L45,0)</f>
        <v/>
      </c>
    </row>
    <row r="49" ht="16.2" customHeight="1">
      <c r="B49" s="95">
        <f>'VALOR POR PL'!C46</f>
        <v/>
      </c>
      <c r="C49" s="96">
        <f>'VALOR POR PL'!D46</f>
        <v/>
      </c>
      <c r="D49" s="97">
        <f>IF(OR('VALOR POR PL'!I46&lt;&gt;"DIRETO",'CP RESUMO'!$C$40=""),"",IFERROR(INDEX('CP RESUMO'!$D$40:$BW$40,MATCH(DATE($D$5,12,1),'CP RESUMO'!$D$4:$BW$4,0))/100,""))</f>
        <v/>
      </c>
      <c r="E49" s="98">
        <f>IF('VALOR POR PL'!I46&lt;&gt;"DIRETO","",'PAISAGISMO'!$K$14)</f>
        <v/>
      </c>
      <c r="F49" s="99">
        <f>SUMPRODUCT((YEAR('PAISAGISMO'!$B$5:$B$76)=$D$5)*('PAISAGISMO'!$C$5:$C$76+'PAISAGISMO'!$D$5:$D$76))</f>
        <v/>
      </c>
      <c r="G49" s="99">
        <f>SUMPRODUCT((YEAR('MODELO PARA BI'!$H$1:$CA$1)=$D$5)*'MODELO PARA BI'!$H$31:$CA$31)</f>
        <v/>
      </c>
      <c r="H49" s="99">
        <f>IF(ISNUMBER($G$5),G49*$G$5,0)</f>
        <v/>
      </c>
      <c r="I49" s="97">
        <f>IF($F$53=0,0,F49/$F$53)</f>
        <v/>
      </c>
      <c r="J49" s="97">
        <f>IF('VALOR POR PL'!L46=0,0,SUMPRODUCT(('PAISAGISMO'!$B$5:$B$76&lt;=DATE($D$5,12,1))*('PAISAGISMO'!$C$5:$C$76+'PAISAGISMO'!$D$5:$D$76))/'VALOR POR PL'!L46)</f>
        <v/>
      </c>
      <c r="K49" s="100">
        <f t="array" ref="K49">IF(COUNTIF('CRONOGRAMA ATIVIDADES'!$M$5:$M$6004,B49)=0,"",IF(COUNTIFS('CRONOGRAMA ATIVIDADES'!$M$5:$M$6004,B49,'CRONOGRAMA ATIVIDADES'!$O$5:$O$6004,"CONCLUÍDA")=COUNTIF('CRONOGRAMA ATIVIDADES'!$M$5:$M$6004,B49),"Concluído (todas as "&amp;COUNTIF('CRONOGRAMA ATIVIDADES'!$M$5:$M$6004,B49)&amp;" atividades)",IF(COUNTIFS('CRONOGRAMA ATIVIDADES'!$M$5:$M$6004,B49,'CRONOGRAMA ATIVIDADES'!$O$5:$O$6004,"A INICIAR")=COUNTIF('CRONOGRAMA ATIVIDADES'!$M$5:$M$6004,B49),"Não iniciado · início previsto em "&amp;CHOOSE(MONTH(_xlfn.MINIFS('CRONOGRAMA ATIVIDADES'!$F$5:$F$6004,'CRONOGRAMA ATIVIDADES'!$M$5:$M$6004,B49)),"jan","fev","mar","abr","mai","jun","jul","ago","set","out","nov","dez")&amp;"/"&amp;YEAR(_xlfn.MINIFS('CRONOGRAMA ATIVIDADES'!$F$5:$F$6004,'CRONOGRAMA ATIVIDADES'!$M$5:$M$6004,B49)),_xlfn.TEXTJOIN(" / ",TRUE,IF(('CRONOGRAMA ATIVIDADES'!$S$5:$S$304=B49)*('CRONOGRAMA ATIVIDADES'!$AA$5:$AA$304&lt;&gt;""),'CRONOGRAMA ATIVIDADES'!$AA$5:$AA$304,"")))))</f>
        <v/>
      </c>
      <c r="L49" s="101" t="n"/>
      <c r="M49" s="94">
        <f>'VALOR POR PL'!L46</f>
        <v/>
      </c>
      <c r="N49" s="94">
        <f>IF('VALOR POR PL'!I46="DIRETO",'VALOR POR PL'!L46,0)</f>
        <v/>
      </c>
    </row>
    <row r="50" ht="16.2" customHeight="1">
      <c r="B50" s="87">
        <f>'VALOR POR PL'!C47</f>
        <v/>
      </c>
      <c r="C50" s="88">
        <f>'VALOR POR PL'!D47</f>
        <v/>
      </c>
      <c r="D50" s="89">
        <f>IF(OR('VALOR POR PL'!I47&lt;&gt;"DIRETO",'CP RESUMO'!$C$41=""),"",IFERROR(INDEX('CP RESUMO'!$D$41:$BW$41,MATCH(DATE($D$5,12,1),'CP RESUMO'!$D$4:$BW$4,0))/100,""))</f>
        <v/>
      </c>
      <c r="E50" s="90">
        <f>IF('VALOR POR PL'!I47&lt;&gt;"DIRETO","",'LIMPEZA'!$K$14)</f>
        <v/>
      </c>
      <c r="F50" s="91">
        <f>SUMPRODUCT((YEAR('LIMPEZA'!$B$5:$B$76)=$D$5)*('LIMPEZA'!$C$5:$C$76+'LIMPEZA'!$D$5:$D$76))</f>
        <v/>
      </c>
      <c r="G50" s="91">
        <f>SUMPRODUCT((YEAR('MODELO PARA BI'!$H$1:$CA$1)=$D$5)*'MODELO PARA BI'!$H$26:$CA$26)</f>
        <v/>
      </c>
      <c r="H50" s="91">
        <f>IF(ISNUMBER($G$5),G50*$G$5,0)</f>
        <v/>
      </c>
      <c r="I50" s="89">
        <f>IF($F$53=0,0,F50/$F$53)</f>
        <v/>
      </c>
      <c r="J50" s="89">
        <f>IF('VALOR POR PL'!L47=0,0,SUMPRODUCT(('LIMPEZA'!$B$5:$B$76&lt;=DATE($D$5,12,1))*('LIMPEZA'!$C$5:$C$76+'LIMPEZA'!$D$5:$D$76))/'VALOR POR PL'!L47)</f>
        <v/>
      </c>
      <c r="K50" s="92">
        <f t="array" ref="K50">IF(COUNTIF('CRONOGRAMA ATIVIDADES'!$M$5:$M$6004,B50)=0,"",IF(COUNTIFS('CRONOGRAMA ATIVIDADES'!$M$5:$M$6004,B50,'CRONOGRAMA ATIVIDADES'!$O$5:$O$6004,"CONCLUÍDA")=COUNTIF('CRONOGRAMA ATIVIDADES'!$M$5:$M$6004,B50),"Concluído (todas as "&amp;COUNTIF('CRONOGRAMA ATIVIDADES'!$M$5:$M$6004,B50)&amp;" atividades)",IF(COUNTIFS('CRONOGRAMA ATIVIDADES'!$M$5:$M$6004,B50,'CRONOGRAMA ATIVIDADES'!$O$5:$O$6004,"A INICIAR")=COUNTIF('CRONOGRAMA ATIVIDADES'!$M$5:$M$6004,B50),"Não iniciado · início previsto em "&amp;CHOOSE(MONTH(_xlfn.MINIFS('CRONOGRAMA ATIVIDADES'!$F$5:$F$6004,'CRONOGRAMA ATIVIDADES'!$M$5:$M$6004,B50)),"jan","fev","mar","abr","mai","jun","jul","ago","set","out","nov","dez")&amp;"/"&amp;YEAR(_xlfn.MINIFS('CRONOGRAMA ATIVIDADES'!$F$5:$F$6004,'CRONOGRAMA ATIVIDADES'!$M$5:$M$6004,B50)),_xlfn.TEXTJOIN(" / ",TRUE,IF(('CRONOGRAMA ATIVIDADES'!$S$5:$S$304=B50)*('CRONOGRAMA ATIVIDADES'!$AA$5:$AA$304&lt;&gt;""),'CRONOGRAMA ATIVIDADES'!$AA$5:$AA$304,"")))))</f>
        <v/>
      </c>
      <c r="L50" s="93" t="n"/>
      <c r="M50" s="94">
        <f>'VALOR POR PL'!L47</f>
        <v/>
      </c>
      <c r="N50" s="94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7">
        <f>F23+F29+SUM(F30:F50)</f>
        <v/>
      </c>
      <c r="G51" s="107">
        <f>G23+G29+SUM(G30:G50)</f>
        <v/>
      </c>
      <c r="H51" s="107">
        <f>H23+H29+SUM(H30:H50)</f>
        <v/>
      </c>
      <c r="I51" s="108">
        <f>IF($F$53=0,0,F51/$F$53)</f>
        <v/>
      </c>
      <c r="J51" s="33" t="n"/>
      <c r="K51" s="33" t="n"/>
      <c r="L51" s="33" t="n"/>
    </row>
    <row r="52" ht="20" customHeight="1">
      <c r="B52" s="109">
        <f>'VALOR POR PL'!C48</f>
        <v/>
      </c>
      <c r="C52" s="109">
        <f>'VALOR POR PL'!D48</f>
        <v/>
      </c>
      <c r="D52" s="109" t="n"/>
      <c r="E52" s="109" t="n"/>
      <c r="F52" s="110">
        <f>SUMPRODUCT((YEAR('TAX. ADM'!$B$5:$B$76)=$D$5)*('TAX. ADM'!$C$5:$C$76+'TAX. ADM'!$D$5:$D$76))</f>
        <v/>
      </c>
      <c r="G52" s="110">
        <f>SUMPRODUCT((YEAR('MODELO PARA BI'!$H$1:$CA$1)=$D$5)*'MODELO PARA BI'!$H$47:$CA$47)</f>
        <v/>
      </c>
      <c r="H52" s="110">
        <f>IF(ISNUMBER($G$5),G52*$G$5,0)</f>
        <v/>
      </c>
      <c r="I52" s="111">
        <f>IF($F$53=0,0,F52/$F$53)</f>
        <v/>
      </c>
      <c r="J52" s="109" t="n"/>
      <c r="K52" s="109" t="n"/>
      <c r="L52" s="109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7">
        <f>F51+F52</f>
        <v/>
      </c>
      <c r="G53" s="107">
        <f>G51+G52</f>
        <v/>
      </c>
      <c r="H53" s="107">
        <f>H51+H52</f>
        <v/>
      </c>
      <c r="I53" s="108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7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12">
        <f>'VALOR POR PL'!$P$6</f>
        <v/>
      </c>
      <c r="I1" s="112">
        <f>DATE(YEAR(H1),MONTH(H1)+1,1)</f>
        <v/>
      </c>
      <c r="J1" s="112">
        <f>DATE(YEAR(I1),MONTH(I1)+1,1)</f>
        <v/>
      </c>
      <c r="K1" s="112">
        <f>DATE(YEAR(J1),MONTH(J1)+1,1)</f>
        <v/>
      </c>
      <c r="L1" s="112">
        <f>DATE(YEAR(K1),MONTH(K1)+1,1)</f>
        <v/>
      </c>
      <c r="M1" s="112">
        <f>DATE(YEAR(L1),MONTH(L1)+1,1)</f>
        <v/>
      </c>
      <c r="N1" s="112">
        <f>DATE(YEAR(M1),MONTH(M1)+1,1)</f>
        <v/>
      </c>
      <c r="O1" s="112">
        <f>DATE(YEAR(N1),MONTH(N1)+1,1)</f>
        <v/>
      </c>
      <c r="P1" s="112">
        <f>DATE(YEAR(O1),MONTH(O1)+1,1)</f>
        <v/>
      </c>
      <c r="Q1" s="112">
        <f>DATE(YEAR(P1),MONTH(P1)+1,1)</f>
        <v/>
      </c>
      <c r="R1" s="112">
        <f>DATE(YEAR(Q1),MONTH(Q1)+1,1)</f>
        <v/>
      </c>
      <c r="S1" s="112">
        <f>DATE(YEAR(R1),MONTH(R1)+1,1)</f>
        <v/>
      </c>
      <c r="T1" s="112">
        <f>DATE(YEAR(S1),MONTH(S1)+1,1)</f>
        <v/>
      </c>
      <c r="U1" s="112">
        <f>DATE(YEAR(T1),MONTH(T1)+1,1)</f>
        <v/>
      </c>
      <c r="V1" s="112">
        <f>DATE(YEAR(U1),MONTH(U1)+1,1)</f>
        <v/>
      </c>
      <c r="W1" s="112">
        <f>DATE(YEAR(V1),MONTH(V1)+1,1)</f>
        <v/>
      </c>
      <c r="X1" s="112">
        <f>DATE(YEAR(W1),MONTH(W1)+1,1)</f>
        <v/>
      </c>
      <c r="Y1" s="112">
        <f>DATE(YEAR(X1),MONTH(X1)+1,1)</f>
        <v/>
      </c>
      <c r="Z1" s="112">
        <f>DATE(YEAR(Y1),MONTH(Y1)+1,1)</f>
        <v/>
      </c>
      <c r="AA1" s="112">
        <f>DATE(YEAR(Z1),MONTH(Z1)+1,1)</f>
        <v/>
      </c>
      <c r="AB1" s="112">
        <f>DATE(YEAR(AA1),MONTH(AA1)+1,1)</f>
        <v/>
      </c>
      <c r="AC1" s="112">
        <f>DATE(YEAR(AB1),MONTH(AB1)+1,1)</f>
        <v/>
      </c>
      <c r="AD1" s="112">
        <f>DATE(YEAR(AC1),MONTH(AC1)+1,1)</f>
        <v/>
      </c>
      <c r="AE1" s="112">
        <f>DATE(YEAR(AD1),MONTH(AD1)+1,1)</f>
        <v/>
      </c>
      <c r="AF1" s="112">
        <f>DATE(YEAR(AE1),MONTH(AE1)+1,1)</f>
        <v/>
      </c>
      <c r="AG1" s="112">
        <f>DATE(YEAR(AF1),MONTH(AF1)+1,1)</f>
        <v/>
      </c>
      <c r="AH1" s="112">
        <f>DATE(YEAR(AG1),MONTH(AG1)+1,1)</f>
        <v/>
      </c>
      <c r="AI1" s="112">
        <f>DATE(YEAR(AH1),MONTH(AH1)+1,1)</f>
        <v/>
      </c>
      <c r="AJ1" s="112">
        <f>DATE(YEAR(AI1),MONTH(AI1)+1,1)</f>
        <v/>
      </c>
      <c r="AK1" s="112">
        <f>DATE(YEAR(AJ1),MONTH(AJ1)+1,1)</f>
        <v/>
      </c>
      <c r="AL1" s="112">
        <f>DATE(YEAR(AK1),MONTH(AK1)+1,1)</f>
        <v/>
      </c>
      <c r="AM1" s="112">
        <f>DATE(YEAR(AL1),MONTH(AL1)+1,1)</f>
        <v/>
      </c>
      <c r="AN1" s="112">
        <f>DATE(YEAR(AM1),MONTH(AM1)+1,1)</f>
        <v/>
      </c>
      <c r="AO1" s="112">
        <f>DATE(YEAR(AN1),MONTH(AN1)+1,1)</f>
        <v/>
      </c>
      <c r="AP1" s="112">
        <f>DATE(YEAR(AO1),MONTH(AO1)+1,1)</f>
        <v/>
      </c>
      <c r="AQ1" s="112">
        <f>DATE(YEAR(AP1),MONTH(AP1)+1,1)</f>
        <v/>
      </c>
      <c r="AR1" s="112">
        <f>DATE(YEAR(AQ1),MONTH(AQ1)+1,1)</f>
        <v/>
      </c>
      <c r="AS1" s="112">
        <f>DATE(YEAR(AR1),MONTH(AR1)+1,1)</f>
        <v/>
      </c>
      <c r="AT1" s="112">
        <f>DATE(YEAR(AS1),MONTH(AS1)+1,1)</f>
        <v/>
      </c>
      <c r="AU1" s="112">
        <f>DATE(YEAR(AT1),MONTH(AT1)+1,1)</f>
        <v/>
      </c>
      <c r="AV1" s="112">
        <f>DATE(YEAR(AU1),MONTH(AU1)+1,1)</f>
        <v/>
      </c>
      <c r="AW1" s="112">
        <f>DATE(YEAR(AV1),MONTH(AV1)+1,1)</f>
        <v/>
      </c>
      <c r="AX1" s="112">
        <f>DATE(YEAR(AW1),MONTH(AW1)+1,1)</f>
        <v/>
      </c>
      <c r="AY1" s="112">
        <f>DATE(YEAR(AX1),MONTH(AX1)+1,1)</f>
        <v/>
      </c>
      <c r="AZ1" s="112">
        <f>DATE(YEAR(AY1),MONTH(AY1)+1,1)</f>
        <v/>
      </c>
      <c r="BA1" s="112">
        <f>DATE(YEAR(AZ1),MONTH(AZ1)+1,1)</f>
        <v/>
      </c>
      <c r="BB1" s="112">
        <f>DATE(YEAR(BA1),MONTH(BA1)+1,1)</f>
        <v/>
      </c>
      <c r="BC1" s="112">
        <f>DATE(YEAR(BB1),MONTH(BB1)+1,1)</f>
        <v/>
      </c>
      <c r="BD1" s="112">
        <f>DATE(YEAR(BC1),MONTH(BC1)+1,1)</f>
        <v/>
      </c>
      <c r="BE1" s="112">
        <f>DATE(YEAR(BD1),MONTH(BD1)+1,1)</f>
        <v/>
      </c>
      <c r="BF1" s="112">
        <f>DATE(YEAR(BE1),MONTH(BE1)+1,1)</f>
        <v/>
      </c>
      <c r="BG1" s="112">
        <f>DATE(YEAR(BF1),MONTH(BF1)+1,1)</f>
        <v/>
      </c>
      <c r="BH1" s="112">
        <f>DATE(YEAR(BG1),MONTH(BG1)+1,1)</f>
        <v/>
      </c>
      <c r="BI1" s="112">
        <f>DATE(YEAR(BH1),MONTH(BH1)+1,1)</f>
        <v/>
      </c>
      <c r="BJ1" s="112">
        <f>DATE(YEAR(BI1),MONTH(BI1)+1,1)</f>
        <v/>
      </c>
      <c r="BK1" s="112">
        <f>DATE(YEAR(BJ1),MONTH(BJ1)+1,1)</f>
        <v/>
      </c>
      <c r="BL1" s="112">
        <f>DATE(YEAR(BK1),MONTH(BK1)+1,1)</f>
        <v/>
      </c>
      <c r="BM1" s="112">
        <f>DATE(YEAR(BL1),MONTH(BL1)+1,1)</f>
        <v/>
      </c>
      <c r="BN1" s="112">
        <f>DATE(YEAR(BM1),MONTH(BM1)+1,1)</f>
        <v/>
      </c>
      <c r="BO1" s="112">
        <f>DATE(YEAR(BN1),MONTH(BN1)+1,1)</f>
        <v/>
      </c>
      <c r="BP1" s="112">
        <f>DATE(YEAR(BO1),MONTH(BO1)+1,1)</f>
        <v/>
      </c>
      <c r="BQ1" s="112">
        <f>DATE(YEAR(BP1),MONTH(BP1)+1,1)</f>
        <v/>
      </c>
      <c r="BR1" s="112">
        <f>DATE(YEAR(BQ1),MONTH(BQ1)+1,1)</f>
        <v/>
      </c>
      <c r="BS1" s="112">
        <f>DATE(YEAR(BR1),MONTH(BR1)+1,1)</f>
        <v/>
      </c>
      <c r="BT1" s="112">
        <f>DATE(YEAR(BS1),MONTH(BS1)+1,1)</f>
        <v/>
      </c>
      <c r="BU1" s="112">
        <f>DATE(YEAR(BT1),MONTH(BT1)+1,1)</f>
        <v/>
      </c>
      <c r="BV1" s="112">
        <f>DATE(YEAR(BU1),MONTH(BU1)+1,1)</f>
        <v/>
      </c>
      <c r="BW1" s="112">
        <f>DATE(YEAR(BV1),MONTH(BV1)+1,1)</f>
        <v/>
      </c>
      <c r="BX1" s="112">
        <f>DATE(YEAR(BW1),MONTH(BW1)+1,1)</f>
        <v/>
      </c>
      <c r="BY1" s="112">
        <f>DATE(YEAR(BX1),MONTH(BX1)+1,1)</f>
        <v/>
      </c>
      <c r="BZ1" s="112">
        <f>DATE(YEAR(BY1),MONTH(BY1)+1,1)</f>
        <v/>
      </c>
      <c r="CA1" s="112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0">
        <f>'ALVENARIA'!$K$5</f>
        <v/>
      </c>
      <c r="E2" s="49">
        <f>SUM(H2:CA2)</f>
        <v/>
      </c>
      <c r="F2" s="49">
        <f>IF(D2="","",D2-E2)</f>
        <v/>
      </c>
      <c r="H2" s="94">
        <f>'ALVENARIA'!E5</f>
        <v/>
      </c>
      <c r="I2" s="94">
        <f>'ALVENARIA'!E6</f>
        <v/>
      </c>
      <c r="J2" s="94">
        <f>'ALVENARIA'!E7</f>
        <v/>
      </c>
      <c r="K2" s="94">
        <f>'ALVENARIA'!E8</f>
        <v/>
      </c>
      <c r="L2" s="94">
        <f>'ALVENARIA'!E9</f>
        <v/>
      </c>
      <c r="M2" s="94">
        <f>'ALVENARIA'!E10</f>
        <v/>
      </c>
      <c r="N2" s="94">
        <f>'ALVENARIA'!E11</f>
        <v/>
      </c>
      <c r="O2" s="94">
        <f>'ALVENARIA'!E12</f>
        <v/>
      </c>
      <c r="P2" s="94">
        <f>'ALVENARIA'!E13</f>
        <v/>
      </c>
      <c r="Q2" s="94">
        <f>'ALVENARIA'!E14</f>
        <v/>
      </c>
      <c r="R2" s="94">
        <f>'ALVENARIA'!E15</f>
        <v/>
      </c>
      <c r="S2" s="94">
        <f>'ALVENARIA'!E16</f>
        <v/>
      </c>
      <c r="T2" s="94">
        <f>'ALVENARIA'!E17</f>
        <v/>
      </c>
      <c r="U2" s="94">
        <f>'ALVENARIA'!E18</f>
        <v/>
      </c>
      <c r="V2" s="94">
        <f>'ALVENARIA'!E19</f>
        <v/>
      </c>
      <c r="W2" s="94">
        <f>'ALVENARIA'!E20</f>
        <v/>
      </c>
      <c r="X2" s="94">
        <f>'ALVENARIA'!E21</f>
        <v/>
      </c>
      <c r="Y2" s="94">
        <f>'ALVENARIA'!E22</f>
        <v/>
      </c>
      <c r="Z2" s="94">
        <f>'ALVENARIA'!E23</f>
        <v/>
      </c>
      <c r="AA2" s="94">
        <f>'ALVENARIA'!E24</f>
        <v/>
      </c>
      <c r="AB2" s="94">
        <f>'ALVENARIA'!E25</f>
        <v/>
      </c>
      <c r="AC2" s="94">
        <f>'ALVENARIA'!E26</f>
        <v/>
      </c>
      <c r="AD2" s="94">
        <f>'ALVENARIA'!E27</f>
        <v/>
      </c>
      <c r="AE2" s="94">
        <f>'ALVENARIA'!E28</f>
        <v/>
      </c>
      <c r="AF2" s="94">
        <f>'ALVENARIA'!E29</f>
        <v/>
      </c>
      <c r="AG2" s="94">
        <f>'ALVENARIA'!E30</f>
        <v/>
      </c>
      <c r="AH2" s="94">
        <f>'ALVENARIA'!E31</f>
        <v/>
      </c>
      <c r="AI2" s="94">
        <f>'ALVENARIA'!E32</f>
        <v/>
      </c>
      <c r="AJ2" s="94">
        <f>'ALVENARIA'!E33</f>
        <v/>
      </c>
      <c r="AK2" s="94">
        <f>'ALVENARIA'!E34</f>
        <v/>
      </c>
      <c r="AL2" s="94">
        <f>'ALVENARIA'!E35</f>
        <v/>
      </c>
      <c r="AM2" s="94">
        <f>'ALVENARIA'!E36</f>
        <v/>
      </c>
      <c r="AN2" s="94">
        <f>'ALVENARIA'!E37</f>
        <v/>
      </c>
      <c r="AO2" s="94">
        <f>'ALVENARIA'!E38</f>
        <v/>
      </c>
      <c r="AP2" s="94">
        <f>'ALVENARIA'!E39</f>
        <v/>
      </c>
      <c r="AQ2" s="94">
        <f>'ALVENARIA'!E40</f>
        <v/>
      </c>
      <c r="AR2" s="94">
        <f>'ALVENARIA'!E41</f>
        <v/>
      </c>
      <c r="AS2" s="94">
        <f>'ALVENARIA'!E42</f>
        <v/>
      </c>
      <c r="AT2" s="94">
        <f>'ALVENARIA'!E43</f>
        <v/>
      </c>
      <c r="AU2" s="94">
        <f>'ALVENARIA'!E44</f>
        <v/>
      </c>
      <c r="AV2" s="94">
        <f>'ALVENARIA'!E45</f>
        <v/>
      </c>
      <c r="AW2" s="94">
        <f>'ALVENARIA'!E46</f>
        <v/>
      </c>
      <c r="AX2" s="94">
        <f>'ALVENARIA'!E47</f>
        <v/>
      </c>
      <c r="AY2" s="94">
        <f>'ALVENARIA'!E48</f>
        <v/>
      </c>
      <c r="AZ2" s="94">
        <f>'ALVENARIA'!E49</f>
        <v/>
      </c>
      <c r="BA2" s="94">
        <f>'ALVENARIA'!E50</f>
        <v/>
      </c>
      <c r="BB2" s="94">
        <f>'ALVENARIA'!E51</f>
        <v/>
      </c>
      <c r="BC2" s="94">
        <f>'ALVENARIA'!E52</f>
        <v/>
      </c>
      <c r="BD2" s="94">
        <f>'ALVENARIA'!E53</f>
        <v/>
      </c>
      <c r="BE2" s="94">
        <f>'ALVENARIA'!E54</f>
        <v/>
      </c>
      <c r="BF2" s="94">
        <f>'ALVENARIA'!E55</f>
        <v/>
      </c>
      <c r="BG2" s="94">
        <f>'ALVENARIA'!E56</f>
        <v/>
      </c>
      <c r="BH2" s="94">
        <f>'ALVENARIA'!E57</f>
        <v/>
      </c>
      <c r="BI2" s="94">
        <f>'ALVENARIA'!E58</f>
        <v/>
      </c>
      <c r="BJ2" s="94">
        <f>'ALVENARIA'!E59</f>
        <v/>
      </c>
      <c r="BK2" s="94">
        <f>'ALVENARIA'!E60</f>
        <v/>
      </c>
      <c r="BL2" s="94">
        <f>'ALVENARIA'!E61</f>
        <v/>
      </c>
      <c r="BM2" s="94">
        <f>'ALVENARIA'!E62</f>
        <v/>
      </c>
      <c r="BN2" s="94">
        <f>'ALVENARIA'!E63</f>
        <v/>
      </c>
      <c r="BO2" s="94">
        <f>'ALVENARIA'!E64</f>
        <v/>
      </c>
      <c r="BP2" s="94">
        <f>'ALVENARIA'!E65</f>
        <v/>
      </c>
      <c r="BQ2" s="94">
        <f>'ALVENARIA'!E66</f>
        <v/>
      </c>
      <c r="BR2" s="94">
        <f>'ALVENARIA'!E67</f>
        <v/>
      </c>
      <c r="BS2" s="94">
        <f>'ALVENARIA'!E68</f>
        <v/>
      </c>
      <c r="BT2" s="94">
        <f>'ALVENARIA'!E69</f>
        <v/>
      </c>
      <c r="BU2" s="94">
        <f>'ALVENARIA'!E70</f>
        <v/>
      </c>
      <c r="BV2" s="94">
        <f>'ALVENARIA'!E71</f>
        <v/>
      </c>
      <c r="BW2" s="94">
        <f>'ALVENARIA'!E72</f>
        <v/>
      </c>
      <c r="BX2" s="94">
        <f>'ALVENARIA'!E73</f>
        <v/>
      </c>
      <c r="BY2" s="94">
        <f>'ALVENARIA'!E74</f>
        <v/>
      </c>
      <c r="BZ2" s="94">
        <f>'ALVENARIA'!E75</f>
        <v/>
      </c>
      <c r="CA2" s="94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0">
        <f>'BARRACÃO DE OBRA'!$K$5</f>
        <v/>
      </c>
      <c r="E3" s="49">
        <f>SUM(H3:CA3)</f>
        <v/>
      </c>
      <c r="F3" s="49">
        <f>IF(D3="","",D3-E3)</f>
        <v/>
      </c>
      <c r="H3" s="94">
        <f>'BARRACÃO DE OBRA'!E5</f>
        <v/>
      </c>
      <c r="I3" s="94">
        <f>'BARRACÃO DE OBRA'!E6</f>
        <v/>
      </c>
      <c r="J3" s="94">
        <f>'BARRACÃO DE OBRA'!E7</f>
        <v/>
      </c>
      <c r="K3" s="94">
        <f>'BARRACÃO DE OBRA'!E8</f>
        <v/>
      </c>
      <c r="L3" s="94">
        <f>'BARRACÃO DE OBRA'!E9</f>
        <v/>
      </c>
      <c r="M3" s="94">
        <f>'BARRACÃO DE OBRA'!E10</f>
        <v/>
      </c>
      <c r="N3" s="94">
        <f>'BARRACÃO DE OBRA'!E11</f>
        <v/>
      </c>
      <c r="O3" s="94">
        <f>'BARRACÃO DE OBRA'!E12</f>
        <v/>
      </c>
      <c r="P3" s="94">
        <f>'BARRACÃO DE OBRA'!E13</f>
        <v/>
      </c>
      <c r="Q3" s="94">
        <f>'BARRACÃO DE OBRA'!E14</f>
        <v/>
      </c>
      <c r="R3" s="94">
        <f>'BARRACÃO DE OBRA'!E15</f>
        <v/>
      </c>
      <c r="S3" s="94">
        <f>'BARRACÃO DE OBRA'!E16</f>
        <v/>
      </c>
      <c r="T3" s="94">
        <f>'BARRACÃO DE OBRA'!E17</f>
        <v/>
      </c>
      <c r="U3" s="94">
        <f>'BARRACÃO DE OBRA'!E18</f>
        <v/>
      </c>
      <c r="V3" s="94">
        <f>'BARRACÃO DE OBRA'!E19</f>
        <v/>
      </c>
      <c r="W3" s="94">
        <f>'BARRACÃO DE OBRA'!E20</f>
        <v/>
      </c>
      <c r="X3" s="94">
        <f>'BARRACÃO DE OBRA'!E21</f>
        <v/>
      </c>
      <c r="Y3" s="94">
        <f>'BARRACÃO DE OBRA'!E22</f>
        <v/>
      </c>
      <c r="Z3" s="94">
        <f>'BARRACÃO DE OBRA'!E23</f>
        <v/>
      </c>
      <c r="AA3" s="94">
        <f>'BARRACÃO DE OBRA'!E24</f>
        <v/>
      </c>
      <c r="AB3" s="94">
        <f>'BARRACÃO DE OBRA'!E25</f>
        <v/>
      </c>
      <c r="AC3" s="94">
        <f>'BARRACÃO DE OBRA'!E26</f>
        <v/>
      </c>
      <c r="AD3" s="94">
        <f>'BARRACÃO DE OBRA'!E27</f>
        <v/>
      </c>
      <c r="AE3" s="94">
        <f>'BARRACÃO DE OBRA'!E28</f>
        <v/>
      </c>
      <c r="AF3" s="94">
        <f>'BARRACÃO DE OBRA'!E29</f>
        <v/>
      </c>
      <c r="AG3" s="94">
        <f>'BARRACÃO DE OBRA'!E30</f>
        <v/>
      </c>
      <c r="AH3" s="94">
        <f>'BARRACÃO DE OBRA'!E31</f>
        <v/>
      </c>
      <c r="AI3" s="94">
        <f>'BARRACÃO DE OBRA'!E32</f>
        <v/>
      </c>
      <c r="AJ3" s="94">
        <f>'BARRACÃO DE OBRA'!E33</f>
        <v/>
      </c>
      <c r="AK3" s="94">
        <f>'BARRACÃO DE OBRA'!E34</f>
        <v/>
      </c>
      <c r="AL3" s="94">
        <f>'BARRACÃO DE OBRA'!E35</f>
        <v/>
      </c>
      <c r="AM3" s="94">
        <f>'BARRACÃO DE OBRA'!E36</f>
        <v/>
      </c>
      <c r="AN3" s="94">
        <f>'BARRACÃO DE OBRA'!E37</f>
        <v/>
      </c>
      <c r="AO3" s="94">
        <f>'BARRACÃO DE OBRA'!E38</f>
        <v/>
      </c>
      <c r="AP3" s="94">
        <f>'BARRACÃO DE OBRA'!E39</f>
        <v/>
      </c>
      <c r="AQ3" s="94">
        <f>'BARRACÃO DE OBRA'!E40</f>
        <v/>
      </c>
      <c r="AR3" s="94">
        <f>'BARRACÃO DE OBRA'!E41</f>
        <v/>
      </c>
      <c r="AS3" s="94">
        <f>'BARRACÃO DE OBRA'!E42</f>
        <v/>
      </c>
      <c r="AT3" s="94">
        <f>'BARRACÃO DE OBRA'!E43</f>
        <v/>
      </c>
      <c r="AU3" s="94">
        <f>'BARRACÃO DE OBRA'!E44</f>
        <v/>
      </c>
      <c r="AV3" s="94">
        <f>'BARRACÃO DE OBRA'!E45</f>
        <v/>
      </c>
      <c r="AW3" s="94">
        <f>'BARRACÃO DE OBRA'!E46</f>
        <v/>
      </c>
      <c r="AX3" s="94">
        <f>'BARRACÃO DE OBRA'!E47</f>
        <v/>
      </c>
      <c r="AY3" s="94">
        <f>'BARRACÃO DE OBRA'!E48</f>
        <v/>
      </c>
      <c r="AZ3" s="94">
        <f>'BARRACÃO DE OBRA'!E49</f>
        <v/>
      </c>
      <c r="BA3" s="94">
        <f>'BARRACÃO DE OBRA'!E50</f>
        <v/>
      </c>
      <c r="BB3" s="94">
        <f>'BARRACÃO DE OBRA'!E51</f>
        <v/>
      </c>
      <c r="BC3" s="94">
        <f>'BARRACÃO DE OBRA'!E52</f>
        <v/>
      </c>
      <c r="BD3" s="94">
        <f>'BARRACÃO DE OBRA'!E53</f>
        <v/>
      </c>
      <c r="BE3" s="94">
        <f>'BARRACÃO DE OBRA'!E54</f>
        <v/>
      </c>
      <c r="BF3" s="94">
        <f>'BARRACÃO DE OBRA'!E55</f>
        <v/>
      </c>
      <c r="BG3" s="94">
        <f>'BARRACÃO DE OBRA'!E56</f>
        <v/>
      </c>
      <c r="BH3" s="94">
        <f>'BARRACÃO DE OBRA'!E57</f>
        <v/>
      </c>
      <c r="BI3" s="94">
        <f>'BARRACÃO DE OBRA'!E58</f>
        <v/>
      </c>
      <c r="BJ3" s="94">
        <f>'BARRACÃO DE OBRA'!E59</f>
        <v/>
      </c>
      <c r="BK3" s="94">
        <f>'BARRACÃO DE OBRA'!E60</f>
        <v/>
      </c>
      <c r="BL3" s="94">
        <f>'BARRACÃO DE OBRA'!E61</f>
        <v/>
      </c>
      <c r="BM3" s="94">
        <f>'BARRACÃO DE OBRA'!E62</f>
        <v/>
      </c>
      <c r="BN3" s="94">
        <f>'BARRACÃO DE OBRA'!E63</f>
        <v/>
      </c>
      <c r="BO3" s="94">
        <f>'BARRACÃO DE OBRA'!E64</f>
        <v/>
      </c>
      <c r="BP3" s="94">
        <f>'BARRACÃO DE OBRA'!E65</f>
        <v/>
      </c>
      <c r="BQ3" s="94">
        <f>'BARRACÃO DE OBRA'!E66</f>
        <v/>
      </c>
      <c r="BR3" s="94">
        <f>'BARRACÃO DE OBRA'!E67</f>
        <v/>
      </c>
      <c r="BS3" s="94">
        <f>'BARRACÃO DE OBRA'!E68</f>
        <v/>
      </c>
      <c r="BT3" s="94">
        <f>'BARRACÃO DE OBRA'!E69</f>
        <v/>
      </c>
      <c r="BU3" s="94">
        <f>'BARRACÃO DE OBRA'!E70</f>
        <v/>
      </c>
      <c r="BV3" s="94">
        <f>'BARRACÃO DE OBRA'!E71</f>
        <v/>
      </c>
      <c r="BW3" s="94">
        <f>'BARRACÃO DE OBRA'!E72</f>
        <v/>
      </c>
      <c r="BX3" s="94">
        <f>'BARRACÃO DE OBRA'!E73</f>
        <v/>
      </c>
      <c r="BY3" s="94">
        <f>'BARRACÃO DE OBRA'!E74</f>
        <v/>
      </c>
      <c r="BZ3" s="94">
        <f>'BARRACÃO DE OBRA'!E75</f>
        <v/>
      </c>
      <c r="CA3" s="94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0">
        <f>'CONSULTORIAS'!$K$5</f>
        <v/>
      </c>
      <c r="E4" s="49">
        <f>SUM(H4:CA4)</f>
        <v/>
      </c>
      <c r="F4" s="49">
        <f>IF(D4="","",D4-E4)</f>
        <v/>
      </c>
      <c r="H4" s="94">
        <f>'CONSULTORIAS'!E5</f>
        <v/>
      </c>
      <c r="I4" s="94">
        <f>'CONSULTORIAS'!E6</f>
        <v/>
      </c>
      <c r="J4" s="94">
        <f>'CONSULTORIAS'!E7</f>
        <v/>
      </c>
      <c r="K4" s="94">
        <f>'CONSULTORIAS'!E8</f>
        <v/>
      </c>
      <c r="L4" s="94">
        <f>'CONSULTORIAS'!E9</f>
        <v/>
      </c>
      <c r="M4" s="94">
        <f>'CONSULTORIAS'!E10</f>
        <v/>
      </c>
      <c r="N4" s="94">
        <f>'CONSULTORIAS'!E11</f>
        <v/>
      </c>
      <c r="O4" s="94">
        <f>'CONSULTORIAS'!E12</f>
        <v/>
      </c>
      <c r="P4" s="94">
        <f>'CONSULTORIAS'!E13</f>
        <v/>
      </c>
      <c r="Q4" s="94">
        <f>'CONSULTORIAS'!E14</f>
        <v/>
      </c>
      <c r="R4" s="94">
        <f>'CONSULTORIAS'!E15</f>
        <v/>
      </c>
      <c r="S4" s="94">
        <f>'CONSULTORIAS'!E16</f>
        <v/>
      </c>
      <c r="T4" s="94">
        <f>'CONSULTORIAS'!E17</f>
        <v/>
      </c>
      <c r="U4" s="94">
        <f>'CONSULTORIAS'!E18</f>
        <v/>
      </c>
      <c r="V4" s="94">
        <f>'CONSULTORIAS'!E19</f>
        <v/>
      </c>
      <c r="W4" s="94">
        <f>'CONSULTORIAS'!E20</f>
        <v/>
      </c>
      <c r="X4" s="94">
        <f>'CONSULTORIAS'!E21</f>
        <v/>
      </c>
      <c r="Y4" s="94">
        <f>'CONSULTORIAS'!E22</f>
        <v/>
      </c>
      <c r="Z4" s="94">
        <f>'CONSULTORIAS'!E23</f>
        <v/>
      </c>
      <c r="AA4" s="94">
        <f>'CONSULTORIAS'!E24</f>
        <v/>
      </c>
      <c r="AB4" s="94">
        <f>'CONSULTORIAS'!E25</f>
        <v/>
      </c>
      <c r="AC4" s="94">
        <f>'CONSULTORIAS'!E26</f>
        <v/>
      </c>
      <c r="AD4" s="94">
        <f>'CONSULTORIAS'!E27</f>
        <v/>
      </c>
      <c r="AE4" s="94">
        <f>'CONSULTORIAS'!E28</f>
        <v/>
      </c>
      <c r="AF4" s="94">
        <f>'CONSULTORIAS'!E29</f>
        <v/>
      </c>
      <c r="AG4" s="94">
        <f>'CONSULTORIAS'!E30</f>
        <v/>
      </c>
      <c r="AH4" s="94">
        <f>'CONSULTORIAS'!E31</f>
        <v/>
      </c>
      <c r="AI4" s="94">
        <f>'CONSULTORIAS'!E32</f>
        <v/>
      </c>
      <c r="AJ4" s="94">
        <f>'CONSULTORIAS'!E33</f>
        <v/>
      </c>
      <c r="AK4" s="94">
        <f>'CONSULTORIAS'!E34</f>
        <v/>
      </c>
      <c r="AL4" s="94">
        <f>'CONSULTORIAS'!E35</f>
        <v/>
      </c>
      <c r="AM4" s="94">
        <f>'CONSULTORIAS'!E36</f>
        <v/>
      </c>
      <c r="AN4" s="94">
        <f>'CONSULTORIAS'!E37</f>
        <v/>
      </c>
      <c r="AO4" s="94">
        <f>'CONSULTORIAS'!E38</f>
        <v/>
      </c>
      <c r="AP4" s="94">
        <f>'CONSULTORIAS'!E39</f>
        <v/>
      </c>
      <c r="AQ4" s="94">
        <f>'CONSULTORIAS'!E40</f>
        <v/>
      </c>
      <c r="AR4" s="94">
        <f>'CONSULTORIAS'!E41</f>
        <v/>
      </c>
      <c r="AS4" s="94">
        <f>'CONSULTORIAS'!E42</f>
        <v/>
      </c>
      <c r="AT4" s="94">
        <f>'CONSULTORIAS'!E43</f>
        <v/>
      </c>
      <c r="AU4" s="94">
        <f>'CONSULTORIAS'!E44</f>
        <v/>
      </c>
      <c r="AV4" s="94">
        <f>'CONSULTORIAS'!E45</f>
        <v/>
      </c>
      <c r="AW4" s="94">
        <f>'CONSULTORIAS'!E46</f>
        <v/>
      </c>
      <c r="AX4" s="94">
        <f>'CONSULTORIAS'!E47</f>
        <v/>
      </c>
      <c r="AY4" s="94">
        <f>'CONSULTORIAS'!E48</f>
        <v/>
      </c>
      <c r="AZ4" s="94">
        <f>'CONSULTORIAS'!E49</f>
        <v/>
      </c>
      <c r="BA4" s="94">
        <f>'CONSULTORIAS'!E50</f>
        <v/>
      </c>
      <c r="BB4" s="94">
        <f>'CONSULTORIAS'!E51</f>
        <v/>
      </c>
      <c r="BC4" s="94">
        <f>'CONSULTORIAS'!E52</f>
        <v/>
      </c>
      <c r="BD4" s="94">
        <f>'CONSULTORIAS'!E53</f>
        <v/>
      </c>
      <c r="BE4" s="94">
        <f>'CONSULTORIAS'!E54</f>
        <v/>
      </c>
      <c r="BF4" s="94">
        <f>'CONSULTORIAS'!E55</f>
        <v/>
      </c>
      <c r="BG4" s="94">
        <f>'CONSULTORIAS'!E56</f>
        <v/>
      </c>
      <c r="BH4" s="94">
        <f>'CONSULTORIAS'!E57</f>
        <v/>
      </c>
      <c r="BI4" s="94">
        <f>'CONSULTORIAS'!E58</f>
        <v/>
      </c>
      <c r="BJ4" s="94">
        <f>'CONSULTORIAS'!E59</f>
        <v/>
      </c>
      <c r="BK4" s="94">
        <f>'CONSULTORIAS'!E60</f>
        <v/>
      </c>
      <c r="BL4" s="94">
        <f>'CONSULTORIAS'!E61</f>
        <v/>
      </c>
      <c r="BM4" s="94">
        <f>'CONSULTORIAS'!E62</f>
        <v/>
      </c>
      <c r="BN4" s="94">
        <f>'CONSULTORIAS'!E63</f>
        <v/>
      </c>
      <c r="BO4" s="94">
        <f>'CONSULTORIAS'!E64</f>
        <v/>
      </c>
      <c r="BP4" s="94">
        <f>'CONSULTORIAS'!E65</f>
        <v/>
      </c>
      <c r="BQ4" s="94">
        <f>'CONSULTORIAS'!E66</f>
        <v/>
      </c>
      <c r="BR4" s="94">
        <f>'CONSULTORIAS'!E67</f>
        <v/>
      </c>
      <c r="BS4" s="94">
        <f>'CONSULTORIAS'!E68</f>
        <v/>
      </c>
      <c r="BT4" s="94">
        <f>'CONSULTORIAS'!E69</f>
        <v/>
      </c>
      <c r="BU4" s="94">
        <f>'CONSULTORIAS'!E70</f>
        <v/>
      </c>
      <c r="BV4" s="94">
        <f>'CONSULTORIAS'!E71</f>
        <v/>
      </c>
      <c r="BW4" s="94">
        <f>'CONSULTORIAS'!E72</f>
        <v/>
      </c>
      <c r="BX4" s="94">
        <f>'CONSULTORIAS'!E73</f>
        <v/>
      </c>
      <c r="BY4" s="94">
        <f>'CONSULTORIAS'!E74</f>
        <v/>
      </c>
      <c r="BZ4" s="94">
        <f>'CONSULTORIAS'!E75</f>
        <v/>
      </c>
      <c r="CA4" s="94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0">
        <f>'CONSUMOS'!$K$5</f>
        <v/>
      </c>
      <c r="E5" s="49">
        <f>SUM(H5:CA5)</f>
        <v/>
      </c>
      <c r="F5" s="49">
        <f>IF(D5="","",D5-E5)</f>
        <v/>
      </c>
      <c r="H5" s="94">
        <f>'CONSUMOS'!E5</f>
        <v/>
      </c>
      <c r="I5" s="94">
        <f>'CONSUMOS'!E6</f>
        <v/>
      </c>
      <c r="J5" s="94">
        <f>'CONSUMOS'!E7</f>
        <v/>
      </c>
      <c r="K5" s="94">
        <f>'CONSUMOS'!E8</f>
        <v/>
      </c>
      <c r="L5" s="94">
        <f>'CONSUMOS'!E9</f>
        <v/>
      </c>
      <c r="M5" s="94">
        <f>'CONSUMOS'!E10</f>
        <v/>
      </c>
      <c r="N5" s="94">
        <f>'CONSUMOS'!E11</f>
        <v/>
      </c>
      <c r="O5" s="94">
        <f>'CONSUMOS'!E12</f>
        <v/>
      </c>
      <c r="P5" s="94">
        <f>'CONSUMOS'!E13</f>
        <v/>
      </c>
      <c r="Q5" s="94">
        <f>'CONSUMOS'!E14</f>
        <v/>
      </c>
      <c r="R5" s="94">
        <f>'CONSUMOS'!E15</f>
        <v/>
      </c>
      <c r="S5" s="94">
        <f>'CONSUMOS'!E16</f>
        <v/>
      </c>
      <c r="T5" s="94">
        <f>'CONSUMOS'!E17</f>
        <v/>
      </c>
      <c r="U5" s="94">
        <f>'CONSUMOS'!E18</f>
        <v/>
      </c>
      <c r="V5" s="94">
        <f>'CONSUMOS'!E19</f>
        <v/>
      </c>
      <c r="W5" s="94">
        <f>'CONSUMOS'!E20</f>
        <v/>
      </c>
      <c r="X5" s="94">
        <f>'CONSUMOS'!E21</f>
        <v/>
      </c>
      <c r="Y5" s="94">
        <f>'CONSUMOS'!E22</f>
        <v/>
      </c>
      <c r="Z5" s="94">
        <f>'CONSUMOS'!E23</f>
        <v/>
      </c>
      <c r="AA5" s="94">
        <f>'CONSUMOS'!E24</f>
        <v/>
      </c>
      <c r="AB5" s="94">
        <f>'CONSUMOS'!E25</f>
        <v/>
      </c>
      <c r="AC5" s="94">
        <f>'CONSUMOS'!E26</f>
        <v/>
      </c>
      <c r="AD5" s="94">
        <f>'CONSUMOS'!E27</f>
        <v/>
      </c>
      <c r="AE5" s="94">
        <f>'CONSUMOS'!E28</f>
        <v/>
      </c>
      <c r="AF5" s="94">
        <f>'CONSUMOS'!E29</f>
        <v/>
      </c>
      <c r="AG5" s="94">
        <f>'CONSUMOS'!E30</f>
        <v/>
      </c>
      <c r="AH5" s="94">
        <f>'CONSUMOS'!E31</f>
        <v/>
      </c>
      <c r="AI5" s="94">
        <f>'CONSUMOS'!E32</f>
        <v/>
      </c>
      <c r="AJ5" s="94">
        <f>'CONSUMOS'!E33</f>
        <v/>
      </c>
      <c r="AK5" s="94">
        <f>'CONSUMOS'!E34</f>
        <v/>
      </c>
      <c r="AL5" s="94">
        <f>'CONSUMOS'!E35</f>
        <v/>
      </c>
      <c r="AM5" s="94">
        <f>'CONSUMOS'!E36</f>
        <v/>
      </c>
      <c r="AN5" s="94">
        <f>'CONSUMOS'!E37</f>
        <v/>
      </c>
      <c r="AO5" s="94">
        <f>'CONSUMOS'!E38</f>
        <v/>
      </c>
      <c r="AP5" s="94">
        <f>'CONSUMOS'!E39</f>
        <v/>
      </c>
      <c r="AQ5" s="94">
        <f>'CONSUMOS'!E40</f>
        <v/>
      </c>
      <c r="AR5" s="94">
        <f>'CONSUMOS'!E41</f>
        <v/>
      </c>
      <c r="AS5" s="94">
        <f>'CONSUMOS'!E42</f>
        <v/>
      </c>
      <c r="AT5" s="94">
        <f>'CONSUMOS'!E43</f>
        <v/>
      </c>
      <c r="AU5" s="94">
        <f>'CONSUMOS'!E44</f>
        <v/>
      </c>
      <c r="AV5" s="94">
        <f>'CONSUMOS'!E45</f>
        <v/>
      </c>
      <c r="AW5" s="94">
        <f>'CONSUMOS'!E46</f>
        <v/>
      </c>
      <c r="AX5" s="94">
        <f>'CONSUMOS'!E47</f>
        <v/>
      </c>
      <c r="AY5" s="94">
        <f>'CONSUMOS'!E48</f>
        <v/>
      </c>
      <c r="AZ5" s="94">
        <f>'CONSUMOS'!E49</f>
        <v/>
      </c>
      <c r="BA5" s="94">
        <f>'CONSUMOS'!E50</f>
        <v/>
      </c>
      <c r="BB5" s="94">
        <f>'CONSUMOS'!E51</f>
        <v/>
      </c>
      <c r="BC5" s="94">
        <f>'CONSUMOS'!E52</f>
        <v/>
      </c>
      <c r="BD5" s="94">
        <f>'CONSUMOS'!E53</f>
        <v/>
      </c>
      <c r="BE5" s="94">
        <f>'CONSUMOS'!E54</f>
        <v/>
      </c>
      <c r="BF5" s="94">
        <f>'CONSUMOS'!E55</f>
        <v/>
      </c>
      <c r="BG5" s="94">
        <f>'CONSUMOS'!E56</f>
        <v/>
      </c>
      <c r="BH5" s="94">
        <f>'CONSUMOS'!E57</f>
        <v/>
      </c>
      <c r="BI5" s="94">
        <f>'CONSUMOS'!E58</f>
        <v/>
      </c>
      <c r="BJ5" s="94">
        <f>'CONSUMOS'!E59</f>
        <v/>
      </c>
      <c r="BK5" s="94">
        <f>'CONSUMOS'!E60</f>
        <v/>
      </c>
      <c r="BL5" s="94">
        <f>'CONSUMOS'!E61</f>
        <v/>
      </c>
      <c r="BM5" s="94">
        <f>'CONSUMOS'!E62</f>
        <v/>
      </c>
      <c r="BN5" s="94">
        <f>'CONSUMOS'!E63</f>
        <v/>
      </c>
      <c r="BO5" s="94">
        <f>'CONSUMOS'!E64</f>
        <v/>
      </c>
      <c r="BP5" s="94">
        <f>'CONSUMOS'!E65</f>
        <v/>
      </c>
      <c r="BQ5" s="94">
        <f>'CONSUMOS'!E66</f>
        <v/>
      </c>
      <c r="BR5" s="94">
        <f>'CONSUMOS'!E67</f>
        <v/>
      </c>
      <c r="BS5" s="94">
        <f>'CONSUMOS'!E68</f>
        <v/>
      </c>
      <c r="BT5" s="94">
        <f>'CONSUMOS'!E69</f>
        <v/>
      </c>
      <c r="BU5" s="94">
        <f>'CONSUMOS'!E70</f>
        <v/>
      </c>
      <c r="BV5" s="94">
        <f>'CONSUMOS'!E71</f>
        <v/>
      </c>
      <c r="BW5" s="94">
        <f>'CONSUMOS'!E72</f>
        <v/>
      </c>
      <c r="BX5" s="94">
        <f>'CONSUMOS'!E73</f>
        <v/>
      </c>
      <c r="BY5" s="94">
        <f>'CONSUMOS'!E74</f>
        <v/>
      </c>
      <c r="BZ5" s="94">
        <f>'CONSUMOS'!E75</f>
        <v/>
      </c>
      <c r="CA5" s="94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0">
        <f>'CONTENÇÃO'!$K$5</f>
        <v/>
      </c>
      <c r="E6" s="49">
        <f>SUM(H6:CA6)</f>
        <v/>
      </c>
      <c r="F6" s="49">
        <f>IF(D6="","",D6-E6)</f>
        <v/>
      </c>
      <c r="H6" s="94">
        <f>'CONTENÇÃO'!E5</f>
        <v/>
      </c>
      <c r="I6" s="94">
        <f>'CONTENÇÃO'!E6</f>
        <v/>
      </c>
      <c r="J6" s="94">
        <f>'CONTENÇÃO'!E7</f>
        <v/>
      </c>
      <c r="K6" s="94">
        <f>'CONTENÇÃO'!E8</f>
        <v/>
      </c>
      <c r="L6" s="94">
        <f>'CONTENÇÃO'!E9</f>
        <v/>
      </c>
      <c r="M6" s="94">
        <f>'CONTENÇÃO'!E10</f>
        <v/>
      </c>
      <c r="N6" s="94">
        <f>'CONTENÇÃO'!E11</f>
        <v/>
      </c>
      <c r="O6" s="94">
        <f>'CONTENÇÃO'!E12</f>
        <v/>
      </c>
      <c r="P6" s="94">
        <f>'CONTENÇÃO'!E13</f>
        <v/>
      </c>
      <c r="Q6" s="94">
        <f>'CONTENÇÃO'!E14</f>
        <v/>
      </c>
      <c r="R6" s="94">
        <f>'CONTENÇÃO'!E15</f>
        <v/>
      </c>
      <c r="S6" s="94">
        <f>'CONTENÇÃO'!E16</f>
        <v/>
      </c>
      <c r="T6" s="94">
        <f>'CONTENÇÃO'!E17</f>
        <v/>
      </c>
      <c r="U6" s="94">
        <f>'CONTENÇÃO'!E18</f>
        <v/>
      </c>
      <c r="V6" s="94">
        <f>'CONTENÇÃO'!E19</f>
        <v/>
      </c>
      <c r="W6" s="94">
        <f>'CONTENÇÃO'!E20</f>
        <v/>
      </c>
      <c r="X6" s="94">
        <f>'CONTENÇÃO'!E21</f>
        <v/>
      </c>
      <c r="Y6" s="94">
        <f>'CONTENÇÃO'!E22</f>
        <v/>
      </c>
      <c r="Z6" s="94">
        <f>'CONTENÇÃO'!E23</f>
        <v/>
      </c>
      <c r="AA6" s="94">
        <f>'CONTENÇÃO'!E24</f>
        <v/>
      </c>
      <c r="AB6" s="94">
        <f>'CONTENÇÃO'!E25</f>
        <v/>
      </c>
      <c r="AC6" s="94">
        <f>'CONTENÇÃO'!E26</f>
        <v/>
      </c>
      <c r="AD6" s="94">
        <f>'CONTENÇÃO'!E27</f>
        <v/>
      </c>
      <c r="AE6" s="94">
        <f>'CONTENÇÃO'!E28</f>
        <v/>
      </c>
      <c r="AF6" s="94">
        <f>'CONTENÇÃO'!E29</f>
        <v/>
      </c>
      <c r="AG6" s="94">
        <f>'CONTENÇÃO'!E30</f>
        <v/>
      </c>
      <c r="AH6" s="94">
        <f>'CONTENÇÃO'!E31</f>
        <v/>
      </c>
      <c r="AI6" s="94">
        <f>'CONTENÇÃO'!E32</f>
        <v/>
      </c>
      <c r="AJ6" s="94">
        <f>'CONTENÇÃO'!E33</f>
        <v/>
      </c>
      <c r="AK6" s="94">
        <f>'CONTENÇÃO'!E34</f>
        <v/>
      </c>
      <c r="AL6" s="94">
        <f>'CONTENÇÃO'!E35</f>
        <v/>
      </c>
      <c r="AM6" s="94">
        <f>'CONTENÇÃO'!E36</f>
        <v/>
      </c>
      <c r="AN6" s="94">
        <f>'CONTENÇÃO'!E37</f>
        <v/>
      </c>
      <c r="AO6" s="94">
        <f>'CONTENÇÃO'!E38</f>
        <v/>
      </c>
      <c r="AP6" s="94">
        <f>'CONTENÇÃO'!E39</f>
        <v/>
      </c>
      <c r="AQ6" s="94">
        <f>'CONTENÇÃO'!E40</f>
        <v/>
      </c>
      <c r="AR6" s="94">
        <f>'CONTENÇÃO'!E41</f>
        <v/>
      </c>
      <c r="AS6" s="94">
        <f>'CONTENÇÃO'!E42</f>
        <v/>
      </c>
      <c r="AT6" s="94">
        <f>'CONTENÇÃO'!E43</f>
        <v/>
      </c>
      <c r="AU6" s="94">
        <f>'CONTENÇÃO'!E44</f>
        <v/>
      </c>
      <c r="AV6" s="94">
        <f>'CONTENÇÃO'!E45</f>
        <v/>
      </c>
      <c r="AW6" s="94">
        <f>'CONTENÇÃO'!E46</f>
        <v/>
      </c>
      <c r="AX6" s="94">
        <f>'CONTENÇÃO'!E47</f>
        <v/>
      </c>
      <c r="AY6" s="94">
        <f>'CONTENÇÃO'!E48</f>
        <v/>
      </c>
      <c r="AZ6" s="94">
        <f>'CONTENÇÃO'!E49</f>
        <v/>
      </c>
      <c r="BA6" s="94">
        <f>'CONTENÇÃO'!E50</f>
        <v/>
      </c>
      <c r="BB6" s="94">
        <f>'CONTENÇÃO'!E51</f>
        <v/>
      </c>
      <c r="BC6" s="94">
        <f>'CONTENÇÃO'!E52</f>
        <v/>
      </c>
      <c r="BD6" s="94">
        <f>'CONTENÇÃO'!E53</f>
        <v/>
      </c>
      <c r="BE6" s="94">
        <f>'CONTENÇÃO'!E54</f>
        <v/>
      </c>
      <c r="BF6" s="94">
        <f>'CONTENÇÃO'!E55</f>
        <v/>
      </c>
      <c r="BG6" s="94">
        <f>'CONTENÇÃO'!E56</f>
        <v/>
      </c>
      <c r="BH6" s="94">
        <f>'CONTENÇÃO'!E57</f>
        <v/>
      </c>
      <c r="BI6" s="94">
        <f>'CONTENÇÃO'!E58</f>
        <v/>
      </c>
      <c r="BJ6" s="94">
        <f>'CONTENÇÃO'!E59</f>
        <v/>
      </c>
      <c r="BK6" s="94">
        <f>'CONTENÇÃO'!E60</f>
        <v/>
      </c>
      <c r="BL6" s="94">
        <f>'CONTENÇÃO'!E61</f>
        <v/>
      </c>
      <c r="BM6" s="94">
        <f>'CONTENÇÃO'!E62</f>
        <v/>
      </c>
      <c r="BN6" s="94">
        <f>'CONTENÇÃO'!E63</f>
        <v/>
      </c>
      <c r="BO6" s="94">
        <f>'CONTENÇÃO'!E64</f>
        <v/>
      </c>
      <c r="BP6" s="94">
        <f>'CONTENÇÃO'!E65</f>
        <v/>
      </c>
      <c r="BQ6" s="94">
        <f>'CONTENÇÃO'!E66</f>
        <v/>
      </c>
      <c r="BR6" s="94">
        <f>'CONTENÇÃO'!E67</f>
        <v/>
      </c>
      <c r="BS6" s="94">
        <f>'CONTENÇÃO'!E68</f>
        <v/>
      </c>
      <c r="BT6" s="94">
        <f>'CONTENÇÃO'!E69</f>
        <v/>
      </c>
      <c r="BU6" s="94">
        <f>'CONTENÇÃO'!E70</f>
        <v/>
      </c>
      <c r="BV6" s="94">
        <f>'CONTENÇÃO'!E71</f>
        <v/>
      </c>
      <c r="BW6" s="94">
        <f>'CONTENÇÃO'!E72</f>
        <v/>
      </c>
      <c r="BX6" s="94">
        <f>'CONTENÇÃO'!E73</f>
        <v/>
      </c>
      <c r="BY6" s="94">
        <f>'CONTENÇÃO'!E74</f>
        <v/>
      </c>
      <c r="BZ6" s="94">
        <f>'CONTENÇÃO'!E75</f>
        <v/>
      </c>
      <c r="CA6" s="94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0">
        <f>'DIVERSOS'!$K$5</f>
        <v/>
      </c>
      <c r="E9" s="49">
        <f>SUM(H9:CA9)</f>
        <v/>
      </c>
      <c r="F9" s="49">
        <f>IF(D9="","",D9-E9)</f>
        <v/>
      </c>
      <c r="H9" s="94">
        <f>'DIVERSOS'!E5</f>
        <v/>
      </c>
      <c r="I9" s="94">
        <f>'DIVERSOS'!E6</f>
        <v/>
      </c>
      <c r="J9" s="94">
        <f>'DIVERSOS'!E7</f>
        <v/>
      </c>
      <c r="K9" s="94">
        <f>'DIVERSOS'!E8</f>
        <v/>
      </c>
      <c r="L9" s="94">
        <f>'DIVERSOS'!E9</f>
        <v/>
      </c>
      <c r="M9" s="94">
        <f>'DIVERSOS'!E10</f>
        <v/>
      </c>
      <c r="N9" s="94">
        <f>'DIVERSOS'!E11</f>
        <v/>
      </c>
      <c r="O9" s="94">
        <f>'DIVERSOS'!E12</f>
        <v/>
      </c>
      <c r="P9" s="94">
        <f>'DIVERSOS'!E13</f>
        <v/>
      </c>
      <c r="Q9" s="94">
        <f>'DIVERSOS'!E14</f>
        <v/>
      </c>
      <c r="R9" s="94">
        <f>'DIVERSOS'!E15</f>
        <v/>
      </c>
      <c r="S9" s="94">
        <f>'DIVERSOS'!E16</f>
        <v/>
      </c>
      <c r="T9" s="94">
        <f>'DIVERSOS'!E17</f>
        <v/>
      </c>
      <c r="U9" s="94">
        <f>'DIVERSOS'!E18</f>
        <v/>
      </c>
      <c r="V9" s="94">
        <f>'DIVERSOS'!E19</f>
        <v/>
      </c>
      <c r="W9" s="94">
        <f>'DIVERSOS'!E20</f>
        <v/>
      </c>
      <c r="X9" s="94">
        <f>'DIVERSOS'!E21</f>
        <v/>
      </c>
      <c r="Y9" s="94">
        <f>'DIVERSOS'!E22</f>
        <v/>
      </c>
      <c r="Z9" s="94">
        <f>'DIVERSOS'!E23</f>
        <v/>
      </c>
      <c r="AA9" s="94">
        <f>'DIVERSOS'!E24</f>
        <v/>
      </c>
      <c r="AB9" s="94">
        <f>'DIVERSOS'!E25</f>
        <v/>
      </c>
      <c r="AC9" s="94">
        <f>'DIVERSOS'!E26</f>
        <v/>
      </c>
      <c r="AD9" s="94">
        <f>'DIVERSOS'!E27</f>
        <v/>
      </c>
      <c r="AE9" s="94">
        <f>'DIVERSOS'!E28</f>
        <v/>
      </c>
      <c r="AF9" s="94">
        <f>'DIVERSOS'!E29</f>
        <v/>
      </c>
      <c r="AG9" s="94">
        <f>'DIVERSOS'!E30</f>
        <v/>
      </c>
      <c r="AH9" s="94">
        <f>'DIVERSOS'!E31</f>
        <v/>
      </c>
      <c r="AI9" s="94">
        <f>'DIVERSOS'!E32</f>
        <v/>
      </c>
      <c r="AJ9" s="94">
        <f>'DIVERSOS'!E33</f>
        <v/>
      </c>
      <c r="AK9" s="94">
        <f>'DIVERSOS'!E34</f>
        <v/>
      </c>
      <c r="AL9" s="94">
        <f>'DIVERSOS'!E35</f>
        <v/>
      </c>
      <c r="AM9" s="94">
        <f>'DIVERSOS'!E36</f>
        <v/>
      </c>
      <c r="AN9" s="94">
        <f>'DIVERSOS'!E37</f>
        <v/>
      </c>
      <c r="AO9" s="94">
        <f>'DIVERSOS'!E38</f>
        <v/>
      </c>
      <c r="AP9" s="94">
        <f>'DIVERSOS'!E39</f>
        <v/>
      </c>
      <c r="AQ9" s="94">
        <f>'DIVERSOS'!E40</f>
        <v/>
      </c>
      <c r="AR9" s="94">
        <f>'DIVERSOS'!E41</f>
        <v/>
      </c>
      <c r="AS9" s="94">
        <f>'DIVERSOS'!E42</f>
        <v/>
      </c>
      <c r="AT9" s="94">
        <f>'DIVERSOS'!E43</f>
        <v/>
      </c>
      <c r="AU9" s="94">
        <f>'DIVERSOS'!E44</f>
        <v/>
      </c>
      <c r="AV9" s="94">
        <f>'DIVERSOS'!E45</f>
        <v/>
      </c>
      <c r="AW9" s="94">
        <f>'DIVERSOS'!E46</f>
        <v/>
      </c>
      <c r="AX9" s="94">
        <f>'DIVERSOS'!E47</f>
        <v/>
      </c>
      <c r="AY9" s="94">
        <f>'DIVERSOS'!E48</f>
        <v/>
      </c>
      <c r="AZ9" s="94">
        <f>'DIVERSOS'!E49</f>
        <v/>
      </c>
      <c r="BA9" s="94">
        <f>'DIVERSOS'!E50</f>
        <v/>
      </c>
      <c r="BB9" s="94">
        <f>'DIVERSOS'!E51</f>
        <v/>
      </c>
      <c r="BC9" s="94">
        <f>'DIVERSOS'!E52</f>
        <v/>
      </c>
      <c r="BD9" s="94">
        <f>'DIVERSOS'!E53</f>
        <v/>
      </c>
      <c r="BE9" s="94">
        <f>'DIVERSOS'!E54</f>
        <v/>
      </c>
      <c r="BF9" s="94">
        <f>'DIVERSOS'!E55</f>
        <v/>
      </c>
      <c r="BG9" s="94">
        <f>'DIVERSOS'!E56</f>
        <v/>
      </c>
      <c r="BH9" s="94">
        <f>'DIVERSOS'!E57</f>
        <v/>
      </c>
      <c r="BI9" s="94">
        <f>'DIVERSOS'!E58</f>
        <v/>
      </c>
      <c r="BJ9" s="94">
        <f>'DIVERSOS'!E59</f>
        <v/>
      </c>
      <c r="BK9" s="94">
        <f>'DIVERSOS'!E60</f>
        <v/>
      </c>
      <c r="BL9" s="94">
        <f>'DIVERSOS'!E61</f>
        <v/>
      </c>
      <c r="BM9" s="94">
        <f>'DIVERSOS'!E62</f>
        <v/>
      </c>
      <c r="BN9" s="94">
        <f>'DIVERSOS'!E63</f>
        <v/>
      </c>
      <c r="BO9" s="94">
        <f>'DIVERSOS'!E64</f>
        <v/>
      </c>
      <c r="BP9" s="94">
        <f>'DIVERSOS'!E65</f>
        <v/>
      </c>
      <c r="BQ9" s="94">
        <f>'DIVERSOS'!E66</f>
        <v/>
      </c>
      <c r="BR9" s="94">
        <f>'DIVERSOS'!E67</f>
        <v/>
      </c>
      <c r="BS9" s="94">
        <f>'DIVERSOS'!E68</f>
        <v/>
      </c>
      <c r="BT9" s="94">
        <f>'DIVERSOS'!E69</f>
        <v/>
      </c>
      <c r="BU9" s="94">
        <f>'DIVERSOS'!E70</f>
        <v/>
      </c>
      <c r="BV9" s="94">
        <f>'DIVERSOS'!E71</f>
        <v/>
      </c>
      <c r="BW9" s="94">
        <f>'DIVERSOS'!E72</f>
        <v/>
      </c>
      <c r="BX9" s="94">
        <f>'DIVERSOS'!E73</f>
        <v/>
      </c>
      <c r="BY9" s="94">
        <f>'DIVERSOS'!E74</f>
        <v/>
      </c>
      <c r="BZ9" s="94">
        <f>'DIVERSOS'!E75</f>
        <v/>
      </c>
      <c r="CA9" s="94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0">
        <f>'ELEVADORES '!$K$5</f>
        <v/>
      </c>
      <c r="E10" s="49">
        <f>SUM(H10:CA10)</f>
        <v/>
      </c>
      <c r="F10" s="49">
        <f>IF(D10="","",D10-E10)</f>
        <v/>
      </c>
      <c r="H10" s="94">
        <f>'ELEVADORES '!E5</f>
        <v/>
      </c>
      <c r="I10" s="94">
        <f>'ELEVADORES '!E6</f>
        <v/>
      </c>
      <c r="J10" s="94">
        <f>'ELEVADORES '!E7</f>
        <v/>
      </c>
      <c r="K10" s="94">
        <f>'ELEVADORES '!E8</f>
        <v/>
      </c>
      <c r="L10" s="94">
        <f>'ELEVADORES '!E9</f>
        <v/>
      </c>
      <c r="M10" s="94">
        <f>'ELEVADORES '!E10</f>
        <v/>
      </c>
      <c r="N10" s="94">
        <f>'ELEVADORES '!E11</f>
        <v/>
      </c>
      <c r="O10" s="94">
        <f>'ELEVADORES '!E12</f>
        <v/>
      </c>
      <c r="P10" s="94">
        <f>'ELEVADORES '!E13</f>
        <v/>
      </c>
      <c r="Q10" s="94">
        <f>'ELEVADORES '!E14</f>
        <v/>
      </c>
      <c r="R10" s="94">
        <f>'ELEVADORES '!E15</f>
        <v/>
      </c>
      <c r="S10" s="94">
        <f>'ELEVADORES '!E16</f>
        <v/>
      </c>
      <c r="T10" s="94">
        <f>'ELEVADORES '!E17</f>
        <v/>
      </c>
      <c r="U10" s="94">
        <f>'ELEVADORES '!E18</f>
        <v/>
      </c>
      <c r="V10" s="94">
        <f>'ELEVADORES '!E19</f>
        <v/>
      </c>
      <c r="W10" s="94">
        <f>'ELEVADORES '!E20</f>
        <v/>
      </c>
      <c r="X10" s="94">
        <f>'ELEVADORES '!E21</f>
        <v/>
      </c>
      <c r="Y10" s="94">
        <f>'ELEVADORES '!E22</f>
        <v/>
      </c>
      <c r="Z10" s="94">
        <f>'ELEVADORES '!E23</f>
        <v/>
      </c>
      <c r="AA10" s="94">
        <f>'ELEVADORES '!E24</f>
        <v/>
      </c>
      <c r="AB10" s="94">
        <f>'ELEVADORES '!E25</f>
        <v/>
      </c>
      <c r="AC10" s="94">
        <f>'ELEVADORES '!E26</f>
        <v/>
      </c>
      <c r="AD10" s="94">
        <f>'ELEVADORES '!E27</f>
        <v/>
      </c>
      <c r="AE10" s="94">
        <f>'ELEVADORES '!E28</f>
        <v/>
      </c>
      <c r="AF10" s="94">
        <f>'ELEVADORES '!E29</f>
        <v/>
      </c>
      <c r="AG10" s="94">
        <f>'ELEVADORES '!E30</f>
        <v/>
      </c>
      <c r="AH10" s="94">
        <f>'ELEVADORES '!E31</f>
        <v/>
      </c>
      <c r="AI10" s="94">
        <f>'ELEVADORES '!E32</f>
        <v/>
      </c>
      <c r="AJ10" s="94">
        <f>'ELEVADORES '!E33</f>
        <v/>
      </c>
      <c r="AK10" s="94">
        <f>'ELEVADORES '!E34</f>
        <v/>
      </c>
      <c r="AL10" s="94">
        <f>'ELEVADORES '!E35</f>
        <v/>
      </c>
      <c r="AM10" s="94">
        <f>'ELEVADORES '!E36</f>
        <v/>
      </c>
      <c r="AN10" s="94">
        <f>'ELEVADORES '!E37</f>
        <v/>
      </c>
      <c r="AO10" s="94">
        <f>'ELEVADORES '!E38</f>
        <v/>
      </c>
      <c r="AP10" s="94">
        <f>'ELEVADORES '!E39</f>
        <v/>
      </c>
      <c r="AQ10" s="94">
        <f>'ELEVADORES '!E40</f>
        <v/>
      </c>
      <c r="AR10" s="94">
        <f>'ELEVADORES '!E41</f>
        <v/>
      </c>
      <c r="AS10" s="94">
        <f>'ELEVADORES '!E42</f>
        <v/>
      </c>
      <c r="AT10" s="94">
        <f>'ELEVADORES '!E43</f>
        <v/>
      </c>
      <c r="AU10" s="94">
        <f>'ELEVADORES '!E44</f>
        <v/>
      </c>
      <c r="AV10" s="94">
        <f>'ELEVADORES '!E45</f>
        <v/>
      </c>
      <c r="AW10" s="94">
        <f>'ELEVADORES '!E46</f>
        <v/>
      </c>
      <c r="AX10" s="94">
        <f>'ELEVADORES '!E47</f>
        <v/>
      </c>
      <c r="AY10" s="94">
        <f>'ELEVADORES '!E48</f>
        <v/>
      </c>
      <c r="AZ10" s="94">
        <f>'ELEVADORES '!E49</f>
        <v/>
      </c>
      <c r="BA10" s="94">
        <f>'ELEVADORES '!E50</f>
        <v/>
      </c>
      <c r="BB10" s="94">
        <f>'ELEVADORES '!E51</f>
        <v/>
      </c>
      <c r="BC10" s="94">
        <f>'ELEVADORES '!E52</f>
        <v/>
      </c>
      <c r="BD10" s="94">
        <f>'ELEVADORES '!E53</f>
        <v/>
      </c>
      <c r="BE10" s="94">
        <f>'ELEVADORES '!E54</f>
        <v/>
      </c>
      <c r="BF10" s="94">
        <f>'ELEVADORES '!E55</f>
        <v/>
      </c>
      <c r="BG10" s="94">
        <f>'ELEVADORES '!E56</f>
        <v/>
      </c>
      <c r="BH10" s="94">
        <f>'ELEVADORES '!E57</f>
        <v/>
      </c>
      <c r="BI10" s="94">
        <f>'ELEVADORES '!E58</f>
        <v/>
      </c>
      <c r="BJ10" s="94">
        <f>'ELEVADORES '!E59</f>
        <v/>
      </c>
      <c r="BK10" s="94">
        <f>'ELEVADORES '!E60</f>
        <v/>
      </c>
      <c r="BL10" s="94">
        <f>'ELEVADORES '!E61</f>
        <v/>
      </c>
      <c r="BM10" s="94">
        <f>'ELEVADORES '!E62</f>
        <v/>
      </c>
      <c r="BN10" s="94">
        <f>'ELEVADORES '!E63</f>
        <v/>
      </c>
      <c r="BO10" s="94">
        <f>'ELEVADORES '!E64</f>
        <v/>
      </c>
      <c r="BP10" s="94">
        <f>'ELEVADORES '!E65</f>
        <v/>
      </c>
      <c r="BQ10" s="94">
        <f>'ELEVADORES '!E66</f>
        <v/>
      </c>
      <c r="BR10" s="94">
        <f>'ELEVADORES '!E67</f>
        <v/>
      </c>
      <c r="BS10" s="94">
        <f>'ELEVADORES '!E68</f>
        <v/>
      </c>
      <c r="BT10" s="94">
        <f>'ELEVADORES '!E69</f>
        <v/>
      </c>
      <c r="BU10" s="94">
        <f>'ELEVADORES '!E70</f>
        <v/>
      </c>
      <c r="BV10" s="94">
        <f>'ELEVADORES '!E71</f>
        <v/>
      </c>
      <c r="BW10" s="94">
        <f>'ELEVADORES '!E72</f>
        <v/>
      </c>
      <c r="BX10" s="94">
        <f>'ELEVADORES '!E73</f>
        <v/>
      </c>
      <c r="BY10" s="94">
        <f>'ELEVADORES '!E74</f>
        <v/>
      </c>
      <c r="BZ10" s="94">
        <f>'ELEVADORES '!E75</f>
        <v/>
      </c>
      <c r="CA10" s="94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0">
        <f>'EQUIP E FER'!$K$5</f>
        <v/>
      </c>
      <c r="E12" s="49">
        <f>SUM(H12:CA12)</f>
        <v/>
      </c>
      <c r="F12" s="49">
        <f>IF(D12="","",D12-E12)</f>
        <v/>
      </c>
      <c r="H12" s="94">
        <f>'EQUIP E FER'!E5</f>
        <v/>
      </c>
      <c r="I12" s="94">
        <f>'EQUIP E FER'!E6</f>
        <v/>
      </c>
      <c r="J12" s="94">
        <f>'EQUIP E FER'!E7</f>
        <v/>
      </c>
      <c r="K12" s="94">
        <f>'EQUIP E FER'!E8</f>
        <v/>
      </c>
      <c r="L12" s="94">
        <f>'EQUIP E FER'!E9</f>
        <v/>
      </c>
      <c r="M12" s="94">
        <f>'EQUIP E FER'!E10</f>
        <v/>
      </c>
      <c r="N12" s="94">
        <f>'EQUIP E FER'!E11</f>
        <v/>
      </c>
      <c r="O12" s="94">
        <f>'EQUIP E FER'!E12</f>
        <v/>
      </c>
      <c r="P12" s="94">
        <f>'EQUIP E FER'!E13</f>
        <v/>
      </c>
      <c r="Q12" s="94">
        <f>'EQUIP E FER'!E14</f>
        <v/>
      </c>
      <c r="R12" s="94">
        <f>'EQUIP E FER'!E15</f>
        <v/>
      </c>
      <c r="S12" s="94">
        <f>'EQUIP E FER'!E16</f>
        <v/>
      </c>
      <c r="T12" s="94">
        <f>'EQUIP E FER'!E17</f>
        <v/>
      </c>
      <c r="U12" s="94">
        <f>'EQUIP E FER'!E18</f>
        <v/>
      </c>
      <c r="V12" s="94">
        <f>'EQUIP E FER'!E19</f>
        <v/>
      </c>
      <c r="W12" s="94">
        <f>'EQUIP E FER'!E20</f>
        <v/>
      </c>
      <c r="X12" s="94">
        <f>'EQUIP E FER'!E21</f>
        <v/>
      </c>
      <c r="Y12" s="94">
        <f>'EQUIP E FER'!E22</f>
        <v/>
      </c>
      <c r="Z12" s="94">
        <f>'EQUIP E FER'!E23</f>
        <v/>
      </c>
      <c r="AA12" s="94">
        <f>'EQUIP E FER'!E24</f>
        <v/>
      </c>
      <c r="AB12" s="94">
        <f>'EQUIP E FER'!E25</f>
        <v/>
      </c>
      <c r="AC12" s="94">
        <f>'EQUIP E FER'!E26</f>
        <v/>
      </c>
      <c r="AD12" s="94">
        <f>'EQUIP E FER'!E27</f>
        <v/>
      </c>
      <c r="AE12" s="94">
        <f>'EQUIP E FER'!E28</f>
        <v/>
      </c>
      <c r="AF12" s="94">
        <f>'EQUIP E FER'!E29</f>
        <v/>
      </c>
      <c r="AG12" s="94">
        <f>'EQUIP E FER'!E30</f>
        <v/>
      </c>
      <c r="AH12" s="94">
        <f>'EQUIP E FER'!E31</f>
        <v/>
      </c>
      <c r="AI12" s="94">
        <f>'EQUIP E FER'!E32</f>
        <v/>
      </c>
      <c r="AJ12" s="94">
        <f>'EQUIP E FER'!E33</f>
        <v/>
      </c>
      <c r="AK12" s="94">
        <f>'EQUIP E FER'!E34</f>
        <v/>
      </c>
      <c r="AL12" s="94">
        <f>'EQUIP E FER'!E35</f>
        <v/>
      </c>
      <c r="AM12" s="94">
        <f>'EQUIP E FER'!E36</f>
        <v/>
      </c>
      <c r="AN12" s="94">
        <f>'EQUIP E FER'!E37</f>
        <v/>
      </c>
      <c r="AO12" s="94">
        <f>'EQUIP E FER'!E38</f>
        <v/>
      </c>
      <c r="AP12" s="94">
        <f>'EQUIP E FER'!E39</f>
        <v/>
      </c>
      <c r="AQ12" s="94">
        <f>'EQUIP E FER'!E40</f>
        <v/>
      </c>
      <c r="AR12" s="94">
        <f>'EQUIP E FER'!E41</f>
        <v/>
      </c>
      <c r="AS12" s="94">
        <f>'EQUIP E FER'!E42</f>
        <v/>
      </c>
      <c r="AT12" s="94">
        <f>'EQUIP E FER'!E43</f>
        <v/>
      </c>
      <c r="AU12" s="94">
        <f>'EQUIP E FER'!E44</f>
        <v/>
      </c>
      <c r="AV12" s="94">
        <f>'EQUIP E FER'!E45</f>
        <v/>
      </c>
      <c r="AW12" s="94">
        <f>'EQUIP E FER'!E46</f>
        <v/>
      </c>
      <c r="AX12" s="94">
        <f>'EQUIP E FER'!E47</f>
        <v/>
      </c>
      <c r="AY12" s="94">
        <f>'EQUIP E FER'!E48</f>
        <v/>
      </c>
      <c r="AZ12" s="94">
        <f>'EQUIP E FER'!E49</f>
        <v/>
      </c>
      <c r="BA12" s="94">
        <f>'EQUIP E FER'!E50</f>
        <v/>
      </c>
      <c r="BB12" s="94">
        <f>'EQUIP E FER'!E51</f>
        <v/>
      </c>
      <c r="BC12" s="94">
        <f>'EQUIP E FER'!E52</f>
        <v/>
      </c>
      <c r="BD12" s="94">
        <f>'EQUIP E FER'!E53</f>
        <v/>
      </c>
      <c r="BE12" s="94">
        <f>'EQUIP E FER'!E54</f>
        <v/>
      </c>
      <c r="BF12" s="94">
        <f>'EQUIP E FER'!E55</f>
        <v/>
      </c>
      <c r="BG12" s="94">
        <f>'EQUIP E FER'!E56</f>
        <v/>
      </c>
      <c r="BH12" s="94">
        <f>'EQUIP E FER'!E57</f>
        <v/>
      </c>
      <c r="BI12" s="94">
        <f>'EQUIP E FER'!E58</f>
        <v/>
      </c>
      <c r="BJ12" s="94">
        <f>'EQUIP E FER'!E59</f>
        <v/>
      </c>
      <c r="BK12" s="94">
        <f>'EQUIP E FER'!E60</f>
        <v/>
      </c>
      <c r="BL12" s="94">
        <f>'EQUIP E FER'!E61</f>
        <v/>
      </c>
      <c r="BM12" s="94">
        <f>'EQUIP E FER'!E62</f>
        <v/>
      </c>
      <c r="BN12" s="94">
        <f>'EQUIP E FER'!E63</f>
        <v/>
      </c>
      <c r="BO12" s="94">
        <f>'EQUIP E FER'!E64</f>
        <v/>
      </c>
      <c r="BP12" s="94">
        <f>'EQUIP E FER'!E65</f>
        <v/>
      </c>
      <c r="BQ12" s="94">
        <f>'EQUIP E FER'!E66</f>
        <v/>
      </c>
      <c r="BR12" s="94">
        <f>'EQUIP E FER'!E67</f>
        <v/>
      </c>
      <c r="BS12" s="94">
        <f>'EQUIP E FER'!E68</f>
        <v/>
      </c>
      <c r="BT12" s="94">
        <f>'EQUIP E FER'!E69</f>
        <v/>
      </c>
      <c r="BU12" s="94">
        <f>'EQUIP E FER'!E70</f>
        <v/>
      </c>
      <c r="BV12" s="94">
        <f>'EQUIP E FER'!E71</f>
        <v/>
      </c>
      <c r="BW12" s="94">
        <f>'EQUIP E FER'!E72</f>
        <v/>
      </c>
      <c r="BX12" s="94">
        <f>'EQUIP E FER'!E73</f>
        <v/>
      </c>
      <c r="BY12" s="94">
        <f>'EQUIP E FER'!E74</f>
        <v/>
      </c>
      <c r="BZ12" s="94">
        <f>'EQUIP E FER'!E75</f>
        <v/>
      </c>
      <c r="CA12" s="94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0">
        <f>'ESQUADRIAS'!$K$5</f>
        <v/>
      </c>
      <c r="E13" s="49">
        <f>SUM(H13:CA13)</f>
        <v/>
      </c>
      <c r="F13" s="49">
        <f>IF(D13="","",D13-E13)</f>
        <v/>
      </c>
      <c r="H13" s="94">
        <f>'ESQUADRIAS'!E5</f>
        <v/>
      </c>
      <c r="I13" s="94">
        <f>'ESQUADRIAS'!E6</f>
        <v/>
      </c>
      <c r="J13" s="94">
        <f>'ESQUADRIAS'!E7</f>
        <v/>
      </c>
      <c r="K13" s="94">
        <f>'ESQUADRIAS'!E8</f>
        <v/>
      </c>
      <c r="L13" s="94">
        <f>'ESQUADRIAS'!E9</f>
        <v/>
      </c>
      <c r="M13" s="94">
        <f>'ESQUADRIAS'!E10</f>
        <v/>
      </c>
      <c r="N13" s="94">
        <f>'ESQUADRIAS'!E11</f>
        <v/>
      </c>
      <c r="O13" s="94">
        <f>'ESQUADRIAS'!E12</f>
        <v/>
      </c>
      <c r="P13" s="94">
        <f>'ESQUADRIAS'!E13</f>
        <v/>
      </c>
      <c r="Q13" s="94">
        <f>'ESQUADRIAS'!E14</f>
        <v/>
      </c>
      <c r="R13" s="94">
        <f>'ESQUADRIAS'!E15</f>
        <v/>
      </c>
      <c r="S13" s="94">
        <f>'ESQUADRIAS'!E16</f>
        <v/>
      </c>
      <c r="T13" s="94">
        <f>'ESQUADRIAS'!E17</f>
        <v/>
      </c>
      <c r="U13" s="94">
        <f>'ESQUADRIAS'!E18</f>
        <v/>
      </c>
      <c r="V13" s="94">
        <f>'ESQUADRIAS'!E19</f>
        <v/>
      </c>
      <c r="W13" s="94">
        <f>'ESQUADRIAS'!E20</f>
        <v/>
      </c>
      <c r="X13" s="94">
        <f>'ESQUADRIAS'!E21</f>
        <v/>
      </c>
      <c r="Y13" s="94">
        <f>'ESQUADRIAS'!E22</f>
        <v/>
      </c>
      <c r="Z13" s="94">
        <f>'ESQUADRIAS'!E23</f>
        <v/>
      </c>
      <c r="AA13" s="94">
        <f>'ESQUADRIAS'!E24</f>
        <v/>
      </c>
      <c r="AB13" s="94">
        <f>'ESQUADRIAS'!E25</f>
        <v/>
      </c>
      <c r="AC13" s="94">
        <f>'ESQUADRIAS'!E26</f>
        <v/>
      </c>
      <c r="AD13" s="94">
        <f>'ESQUADRIAS'!E27</f>
        <v/>
      </c>
      <c r="AE13" s="94">
        <f>'ESQUADRIAS'!E28</f>
        <v/>
      </c>
      <c r="AF13" s="94">
        <f>'ESQUADRIAS'!E29</f>
        <v/>
      </c>
      <c r="AG13" s="94">
        <f>'ESQUADRIAS'!E30</f>
        <v/>
      </c>
      <c r="AH13" s="94">
        <f>'ESQUADRIAS'!E31</f>
        <v/>
      </c>
      <c r="AI13" s="94">
        <f>'ESQUADRIAS'!E32</f>
        <v/>
      </c>
      <c r="AJ13" s="94">
        <f>'ESQUADRIAS'!E33</f>
        <v/>
      </c>
      <c r="AK13" s="94">
        <f>'ESQUADRIAS'!E34</f>
        <v/>
      </c>
      <c r="AL13" s="94">
        <f>'ESQUADRIAS'!E35</f>
        <v/>
      </c>
      <c r="AM13" s="94">
        <f>'ESQUADRIAS'!E36</f>
        <v/>
      </c>
      <c r="AN13" s="94">
        <f>'ESQUADRIAS'!E37</f>
        <v/>
      </c>
      <c r="AO13" s="94">
        <f>'ESQUADRIAS'!E38</f>
        <v/>
      </c>
      <c r="AP13" s="94">
        <f>'ESQUADRIAS'!E39</f>
        <v/>
      </c>
      <c r="AQ13" s="94">
        <f>'ESQUADRIAS'!E40</f>
        <v/>
      </c>
      <c r="AR13" s="94">
        <f>'ESQUADRIAS'!E41</f>
        <v/>
      </c>
      <c r="AS13" s="94">
        <f>'ESQUADRIAS'!E42</f>
        <v/>
      </c>
      <c r="AT13" s="94">
        <f>'ESQUADRIAS'!E43</f>
        <v/>
      </c>
      <c r="AU13" s="94">
        <f>'ESQUADRIAS'!E44</f>
        <v/>
      </c>
      <c r="AV13" s="94">
        <f>'ESQUADRIAS'!E45</f>
        <v/>
      </c>
      <c r="AW13" s="94">
        <f>'ESQUADRIAS'!E46</f>
        <v/>
      </c>
      <c r="AX13" s="94">
        <f>'ESQUADRIAS'!E47</f>
        <v/>
      </c>
      <c r="AY13" s="94">
        <f>'ESQUADRIAS'!E48</f>
        <v/>
      </c>
      <c r="AZ13" s="94">
        <f>'ESQUADRIAS'!E49</f>
        <v/>
      </c>
      <c r="BA13" s="94">
        <f>'ESQUADRIAS'!E50</f>
        <v/>
      </c>
      <c r="BB13" s="94">
        <f>'ESQUADRIAS'!E51</f>
        <v/>
      </c>
      <c r="BC13" s="94">
        <f>'ESQUADRIAS'!E52</f>
        <v/>
      </c>
      <c r="BD13" s="94">
        <f>'ESQUADRIAS'!E53</f>
        <v/>
      </c>
      <c r="BE13" s="94">
        <f>'ESQUADRIAS'!E54</f>
        <v/>
      </c>
      <c r="BF13" s="94">
        <f>'ESQUADRIAS'!E55</f>
        <v/>
      </c>
      <c r="BG13" s="94">
        <f>'ESQUADRIAS'!E56</f>
        <v/>
      </c>
      <c r="BH13" s="94">
        <f>'ESQUADRIAS'!E57</f>
        <v/>
      </c>
      <c r="BI13" s="94">
        <f>'ESQUADRIAS'!E58</f>
        <v/>
      </c>
      <c r="BJ13" s="94">
        <f>'ESQUADRIAS'!E59</f>
        <v/>
      </c>
      <c r="BK13" s="94">
        <f>'ESQUADRIAS'!E60</f>
        <v/>
      </c>
      <c r="BL13" s="94">
        <f>'ESQUADRIAS'!E61</f>
        <v/>
      </c>
      <c r="BM13" s="94">
        <f>'ESQUADRIAS'!E62</f>
        <v/>
      </c>
      <c r="BN13" s="94">
        <f>'ESQUADRIAS'!E63</f>
        <v/>
      </c>
      <c r="BO13" s="94">
        <f>'ESQUADRIAS'!E64</f>
        <v/>
      </c>
      <c r="BP13" s="94">
        <f>'ESQUADRIAS'!E65</f>
        <v/>
      </c>
      <c r="BQ13" s="94">
        <f>'ESQUADRIAS'!E66</f>
        <v/>
      </c>
      <c r="BR13" s="94">
        <f>'ESQUADRIAS'!E67</f>
        <v/>
      </c>
      <c r="BS13" s="94">
        <f>'ESQUADRIAS'!E68</f>
        <v/>
      </c>
      <c r="BT13" s="94">
        <f>'ESQUADRIAS'!E69</f>
        <v/>
      </c>
      <c r="BU13" s="94">
        <f>'ESQUADRIAS'!E70</f>
        <v/>
      </c>
      <c r="BV13" s="94">
        <f>'ESQUADRIAS'!E71</f>
        <v/>
      </c>
      <c r="BW13" s="94">
        <f>'ESQUADRIAS'!E72</f>
        <v/>
      </c>
      <c r="BX13" s="94">
        <f>'ESQUADRIAS'!E73</f>
        <v/>
      </c>
      <c r="BY13" s="94">
        <f>'ESQUADRIAS'!E74</f>
        <v/>
      </c>
      <c r="BZ13" s="94">
        <f>'ESQUADRIAS'!E75</f>
        <v/>
      </c>
      <c r="CA13" s="94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0">
        <f>'ESTRUTURA'!$K$5</f>
        <v/>
      </c>
      <c r="E15" s="49">
        <f>SUM(H15:CA15)</f>
        <v/>
      </c>
      <c r="F15" s="49">
        <f>IF(D15="","",D15-E15)</f>
        <v/>
      </c>
      <c r="H15" s="94">
        <f>'ESTRUTURA'!E5</f>
        <v/>
      </c>
      <c r="I15" s="94">
        <f>'ESTRUTURA'!E6</f>
        <v/>
      </c>
      <c r="J15" s="94">
        <f>'ESTRUTURA'!E7</f>
        <v/>
      </c>
      <c r="K15" s="94">
        <f>'ESTRUTURA'!E8</f>
        <v/>
      </c>
      <c r="L15" s="94">
        <f>'ESTRUTURA'!E9</f>
        <v/>
      </c>
      <c r="M15" s="94">
        <f>'ESTRUTURA'!E10</f>
        <v/>
      </c>
      <c r="N15" s="94">
        <f>'ESTRUTURA'!E11</f>
        <v/>
      </c>
      <c r="O15" s="94">
        <f>'ESTRUTURA'!E12</f>
        <v/>
      </c>
      <c r="P15" s="94">
        <f>'ESTRUTURA'!E13</f>
        <v/>
      </c>
      <c r="Q15" s="94">
        <f>'ESTRUTURA'!E14</f>
        <v/>
      </c>
      <c r="R15" s="94">
        <f>'ESTRUTURA'!E15</f>
        <v/>
      </c>
      <c r="S15" s="94">
        <f>'ESTRUTURA'!E16</f>
        <v/>
      </c>
      <c r="T15" s="94">
        <f>'ESTRUTURA'!E17</f>
        <v/>
      </c>
      <c r="U15" s="94">
        <f>'ESTRUTURA'!E18</f>
        <v/>
      </c>
      <c r="V15" s="94">
        <f>'ESTRUTURA'!E19</f>
        <v/>
      </c>
      <c r="W15" s="94">
        <f>'ESTRUTURA'!E20</f>
        <v/>
      </c>
      <c r="X15" s="94">
        <f>'ESTRUTURA'!E21</f>
        <v/>
      </c>
      <c r="Y15" s="94">
        <f>'ESTRUTURA'!E22</f>
        <v/>
      </c>
      <c r="Z15" s="94">
        <f>'ESTRUTURA'!E23</f>
        <v/>
      </c>
      <c r="AA15" s="94">
        <f>'ESTRUTURA'!E24</f>
        <v/>
      </c>
      <c r="AB15" s="94">
        <f>'ESTRUTURA'!E25</f>
        <v/>
      </c>
      <c r="AC15" s="94">
        <f>'ESTRUTURA'!E26</f>
        <v/>
      </c>
      <c r="AD15" s="94">
        <f>'ESTRUTURA'!E27</f>
        <v/>
      </c>
      <c r="AE15" s="94">
        <f>'ESTRUTURA'!E28</f>
        <v/>
      </c>
      <c r="AF15" s="94">
        <f>'ESTRUTURA'!E29</f>
        <v/>
      </c>
      <c r="AG15" s="94">
        <f>'ESTRUTURA'!E30</f>
        <v/>
      </c>
      <c r="AH15" s="94">
        <f>'ESTRUTURA'!E31</f>
        <v/>
      </c>
      <c r="AI15" s="94">
        <f>'ESTRUTURA'!E32</f>
        <v/>
      </c>
      <c r="AJ15" s="94">
        <f>'ESTRUTURA'!E33</f>
        <v/>
      </c>
      <c r="AK15" s="94">
        <f>'ESTRUTURA'!E34</f>
        <v/>
      </c>
      <c r="AL15" s="94">
        <f>'ESTRUTURA'!E35</f>
        <v/>
      </c>
      <c r="AM15" s="94">
        <f>'ESTRUTURA'!E36</f>
        <v/>
      </c>
      <c r="AN15" s="94">
        <f>'ESTRUTURA'!E37</f>
        <v/>
      </c>
      <c r="AO15" s="94">
        <f>'ESTRUTURA'!E38</f>
        <v/>
      </c>
      <c r="AP15" s="94">
        <f>'ESTRUTURA'!E39</f>
        <v/>
      </c>
      <c r="AQ15" s="94">
        <f>'ESTRUTURA'!E40</f>
        <v/>
      </c>
      <c r="AR15" s="94">
        <f>'ESTRUTURA'!E41</f>
        <v/>
      </c>
      <c r="AS15" s="94">
        <f>'ESTRUTURA'!E42</f>
        <v/>
      </c>
      <c r="AT15" s="94">
        <f>'ESTRUTURA'!E43</f>
        <v/>
      </c>
      <c r="AU15" s="94">
        <f>'ESTRUTURA'!E44</f>
        <v/>
      </c>
      <c r="AV15" s="94">
        <f>'ESTRUTURA'!E45</f>
        <v/>
      </c>
      <c r="AW15" s="94">
        <f>'ESTRUTURA'!E46</f>
        <v/>
      </c>
      <c r="AX15" s="94">
        <f>'ESTRUTURA'!E47</f>
        <v/>
      </c>
      <c r="AY15" s="94">
        <f>'ESTRUTURA'!E48</f>
        <v/>
      </c>
      <c r="AZ15" s="94">
        <f>'ESTRUTURA'!E49</f>
        <v/>
      </c>
      <c r="BA15" s="94">
        <f>'ESTRUTURA'!E50</f>
        <v/>
      </c>
      <c r="BB15" s="94">
        <f>'ESTRUTURA'!E51</f>
        <v/>
      </c>
      <c r="BC15" s="94">
        <f>'ESTRUTURA'!E52</f>
        <v/>
      </c>
      <c r="BD15" s="94">
        <f>'ESTRUTURA'!E53</f>
        <v/>
      </c>
      <c r="BE15" s="94">
        <f>'ESTRUTURA'!E54</f>
        <v/>
      </c>
      <c r="BF15" s="94">
        <f>'ESTRUTURA'!E55</f>
        <v/>
      </c>
      <c r="BG15" s="94">
        <f>'ESTRUTURA'!E56</f>
        <v/>
      </c>
      <c r="BH15" s="94">
        <f>'ESTRUTURA'!E57</f>
        <v/>
      </c>
      <c r="BI15" s="94">
        <f>'ESTRUTURA'!E58</f>
        <v/>
      </c>
      <c r="BJ15" s="94">
        <f>'ESTRUTURA'!E59</f>
        <v/>
      </c>
      <c r="BK15" s="94">
        <f>'ESTRUTURA'!E60</f>
        <v/>
      </c>
      <c r="BL15" s="94">
        <f>'ESTRUTURA'!E61</f>
        <v/>
      </c>
      <c r="BM15" s="94">
        <f>'ESTRUTURA'!E62</f>
        <v/>
      </c>
      <c r="BN15" s="94">
        <f>'ESTRUTURA'!E63</f>
        <v/>
      </c>
      <c r="BO15" s="94">
        <f>'ESTRUTURA'!E64</f>
        <v/>
      </c>
      <c r="BP15" s="94">
        <f>'ESTRUTURA'!E65</f>
        <v/>
      </c>
      <c r="BQ15" s="94">
        <f>'ESTRUTURA'!E66</f>
        <v/>
      </c>
      <c r="BR15" s="94">
        <f>'ESTRUTURA'!E67</f>
        <v/>
      </c>
      <c r="BS15" s="94">
        <f>'ESTRUTURA'!E68</f>
        <v/>
      </c>
      <c r="BT15" s="94">
        <f>'ESTRUTURA'!E69</f>
        <v/>
      </c>
      <c r="BU15" s="94">
        <f>'ESTRUTURA'!E70</f>
        <v/>
      </c>
      <c r="BV15" s="94">
        <f>'ESTRUTURA'!E71</f>
        <v/>
      </c>
      <c r="BW15" s="94">
        <f>'ESTRUTURA'!E72</f>
        <v/>
      </c>
      <c r="BX15" s="94">
        <f>'ESTRUTURA'!E73</f>
        <v/>
      </c>
      <c r="BY15" s="94">
        <f>'ESTRUTURA'!E74</f>
        <v/>
      </c>
      <c r="BZ15" s="94">
        <f>'ESTRUTURA'!E75</f>
        <v/>
      </c>
      <c r="CA15" s="94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0">
        <f>'FORRO'!$K$5</f>
        <v/>
      </c>
      <c r="E16" s="49">
        <f>SUM(H16:CA16)</f>
        <v/>
      </c>
      <c r="F16" s="49">
        <f>IF(D16="","",D16-E16)</f>
        <v/>
      </c>
      <c r="H16" s="94">
        <f>'FORRO'!E5</f>
        <v/>
      </c>
      <c r="I16" s="94">
        <f>'FORRO'!E6</f>
        <v/>
      </c>
      <c r="J16" s="94">
        <f>'FORRO'!E7</f>
        <v/>
      </c>
      <c r="K16" s="94">
        <f>'FORRO'!E8</f>
        <v/>
      </c>
      <c r="L16" s="94">
        <f>'FORRO'!E9</f>
        <v/>
      </c>
      <c r="M16" s="94">
        <f>'FORRO'!E10</f>
        <v/>
      </c>
      <c r="N16" s="94">
        <f>'FORRO'!E11</f>
        <v/>
      </c>
      <c r="O16" s="94">
        <f>'FORRO'!E12</f>
        <v/>
      </c>
      <c r="P16" s="94">
        <f>'FORRO'!E13</f>
        <v/>
      </c>
      <c r="Q16" s="94">
        <f>'FORRO'!E14</f>
        <v/>
      </c>
      <c r="R16" s="94">
        <f>'FORRO'!E15</f>
        <v/>
      </c>
      <c r="S16" s="94">
        <f>'FORRO'!E16</f>
        <v/>
      </c>
      <c r="T16" s="94">
        <f>'FORRO'!E17</f>
        <v/>
      </c>
      <c r="U16" s="94">
        <f>'FORRO'!E18</f>
        <v/>
      </c>
      <c r="V16" s="94">
        <f>'FORRO'!E19</f>
        <v/>
      </c>
      <c r="W16" s="94">
        <f>'FORRO'!E20</f>
        <v/>
      </c>
      <c r="X16" s="94">
        <f>'FORRO'!E21</f>
        <v/>
      </c>
      <c r="Y16" s="94">
        <f>'FORRO'!E22</f>
        <v/>
      </c>
      <c r="Z16" s="94">
        <f>'FORRO'!E23</f>
        <v/>
      </c>
      <c r="AA16" s="94">
        <f>'FORRO'!E24</f>
        <v/>
      </c>
      <c r="AB16" s="94">
        <f>'FORRO'!E25</f>
        <v/>
      </c>
      <c r="AC16" s="94">
        <f>'FORRO'!E26</f>
        <v/>
      </c>
      <c r="AD16" s="94">
        <f>'FORRO'!E27</f>
        <v/>
      </c>
      <c r="AE16" s="94">
        <f>'FORRO'!E28</f>
        <v/>
      </c>
      <c r="AF16" s="94">
        <f>'FORRO'!E29</f>
        <v/>
      </c>
      <c r="AG16" s="94">
        <f>'FORRO'!E30</f>
        <v/>
      </c>
      <c r="AH16" s="94">
        <f>'FORRO'!E31</f>
        <v/>
      </c>
      <c r="AI16" s="94">
        <f>'FORRO'!E32</f>
        <v/>
      </c>
      <c r="AJ16" s="94">
        <f>'FORRO'!E33</f>
        <v/>
      </c>
      <c r="AK16" s="94">
        <f>'FORRO'!E34</f>
        <v/>
      </c>
      <c r="AL16" s="94">
        <f>'FORRO'!E35</f>
        <v/>
      </c>
      <c r="AM16" s="94">
        <f>'FORRO'!E36</f>
        <v/>
      </c>
      <c r="AN16" s="94">
        <f>'FORRO'!E37</f>
        <v/>
      </c>
      <c r="AO16" s="94">
        <f>'FORRO'!E38</f>
        <v/>
      </c>
      <c r="AP16" s="94">
        <f>'FORRO'!E39</f>
        <v/>
      </c>
      <c r="AQ16" s="94">
        <f>'FORRO'!E40</f>
        <v/>
      </c>
      <c r="AR16" s="94">
        <f>'FORRO'!E41</f>
        <v/>
      </c>
      <c r="AS16" s="94">
        <f>'FORRO'!E42</f>
        <v/>
      </c>
      <c r="AT16" s="94">
        <f>'FORRO'!E43</f>
        <v/>
      </c>
      <c r="AU16" s="94">
        <f>'FORRO'!E44</f>
        <v/>
      </c>
      <c r="AV16" s="94">
        <f>'FORRO'!E45</f>
        <v/>
      </c>
      <c r="AW16" s="94">
        <f>'FORRO'!E46</f>
        <v/>
      </c>
      <c r="AX16" s="94">
        <f>'FORRO'!E47</f>
        <v/>
      </c>
      <c r="AY16" s="94">
        <f>'FORRO'!E48</f>
        <v/>
      </c>
      <c r="AZ16" s="94">
        <f>'FORRO'!E49</f>
        <v/>
      </c>
      <c r="BA16" s="94">
        <f>'FORRO'!E50</f>
        <v/>
      </c>
      <c r="BB16" s="94">
        <f>'FORRO'!E51</f>
        <v/>
      </c>
      <c r="BC16" s="94">
        <f>'FORRO'!E52</f>
        <v/>
      </c>
      <c r="BD16" s="94">
        <f>'FORRO'!E53</f>
        <v/>
      </c>
      <c r="BE16" s="94">
        <f>'FORRO'!E54</f>
        <v/>
      </c>
      <c r="BF16" s="94">
        <f>'FORRO'!E55</f>
        <v/>
      </c>
      <c r="BG16" s="94">
        <f>'FORRO'!E56</f>
        <v/>
      </c>
      <c r="BH16" s="94">
        <f>'FORRO'!E57</f>
        <v/>
      </c>
      <c r="BI16" s="94">
        <f>'FORRO'!E58</f>
        <v/>
      </c>
      <c r="BJ16" s="94">
        <f>'FORRO'!E59</f>
        <v/>
      </c>
      <c r="BK16" s="94">
        <f>'FORRO'!E60</f>
        <v/>
      </c>
      <c r="BL16" s="94">
        <f>'FORRO'!E61</f>
        <v/>
      </c>
      <c r="BM16" s="94">
        <f>'FORRO'!E62</f>
        <v/>
      </c>
      <c r="BN16" s="94">
        <f>'FORRO'!E63</f>
        <v/>
      </c>
      <c r="BO16" s="94">
        <f>'FORRO'!E64</f>
        <v/>
      </c>
      <c r="BP16" s="94">
        <f>'FORRO'!E65</f>
        <v/>
      </c>
      <c r="BQ16" s="94">
        <f>'FORRO'!E66</f>
        <v/>
      </c>
      <c r="BR16" s="94">
        <f>'FORRO'!E67</f>
        <v/>
      </c>
      <c r="BS16" s="94">
        <f>'FORRO'!E68</f>
        <v/>
      </c>
      <c r="BT16" s="94">
        <f>'FORRO'!E69</f>
        <v/>
      </c>
      <c r="BU16" s="94">
        <f>'FORRO'!E70</f>
        <v/>
      </c>
      <c r="BV16" s="94">
        <f>'FORRO'!E71</f>
        <v/>
      </c>
      <c r="BW16" s="94">
        <f>'FORRO'!E72</f>
        <v/>
      </c>
      <c r="BX16" s="94">
        <f>'FORRO'!E73</f>
        <v/>
      </c>
      <c r="BY16" s="94">
        <f>'FORRO'!E74</f>
        <v/>
      </c>
      <c r="BZ16" s="94">
        <f>'FORRO'!E75</f>
        <v/>
      </c>
      <c r="CA16" s="94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0">
        <f>'FUND. PROF'!$K$5</f>
        <v/>
      </c>
      <c r="E17" s="49">
        <f>SUM(H17:CA17)</f>
        <v/>
      </c>
      <c r="F17" s="49">
        <f>IF(D17="","",D17-E17)</f>
        <v/>
      </c>
      <c r="H17" s="94">
        <f>'FUND. PROF'!E5</f>
        <v/>
      </c>
      <c r="I17" s="94">
        <f>'FUND. PROF'!E6</f>
        <v/>
      </c>
      <c r="J17" s="94">
        <f>'FUND. PROF'!E7</f>
        <v/>
      </c>
      <c r="K17" s="94">
        <f>'FUND. PROF'!E8</f>
        <v/>
      </c>
      <c r="L17" s="94">
        <f>'FUND. PROF'!E9</f>
        <v/>
      </c>
      <c r="M17" s="94">
        <f>'FUND. PROF'!E10</f>
        <v/>
      </c>
      <c r="N17" s="94">
        <f>'FUND. PROF'!E11</f>
        <v/>
      </c>
      <c r="O17" s="94">
        <f>'FUND. PROF'!E12</f>
        <v/>
      </c>
      <c r="P17" s="94">
        <f>'FUND. PROF'!E13</f>
        <v/>
      </c>
      <c r="Q17" s="94">
        <f>'FUND. PROF'!E14</f>
        <v/>
      </c>
      <c r="R17" s="94">
        <f>'FUND. PROF'!E15</f>
        <v/>
      </c>
      <c r="S17" s="94">
        <f>'FUND. PROF'!E16</f>
        <v/>
      </c>
      <c r="T17" s="94">
        <f>'FUND. PROF'!E17</f>
        <v/>
      </c>
      <c r="U17" s="94">
        <f>'FUND. PROF'!E18</f>
        <v/>
      </c>
      <c r="V17" s="94">
        <f>'FUND. PROF'!E19</f>
        <v/>
      </c>
      <c r="W17" s="94">
        <f>'FUND. PROF'!E20</f>
        <v/>
      </c>
      <c r="X17" s="94">
        <f>'FUND. PROF'!E21</f>
        <v/>
      </c>
      <c r="Y17" s="94">
        <f>'FUND. PROF'!E22</f>
        <v/>
      </c>
      <c r="Z17" s="94">
        <f>'FUND. PROF'!E23</f>
        <v/>
      </c>
      <c r="AA17" s="94">
        <f>'FUND. PROF'!E24</f>
        <v/>
      </c>
      <c r="AB17" s="94">
        <f>'FUND. PROF'!E25</f>
        <v/>
      </c>
      <c r="AC17" s="94">
        <f>'FUND. PROF'!E26</f>
        <v/>
      </c>
      <c r="AD17" s="94">
        <f>'FUND. PROF'!E27</f>
        <v/>
      </c>
      <c r="AE17" s="94">
        <f>'FUND. PROF'!E28</f>
        <v/>
      </c>
      <c r="AF17" s="94">
        <f>'FUND. PROF'!E29</f>
        <v/>
      </c>
      <c r="AG17" s="94">
        <f>'FUND. PROF'!E30</f>
        <v/>
      </c>
      <c r="AH17" s="94">
        <f>'FUND. PROF'!E31</f>
        <v/>
      </c>
      <c r="AI17" s="94">
        <f>'FUND. PROF'!E32</f>
        <v/>
      </c>
      <c r="AJ17" s="94">
        <f>'FUND. PROF'!E33</f>
        <v/>
      </c>
      <c r="AK17" s="94">
        <f>'FUND. PROF'!E34</f>
        <v/>
      </c>
      <c r="AL17" s="94">
        <f>'FUND. PROF'!E35</f>
        <v/>
      </c>
      <c r="AM17" s="94">
        <f>'FUND. PROF'!E36</f>
        <v/>
      </c>
      <c r="AN17" s="94">
        <f>'FUND. PROF'!E37</f>
        <v/>
      </c>
      <c r="AO17" s="94">
        <f>'FUND. PROF'!E38</f>
        <v/>
      </c>
      <c r="AP17" s="94">
        <f>'FUND. PROF'!E39</f>
        <v/>
      </c>
      <c r="AQ17" s="94">
        <f>'FUND. PROF'!E40</f>
        <v/>
      </c>
      <c r="AR17" s="94">
        <f>'FUND. PROF'!E41</f>
        <v/>
      </c>
      <c r="AS17" s="94">
        <f>'FUND. PROF'!E42</f>
        <v/>
      </c>
      <c r="AT17" s="94">
        <f>'FUND. PROF'!E43</f>
        <v/>
      </c>
      <c r="AU17" s="94">
        <f>'FUND. PROF'!E44</f>
        <v/>
      </c>
      <c r="AV17" s="94">
        <f>'FUND. PROF'!E45</f>
        <v/>
      </c>
      <c r="AW17" s="94">
        <f>'FUND. PROF'!E46</f>
        <v/>
      </c>
      <c r="AX17" s="94">
        <f>'FUND. PROF'!E47</f>
        <v/>
      </c>
      <c r="AY17" s="94">
        <f>'FUND. PROF'!E48</f>
        <v/>
      </c>
      <c r="AZ17" s="94">
        <f>'FUND. PROF'!E49</f>
        <v/>
      </c>
      <c r="BA17" s="94">
        <f>'FUND. PROF'!E50</f>
        <v/>
      </c>
      <c r="BB17" s="94">
        <f>'FUND. PROF'!E51</f>
        <v/>
      </c>
      <c r="BC17" s="94">
        <f>'FUND. PROF'!E52</f>
        <v/>
      </c>
      <c r="BD17" s="94">
        <f>'FUND. PROF'!E53</f>
        <v/>
      </c>
      <c r="BE17" s="94">
        <f>'FUND. PROF'!E54</f>
        <v/>
      </c>
      <c r="BF17" s="94">
        <f>'FUND. PROF'!E55</f>
        <v/>
      </c>
      <c r="BG17" s="94">
        <f>'FUND. PROF'!E56</f>
        <v/>
      </c>
      <c r="BH17" s="94">
        <f>'FUND. PROF'!E57</f>
        <v/>
      </c>
      <c r="BI17" s="94">
        <f>'FUND. PROF'!E58</f>
        <v/>
      </c>
      <c r="BJ17" s="94">
        <f>'FUND. PROF'!E59</f>
        <v/>
      </c>
      <c r="BK17" s="94">
        <f>'FUND. PROF'!E60</f>
        <v/>
      </c>
      <c r="BL17" s="94">
        <f>'FUND. PROF'!E61</f>
        <v/>
      </c>
      <c r="BM17" s="94">
        <f>'FUND. PROF'!E62</f>
        <v/>
      </c>
      <c r="BN17" s="94">
        <f>'FUND. PROF'!E63</f>
        <v/>
      </c>
      <c r="BO17" s="94">
        <f>'FUND. PROF'!E64</f>
        <v/>
      </c>
      <c r="BP17" s="94">
        <f>'FUND. PROF'!E65</f>
        <v/>
      </c>
      <c r="BQ17" s="94">
        <f>'FUND. PROF'!E66</f>
        <v/>
      </c>
      <c r="BR17" s="94">
        <f>'FUND. PROF'!E67</f>
        <v/>
      </c>
      <c r="BS17" s="94">
        <f>'FUND. PROF'!E68</f>
        <v/>
      </c>
      <c r="BT17" s="94">
        <f>'FUND. PROF'!E69</f>
        <v/>
      </c>
      <c r="BU17" s="94">
        <f>'FUND. PROF'!E70</f>
        <v/>
      </c>
      <c r="BV17" s="94">
        <f>'FUND. PROF'!E71</f>
        <v/>
      </c>
      <c r="BW17" s="94">
        <f>'FUND. PROF'!E72</f>
        <v/>
      </c>
      <c r="BX17" s="94">
        <f>'FUND. PROF'!E73</f>
        <v/>
      </c>
      <c r="BY17" s="94">
        <f>'FUND. PROF'!E74</f>
        <v/>
      </c>
      <c r="BZ17" s="94">
        <f>'FUND. PROF'!E75</f>
        <v/>
      </c>
      <c r="CA17" s="94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0">
        <f>'FUND. SUP'!$K$5</f>
        <v/>
      </c>
      <c r="E18" s="49">
        <f>SUM(H18:CA18)</f>
        <v/>
      </c>
      <c r="F18" s="49">
        <f>IF(D18="","",D18-E18)</f>
        <v/>
      </c>
      <c r="H18" s="94">
        <f>'FUND. SUP'!E5</f>
        <v/>
      </c>
      <c r="I18" s="94">
        <f>'FUND. SUP'!E6</f>
        <v/>
      </c>
      <c r="J18" s="94">
        <f>'FUND. SUP'!E7</f>
        <v/>
      </c>
      <c r="K18" s="94">
        <f>'FUND. SUP'!E8</f>
        <v/>
      </c>
      <c r="L18" s="94">
        <f>'FUND. SUP'!E9</f>
        <v/>
      </c>
      <c r="M18" s="94">
        <f>'FUND. SUP'!E10</f>
        <v/>
      </c>
      <c r="N18" s="94">
        <f>'FUND. SUP'!E11</f>
        <v/>
      </c>
      <c r="O18" s="94">
        <f>'FUND. SUP'!E12</f>
        <v/>
      </c>
      <c r="P18" s="94">
        <f>'FUND. SUP'!E13</f>
        <v/>
      </c>
      <c r="Q18" s="94">
        <f>'FUND. SUP'!E14</f>
        <v/>
      </c>
      <c r="R18" s="94">
        <f>'FUND. SUP'!E15</f>
        <v/>
      </c>
      <c r="S18" s="94">
        <f>'FUND. SUP'!E16</f>
        <v/>
      </c>
      <c r="T18" s="94">
        <f>'FUND. SUP'!E17</f>
        <v/>
      </c>
      <c r="U18" s="94">
        <f>'FUND. SUP'!E18</f>
        <v/>
      </c>
      <c r="V18" s="94">
        <f>'FUND. SUP'!E19</f>
        <v/>
      </c>
      <c r="W18" s="94">
        <f>'FUND. SUP'!E20</f>
        <v/>
      </c>
      <c r="X18" s="94">
        <f>'FUND. SUP'!E21</f>
        <v/>
      </c>
      <c r="Y18" s="94">
        <f>'FUND. SUP'!E22</f>
        <v/>
      </c>
      <c r="Z18" s="94">
        <f>'FUND. SUP'!E23</f>
        <v/>
      </c>
      <c r="AA18" s="94">
        <f>'FUND. SUP'!E24</f>
        <v/>
      </c>
      <c r="AB18" s="94">
        <f>'FUND. SUP'!E25</f>
        <v/>
      </c>
      <c r="AC18" s="94">
        <f>'FUND. SUP'!E26</f>
        <v/>
      </c>
      <c r="AD18" s="94">
        <f>'FUND. SUP'!E27</f>
        <v/>
      </c>
      <c r="AE18" s="94">
        <f>'FUND. SUP'!E28</f>
        <v/>
      </c>
      <c r="AF18" s="94">
        <f>'FUND. SUP'!E29</f>
        <v/>
      </c>
      <c r="AG18" s="94">
        <f>'FUND. SUP'!E30</f>
        <v/>
      </c>
      <c r="AH18" s="94">
        <f>'FUND. SUP'!E31</f>
        <v/>
      </c>
      <c r="AI18" s="94">
        <f>'FUND. SUP'!E32</f>
        <v/>
      </c>
      <c r="AJ18" s="94">
        <f>'FUND. SUP'!E33</f>
        <v/>
      </c>
      <c r="AK18" s="94">
        <f>'FUND. SUP'!E34</f>
        <v/>
      </c>
      <c r="AL18" s="94">
        <f>'FUND. SUP'!E35</f>
        <v/>
      </c>
      <c r="AM18" s="94">
        <f>'FUND. SUP'!E36</f>
        <v/>
      </c>
      <c r="AN18" s="94">
        <f>'FUND. SUP'!E37</f>
        <v/>
      </c>
      <c r="AO18" s="94">
        <f>'FUND. SUP'!E38</f>
        <v/>
      </c>
      <c r="AP18" s="94">
        <f>'FUND. SUP'!E39</f>
        <v/>
      </c>
      <c r="AQ18" s="94">
        <f>'FUND. SUP'!E40</f>
        <v/>
      </c>
      <c r="AR18" s="94">
        <f>'FUND. SUP'!E41</f>
        <v/>
      </c>
      <c r="AS18" s="94">
        <f>'FUND. SUP'!E42</f>
        <v/>
      </c>
      <c r="AT18" s="94">
        <f>'FUND. SUP'!E43</f>
        <v/>
      </c>
      <c r="AU18" s="94">
        <f>'FUND. SUP'!E44</f>
        <v/>
      </c>
      <c r="AV18" s="94">
        <f>'FUND. SUP'!E45</f>
        <v/>
      </c>
      <c r="AW18" s="94">
        <f>'FUND. SUP'!E46</f>
        <v/>
      </c>
      <c r="AX18" s="94">
        <f>'FUND. SUP'!E47</f>
        <v/>
      </c>
      <c r="AY18" s="94">
        <f>'FUND. SUP'!E48</f>
        <v/>
      </c>
      <c r="AZ18" s="94">
        <f>'FUND. SUP'!E49</f>
        <v/>
      </c>
      <c r="BA18" s="94">
        <f>'FUND. SUP'!E50</f>
        <v/>
      </c>
      <c r="BB18" s="94">
        <f>'FUND. SUP'!E51</f>
        <v/>
      </c>
      <c r="BC18" s="94">
        <f>'FUND. SUP'!E52</f>
        <v/>
      </c>
      <c r="BD18" s="94">
        <f>'FUND. SUP'!E53</f>
        <v/>
      </c>
      <c r="BE18" s="94">
        <f>'FUND. SUP'!E54</f>
        <v/>
      </c>
      <c r="BF18" s="94">
        <f>'FUND. SUP'!E55</f>
        <v/>
      </c>
      <c r="BG18" s="94">
        <f>'FUND. SUP'!E56</f>
        <v/>
      </c>
      <c r="BH18" s="94">
        <f>'FUND. SUP'!E57</f>
        <v/>
      </c>
      <c r="BI18" s="94">
        <f>'FUND. SUP'!E58</f>
        <v/>
      </c>
      <c r="BJ18" s="94">
        <f>'FUND. SUP'!E59</f>
        <v/>
      </c>
      <c r="BK18" s="94">
        <f>'FUND. SUP'!E60</f>
        <v/>
      </c>
      <c r="BL18" s="94">
        <f>'FUND. SUP'!E61</f>
        <v/>
      </c>
      <c r="BM18" s="94">
        <f>'FUND. SUP'!E62</f>
        <v/>
      </c>
      <c r="BN18" s="94">
        <f>'FUND. SUP'!E63</f>
        <v/>
      </c>
      <c r="BO18" s="94">
        <f>'FUND. SUP'!E64</f>
        <v/>
      </c>
      <c r="BP18" s="94">
        <f>'FUND. SUP'!E65</f>
        <v/>
      </c>
      <c r="BQ18" s="94">
        <f>'FUND. SUP'!E66</f>
        <v/>
      </c>
      <c r="BR18" s="94">
        <f>'FUND. SUP'!E67</f>
        <v/>
      </c>
      <c r="BS18" s="94">
        <f>'FUND. SUP'!E68</f>
        <v/>
      </c>
      <c r="BT18" s="94">
        <f>'FUND. SUP'!E69</f>
        <v/>
      </c>
      <c r="BU18" s="94">
        <f>'FUND. SUP'!E70</f>
        <v/>
      </c>
      <c r="BV18" s="94">
        <f>'FUND. SUP'!E71</f>
        <v/>
      </c>
      <c r="BW18" s="94">
        <f>'FUND. SUP'!E72</f>
        <v/>
      </c>
      <c r="BX18" s="94">
        <f>'FUND. SUP'!E73</f>
        <v/>
      </c>
      <c r="BY18" s="94">
        <f>'FUND. SUP'!E74</f>
        <v/>
      </c>
      <c r="BZ18" s="94">
        <f>'FUND. SUP'!E75</f>
        <v/>
      </c>
      <c r="CA18" s="94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0">
        <f>'IMPERMEABILIZAÇÃO'!$K$5</f>
        <v/>
      </c>
      <c r="E19" s="49">
        <f>SUM(H19:CA19)</f>
        <v/>
      </c>
      <c r="F19" s="49">
        <f>IF(D19="","",D19-E19)</f>
        <v/>
      </c>
      <c r="H19" s="94">
        <f>'IMPERMEABILIZAÇÃO'!E5</f>
        <v/>
      </c>
      <c r="I19" s="94">
        <f>'IMPERMEABILIZAÇÃO'!E6</f>
        <v/>
      </c>
      <c r="J19" s="94">
        <f>'IMPERMEABILIZAÇÃO'!E7</f>
        <v/>
      </c>
      <c r="K19" s="94">
        <f>'IMPERMEABILIZAÇÃO'!E8</f>
        <v/>
      </c>
      <c r="L19" s="94">
        <f>'IMPERMEABILIZAÇÃO'!E9</f>
        <v/>
      </c>
      <c r="M19" s="94">
        <f>'IMPERMEABILIZAÇÃO'!E10</f>
        <v/>
      </c>
      <c r="N19" s="94">
        <f>'IMPERMEABILIZAÇÃO'!E11</f>
        <v/>
      </c>
      <c r="O19" s="94">
        <f>'IMPERMEABILIZAÇÃO'!E12</f>
        <v/>
      </c>
      <c r="P19" s="94">
        <f>'IMPERMEABILIZAÇÃO'!E13</f>
        <v/>
      </c>
      <c r="Q19" s="94">
        <f>'IMPERMEABILIZAÇÃO'!E14</f>
        <v/>
      </c>
      <c r="R19" s="94">
        <f>'IMPERMEABILIZAÇÃO'!E15</f>
        <v/>
      </c>
      <c r="S19" s="94">
        <f>'IMPERMEABILIZAÇÃO'!E16</f>
        <v/>
      </c>
      <c r="T19" s="94">
        <f>'IMPERMEABILIZAÇÃO'!E17</f>
        <v/>
      </c>
      <c r="U19" s="94">
        <f>'IMPERMEABILIZAÇÃO'!E18</f>
        <v/>
      </c>
      <c r="V19" s="94">
        <f>'IMPERMEABILIZAÇÃO'!E19</f>
        <v/>
      </c>
      <c r="W19" s="94">
        <f>'IMPERMEABILIZAÇÃO'!E20</f>
        <v/>
      </c>
      <c r="X19" s="94">
        <f>'IMPERMEABILIZAÇÃO'!E21</f>
        <v/>
      </c>
      <c r="Y19" s="94">
        <f>'IMPERMEABILIZAÇÃO'!E22</f>
        <v/>
      </c>
      <c r="Z19" s="94">
        <f>'IMPERMEABILIZAÇÃO'!E23</f>
        <v/>
      </c>
      <c r="AA19" s="94">
        <f>'IMPERMEABILIZAÇÃO'!E24</f>
        <v/>
      </c>
      <c r="AB19" s="94">
        <f>'IMPERMEABILIZAÇÃO'!E25</f>
        <v/>
      </c>
      <c r="AC19" s="94">
        <f>'IMPERMEABILIZAÇÃO'!E26</f>
        <v/>
      </c>
      <c r="AD19" s="94">
        <f>'IMPERMEABILIZAÇÃO'!E27</f>
        <v/>
      </c>
      <c r="AE19" s="94">
        <f>'IMPERMEABILIZAÇÃO'!E28</f>
        <v/>
      </c>
      <c r="AF19" s="94">
        <f>'IMPERMEABILIZAÇÃO'!E29</f>
        <v/>
      </c>
      <c r="AG19" s="94">
        <f>'IMPERMEABILIZAÇÃO'!E30</f>
        <v/>
      </c>
      <c r="AH19" s="94">
        <f>'IMPERMEABILIZAÇÃO'!E31</f>
        <v/>
      </c>
      <c r="AI19" s="94">
        <f>'IMPERMEABILIZAÇÃO'!E32</f>
        <v/>
      </c>
      <c r="AJ19" s="94">
        <f>'IMPERMEABILIZAÇÃO'!E33</f>
        <v/>
      </c>
      <c r="AK19" s="94">
        <f>'IMPERMEABILIZAÇÃO'!E34</f>
        <v/>
      </c>
      <c r="AL19" s="94">
        <f>'IMPERMEABILIZAÇÃO'!E35</f>
        <v/>
      </c>
      <c r="AM19" s="94">
        <f>'IMPERMEABILIZAÇÃO'!E36</f>
        <v/>
      </c>
      <c r="AN19" s="94">
        <f>'IMPERMEABILIZAÇÃO'!E37</f>
        <v/>
      </c>
      <c r="AO19" s="94">
        <f>'IMPERMEABILIZAÇÃO'!E38</f>
        <v/>
      </c>
      <c r="AP19" s="94">
        <f>'IMPERMEABILIZAÇÃO'!E39</f>
        <v/>
      </c>
      <c r="AQ19" s="94">
        <f>'IMPERMEABILIZAÇÃO'!E40</f>
        <v/>
      </c>
      <c r="AR19" s="94">
        <f>'IMPERMEABILIZAÇÃO'!E41</f>
        <v/>
      </c>
      <c r="AS19" s="94">
        <f>'IMPERMEABILIZAÇÃO'!E42</f>
        <v/>
      </c>
      <c r="AT19" s="94">
        <f>'IMPERMEABILIZAÇÃO'!E43</f>
        <v/>
      </c>
      <c r="AU19" s="94">
        <f>'IMPERMEABILIZAÇÃO'!E44</f>
        <v/>
      </c>
      <c r="AV19" s="94">
        <f>'IMPERMEABILIZAÇÃO'!E45</f>
        <v/>
      </c>
      <c r="AW19" s="94">
        <f>'IMPERMEABILIZAÇÃO'!E46</f>
        <v/>
      </c>
      <c r="AX19" s="94">
        <f>'IMPERMEABILIZAÇÃO'!E47</f>
        <v/>
      </c>
      <c r="AY19" s="94">
        <f>'IMPERMEABILIZAÇÃO'!E48</f>
        <v/>
      </c>
      <c r="AZ19" s="94">
        <f>'IMPERMEABILIZAÇÃO'!E49</f>
        <v/>
      </c>
      <c r="BA19" s="94">
        <f>'IMPERMEABILIZAÇÃO'!E50</f>
        <v/>
      </c>
      <c r="BB19" s="94">
        <f>'IMPERMEABILIZAÇÃO'!E51</f>
        <v/>
      </c>
      <c r="BC19" s="94">
        <f>'IMPERMEABILIZAÇÃO'!E52</f>
        <v/>
      </c>
      <c r="BD19" s="94">
        <f>'IMPERMEABILIZAÇÃO'!E53</f>
        <v/>
      </c>
      <c r="BE19" s="94">
        <f>'IMPERMEABILIZAÇÃO'!E54</f>
        <v/>
      </c>
      <c r="BF19" s="94">
        <f>'IMPERMEABILIZAÇÃO'!E55</f>
        <v/>
      </c>
      <c r="BG19" s="94">
        <f>'IMPERMEABILIZAÇÃO'!E56</f>
        <v/>
      </c>
      <c r="BH19" s="94">
        <f>'IMPERMEABILIZAÇÃO'!E57</f>
        <v/>
      </c>
      <c r="BI19" s="94">
        <f>'IMPERMEABILIZAÇÃO'!E58</f>
        <v/>
      </c>
      <c r="BJ19" s="94">
        <f>'IMPERMEABILIZAÇÃO'!E59</f>
        <v/>
      </c>
      <c r="BK19" s="94">
        <f>'IMPERMEABILIZAÇÃO'!E60</f>
        <v/>
      </c>
      <c r="BL19" s="94">
        <f>'IMPERMEABILIZAÇÃO'!E61</f>
        <v/>
      </c>
      <c r="BM19" s="94">
        <f>'IMPERMEABILIZAÇÃO'!E62</f>
        <v/>
      </c>
      <c r="BN19" s="94">
        <f>'IMPERMEABILIZAÇÃO'!E63</f>
        <v/>
      </c>
      <c r="BO19" s="94">
        <f>'IMPERMEABILIZAÇÃO'!E64</f>
        <v/>
      </c>
      <c r="BP19" s="94">
        <f>'IMPERMEABILIZAÇÃO'!E65</f>
        <v/>
      </c>
      <c r="BQ19" s="94">
        <f>'IMPERMEABILIZAÇÃO'!E66</f>
        <v/>
      </c>
      <c r="BR19" s="94">
        <f>'IMPERMEABILIZAÇÃO'!E67</f>
        <v/>
      </c>
      <c r="BS19" s="94">
        <f>'IMPERMEABILIZAÇÃO'!E68</f>
        <v/>
      </c>
      <c r="BT19" s="94">
        <f>'IMPERMEABILIZAÇÃO'!E69</f>
        <v/>
      </c>
      <c r="BU19" s="94">
        <f>'IMPERMEABILIZAÇÃO'!E70</f>
        <v/>
      </c>
      <c r="BV19" s="94">
        <f>'IMPERMEABILIZAÇÃO'!E71</f>
        <v/>
      </c>
      <c r="BW19" s="94">
        <f>'IMPERMEABILIZAÇÃO'!E72</f>
        <v/>
      </c>
      <c r="BX19" s="94">
        <f>'IMPERMEABILIZAÇÃO'!E73</f>
        <v/>
      </c>
      <c r="BY19" s="94">
        <f>'IMPERMEABILIZAÇÃO'!E74</f>
        <v/>
      </c>
      <c r="BZ19" s="94">
        <f>'IMPERMEABILIZAÇÃO'!E75</f>
        <v/>
      </c>
      <c r="CA19" s="94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0">
        <f>'INST. INC'!$K$5</f>
        <v/>
      </c>
      <c r="E20" s="49">
        <f>SUM(H20:CA20)</f>
        <v/>
      </c>
      <c r="F20" s="49">
        <f>IF(D20="","",D20-E20)</f>
        <v/>
      </c>
      <c r="H20" s="94">
        <f>'INST. INC'!E5</f>
        <v/>
      </c>
      <c r="I20" s="94">
        <f>'INST. INC'!E6</f>
        <v/>
      </c>
      <c r="J20" s="94">
        <f>'INST. INC'!E7</f>
        <v/>
      </c>
      <c r="K20" s="94">
        <f>'INST. INC'!E8</f>
        <v/>
      </c>
      <c r="L20" s="94">
        <f>'INST. INC'!E9</f>
        <v/>
      </c>
      <c r="M20" s="94">
        <f>'INST. INC'!E10</f>
        <v/>
      </c>
      <c r="N20" s="94">
        <f>'INST. INC'!E11</f>
        <v/>
      </c>
      <c r="O20" s="94">
        <f>'INST. INC'!E12</f>
        <v/>
      </c>
      <c r="P20" s="94">
        <f>'INST. INC'!E13</f>
        <v/>
      </c>
      <c r="Q20" s="94">
        <f>'INST. INC'!E14</f>
        <v/>
      </c>
      <c r="R20" s="94">
        <f>'INST. INC'!E15</f>
        <v/>
      </c>
      <c r="S20" s="94">
        <f>'INST. INC'!E16</f>
        <v/>
      </c>
      <c r="T20" s="94">
        <f>'INST. INC'!E17</f>
        <v/>
      </c>
      <c r="U20" s="94">
        <f>'INST. INC'!E18</f>
        <v/>
      </c>
      <c r="V20" s="94">
        <f>'INST. INC'!E19</f>
        <v/>
      </c>
      <c r="W20" s="94">
        <f>'INST. INC'!E20</f>
        <v/>
      </c>
      <c r="X20" s="94">
        <f>'INST. INC'!E21</f>
        <v/>
      </c>
      <c r="Y20" s="94">
        <f>'INST. INC'!E22</f>
        <v/>
      </c>
      <c r="Z20" s="94">
        <f>'INST. INC'!E23</f>
        <v/>
      </c>
      <c r="AA20" s="94">
        <f>'INST. INC'!E24</f>
        <v/>
      </c>
      <c r="AB20" s="94">
        <f>'INST. INC'!E25</f>
        <v/>
      </c>
      <c r="AC20" s="94">
        <f>'INST. INC'!E26</f>
        <v/>
      </c>
      <c r="AD20" s="94">
        <f>'INST. INC'!E27</f>
        <v/>
      </c>
      <c r="AE20" s="94">
        <f>'INST. INC'!E28</f>
        <v/>
      </c>
      <c r="AF20" s="94">
        <f>'INST. INC'!E29</f>
        <v/>
      </c>
      <c r="AG20" s="94">
        <f>'INST. INC'!E30</f>
        <v/>
      </c>
      <c r="AH20" s="94">
        <f>'INST. INC'!E31</f>
        <v/>
      </c>
      <c r="AI20" s="94">
        <f>'INST. INC'!E32</f>
        <v/>
      </c>
      <c r="AJ20" s="94">
        <f>'INST. INC'!E33</f>
        <v/>
      </c>
      <c r="AK20" s="94">
        <f>'INST. INC'!E34</f>
        <v/>
      </c>
      <c r="AL20" s="94">
        <f>'INST. INC'!E35</f>
        <v/>
      </c>
      <c r="AM20" s="94">
        <f>'INST. INC'!E36</f>
        <v/>
      </c>
      <c r="AN20" s="94">
        <f>'INST. INC'!E37</f>
        <v/>
      </c>
      <c r="AO20" s="94">
        <f>'INST. INC'!E38</f>
        <v/>
      </c>
      <c r="AP20" s="94">
        <f>'INST. INC'!E39</f>
        <v/>
      </c>
      <c r="AQ20" s="94">
        <f>'INST. INC'!E40</f>
        <v/>
      </c>
      <c r="AR20" s="94">
        <f>'INST. INC'!E41</f>
        <v/>
      </c>
      <c r="AS20" s="94">
        <f>'INST. INC'!E42</f>
        <v/>
      </c>
      <c r="AT20" s="94">
        <f>'INST. INC'!E43</f>
        <v/>
      </c>
      <c r="AU20" s="94">
        <f>'INST. INC'!E44</f>
        <v/>
      </c>
      <c r="AV20" s="94">
        <f>'INST. INC'!E45</f>
        <v/>
      </c>
      <c r="AW20" s="94">
        <f>'INST. INC'!E46</f>
        <v/>
      </c>
      <c r="AX20" s="94">
        <f>'INST. INC'!E47</f>
        <v/>
      </c>
      <c r="AY20" s="94">
        <f>'INST. INC'!E48</f>
        <v/>
      </c>
      <c r="AZ20" s="94">
        <f>'INST. INC'!E49</f>
        <v/>
      </c>
      <c r="BA20" s="94">
        <f>'INST. INC'!E50</f>
        <v/>
      </c>
      <c r="BB20" s="94">
        <f>'INST. INC'!E51</f>
        <v/>
      </c>
      <c r="BC20" s="94">
        <f>'INST. INC'!E52</f>
        <v/>
      </c>
      <c r="BD20" s="94">
        <f>'INST. INC'!E53</f>
        <v/>
      </c>
      <c r="BE20" s="94">
        <f>'INST. INC'!E54</f>
        <v/>
      </c>
      <c r="BF20" s="94">
        <f>'INST. INC'!E55</f>
        <v/>
      </c>
      <c r="BG20" s="94">
        <f>'INST. INC'!E56</f>
        <v/>
      </c>
      <c r="BH20" s="94">
        <f>'INST. INC'!E57</f>
        <v/>
      </c>
      <c r="BI20" s="94">
        <f>'INST. INC'!E58</f>
        <v/>
      </c>
      <c r="BJ20" s="94">
        <f>'INST. INC'!E59</f>
        <v/>
      </c>
      <c r="BK20" s="94">
        <f>'INST. INC'!E60</f>
        <v/>
      </c>
      <c r="BL20" s="94">
        <f>'INST. INC'!E61</f>
        <v/>
      </c>
      <c r="BM20" s="94">
        <f>'INST. INC'!E62</f>
        <v/>
      </c>
      <c r="BN20" s="94">
        <f>'INST. INC'!E63</f>
        <v/>
      </c>
      <c r="BO20" s="94">
        <f>'INST. INC'!E64</f>
        <v/>
      </c>
      <c r="BP20" s="94">
        <f>'INST. INC'!E65</f>
        <v/>
      </c>
      <c r="BQ20" s="94">
        <f>'INST. INC'!E66</f>
        <v/>
      </c>
      <c r="BR20" s="94">
        <f>'INST. INC'!E67</f>
        <v/>
      </c>
      <c r="BS20" s="94">
        <f>'INST. INC'!E68</f>
        <v/>
      </c>
      <c r="BT20" s="94">
        <f>'INST. INC'!E69</f>
        <v/>
      </c>
      <c r="BU20" s="94">
        <f>'INST. INC'!E70</f>
        <v/>
      </c>
      <c r="BV20" s="94">
        <f>'INST. INC'!E71</f>
        <v/>
      </c>
      <c r="BW20" s="94">
        <f>'INST. INC'!E72</f>
        <v/>
      </c>
      <c r="BX20" s="94">
        <f>'INST. INC'!E73</f>
        <v/>
      </c>
      <c r="BY20" s="94">
        <f>'INST. INC'!E74</f>
        <v/>
      </c>
      <c r="BZ20" s="94">
        <f>'INST. INC'!E75</f>
        <v/>
      </c>
      <c r="CA20" s="94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0">
        <f>'INST. ELÉTRICA'!$K$5</f>
        <v/>
      </c>
      <c r="E21" s="49">
        <f>SUM(H21:CA21)</f>
        <v/>
      </c>
      <c r="F21" s="49">
        <f>IF(D21="","",D21-E21)</f>
        <v/>
      </c>
      <c r="H21" s="94">
        <f>'INST. ELÉTRICA'!E5</f>
        <v/>
      </c>
      <c r="I21" s="94">
        <f>'INST. ELÉTRICA'!E6</f>
        <v/>
      </c>
      <c r="J21" s="94">
        <f>'INST. ELÉTRICA'!E7</f>
        <v/>
      </c>
      <c r="K21" s="94">
        <f>'INST. ELÉTRICA'!E8</f>
        <v/>
      </c>
      <c r="L21" s="94">
        <f>'INST. ELÉTRICA'!E9</f>
        <v/>
      </c>
      <c r="M21" s="94">
        <f>'INST. ELÉTRICA'!E10</f>
        <v/>
      </c>
      <c r="N21" s="94">
        <f>'INST. ELÉTRICA'!E11</f>
        <v/>
      </c>
      <c r="O21" s="94">
        <f>'INST. ELÉTRICA'!E12</f>
        <v/>
      </c>
      <c r="P21" s="94">
        <f>'INST. ELÉTRICA'!E13</f>
        <v/>
      </c>
      <c r="Q21" s="94">
        <f>'INST. ELÉTRICA'!E14</f>
        <v/>
      </c>
      <c r="R21" s="94">
        <f>'INST. ELÉTRICA'!E15</f>
        <v/>
      </c>
      <c r="S21" s="94">
        <f>'INST. ELÉTRICA'!E16</f>
        <v/>
      </c>
      <c r="T21" s="94">
        <f>'INST. ELÉTRICA'!E17</f>
        <v/>
      </c>
      <c r="U21" s="94">
        <f>'INST. ELÉTRICA'!E18</f>
        <v/>
      </c>
      <c r="V21" s="94">
        <f>'INST. ELÉTRICA'!E19</f>
        <v/>
      </c>
      <c r="W21" s="94">
        <f>'INST. ELÉTRICA'!E20</f>
        <v/>
      </c>
      <c r="X21" s="94">
        <f>'INST. ELÉTRICA'!E21</f>
        <v/>
      </c>
      <c r="Y21" s="94">
        <f>'INST. ELÉTRICA'!E22</f>
        <v/>
      </c>
      <c r="Z21" s="94">
        <f>'INST. ELÉTRICA'!E23</f>
        <v/>
      </c>
      <c r="AA21" s="94">
        <f>'INST. ELÉTRICA'!E24</f>
        <v/>
      </c>
      <c r="AB21" s="94">
        <f>'INST. ELÉTRICA'!E25</f>
        <v/>
      </c>
      <c r="AC21" s="94">
        <f>'INST. ELÉTRICA'!E26</f>
        <v/>
      </c>
      <c r="AD21" s="94">
        <f>'INST. ELÉTRICA'!E27</f>
        <v/>
      </c>
      <c r="AE21" s="94">
        <f>'INST. ELÉTRICA'!E28</f>
        <v/>
      </c>
      <c r="AF21" s="94">
        <f>'INST. ELÉTRICA'!E29</f>
        <v/>
      </c>
      <c r="AG21" s="94">
        <f>'INST. ELÉTRICA'!E30</f>
        <v/>
      </c>
      <c r="AH21" s="94">
        <f>'INST. ELÉTRICA'!E31</f>
        <v/>
      </c>
      <c r="AI21" s="94">
        <f>'INST. ELÉTRICA'!E32</f>
        <v/>
      </c>
      <c r="AJ21" s="94">
        <f>'INST. ELÉTRICA'!E33</f>
        <v/>
      </c>
      <c r="AK21" s="94">
        <f>'INST. ELÉTRICA'!E34</f>
        <v/>
      </c>
      <c r="AL21" s="94">
        <f>'INST. ELÉTRICA'!E35</f>
        <v/>
      </c>
      <c r="AM21" s="94">
        <f>'INST. ELÉTRICA'!E36</f>
        <v/>
      </c>
      <c r="AN21" s="94">
        <f>'INST. ELÉTRICA'!E37</f>
        <v/>
      </c>
      <c r="AO21" s="94">
        <f>'INST. ELÉTRICA'!E38</f>
        <v/>
      </c>
      <c r="AP21" s="94">
        <f>'INST. ELÉTRICA'!E39</f>
        <v/>
      </c>
      <c r="AQ21" s="94">
        <f>'INST. ELÉTRICA'!E40</f>
        <v/>
      </c>
      <c r="AR21" s="94">
        <f>'INST. ELÉTRICA'!E41</f>
        <v/>
      </c>
      <c r="AS21" s="94">
        <f>'INST. ELÉTRICA'!E42</f>
        <v/>
      </c>
      <c r="AT21" s="94">
        <f>'INST. ELÉTRICA'!E43</f>
        <v/>
      </c>
      <c r="AU21" s="94">
        <f>'INST. ELÉTRICA'!E44</f>
        <v/>
      </c>
      <c r="AV21" s="94">
        <f>'INST. ELÉTRICA'!E45</f>
        <v/>
      </c>
      <c r="AW21" s="94">
        <f>'INST. ELÉTRICA'!E46</f>
        <v/>
      </c>
      <c r="AX21" s="94">
        <f>'INST. ELÉTRICA'!E47</f>
        <v/>
      </c>
      <c r="AY21" s="94">
        <f>'INST. ELÉTRICA'!E48</f>
        <v/>
      </c>
      <c r="AZ21" s="94">
        <f>'INST. ELÉTRICA'!E49</f>
        <v/>
      </c>
      <c r="BA21" s="94">
        <f>'INST. ELÉTRICA'!E50</f>
        <v/>
      </c>
      <c r="BB21" s="94">
        <f>'INST. ELÉTRICA'!E51</f>
        <v/>
      </c>
      <c r="BC21" s="94">
        <f>'INST. ELÉTRICA'!E52</f>
        <v/>
      </c>
      <c r="BD21" s="94">
        <f>'INST. ELÉTRICA'!E53</f>
        <v/>
      </c>
      <c r="BE21" s="94">
        <f>'INST. ELÉTRICA'!E54</f>
        <v/>
      </c>
      <c r="BF21" s="94">
        <f>'INST. ELÉTRICA'!E55</f>
        <v/>
      </c>
      <c r="BG21" s="94">
        <f>'INST. ELÉTRICA'!E56</f>
        <v/>
      </c>
      <c r="BH21" s="94">
        <f>'INST. ELÉTRICA'!E57</f>
        <v/>
      </c>
      <c r="BI21" s="94">
        <f>'INST. ELÉTRICA'!E58</f>
        <v/>
      </c>
      <c r="BJ21" s="94">
        <f>'INST. ELÉTRICA'!E59</f>
        <v/>
      </c>
      <c r="BK21" s="94">
        <f>'INST. ELÉTRICA'!E60</f>
        <v/>
      </c>
      <c r="BL21" s="94">
        <f>'INST. ELÉTRICA'!E61</f>
        <v/>
      </c>
      <c r="BM21" s="94">
        <f>'INST. ELÉTRICA'!E62</f>
        <v/>
      </c>
      <c r="BN21" s="94">
        <f>'INST. ELÉTRICA'!E63</f>
        <v/>
      </c>
      <c r="BO21" s="94">
        <f>'INST. ELÉTRICA'!E64</f>
        <v/>
      </c>
      <c r="BP21" s="94">
        <f>'INST. ELÉTRICA'!E65</f>
        <v/>
      </c>
      <c r="BQ21" s="94">
        <f>'INST. ELÉTRICA'!E66</f>
        <v/>
      </c>
      <c r="BR21" s="94">
        <f>'INST. ELÉTRICA'!E67</f>
        <v/>
      </c>
      <c r="BS21" s="94">
        <f>'INST. ELÉTRICA'!E68</f>
        <v/>
      </c>
      <c r="BT21" s="94">
        <f>'INST. ELÉTRICA'!E69</f>
        <v/>
      </c>
      <c r="BU21" s="94">
        <f>'INST. ELÉTRICA'!E70</f>
        <v/>
      </c>
      <c r="BV21" s="94">
        <f>'INST. ELÉTRICA'!E71</f>
        <v/>
      </c>
      <c r="BW21" s="94">
        <f>'INST. ELÉTRICA'!E72</f>
        <v/>
      </c>
      <c r="BX21" s="94">
        <f>'INST. ELÉTRICA'!E73</f>
        <v/>
      </c>
      <c r="BY21" s="94">
        <f>'INST. ELÉTRICA'!E74</f>
        <v/>
      </c>
      <c r="BZ21" s="94">
        <f>'INST. ELÉTRICA'!E75</f>
        <v/>
      </c>
      <c r="CA21" s="94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0">
        <f>'INST. ESP'!$K$5</f>
        <v/>
      </c>
      <c r="E22" s="49">
        <f>SUM(H22:CA22)</f>
        <v/>
      </c>
      <c r="F22" s="49">
        <f>IF(D22="","",D22-E22)</f>
        <v/>
      </c>
      <c r="H22" s="94">
        <f>'INST. ESP'!E5</f>
        <v/>
      </c>
      <c r="I22" s="94">
        <f>'INST. ESP'!E6</f>
        <v/>
      </c>
      <c r="J22" s="94">
        <f>'INST. ESP'!E7</f>
        <v/>
      </c>
      <c r="K22" s="94">
        <f>'INST. ESP'!E8</f>
        <v/>
      </c>
      <c r="L22" s="94">
        <f>'INST. ESP'!E9</f>
        <v/>
      </c>
      <c r="M22" s="94">
        <f>'INST. ESP'!E10</f>
        <v/>
      </c>
      <c r="N22" s="94">
        <f>'INST. ESP'!E11</f>
        <v/>
      </c>
      <c r="O22" s="94">
        <f>'INST. ESP'!E12</f>
        <v/>
      </c>
      <c r="P22" s="94">
        <f>'INST. ESP'!E13</f>
        <v/>
      </c>
      <c r="Q22" s="94">
        <f>'INST. ESP'!E14</f>
        <v/>
      </c>
      <c r="R22" s="94">
        <f>'INST. ESP'!E15</f>
        <v/>
      </c>
      <c r="S22" s="94">
        <f>'INST. ESP'!E16</f>
        <v/>
      </c>
      <c r="T22" s="94">
        <f>'INST. ESP'!E17</f>
        <v/>
      </c>
      <c r="U22" s="94">
        <f>'INST. ESP'!E18</f>
        <v/>
      </c>
      <c r="V22" s="94">
        <f>'INST. ESP'!E19</f>
        <v/>
      </c>
      <c r="W22" s="94">
        <f>'INST. ESP'!E20</f>
        <v/>
      </c>
      <c r="X22" s="94">
        <f>'INST. ESP'!E21</f>
        <v/>
      </c>
      <c r="Y22" s="94">
        <f>'INST. ESP'!E22</f>
        <v/>
      </c>
      <c r="Z22" s="94">
        <f>'INST. ESP'!E23</f>
        <v/>
      </c>
      <c r="AA22" s="94">
        <f>'INST. ESP'!E24</f>
        <v/>
      </c>
      <c r="AB22" s="94">
        <f>'INST. ESP'!E25</f>
        <v/>
      </c>
      <c r="AC22" s="94">
        <f>'INST. ESP'!E26</f>
        <v/>
      </c>
      <c r="AD22" s="94">
        <f>'INST. ESP'!E27</f>
        <v/>
      </c>
      <c r="AE22" s="94">
        <f>'INST. ESP'!E28</f>
        <v/>
      </c>
      <c r="AF22" s="94">
        <f>'INST. ESP'!E29</f>
        <v/>
      </c>
      <c r="AG22" s="94">
        <f>'INST. ESP'!E30</f>
        <v/>
      </c>
      <c r="AH22" s="94">
        <f>'INST. ESP'!E31</f>
        <v/>
      </c>
      <c r="AI22" s="94">
        <f>'INST. ESP'!E32</f>
        <v/>
      </c>
      <c r="AJ22" s="94">
        <f>'INST. ESP'!E33</f>
        <v/>
      </c>
      <c r="AK22" s="94">
        <f>'INST. ESP'!E34</f>
        <v/>
      </c>
      <c r="AL22" s="94">
        <f>'INST. ESP'!E35</f>
        <v/>
      </c>
      <c r="AM22" s="94">
        <f>'INST. ESP'!E36</f>
        <v/>
      </c>
      <c r="AN22" s="94">
        <f>'INST. ESP'!E37</f>
        <v/>
      </c>
      <c r="AO22" s="94">
        <f>'INST. ESP'!E38</f>
        <v/>
      </c>
      <c r="AP22" s="94">
        <f>'INST. ESP'!E39</f>
        <v/>
      </c>
      <c r="AQ22" s="94">
        <f>'INST. ESP'!E40</f>
        <v/>
      </c>
      <c r="AR22" s="94">
        <f>'INST. ESP'!E41</f>
        <v/>
      </c>
      <c r="AS22" s="94">
        <f>'INST. ESP'!E42</f>
        <v/>
      </c>
      <c r="AT22" s="94">
        <f>'INST. ESP'!E43</f>
        <v/>
      </c>
      <c r="AU22" s="94">
        <f>'INST. ESP'!E44</f>
        <v/>
      </c>
      <c r="AV22" s="94">
        <f>'INST. ESP'!E45</f>
        <v/>
      </c>
      <c r="AW22" s="94">
        <f>'INST. ESP'!E46</f>
        <v/>
      </c>
      <c r="AX22" s="94">
        <f>'INST. ESP'!E47</f>
        <v/>
      </c>
      <c r="AY22" s="94">
        <f>'INST. ESP'!E48</f>
        <v/>
      </c>
      <c r="AZ22" s="94">
        <f>'INST. ESP'!E49</f>
        <v/>
      </c>
      <c r="BA22" s="94">
        <f>'INST. ESP'!E50</f>
        <v/>
      </c>
      <c r="BB22" s="94">
        <f>'INST. ESP'!E51</f>
        <v/>
      </c>
      <c r="BC22" s="94">
        <f>'INST. ESP'!E52</f>
        <v/>
      </c>
      <c r="BD22" s="94">
        <f>'INST. ESP'!E53</f>
        <v/>
      </c>
      <c r="BE22" s="94">
        <f>'INST. ESP'!E54</f>
        <v/>
      </c>
      <c r="BF22" s="94">
        <f>'INST. ESP'!E55</f>
        <v/>
      </c>
      <c r="BG22" s="94">
        <f>'INST. ESP'!E56</f>
        <v/>
      </c>
      <c r="BH22" s="94">
        <f>'INST. ESP'!E57</f>
        <v/>
      </c>
      <c r="BI22" s="94">
        <f>'INST. ESP'!E58</f>
        <v/>
      </c>
      <c r="BJ22" s="94">
        <f>'INST. ESP'!E59</f>
        <v/>
      </c>
      <c r="BK22" s="94">
        <f>'INST. ESP'!E60</f>
        <v/>
      </c>
      <c r="BL22" s="94">
        <f>'INST. ESP'!E61</f>
        <v/>
      </c>
      <c r="BM22" s="94">
        <f>'INST. ESP'!E62</f>
        <v/>
      </c>
      <c r="BN22" s="94">
        <f>'INST. ESP'!E63</f>
        <v/>
      </c>
      <c r="BO22" s="94">
        <f>'INST. ESP'!E64</f>
        <v/>
      </c>
      <c r="BP22" s="94">
        <f>'INST. ESP'!E65</f>
        <v/>
      </c>
      <c r="BQ22" s="94">
        <f>'INST. ESP'!E66</f>
        <v/>
      </c>
      <c r="BR22" s="94">
        <f>'INST. ESP'!E67</f>
        <v/>
      </c>
      <c r="BS22" s="94">
        <f>'INST. ESP'!E68</f>
        <v/>
      </c>
      <c r="BT22" s="94">
        <f>'INST. ESP'!E69</f>
        <v/>
      </c>
      <c r="BU22" s="94">
        <f>'INST. ESP'!E70</f>
        <v/>
      </c>
      <c r="BV22" s="94">
        <f>'INST. ESP'!E71</f>
        <v/>
      </c>
      <c r="BW22" s="94">
        <f>'INST. ESP'!E72</f>
        <v/>
      </c>
      <c r="BX22" s="94">
        <f>'INST. ESP'!E73</f>
        <v/>
      </c>
      <c r="BY22" s="94">
        <f>'INST. ESP'!E74</f>
        <v/>
      </c>
      <c r="BZ22" s="94">
        <f>'INST. ESP'!E75</f>
        <v/>
      </c>
      <c r="CA22" s="94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0">
        <f>'INST. HIDRO'!$K$5</f>
        <v/>
      </c>
      <c r="E23" s="49">
        <f>SUM(H23:CA23)</f>
        <v/>
      </c>
      <c r="F23" s="49">
        <f>IF(D23="","",D23-E23)</f>
        <v/>
      </c>
      <c r="H23" s="94">
        <f>'INST. HIDRO'!E5</f>
        <v/>
      </c>
      <c r="I23" s="94">
        <f>'INST. HIDRO'!E6</f>
        <v/>
      </c>
      <c r="J23" s="94">
        <f>'INST. HIDRO'!E7</f>
        <v/>
      </c>
      <c r="K23" s="94">
        <f>'INST. HIDRO'!E8</f>
        <v/>
      </c>
      <c r="L23" s="94">
        <f>'INST. HIDRO'!E9</f>
        <v/>
      </c>
      <c r="M23" s="94">
        <f>'INST. HIDRO'!E10</f>
        <v/>
      </c>
      <c r="N23" s="94">
        <f>'INST. HIDRO'!E11</f>
        <v/>
      </c>
      <c r="O23" s="94">
        <f>'INST. HIDRO'!E12</f>
        <v/>
      </c>
      <c r="P23" s="94">
        <f>'INST. HIDRO'!E13</f>
        <v/>
      </c>
      <c r="Q23" s="94">
        <f>'INST. HIDRO'!E14</f>
        <v/>
      </c>
      <c r="R23" s="94">
        <f>'INST. HIDRO'!E15</f>
        <v/>
      </c>
      <c r="S23" s="94">
        <f>'INST. HIDRO'!E16</f>
        <v/>
      </c>
      <c r="T23" s="94">
        <f>'INST. HIDRO'!E17</f>
        <v/>
      </c>
      <c r="U23" s="94">
        <f>'INST. HIDRO'!E18</f>
        <v/>
      </c>
      <c r="V23" s="94">
        <f>'INST. HIDRO'!E19</f>
        <v/>
      </c>
      <c r="W23" s="94">
        <f>'INST. HIDRO'!E20</f>
        <v/>
      </c>
      <c r="X23" s="94">
        <f>'INST. HIDRO'!E21</f>
        <v/>
      </c>
      <c r="Y23" s="94">
        <f>'INST. HIDRO'!E22</f>
        <v/>
      </c>
      <c r="Z23" s="94">
        <f>'INST. HIDRO'!E23</f>
        <v/>
      </c>
      <c r="AA23" s="94">
        <f>'INST. HIDRO'!E24</f>
        <v/>
      </c>
      <c r="AB23" s="94">
        <f>'INST. HIDRO'!E25</f>
        <v/>
      </c>
      <c r="AC23" s="94">
        <f>'INST. HIDRO'!E26</f>
        <v/>
      </c>
      <c r="AD23" s="94">
        <f>'INST. HIDRO'!E27</f>
        <v/>
      </c>
      <c r="AE23" s="94">
        <f>'INST. HIDRO'!E28</f>
        <v/>
      </c>
      <c r="AF23" s="94">
        <f>'INST. HIDRO'!E29</f>
        <v/>
      </c>
      <c r="AG23" s="94">
        <f>'INST. HIDRO'!E30</f>
        <v/>
      </c>
      <c r="AH23" s="94">
        <f>'INST. HIDRO'!E31</f>
        <v/>
      </c>
      <c r="AI23" s="94">
        <f>'INST. HIDRO'!E32</f>
        <v/>
      </c>
      <c r="AJ23" s="94">
        <f>'INST. HIDRO'!E33</f>
        <v/>
      </c>
      <c r="AK23" s="94">
        <f>'INST. HIDRO'!E34</f>
        <v/>
      </c>
      <c r="AL23" s="94">
        <f>'INST. HIDRO'!E35</f>
        <v/>
      </c>
      <c r="AM23" s="94">
        <f>'INST. HIDRO'!E36</f>
        <v/>
      </c>
      <c r="AN23" s="94">
        <f>'INST. HIDRO'!E37</f>
        <v/>
      </c>
      <c r="AO23" s="94">
        <f>'INST. HIDRO'!E38</f>
        <v/>
      </c>
      <c r="AP23" s="94">
        <f>'INST. HIDRO'!E39</f>
        <v/>
      </c>
      <c r="AQ23" s="94">
        <f>'INST. HIDRO'!E40</f>
        <v/>
      </c>
      <c r="AR23" s="94">
        <f>'INST. HIDRO'!E41</f>
        <v/>
      </c>
      <c r="AS23" s="94">
        <f>'INST. HIDRO'!E42</f>
        <v/>
      </c>
      <c r="AT23" s="94">
        <f>'INST. HIDRO'!E43</f>
        <v/>
      </c>
      <c r="AU23" s="94">
        <f>'INST. HIDRO'!E44</f>
        <v/>
      </c>
      <c r="AV23" s="94">
        <f>'INST. HIDRO'!E45</f>
        <v/>
      </c>
      <c r="AW23" s="94">
        <f>'INST. HIDRO'!E46</f>
        <v/>
      </c>
      <c r="AX23" s="94">
        <f>'INST. HIDRO'!E47</f>
        <v/>
      </c>
      <c r="AY23" s="94">
        <f>'INST. HIDRO'!E48</f>
        <v/>
      </c>
      <c r="AZ23" s="94">
        <f>'INST. HIDRO'!E49</f>
        <v/>
      </c>
      <c r="BA23" s="94">
        <f>'INST. HIDRO'!E50</f>
        <v/>
      </c>
      <c r="BB23" s="94">
        <f>'INST. HIDRO'!E51</f>
        <v/>
      </c>
      <c r="BC23" s="94">
        <f>'INST. HIDRO'!E52</f>
        <v/>
      </c>
      <c r="BD23" s="94">
        <f>'INST. HIDRO'!E53</f>
        <v/>
      </c>
      <c r="BE23" s="94">
        <f>'INST. HIDRO'!E54</f>
        <v/>
      </c>
      <c r="BF23" s="94">
        <f>'INST. HIDRO'!E55</f>
        <v/>
      </c>
      <c r="BG23" s="94">
        <f>'INST. HIDRO'!E56</f>
        <v/>
      </c>
      <c r="BH23" s="94">
        <f>'INST. HIDRO'!E57</f>
        <v/>
      </c>
      <c r="BI23" s="94">
        <f>'INST. HIDRO'!E58</f>
        <v/>
      </c>
      <c r="BJ23" s="94">
        <f>'INST. HIDRO'!E59</f>
        <v/>
      </c>
      <c r="BK23" s="94">
        <f>'INST. HIDRO'!E60</f>
        <v/>
      </c>
      <c r="BL23" s="94">
        <f>'INST. HIDRO'!E61</f>
        <v/>
      </c>
      <c r="BM23" s="94">
        <f>'INST. HIDRO'!E62</f>
        <v/>
      </c>
      <c r="BN23" s="94">
        <f>'INST. HIDRO'!E63</f>
        <v/>
      </c>
      <c r="BO23" s="94">
        <f>'INST. HIDRO'!E64</f>
        <v/>
      </c>
      <c r="BP23" s="94">
        <f>'INST. HIDRO'!E65</f>
        <v/>
      </c>
      <c r="BQ23" s="94">
        <f>'INST. HIDRO'!E66</f>
        <v/>
      </c>
      <c r="BR23" s="94">
        <f>'INST. HIDRO'!E67</f>
        <v/>
      </c>
      <c r="BS23" s="94">
        <f>'INST. HIDRO'!E68</f>
        <v/>
      </c>
      <c r="BT23" s="94">
        <f>'INST. HIDRO'!E69</f>
        <v/>
      </c>
      <c r="BU23" s="94">
        <f>'INST. HIDRO'!E70</f>
        <v/>
      </c>
      <c r="BV23" s="94">
        <f>'INST. HIDRO'!E71</f>
        <v/>
      </c>
      <c r="BW23" s="94">
        <f>'INST. HIDRO'!E72</f>
        <v/>
      </c>
      <c r="BX23" s="94">
        <f>'INST. HIDRO'!E73</f>
        <v/>
      </c>
      <c r="BY23" s="94">
        <f>'INST. HIDRO'!E74</f>
        <v/>
      </c>
      <c r="BZ23" s="94">
        <f>'INST. HIDRO'!E75</f>
        <v/>
      </c>
      <c r="CA23" s="94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0">
        <f>'LIG. PROVISÓRIAS'!$K$5</f>
        <v/>
      </c>
      <c r="E25" s="49">
        <f>SUM(H25:CA25)</f>
        <v/>
      </c>
      <c r="F25" s="49">
        <f>IF(D25="","",D25-E25)</f>
        <v/>
      </c>
      <c r="H25" s="94">
        <f>'LIG. PROVISÓRIAS'!E5</f>
        <v/>
      </c>
      <c r="I25" s="94">
        <f>'LIG. PROVISÓRIAS'!E6</f>
        <v/>
      </c>
      <c r="J25" s="94">
        <f>'LIG. PROVISÓRIAS'!E7</f>
        <v/>
      </c>
      <c r="K25" s="94">
        <f>'LIG. PROVISÓRIAS'!E8</f>
        <v/>
      </c>
      <c r="L25" s="94">
        <f>'LIG. PROVISÓRIAS'!E9</f>
        <v/>
      </c>
      <c r="M25" s="94">
        <f>'LIG. PROVISÓRIAS'!E10</f>
        <v/>
      </c>
      <c r="N25" s="94">
        <f>'LIG. PROVISÓRIAS'!E11</f>
        <v/>
      </c>
      <c r="O25" s="94">
        <f>'LIG. PROVISÓRIAS'!E12</f>
        <v/>
      </c>
      <c r="P25" s="94">
        <f>'LIG. PROVISÓRIAS'!E13</f>
        <v/>
      </c>
      <c r="Q25" s="94">
        <f>'LIG. PROVISÓRIAS'!E14</f>
        <v/>
      </c>
      <c r="R25" s="94">
        <f>'LIG. PROVISÓRIAS'!E15</f>
        <v/>
      </c>
      <c r="S25" s="94">
        <f>'LIG. PROVISÓRIAS'!E16</f>
        <v/>
      </c>
      <c r="T25" s="94">
        <f>'LIG. PROVISÓRIAS'!E17</f>
        <v/>
      </c>
      <c r="U25" s="94">
        <f>'LIG. PROVISÓRIAS'!E18</f>
        <v/>
      </c>
      <c r="V25" s="94">
        <f>'LIG. PROVISÓRIAS'!E19</f>
        <v/>
      </c>
      <c r="W25" s="94">
        <f>'LIG. PROVISÓRIAS'!E20</f>
        <v/>
      </c>
      <c r="X25" s="94">
        <f>'LIG. PROVISÓRIAS'!E21</f>
        <v/>
      </c>
      <c r="Y25" s="94">
        <f>'LIG. PROVISÓRIAS'!E22</f>
        <v/>
      </c>
      <c r="Z25" s="94">
        <f>'LIG. PROVISÓRIAS'!E23</f>
        <v/>
      </c>
      <c r="AA25" s="94">
        <f>'LIG. PROVISÓRIAS'!E24</f>
        <v/>
      </c>
      <c r="AB25" s="94">
        <f>'LIG. PROVISÓRIAS'!E25</f>
        <v/>
      </c>
      <c r="AC25" s="94">
        <f>'LIG. PROVISÓRIAS'!E26</f>
        <v/>
      </c>
      <c r="AD25" s="94">
        <f>'LIG. PROVISÓRIAS'!E27</f>
        <v/>
      </c>
      <c r="AE25" s="94">
        <f>'LIG. PROVISÓRIAS'!E28</f>
        <v/>
      </c>
      <c r="AF25" s="94">
        <f>'LIG. PROVISÓRIAS'!E29</f>
        <v/>
      </c>
      <c r="AG25" s="94">
        <f>'LIG. PROVISÓRIAS'!E30</f>
        <v/>
      </c>
      <c r="AH25" s="94">
        <f>'LIG. PROVISÓRIAS'!E31</f>
        <v/>
      </c>
      <c r="AI25" s="94">
        <f>'LIG. PROVISÓRIAS'!E32</f>
        <v/>
      </c>
      <c r="AJ25" s="94">
        <f>'LIG. PROVISÓRIAS'!E33</f>
        <v/>
      </c>
      <c r="AK25" s="94">
        <f>'LIG. PROVISÓRIAS'!E34</f>
        <v/>
      </c>
      <c r="AL25" s="94">
        <f>'LIG. PROVISÓRIAS'!E35</f>
        <v/>
      </c>
      <c r="AM25" s="94">
        <f>'LIG. PROVISÓRIAS'!E36</f>
        <v/>
      </c>
      <c r="AN25" s="94">
        <f>'LIG. PROVISÓRIAS'!E37</f>
        <v/>
      </c>
      <c r="AO25" s="94">
        <f>'LIG. PROVISÓRIAS'!E38</f>
        <v/>
      </c>
      <c r="AP25" s="94">
        <f>'LIG. PROVISÓRIAS'!E39</f>
        <v/>
      </c>
      <c r="AQ25" s="94">
        <f>'LIG. PROVISÓRIAS'!E40</f>
        <v/>
      </c>
      <c r="AR25" s="94">
        <f>'LIG. PROVISÓRIAS'!E41</f>
        <v/>
      </c>
      <c r="AS25" s="94">
        <f>'LIG. PROVISÓRIAS'!E42</f>
        <v/>
      </c>
      <c r="AT25" s="94">
        <f>'LIG. PROVISÓRIAS'!E43</f>
        <v/>
      </c>
      <c r="AU25" s="94">
        <f>'LIG. PROVISÓRIAS'!E44</f>
        <v/>
      </c>
      <c r="AV25" s="94">
        <f>'LIG. PROVISÓRIAS'!E45</f>
        <v/>
      </c>
      <c r="AW25" s="94">
        <f>'LIG. PROVISÓRIAS'!E46</f>
        <v/>
      </c>
      <c r="AX25" s="94">
        <f>'LIG. PROVISÓRIAS'!E47</f>
        <v/>
      </c>
      <c r="AY25" s="94">
        <f>'LIG. PROVISÓRIAS'!E48</f>
        <v/>
      </c>
      <c r="AZ25" s="94">
        <f>'LIG. PROVISÓRIAS'!E49</f>
        <v/>
      </c>
      <c r="BA25" s="94">
        <f>'LIG. PROVISÓRIAS'!E50</f>
        <v/>
      </c>
      <c r="BB25" s="94">
        <f>'LIG. PROVISÓRIAS'!E51</f>
        <v/>
      </c>
      <c r="BC25" s="94">
        <f>'LIG. PROVISÓRIAS'!E52</f>
        <v/>
      </c>
      <c r="BD25" s="94">
        <f>'LIG. PROVISÓRIAS'!E53</f>
        <v/>
      </c>
      <c r="BE25" s="94">
        <f>'LIG. PROVISÓRIAS'!E54</f>
        <v/>
      </c>
      <c r="BF25" s="94">
        <f>'LIG. PROVISÓRIAS'!E55</f>
        <v/>
      </c>
      <c r="BG25" s="94">
        <f>'LIG. PROVISÓRIAS'!E56</f>
        <v/>
      </c>
      <c r="BH25" s="94">
        <f>'LIG. PROVISÓRIAS'!E57</f>
        <v/>
      </c>
      <c r="BI25" s="94">
        <f>'LIG. PROVISÓRIAS'!E58</f>
        <v/>
      </c>
      <c r="BJ25" s="94">
        <f>'LIG. PROVISÓRIAS'!E59</f>
        <v/>
      </c>
      <c r="BK25" s="94">
        <f>'LIG. PROVISÓRIAS'!E60</f>
        <v/>
      </c>
      <c r="BL25" s="94">
        <f>'LIG. PROVISÓRIAS'!E61</f>
        <v/>
      </c>
      <c r="BM25" s="94">
        <f>'LIG. PROVISÓRIAS'!E62</f>
        <v/>
      </c>
      <c r="BN25" s="94">
        <f>'LIG. PROVISÓRIAS'!E63</f>
        <v/>
      </c>
      <c r="BO25" s="94">
        <f>'LIG. PROVISÓRIAS'!E64</f>
        <v/>
      </c>
      <c r="BP25" s="94">
        <f>'LIG. PROVISÓRIAS'!E65</f>
        <v/>
      </c>
      <c r="BQ25" s="94">
        <f>'LIG. PROVISÓRIAS'!E66</f>
        <v/>
      </c>
      <c r="BR25" s="94">
        <f>'LIG. PROVISÓRIAS'!E67</f>
        <v/>
      </c>
      <c r="BS25" s="94">
        <f>'LIG. PROVISÓRIAS'!E68</f>
        <v/>
      </c>
      <c r="BT25" s="94">
        <f>'LIG. PROVISÓRIAS'!E69</f>
        <v/>
      </c>
      <c r="BU25" s="94">
        <f>'LIG. PROVISÓRIAS'!E70</f>
        <v/>
      </c>
      <c r="BV25" s="94">
        <f>'LIG. PROVISÓRIAS'!E71</f>
        <v/>
      </c>
      <c r="BW25" s="94">
        <f>'LIG. PROVISÓRIAS'!E72</f>
        <v/>
      </c>
      <c r="BX25" s="94">
        <f>'LIG. PROVISÓRIAS'!E73</f>
        <v/>
      </c>
      <c r="BY25" s="94">
        <f>'LIG. PROVISÓRIAS'!E74</f>
        <v/>
      </c>
      <c r="BZ25" s="94">
        <f>'LIG. PROVISÓRIAS'!E75</f>
        <v/>
      </c>
      <c r="CA25" s="94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0">
        <f>'LIMPEZA'!$K$5</f>
        <v/>
      </c>
      <c r="E26" s="49">
        <f>SUM(H26:CA26)</f>
        <v/>
      </c>
      <c r="F26" s="49">
        <f>IF(D26="","",D26-E26)</f>
        <v/>
      </c>
      <c r="H26" s="94">
        <f>'LIMPEZA'!E5</f>
        <v/>
      </c>
      <c r="I26" s="94">
        <f>'LIMPEZA'!E6</f>
        <v/>
      </c>
      <c r="J26" s="94">
        <f>'LIMPEZA'!E7</f>
        <v/>
      </c>
      <c r="K26" s="94">
        <f>'LIMPEZA'!E8</f>
        <v/>
      </c>
      <c r="L26" s="94">
        <f>'LIMPEZA'!E9</f>
        <v/>
      </c>
      <c r="M26" s="94">
        <f>'LIMPEZA'!E10</f>
        <v/>
      </c>
      <c r="N26" s="94">
        <f>'LIMPEZA'!E11</f>
        <v/>
      </c>
      <c r="O26" s="94">
        <f>'LIMPEZA'!E12</f>
        <v/>
      </c>
      <c r="P26" s="94">
        <f>'LIMPEZA'!E13</f>
        <v/>
      </c>
      <c r="Q26" s="94">
        <f>'LIMPEZA'!E14</f>
        <v/>
      </c>
      <c r="R26" s="94">
        <f>'LIMPEZA'!E15</f>
        <v/>
      </c>
      <c r="S26" s="94">
        <f>'LIMPEZA'!E16</f>
        <v/>
      </c>
      <c r="T26" s="94">
        <f>'LIMPEZA'!E17</f>
        <v/>
      </c>
      <c r="U26" s="94">
        <f>'LIMPEZA'!E18</f>
        <v/>
      </c>
      <c r="V26" s="94">
        <f>'LIMPEZA'!E19</f>
        <v/>
      </c>
      <c r="W26" s="94">
        <f>'LIMPEZA'!E20</f>
        <v/>
      </c>
      <c r="X26" s="94">
        <f>'LIMPEZA'!E21</f>
        <v/>
      </c>
      <c r="Y26" s="94">
        <f>'LIMPEZA'!E22</f>
        <v/>
      </c>
      <c r="Z26" s="94">
        <f>'LIMPEZA'!E23</f>
        <v/>
      </c>
      <c r="AA26" s="94">
        <f>'LIMPEZA'!E24</f>
        <v/>
      </c>
      <c r="AB26" s="94">
        <f>'LIMPEZA'!E25</f>
        <v/>
      </c>
      <c r="AC26" s="94">
        <f>'LIMPEZA'!E26</f>
        <v/>
      </c>
      <c r="AD26" s="94">
        <f>'LIMPEZA'!E27</f>
        <v/>
      </c>
      <c r="AE26" s="94">
        <f>'LIMPEZA'!E28</f>
        <v/>
      </c>
      <c r="AF26" s="94">
        <f>'LIMPEZA'!E29</f>
        <v/>
      </c>
      <c r="AG26" s="94">
        <f>'LIMPEZA'!E30</f>
        <v/>
      </c>
      <c r="AH26" s="94">
        <f>'LIMPEZA'!E31</f>
        <v/>
      </c>
      <c r="AI26" s="94">
        <f>'LIMPEZA'!E32</f>
        <v/>
      </c>
      <c r="AJ26" s="94">
        <f>'LIMPEZA'!E33</f>
        <v/>
      </c>
      <c r="AK26" s="94">
        <f>'LIMPEZA'!E34</f>
        <v/>
      </c>
      <c r="AL26" s="94">
        <f>'LIMPEZA'!E35</f>
        <v/>
      </c>
      <c r="AM26" s="94">
        <f>'LIMPEZA'!E36</f>
        <v/>
      </c>
      <c r="AN26" s="94">
        <f>'LIMPEZA'!E37</f>
        <v/>
      </c>
      <c r="AO26" s="94">
        <f>'LIMPEZA'!E38</f>
        <v/>
      </c>
      <c r="AP26" s="94">
        <f>'LIMPEZA'!E39</f>
        <v/>
      </c>
      <c r="AQ26" s="94">
        <f>'LIMPEZA'!E40</f>
        <v/>
      </c>
      <c r="AR26" s="94">
        <f>'LIMPEZA'!E41</f>
        <v/>
      </c>
      <c r="AS26" s="94">
        <f>'LIMPEZA'!E42</f>
        <v/>
      </c>
      <c r="AT26" s="94">
        <f>'LIMPEZA'!E43</f>
        <v/>
      </c>
      <c r="AU26" s="94">
        <f>'LIMPEZA'!E44</f>
        <v/>
      </c>
      <c r="AV26" s="94">
        <f>'LIMPEZA'!E45</f>
        <v/>
      </c>
      <c r="AW26" s="94">
        <f>'LIMPEZA'!E46</f>
        <v/>
      </c>
      <c r="AX26" s="94">
        <f>'LIMPEZA'!E47</f>
        <v/>
      </c>
      <c r="AY26" s="94">
        <f>'LIMPEZA'!E48</f>
        <v/>
      </c>
      <c r="AZ26" s="94">
        <f>'LIMPEZA'!E49</f>
        <v/>
      </c>
      <c r="BA26" s="94">
        <f>'LIMPEZA'!E50</f>
        <v/>
      </c>
      <c r="BB26" s="94">
        <f>'LIMPEZA'!E51</f>
        <v/>
      </c>
      <c r="BC26" s="94">
        <f>'LIMPEZA'!E52</f>
        <v/>
      </c>
      <c r="BD26" s="94">
        <f>'LIMPEZA'!E53</f>
        <v/>
      </c>
      <c r="BE26" s="94">
        <f>'LIMPEZA'!E54</f>
        <v/>
      </c>
      <c r="BF26" s="94">
        <f>'LIMPEZA'!E55</f>
        <v/>
      </c>
      <c r="BG26" s="94">
        <f>'LIMPEZA'!E56</f>
        <v/>
      </c>
      <c r="BH26" s="94">
        <f>'LIMPEZA'!E57</f>
        <v/>
      </c>
      <c r="BI26" s="94">
        <f>'LIMPEZA'!E58</f>
        <v/>
      </c>
      <c r="BJ26" s="94">
        <f>'LIMPEZA'!E59</f>
        <v/>
      </c>
      <c r="BK26" s="94">
        <f>'LIMPEZA'!E60</f>
        <v/>
      </c>
      <c r="BL26" s="94">
        <f>'LIMPEZA'!E61</f>
        <v/>
      </c>
      <c r="BM26" s="94">
        <f>'LIMPEZA'!E62</f>
        <v/>
      </c>
      <c r="BN26" s="94">
        <f>'LIMPEZA'!E63</f>
        <v/>
      </c>
      <c r="BO26" s="94">
        <f>'LIMPEZA'!E64</f>
        <v/>
      </c>
      <c r="BP26" s="94">
        <f>'LIMPEZA'!E65</f>
        <v/>
      </c>
      <c r="BQ26" s="94">
        <f>'LIMPEZA'!E66</f>
        <v/>
      </c>
      <c r="BR26" s="94">
        <f>'LIMPEZA'!E67</f>
        <v/>
      </c>
      <c r="BS26" s="94">
        <f>'LIMPEZA'!E68</f>
        <v/>
      </c>
      <c r="BT26" s="94">
        <f>'LIMPEZA'!E69</f>
        <v/>
      </c>
      <c r="BU26" s="94">
        <f>'LIMPEZA'!E70</f>
        <v/>
      </c>
      <c r="BV26" s="94">
        <f>'LIMPEZA'!E71</f>
        <v/>
      </c>
      <c r="BW26" s="94">
        <f>'LIMPEZA'!E72</f>
        <v/>
      </c>
      <c r="BX26" s="94">
        <f>'LIMPEZA'!E73</f>
        <v/>
      </c>
      <c r="BY26" s="94">
        <f>'LIMPEZA'!E74</f>
        <v/>
      </c>
      <c r="BZ26" s="94">
        <f>'LIMPEZA'!E75</f>
        <v/>
      </c>
      <c r="CA26" s="94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0">
        <f>'LOUÇAS'!$K$5</f>
        <v/>
      </c>
      <c r="E27" s="49">
        <f>SUM(H27:CA27)</f>
        <v/>
      </c>
      <c r="F27" s="49">
        <f>IF(D27="","",D27-E27)</f>
        <v/>
      </c>
      <c r="H27" s="94">
        <f>'LOUÇAS'!E5</f>
        <v/>
      </c>
      <c r="I27" s="94">
        <f>'LOUÇAS'!E6</f>
        <v/>
      </c>
      <c r="J27" s="94">
        <f>'LOUÇAS'!E7</f>
        <v/>
      </c>
      <c r="K27" s="94">
        <f>'LOUÇAS'!E8</f>
        <v/>
      </c>
      <c r="L27" s="94">
        <f>'LOUÇAS'!E9</f>
        <v/>
      </c>
      <c r="M27" s="94">
        <f>'LOUÇAS'!E10</f>
        <v/>
      </c>
      <c r="N27" s="94">
        <f>'LOUÇAS'!E11</f>
        <v/>
      </c>
      <c r="O27" s="94">
        <f>'LOUÇAS'!E12</f>
        <v/>
      </c>
      <c r="P27" s="94">
        <f>'LOUÇAS'!E13</f>
        <v/>
      </c>
      <c r="Q27" s="94">
        <f>'LOUÇAS'!E14</f>
        <v/>
      </c>
      <c r="R27" s="94">
        <f>'LOUÇAS'!E15</f>
        <v/>
      </c>
      <c r="S27" s="94">
        <f>'LOUÇAS'!E16</f>
        <v/>
      </c>
      <c r="T27" s="94">
        <f>'LOUÇAS'!E17</f>
        <v/>
      </c>
      <c r="U27" s="94">
        <f>'LOUÇAS'!E18</f>
        <v/>
      </c>
      <c r="V27" s="94">
        <f>'LOUÇAS'!E19</f>
        <v/>
      </c>
      <c r="W27" s="94">
        <f>'LOUÇAS'!E20</f>
        <v/>
      </c>
      <c r="X27" s="94">
        <f>'LOUÇAS'!E21</f>
        <v/>
      </c>
      <c r="Y27" s="94">
        <f>'LOUÇAS'!E22</f>
        <v/>
      </c>
      <c r="Z27" s="94">
        <f>'LOUÇAS'!E23</f>
        <v/>
      </c>
      <c r="AA27" s="94">
        <f>'LOUÇAS'!E24</f>
        <v/>
      </c>
      <c r="AB27" s="94">
        <f>'LOUÇAS'!E25</f>
        <v/>
      </c>
      <c r="AC27" s="94">
        <f>'LOUÇAS'!E26</f>
        <v/>
      </c>
      <c r="AD27" s="94">
        <f>'LOUÇAS'!E27</f>
        <v/>
      </c>
      <c r="AE27" s="94">
        <f>'LOUÇAS'!E28</f>
        <v/>
      </c>
      <c r="AF27" s="94">
        <f>'LOUÇAS'!E29</f>
        <v/>
      </c>
      <c r="AG27" s="94">
        <f>'LOUÇAS'!E30</f>
        <v/>
      </c>
      <c r="AH27" s="94">
        <f>'LOUÇAS'!E31</f>
        <v/>
      </c>
      <c r="AI27" s="94">
        <f>'LOUÇAS'!E32</f>
        <v/>
      </c>
      <c r="AJ27" s="94">
        <f>'LOUÇAS'!E33</f>
        <v/>
      </c>
      <c r="AK27" s="94">
        <f>'LOUÇAS'!E34</f>
        <v/>
      </c>
      <c r="AL27" s="94">
        <f>'LOUÇAS'!E35</f>
        <v/>
      </c>
      <c r="AM27" s="94">
        <f>'LOUÇAS'!E36</f>
        <v/>
      </c>
      <c r="AN27" s="94">
        <f>'LOUÇAS'!E37</f>
        <v/>
      </c>
      <c r="AO27" s="94">
        <f>'LOUÇAS'!E38</f>
        <v/>
      </c>
      <c r="AP27" s="94">
        <f>'LOUÇAS'!E39</f>
        <v/>
      </c>
      <c r="AQ27" s="94">
        <f>'LOUÇAS'!E40</f>
        <v/>
      </c>
      <c r="AR27" s="94">
        <f>'LOUÇAS'!E41</f>
        <v/>
      </c>
      <c r="AS27" s="94">
        <f>'LOUÇAS'!E42</f>
        <v/>
      </c>
      <c r="AT27" s="94">
        <f>'LOUÇAS'!E43</f>
        <v/>
      </c>
      <c r="AU27" s="94">
        <f>'LOUÇAS'!E44</f>
        <v/>
      </c>
      <c r="AV27" s="94">
        <f>'LOUÇAS'!E45</f>
        <v/>
      </c>
      <c r="AW27" s="94">
        <f>'LOUÇAS'!E46</f>
        <v/>
      </c>
      <c r="AX27" s="94">
        <f>'LOUÇAS'!E47</f>
        <v/>
      </c>
      <c r="AY27" s="94">
        <f>'LOUÇAS'!E48</f>
        <v/>
      </c>
      <c r="AZ27" s="94">
        <f>'LOUÇAS'!E49</f>
        <v/>
      </c>
      <c r="BA27" s="94">
        <f>'LOUÇAS'!E50</f>
        <v/>
      </c>
      <c r="BB27" s="94">
        <f>'LOUÇAS'!E51</f>
        <v/>
      </c>
      <c r="BC27" s="94">
        <f>'LOUÇAS'!E52</f>
        <v/>
      </c>
      <c r="BD27" s="94">
        <f>'LOUÇAS'!E53</f>
        <v/>
      </c>
      <c r="BE27" s="94">
        <f>'LOUÇAS'!E54</f>
        <v/>
      </c>
      <c r="BF27" s="94">
        <f>'LOUÇAS'!E55</f>
        <v/>
      </c>
      <c r="BG27" s="94">
        <f>'LOUÇAS'!E56</f>
        <v/>
      </c>
      <c r="BH27" s="94">
        <f>'LOUÇAS'!E57</f>
        <v/>
      </c>
      <c r="BI27" s="94">
        <f>'LOUÇAS'!E58</f>
        <v/>
      </c>
      <c r="BJ27" s="94">
        <f>'LOUÇAS'!E59</f>
        <v/>
      </c>
      <c r="BK27" s="94">
        <f>'LOUÇAS'!E60</f>
        <v/>
      </c>
      <c r="BL27" s="94">
        <f>'LOUÇAS'!E61</f>
        <v/>
      </c>
      <c r="BM27" s="94">
        <f>'LOUÇAS'!E62</f>
        <v/>
      </c>
      <c r="BN27" s="94">
        <f>'LOUÇAS'!E63</f>
        <v/>
      </c>
      <c r="BO27" s="94">
        <f>'LOUÇAS'!E64</f>
        <v/>
      </c>
      <c r="BP27" s="94">
        <f>'LOUÇAS'!E65</f>
        <v/>
      </c>
      <c r="BQ27" s="94">
        <f>'LOUÇAS'!E66</f>
        <v/>
      </c>
      <c r="BR27" s="94">
        <f>'LOUÇAS'!E67</f>
        <v/>
      </c>
      <c r="BS27" s="94">
        <f>'LOUÇAS'!E68</f>
        <v/>
      </c>
      <c r="BT27" s="94">
        <f>'LOUÇAS'!E69</f>
        <v/>
      </c>
      <c r="BU27" s="94">
        <f>'LOUÇAS'!E70</f>
        <v/>
      </c>
      <c r="BV27" s="94">
        <f>'LOUÇAS'!E71</f>
        <v/>
      </c>
      <c r="BW27" s="94">
        <f>'LOUÇAS'!E72</f>
        <v/>
      </c>
      <c r="BX27" s="94">
        <f>'LOUÇAS'!E73</f>
        <v/>
      </c>
      <c r="BY27" s="94">
        <f>'LOUÇAS'!E74</f>
        <v/>
      </c>
      <c r="BZ27" s="94">
        <f>'LOUÇAS'!E75</f>
        <v/>
      </c>
      <c r="CA27" s="94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0">
        <f>'MDO'!$K$5</f>
        <v/>
      </c>
      <c r="E28" s="49">
        <f>SUM(H28:CA28)</f>
        <v/>
      </c>
      <c r="F28" s="49">
        <f>IF(D28="","",D28-E28)</f>
        <v/>
      </c>
      <c r="H28" s="94">
        <f>'MDO'!E5</f>
        <v/>
      </c>
      <c r="I28" s="94">
        <f>'MDO'!E6</f>
        <v/>
      </c>
      <c r="J28" s="94">
        <f>'MDO'!E7</f>
        <v/>
      </c>
      <c r="K28" s="94">
        <f>'MDO'!E8</f>
        <v/>
      </c>
      <c r="L28" s="94">
        <f>'MDO'!E9</f>
        <v/>
      </c>
      <c r="M28" s="94">
        <f>'MDO'!E10</f>
        <v/>
      </c>
      <c r="N28" s="94">
        <f>'MDO'!E11</f>
        <v/>
      </c>
      <c r="O28" s="94">
        <f>'MDO'!E12</f>
        <v/>
      </c>
      <c r="P28" s="94">
        <f>'MDO'!E13</f>
        <v/>
      </c>
      <c r="Q28" s="94">
        <f>'MDO'!E14</f>
        <v/>
      </c>
      <c r="R28" s="94">
        <f>'MDO'!E15</f>
        <v/>
      </c>
      <c r="S28" s="94">
        <f>'MDO'!E16</f>
        <v/>
      </c>
      <c r="T28" s="94">
        <f>'MDO'!E17</f>
        <v/>
      </c>
      <c r="U28" s="94">
        <f>'MDO'!E18</f>
        <v/>
      </c>
      <c r="V28" s="94">
        <f>'MDO'!E19</f>
        <v/>
      </c>
      <c r="W28" s="94">
        <f>'MDO'!E20</f>
        <v/>
      </c>
      <c r="X28" s="94">
        <f>'MDO'!E21</f>
        <v/>
      </c>
      <c r="Y28" s="94">
        <f>'MDO'!E22</f>
        <v/>
      </c>
      <c r="Z28" s="94">
        <f>'MDO'!E23</f>
        <v/>
      </c>
      <c r="AA28" s="94">
        <f>'MDO'!E24</f>
        <v/>
      </c>
      <c r="AB28" s="94">
        <f>'MDO'!E25</f>
        <v/>
      </c>
      <c r="AC28" s="94">
        <f>'MDO'!E26</f>
        <v/>
      </c>
      <c r="AD28" s="94">
        <f>'MDO'!E27</f>
        <v/>
      </c>
      <c r="AE28" s="94">
        <f>'MDO'!E28</f>
        <v/>
      </c>
      <c r="AF28" s="94">
        <f>'MDO'!E29</f>
        <v/>
      </c>
      <c r="AG28" s="94">
        <f>'MDO'!E30</f>
        <v/>
      </c>
      <c r="AH28" s="94">
        <f>'MDO'!E31</f>
        <v/>
      </c>
      <c r="AI28" s="94">
        <f>'MDO'!E32</f>
        <v/>
      </c>
      <c r="AJ28" s="94">
        <f>'MDO'!E33</f>
        <v/>
      </c>
      <c r="AK28" s="94">
        <f>'MDO'!E34</f>
        <v/>
      </c>
      <c r="AL28" s="94">
        <f>'MDO'!E35</f>
        <v/>
      </c>
      <c r="AM28" s="94">
        <f>'MDO'!E36</f>
        <v/>
      </c>
      <c r="AN28" s="94">
        <f>'MDO'!E37</f>
        <v/>
      </c>
      <c r="AO28" s="94">
        <f>'MDO'!E38</f>
        <v/>
      </c>
      <c r="AP28" s="94">
        <f>'MDO'!E39</f>
        <v/>
      </c>
      <c r="AQ28" s="94">
        <f>'MDO'!E40</f>
        <v/>
      </c>
      <c r="AR28" s="94">
        <f>'MDO'!E41</f>
        <v/>
      </c>
      <c r="AS28" s="94">
        <f>'MDO'!E42</f>
        <v/>
      </c>
      <c r="AT28" s="94">
        <f>'MDO'!E43</f>
        <v/>
      </c>
      <c r="AU28" s="94">
        <f>'MDO'!E44</f>
        <v/>
      </c>
      <c r="AV28" s="94">
        <f>'MDO'!E45</f>
        <v/>
      </c>
      <c r="AW28" s="94">
        <f>'MDO'!E46</f>
        <v/>
      </c>
      <c r="AX28" s="94">
        <f>'MDO'!E47</f>
        <v/>
      </c>
      <c r="AY28" s="94">
        <f>'MDO'!E48</f>
        <v/>
      </c>
      <c r="AZ28" s="94">
        <f>'MDO'!E49</f>
        <v/>
      </c>
      <c r="BA28" s="94">
        <f>'MDO'!E50</f>
        <v/>
      </c>
      <c r="BB28" s="94">
        <f>'MDO'!E51</f>
        <v/>
      </c>
      <c r="BC28" s="94">
        <f>'MDO'!E52</f>
        <v/>
      </c>
      <c r="BD28" s="94">
        <f>'MDO'!E53</f>
        <v/>
      </c>
      <c r="BE28" s="94">
        <f>'MDO'!E54</f>
        <v/>
      </c>
      <c r="BF28" s="94">
        <f>'MDO'!E55</f>
        <v/>
      </c>
      <c r="BG28" s="94">
        <f>'MDO'!E56</f>
        <v/>
      </c>
      <c r="BH28" s="94">
        <f>'MDO'!E57</f>
        <v/>
      </c>
      <c r="BI28" s="94">
        <f>'MDO'!E58</f>
        <v/>
      </c>
      <c r="BJ28" s="94">
        <f>'MDO'!E59</f>
        <v/>
      </c>
      <c r="BK28" s="94">
        <f>'MDO'!E60</f>
        <v/>
      </c>
      <c r="BL28" s="94">
        <f>'MDO'!E61</f>
        <v/>
      </c>
      <c r="BM28" s="94">
        <f>'MDO'!E62</f>
        <v/>
      </c>
      <c r="BN28" s="94">
        <f>'MDO'!E63</f>
        <v/>
      </c>
      <c r="BO28" s="94">
        <f>'MDO'!E64</f>
        <v/>
      </c>
      <c r="BP28" s="94">
        <f>'MDO'!E65</f>
        <v/>
      </c>
      <c r="BQ28" s="94">
        <f>'MDO'!E66</f>
        <v/>
      </c>
      <c r="BR28" s="94">
        <f>'MDO'!E67</f>
        <v/>
      </c>
      <c r="BS28" s="94">
        <f>'MDO'!E68</f>
        <v/>
      </c>
      <c r="BT28" s="94">
        <f>'MDO'!E69</f>
        <v/>
      </c>
      <c r="BU28" s="94">
        <f>'MDO'!E70</f>
        <v/>
      </c>
      <c r="BV28" s="94">
        <f>'MDO'!E71</f>
        <v/>
      </c>
      <c r="BW28" s="94">
        <f>'MDO'!E72</f>
        <v/>
      </c>
      <c r="BX28" s="94">
        <f>'MDO'!E73</f>
        <v/>
      </c>
      <c r="BY28" s="94">
        <f>'MDO'!E74</f>
        <v/>
      </c>
      <c r="BZ28" s="94">
        <f>'MDO'!E75</f>
        <v/>
      </c>
      <c r="CA28" s="94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0">
        <f>'MARCENARIA'!$K$5</f>
        <v/>
      </c>
      <c r="E29" s="49">
        <f>SUM(H29:CA29)</f>
        <v/>
      </c>
      <c r="F29" s="49">
        <f>IF(D29="","",D29-E29)</f>
        <v/>
      </c>
      <c r="H29" s="94">
        <f>'MARCENARIA'!E5</f>
        <v/>
      </c>
      <c r="I29" s="94">
        <f>'MARCENARIA'!E6</f>
        <v/>
      </c>
      <c r="J29" s="94">
        <f>'MARCENARIA'!E7</f>
        <v/>
      </c>
      <c r="K29" s="94">
        <f>'MARCENARIA'!E8</f>
        <v/>
      </c>
      <c r="L29" s="94">
        <f>'MARCENARIA'!E9</f>
        <v/>
      </c>
      <c r="M29" s="94">
        <f>'MARCENARIA'!E10</f>
        <v/>
      </c>
      <c r="N29" s="94">
        <f>'MARCENARIA'!E11</f>
        <v/>
      </c>
      <c r="O29" s="94">
        <f>'MARCENARIA'!E12</f>
        <v/>
      </c>
      <c r="P29" s="94">
        <f>'MARCENARIA'!E13</f>
        <v/>
      </c>
      <c r="Q29" s="94">
        <f>'MARCENARIA'!E14</f>
        <v/>
      </c>
      <c r="R29" s="94">
        <f>'MARCENARIA'!E15</f>
        <v/>
      </c>
      <c r="S29" s="94">
        <f>'MARCENARIA'!E16</f>
        <v/>
      </c>
      <c r="T29" s="94">
        <f>'MARCENARIA'!E17</f>
        <v/>
      </c>
      <c r="U29" s="94">
        <f>'MARCENARIA'!E18</f>
        <v/>
      </c>
      <c r="V29" s="94">
        <f>'MARCENARIA'!E19</f>
        <v/>
      </c>
      <c r="W29" s="94">
        <f>'MARCENARIA'!E20</f>
        <v/>
      </c>
      <c r="X29" s="94">
        <f>'MARCENARIA'!E21</f>
        <v/>
      </c>
      <c r="Y29" s="94">
        <f>'MARCENARIA'!E22</f>
        <v/>
      </c>
      <c r="Z29" s="94">
        <f>'MARCENARIA'!E23</f>
        <v/>
      </c>
      <c r="AA29" s="94">
        <f>'MARCENARIA'!E24</f>
        <v/>
      </c>
      <c r="AB29" s="94">
        <f>'MARCENARIA'!E25</f>
        <v/>
      </c>
      <c r="AC29" s="94">
        <f>'MARCENARIA'!E26</f>
        <v/>
      </c>
      <c r="AD29" s="94">
        <f>'MARCENARIA'!E27</f>
        <v/>
      </c>
      <c r="AE29" s="94">
        <f>'MARCENARIA'!E28</f>
        <v/>
      </c>
      <c r="AF29" s="94">
        <f>'MARCENARIA'!E29</f>
        <v/>
      </c>
      <c r="AG29" s="94">
        <f>'MARCENARIA'!E30</f>
        <v/>
      </c>
      <c r="AH29" s="94">
        <f>'MARCENARIA'!E31</f>
        <v/>
      </c>
      <c r="AI29" s="94">
        <f>'MARCENARIA'!E32</f>
        <v/>
      </c>
      <c r="AJ29" s="94">
        <f>'MARCENARIA'!E33</f>
        <v/>
      </c>
      <c r="AK29" s="94">
        <f>'MARCENARIA'!E34</f>
        <v/>
      </c>
      <c r="AL29" s="94">
        <f>'MARCENARIA'!E35</f>
        <v/>
      </c>
      <c r="AM29" s="94">
        <f>'MARCENARIA'!E36</f>
        <v/>
      </c>
      <c r="AN29" s="94">
        <f>'MARCENARIA'!E37</f>
        <v/>
      </c>
      <c r="AO29" s="94">
        <f>'MARCENARIA'!E38</f>
        <v/>
      </c>
      <c r="AP29" s="94">
        <f>'MARCENARIA'!E39</f>
        <v/>
      </c>
      <c r="AQ29" s="94">
        <f>'MARCENARIA'!E40</f>
        <v/>
      </c>
      <c r="AR29" s="94">
        <f>'MARCENARIA'!E41</f>
        <v/>
      </c>
      <c r="AS29" s="94">
        <f>'MARCENARIA'!E42</f>
        <v/>
      </c>
      <c r="AT29" s="94">
        <f>'MARCENARIA'!E43</f>
        <v/>
      </c>
      <c r="AU29" s="94">
        <f>'MARCENARIA'!E44</f>
        <v/>
      </c>
      <c r="AV29" s="94">
        <f>'MARCENARIA'!E45</f>
        <v/>
      </c>
      <c r="AW29" s="94">
        <f>'MARCENARIA'!E46</f>
        <v/>
      </c>
      <c r="AX29" s="94">
        <f>'MARCENARIA'!E47</f>
        <v/>
      </c>
      <c r="AY29" s="94">
        <f>'MARCENARIA'!E48</f>
        <v/>
      </c>
      <c r="AZ29" s="94">
        <f>'MARCENARIA'!E49</f>
        <v/>
      </c>
      <c r="BA29" s="94">
        <f>'MARCENARIA'!E50</f>
        <v/>
      </c>
      <c r="BB29" s="94">
        <f>'MARCENARIA'!E51</f>
        <v/>
      </c>
      <c r="BC29" s="94">
        <f>'MARCENARIA'!E52</f>
        <v/>
      </c>
      <c r="BD29" s="94">
        <f>'MARCENARIA'!E53</f>
        <v/>
      </c>
      <c r="BE29" s="94">
        <f>'MARCENARIA'!E54</f>
        <v/>
      </c>
      <c r="BF29" s="94">
        <f>'MARCENARIA'!E55</f>
        <v/>
      </c>
      <c r="BG29" s="94">
        <f>'MARCENARIA'!E56</f>
        <v/>
      </c>
      <c r="BH29" s="94">
        <f>'MARCENARIA'!E57</f>
        <v/>
      </c>
      <c r="BI29" s="94">
        <f>'MARCENARIA'!E58</f>
        <v/>
      </c>
      <c r="BJ29" s="94">
        <f>'MARCENARIA'!E59</f>
        <v/>
      </c>
      <c r="BK29" s="94">
        <f>'MARCENARIA'!E60</f>
        <v/>
      </c>
      <c r="BL29" s="94">
        <f>'MARCENARIA'!E61</f>
        <v/>
      </c>
      <c r="BM29" s="94">
        <f>'MARCENARIA'!E62</f>
        <v/>
      </c>
      <c r="BN29" s="94">
        <f>'MARCENARIA'!E63</f>
        <v/>
      </c>
      <c r="BO29" s="94">
        <f>'MARCENARIA'!E64</f>
        <v/>
      </c>
      <c r="BP29" s="94">
        <f>'MARCENARIA'!E65</f>
        <v/>
      </c>
      <c r="BQ29" s="94">
        <f>'MARCENARIA'!E66</f>
        <v/>
      </c>
      <c r="BR29" s="94">
        <f>'MARCENARIA'!E67</f>
        <v/>
      </c>
      <c r="BS29" s="94">
        <f>'MARCENARIA'!E68</f>
        <v/>
      </c>
      <c r="BT29" s="94">
        <f>'MARCENARIA'!E69</f>
        <v/>
      </c>
      <c r="BU29" s="94">
        <f>'MARCENARIA'!E70</f>
        <v/>
      </c>
      <c r="BV29" s="94">
        <f>'MARCENARIA'!E71</f>
        <v/>
      </c>
      <c r="BW29" s="94">
        <f>'MARCENARIA'!E72</f>
        <v/>
      </c>
      <c r="BX29" s="94">
        <f>'MARCENARIA'!E73</f>
        <v/>
      </c>
      <c r="BY29" s="94">
        <f>'MARCENARIA'!E74</f>
        <v/>
      </c>
      <c r="BZ29" s="94">
        <f>'MARCENARIA'!E75</f>
        <v/>
      </c>
      <c r="CA29" s="94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0">
        <f>'PAISAGISMO'!$K$5</f>
        <v/>
      </c>
      <c r="E31" s="49">
        <f>SUM(H31:CA31)</f>
        <v/>
      </c>
      <c r="F31" s="49">
        <f>IF(D31="","",D31-E31)</f>
        <v/>
      </c>
      <c r="H31" s="94">
        <f>'PAISAGISMO'!E5</f>
        <v/>
      </c>
      <c r="I31" s="94">
        <f>'PAISAGISMO'!E6</f>
        <v/>
      </c>
      <c r="J31" s="94">
        <f>'PAISAGISMO'!E7</f>
        <v/>
      </c>
      <c r="K31" s="94">
        <f>'PAISAGISMO'!E8</f>
        <v/>
      </c>
      <c r="L31" s="94">
        <f>'PAISAGISMO'!E9</f>
        <v/>
      </c>
      <c r="M31" s="94">
        <f>'PAISAGISMO'!E10</f>
        <v/>
      </c>
      <c r="N31" s="94">
        <f>'PAISAGISMO'!E11</f>
        <v/>
      </c>
      <c r="O31" s="94">
        <f>'PAISAGISMO'!E12</f>
        <v/>
      </c>
      <c r="P31" s="94">
        <f>'PAISAGISMO'!E13</f>
        <v/>
      </c>
      <c r="Q31" s="94">
        <f>'PAISAGISMO'!E14</f>
        <v/>
      </c>
      <c r="R31" s="94">
        <f>'PAISAGISMO'!E15</f>
        <v/>
      </c>
      <c r="S31" s="94">
        <f>'PAISAGISMO'!E16</f>
        <v/>
      </c>
      <c r="T31" s="94">
        <f>'PAISAGISMO'!E17</f>
        <v/>
      </c>
      <c r="U31" s="94">
        <f>'PAISAGISMO'!E18</f>
        <v/>
      </c>
      <c r="V31" s="94">
        <f>'PAISAGISMO'!E19</f>
        <v/>
      </c>
      <c r="W31" s="94">
        <f>'PAISAGISMO'!E20</f>
        <v/>
      </c>
      <c r="X31" s="94">
        <f>'PAISAGISMO'!E21</f>
        <v/>
      </c>
      <c r="Y31" s="94">
        <f>'PAISAGISMO'!E22</f>
        <v/>
      </c>
      <c r="Z31" s="94">
        <f>'PAISAGISMO'!E23</f>
        <v/>
      </c>
      <c r="AA31" s="94">
        <f>'PAISAGISMO'!E24</f>
        <v/>
      </c>
      <c r="AB31" s="94">
        <f>'PAISAGISMO'!E25</f>
        <v/>
      </c>
      <c r="AC31" s="94">
        <f>'PAISAGISMO'!E26</f>
        <v/>
      </c>
      <c r="AD31" s="94">
        <f>'PAISAGISMO'!E27</f>
        <v/>
      </c>
      <c r="AE31" s="94">
        <f>'PAISAGISMO'!E28</f>
        <v/>
      </c>
      <c r="AF31" s="94">
        <f>'PAISAGISMO'!E29</f>
        <v/>
      </c>
      <c r="AG31" s="94">
        <f>'PAISAGISMO'!E30</f>
        <v/>
      </c>
      <c r="AH31" s="94">
        <f>'PAISAGISMO'!E31</f>
        <v/>
      </c>
      <c r="AI31" s="94">
        <f>'PAISAGISMO'!E32</f>
        <v/>
      </c>
      <c r="AJ31" s="94">
        <f>'PAISAGISMO'!E33</f>
        <v/>
      </c>
      <c r="AK31" s="94">
        <f>'PAISAGISMO'!E34</f>
        <v/>
      </c>
      <c r="AL31" s="94">
        <f>'PAISAGISMO'!E35</f>
        <v/>
      </c>
      <c r="AM31" s="94">
        <f>'PAISAGISMO'!E36</f>
        <v/>
      </c>
      <c r="AN31" s="94">
        <f>'PAISAGISMO'!E37</f>
        <v/>
      </c>
      <c r="AO31" s="94">
        <f>'PAISAGISMO'!E38</f>
        <v/>
      </c>
      <c r="AP31" s="94">
        <f>'PAISAGISMO'!E39</f>
        <v/>
      </c>
      <c r="AQ31" s="94">
        <f>'PAISAGISMO'!E40</f>
        <v/>
      </c>
      <c r="AR31" s="94">
        <f>'PAISAGISMO'!E41</f>
        <v/>
      </c>
      <c r="AS31" s="94">
        <f>'PAISAGISMO'!E42</f>
        <v/>
      </c>
      <c r="AT31" s="94">
        <f>'PAISAGISMO'!E43</f>
        <v/>
      </c>
      <c r="AU31" s="94">
        <f>'PAISAGISMO'!E44</f>
        <v/>
      </c>
      <c r="AV31" s="94">
        <f>'PAISAGISMO'!E45</f>
        <v/>
      </c>
      <c r="AW31" s="94">
        <f>'PAISAGISMO'!E46</f>
        <v/>
      </c>
      <c r="AX31" s="94">
        <f>'PAISAGISMO'!E47</f>
        <v/>
      </c>
      <c r="AY31" s="94">
        <f>'PAISAGISMO'!E48</f>
        <v/>
      </c>
      <c r="AZ31" s="94">
        <f>'PAISAGISMO'!E49</f>
        <v/>
      </c>
      <c r="BA31" s="94">
        <f>'PAISAGISMO'!E50</f>
        <v/>
      </c>
      <c r="BB31" s="94">
        <f>'PAISAGISMO'!E51</f>
        <v/>
      </c>
      <c r="BC31" s="94">
        <f>'PAISAGISMO'!E52</f>
        <v/>
      </c>
      <c r="BD31" s="94">
        <f>'PAISAGISMO'!E53</f>
        <v/>
      </c>
      <c r="BE31" s="94">
        <f>'PAISAGISMO'!E54</f>
        <v/>
      </c>
      <c r="BF31" s="94">
        <f>'PAISAGISMO'!E55</f>
        <v/>
      </c>
      <c r="BG31" s="94">
        <f>'PAISAGISMO'!E56</f>
        <v/>
      </c>
      <c r="BH31" s="94">
        <f>'PAISAGISMO'!E57</f>
        <v/>
      </c>
      <c r="BI31" s="94">
        <f>'PAISAGISMO'!E58</f>
        <v/>
      </c>
      <c r="BJ31" s="94">
        <f>'PAISAGISMO'!E59</f>
        <v/>
      </c>
      <c r="BK31" s="94">
        <f>'PAISAGISMO'!E60</f>
        <v/>
      </c>
      <c r="BL31" s="94">
        <f>'PAISAGISMO'!E61</f>
        <v/>
      </c>
      <c r="BM31" s="94">
        <f>'PAISAGISMO'!E62</f>
        <v/>
      </c>
      <c r="BN31" s="94">
        <f>'PAISAGISMO'!E63</f>
        <v/>
      </c>
      <c r="BO31" s="94">
        <f>'PAISAGISMO'!E64</f>
        <v/>
      </c>
      <c r="BP31" s="94">
        <f>'PAISAGISMO'!E65</f>
        <v/>
      </c>
      <c r="BQ31" s="94">
        <f>'PAISAGISMO'!E66</f>
        <v/>
      </c>
      <c r="BR31" s="94">
        <f>'PAISAGISMO'!E67</f>
        <v/>
      </c>
      <c r="BS31" s="94">
        <f>'PAISAGISMO'!E68</f>
        <v/>
      </c>
      <c r="BT31" s="94">
        <f>'PAISAGISMO'!E69</f>
        <v/>
      </c>
      <c r="BU31" s="94">
        <f>'PAISAGISMO'!E70</f>
        <v/>
      </c>
      <c r="BV31" s="94">
        <f>'PAISAGISMO'!E71</f>
        <v/>
      </c>
      <c r="BW31" s="94">
        <f>'PAISAGISMO'!E72</f>
        <v/>
      </c>
      <c r="BX31" s="94">
        <f>'PAISAGISMO'!E73</f>
        <v/>
      </c>
      <c r="BY31" s="94">
        <f>'PAISAGISMO'!E74</f>
        <v/>
      </c>
      <c r="BZ31" s="94">
        <f>'PAISAGISMO'!E75</f>
        <v/>
      </c>
      <c r="CA31" s="94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0">
        <f>'EST. METÁLICA'!$K$5</f>
        <v/>
      </c>
      <c r="E32" s="49">
        <f>SUM(H32:CA32)</f>
        <v/>
      </c>
      <c r="F32" s="49">
        <f>IF(D32="","",D32-E32)</f>
        <v/>
      </c>
      <c r="H32" s="94">
        <f>'EST. METÁLICA'!E5</f>
        <v/>
      </c>
      <c r="I32" s="94">
        <f>'EST. METÁLICA'!E6</f>
        <v/>
      </c>
      <c r="J32" s="94">
        <f>'EST. METÁLICA'!E7</f>
        <v/>
      </c>
      <c r="K32" s="94">
        <f>'EST. METÁLICA'!E8</f>
        <v/>
      </c>
      <c r="L32" s="94">
        <f>'EST. METÁLICA'!E9</f>
        <v/>
      </c>
      <c r="M32" s="94">
        <f>'EST. METÁLICA'!E10</f>
        <v/>
      </c>
      <c r="N32" s="94">
        <f>'EST. METÁLICA'!E11</f>
        <v/>
      </c>
      <c r="O32" s="94">
        <f>'EST. METÁLICA'!E12</f>
        <v/>
      </c>
      <c r="P32" s="94">
        <f>'EST. METÁLICA'!E13</f>
        <v/>
      </c>
      <c r="Q32" s="94">
        <f>'EST. METÁLICA'!E14</f>
        <v/>
      </c>
      <c r="R32" s="94">
        <f>'EST. METÁLICA'!E15</f>
        <v/>
      </c>
      <c r="S32" s="94">
        <f>'EST. METÁLICA'!E16</f>
        <v/>
      </c>
      <c r="T32" s="94">
        <f>'EST. METÁLICA'!E17</f>
        <v/>
      </c>
      <c r="U32" s="94">
        <f>'EST. METÁLICA'!E18</f>
        <v/>
      </c>
      <c r="V32" s="94">
        <f>'EST. METÁLICA'!E19</f>
        <v/>
      </c>
      <c r="W32" s="94">
        <f>'EST. METÁLICA'!E20</f>
        <v/>
      </c>
      <c r="X32" s="94">
        <f>'EST. METÁLICA'!E21</f>
        <v/>
      </c>
      <c r="Y32" s="94">
        <f>'EST. METÁLICA'!E22</f>
        <v/>
      </c>
      <c r="Z32" s="94">
        <f>'EST. METÁLICA'!E23</f>
        <v/>
      </c>
      <c r="AA32" s="94">
        <f>'EST. METÁLICA'!E24</f>
        <v/>
      </c>
      <c r="AB32" s="94">
        <f>'EST. METÁLICA'!E25</f>
        <v/>
      </c>
      <c r="AC32" s="94">
        <f>'EST. METÁLICA'!E26</f>
        <v/>
      </c>
      <c r="AD32" s="94">
        <f>'EST. METÁLICA'!E27</f>
        <v/>
      </c>
      <c r="AE32" s="94">
        <f>'EST. METÁLICA'!E28</f>
        <v/>
      </c>
      <c r="AF32" s="94">
        <f>'EST. METÁLICA'!E29</f>
        <v/>
      </c>
      <c r="AG32" s="94">
        <f>'EST. METÁLICA'!E30</f>
        <v/>
      </c>
      <c r="AH32" s="94">
        <f>'EST. METÁLICA'!E31</f>
        <v/>
      </c>
      <c r="AI32" s="94">
        <f>'EST. METÁLICA'!E32</f>
        <v/>
      </c>
      <c r="AJ32" s="94">
        <f>'EST. METÁLICA'!E33</f>
        <v/>
      </c>
      <c r="AK32" s="94">
        <f>'EST. METÁLICA'!E34</f>
        <v/>
      </c>
      <c r="AL32" s="94">
        <f>'EST. METÁLICA'!E35</f>
        <v/>
      </c>
      <c r="AM32" s="94">
        <f>'EST. METÁLICA'!E36</f>
        <v/>
      </c>
      <c r="AN32" s="94">
        <f>'EST. METÁLICA'!E37</f>
        <v/>
      </c>
      <c r="AO32" s="94">
        <f>'EST. METÁLICA'!E38</f>
        <v/>
      </c>
      <c r="AP32" s="94">
        <f>'EST. METÁLICA'!E39</f>
        <v/>
      </c>
      <c r="AQ32" s="94">
        <f>'EST. METÁLICA'!E40</f>
        <v/>
      </c>
      <c r="AR32" s="94">
        <f>'EST. METÁLICA'!E41</f>
        <v/>
      </c>
      <c r="AS32" s="94">
        <f>'EST. METÁLICA'!E42</f>
        <v/>
      </c>
      <c r="AT32" s="94">
        <f>'EST. METÁLICA'!E43</f>
        <v/>
      </c>
      <c r="AU32" s="94">
        <f>'EST. METÁLICA'!E44</f>
        <v/>
      </c>
      <c r="AV32" s="94">
        <f>'EST. METÁLICA'!E45</f>
        <v/>
      </c>
      <c r="AW32" s="94">
        <f>'EST. METÁLICA'!E46</f>
        <v/>
      </c>
      <c r="AX32" s="94">
        <f>'EST. METÁLICA'!E47</f>
        <v/>
      </c>
      <c r="AY32" s="94">
        <f>'EST. METÁLICA'!E48</f>
        <v/>
      </c>
      <c r="AZ32" s="94">
        <f>'EST. METÁLICA'!E49</f>
        <v/>
      </c>
      <c r="BA32" s="94">
        <f>'EST. METÁLICA'!E50</f>
        <v/>
      </c>
      <c r="BB32" s="94">
        <f>'EST. METÁLICA'!E51</f>
        <v/>
      </c>
      <c r="BC32" s="94">
        <f>'EST. METÁLICA'!E52</f>
        <v/>
      </c>
      <c r="BD32" s="94">
        <f>'EST. METÁLICA'!E53</f>
        <v/>
      </c>
      <c r="BE32" s="94">
        <f>'EST. METÁLICA'!E54</f>
        <v/>
      </c>
      <c r="BF32" s="94">
        <f>'EST. METÁLICA'!E55</f>
        <v/>
      </c>
      <c r="BG32" s="94">
        <f>'EST. METÁLICA'!E56</f>
        <v/>
      </c>
      <c r="BH32" s="94">
        <f>'EST. METÁLICA'!E57</f>
        <v/>
      </c>
      <c r="BI32" s="94">
        <f>'EST. METÁLICA'!E58</f>
        <v/>
      </c>
      <c r="BJ32" s="94">
        <f>'EST. METÁLICA'!E59</f>
        <v/>
      </c>
      <c r="BK32" s="94">
        <f>'EST. METÁLICA'!E60</f>
        <v/>
      </c>
      <c r="BL32" s="94">
        <f>'EST. METÁLICA'!E61</f>
        <v/>
      </c>
      <c r="BM32" s="94">
        <f>'EST. METÁLICA'!E62</f>
        <v/>
      </c>
      <c r="BN32" s="94">
        <f>'EST. METÁLICA'!E63</f>
        <v/>
      </c>
      <c r="BO32" s="94">
        <f>'EST. METÁLICA'!E64</f>
        <v/>
      </c>
      <c r="BP32" s="94">
        <f>'EST. METÁLICA'!E65</f>
        <v/>
      </c>
      <c r="BQ32" s="94">
        <f>'EST. METÁLICA'!E66</f>
        <v/>
      </c>
      <c r="BR32" s="94">
        <f>'EST. METÁLICA'!E67</f>
        <v/>
      </c>
      <c r="BS32" s="94">
        <f>'EST. METÁLICA'!E68</f>
        <v/>
      </c>
      <c r="BT32" s="94">
        <f>'EST. METÁLICA'!E69</f>
        <v/>
      </c>
      <c r="BU32" s="94">
        <f>'EST. METÁLICA'!E70</f>
        <v/>
      </c>
      <c r="BV32" s="94">
        <f>'EST. METÁLICA'!E71</f>
        <v/>
      </c>
      <c r="BW32" s="94">
        <f>'EST. METÁLICA'!E72</f>
        <v/>
      </c>
      <c r="BX32" s="94">
        <f>'EST. METÁLICA'!E73</f>
        <v/>
      </c>
      <c r="BY32" s="94">
        <f>'EST. METÁLICA'!E74</f>
        <v/>
      </c>
      <c r="BZ32" s="94">
        <f>'EST. METÁLICA'!E75</f>
        <v/>
      </c>
      <c r="CA32" s="94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0">
        <f>'PINTURA'!$K$5</f>
        <v/>
      </c>
      <c r="E33" s="49">
        <f>SUM(H33:CA33)</f>
        <v/>
      </c>
      <c r="F33" s="49">
        <f>IF(D33="","",D33-E33)</f>
        <v/>
      </c>
      <c r="H33" s="94">
        <f>'PINTURA'!E5</f>
        <v/>
      </c>
      <c r="I33" s="94">
        <f>'PINTURA'!E6</f>
        <v/>
      </c>
      <c r="J33" s="94">
        <f>'PINTURA'!E7</f>
        <v/>
      </c>
      <c r="K33" s="94">
        <f>'PINTURA'!E8</f>
        <v/>
      </c>
      <c r="L33" s="94">
        <f>'PINTURA'!E9</f>
        <v/>
      </c>
      <c r="M33" s="94">
        <f>'PINTURA'!E10</f>
        <v/>
      </c>
      <c r="N33" s="94">
        <f>'PINTURA'!E11</f>
        <v/>
      </c>
      <c r="O33" s="94">
        <f>'PINTURA'!E12</f>
        <v/>
      </c>
      <c r="P33" s="94">
        <f>'PINTURA'!E13</f>
        <v/>
      </c>
      <c r="Q33" s="94">
        <f>'PINTURA'!E14</f>
        <v/>
      </c>
      <c r="R33" s="94">
        <f>'PINTURA'!E15</f>
        <v/>
      </c>
      <c r="S33" s="94">
        <f>'PINTURA'!E16</f>
        <v/>
      </c>
      <c r="T33" s="94">
        <f>'PINTURA'!E17</f>
        <v/>
      </c>
      <c r="U33" s="94">
        <f>'PINTURA'!E18</f>
        <v/>
      </c>
      <c r="V33" s="94">
        <f>'PINTURA'!E19</f>
        <v/>
      </c>
      <c r="W33" s="94">
        <f>'PINTURA'!E20</f>
        <v/>
      </c>
      <c r="X33" s="94">
        <f>'PINTURA'!E21</f>
        <v/>
      </c>
      <c r="Y33" s="94">
        <f>'PINTURA'!E22</f>
        <v/>
      </c>
      <c r="Z33" s="94">
        <f>'PINTURA'!E23</f>
        <v/>
      </c>
      <c r="AA33" s="94">
        <f>'PINTURA'!E24</f>
        <v/>
      </c>
      <c r="AB33" s="94">
        <f>'PINTURA'!E25</f>
        <v/>
      </c>
      <c r="AC33" s="94">
        <f>'PINTURA'!E26</f>
        <v/>
      </c>
      <c r="AD33" s="94">
        <f>'PINTURA'!E27</f>
        <v/>
      </c>
      <c r="AE33" s="94">
        <f>'PINTURA'!E28</f>
        <v/>
      </c>
      <c r="AF33" s="94">
        <f>'PINTURA'!E29</f>
        <v/>
      </c>
      <c r="AG33" s="94">
        <f>'PINTURA'!E30</f>
        <v/>
      </c>
      <c r="AH33" s="94">
        <f>'PINTURA'!E31</f>
        <v/>
      </c>
      <c r="AI33" s="94">
        <f>'PINTURA'!E32</f>
        <v/>
      </c>
      <c r="AJ33" s="94">
        <f>'PINTURA'!E33</f>
        <v/>
      </c>
      <c r="AK33" s="94">
        <f>'PINTURA'!E34</f>
        <v/>
      </c>
      <c r="AL33" s="94">
        <f>'PINTURA'!E35</f>
        <v/>
      </c>
      <c r="AM33" s="94">
        <f>'PINTURA'!E36</f>
        <v/>
      </c>
      <c r="AN33" s="94">
        <f>'PINTURA'!E37</f>
        <v/>
      </c>
      <c r="AO33" s="94">
        <f>'PINTURA'!E38</f>
        <v/>
      </c>
      <c r="AP33" s="94">
        <f>'PINTURA'!E39</f>
        <v/>
      </c>
      <c r="AQ33" s="94">
        <f>'PINTURA'!E40</f>
        <v/>
      </c>
      <c r="AR33" s="94">
        <f>'PINTURA'!E41</f>
        <v/>
      </c>
      <c r="AS33" s="94">
        <f>'PINTURA'!E42</f>
        <v/>
      </c>
      <c r="AT33" s="94">
        <f>'PINTURA'!E43</f>
        <v/>
      </c>
      <c r="AU33" s="94">
        <f>'PINTURA'!E44</f>
        <v/>
      </c>
      <c r="AV33" s="94">
        <f>'PINTURA'!E45</f>
        <v/>
      </c>
      <c r="AW33" s="94">
        <f>'PINTURA'!E46</f>
        <v/>
      </c>
      <c r="AX33" s="94">
        <f>'PINTURA'!E47</f>
        <v/>
      </c>
      <c r="AY33" s="94">
        <f>'PINTURA'!E48</f>
        <v/>
      </c>
      <c r="AZ33" s="94">
        <f>'PINTURA'!E49</f>
        <v/>
      </c>
      <c r="BA33" s="94">
        <f>'PINTURA'!E50</f>
        <v/>
      </c>
      <c r="BB33" s="94">
        <f>'PINTURA'!E51</f>
        <v/>
      </c>
      <c r="BC33" s="94">
        <f>'PINTURA'!E52</f>
        <v/>
      </c>
      <c r="BD33" s="94">
        <f>'PINTURA'!E53</f>
        <v/>
      </c>
      <c r="BE33" s="94">
        <f>'PINTURA'!E54</f>
        <v/>
      </c>
      <c r="BF33" s="94">
        <f>'PINTURA'!E55</f>
        <v/>
      </c>
      <c r="BG33" s="94">
        <f>'PINTURA'!E56</f>
        <v/>
      </c>
      <c r="BH33" s="94">
        <f>'PINTURA'!E57</f>
        <v/>
      </c>
      <c r="BI33" s="94">
        <f>'PINTURA'!E58</f>
        <v/>
      </c>
      <c r="BJ33" s="94">
        <f>'PINTURA'!E59</f>
        <v/>
      </c>
      <c r="BK33" s="94">
        <f>'PINTURA'!E60</f>
        <v/>
      </c>
      <c r="BL33" s="94">
        <f>'PINTURA'!E61</f>
        <v/>
      </c>
      <c r="BM33" s="94">
        <f>'PINTURA'!E62</f>
        <v/>
      </c>
      <c r="BN33" s="94">
        <f>'PINTURA'!E63</f>
        <v/>
      </c>
      <c r="BO33" s="94">
        <f>'PINTURA'!E64</f>
        <v/>
      </c>
      <c r="BP33" s="94">
        <f>'PINTURA'!E65</f>
        <v/>
      </c>
      <c r="BQ33" s="94">
        <f>'PINTURA'!E66</f>
        <v/>
      </c>
      <c r="BR33" s="94">
        <f>'PINTURA'!E67</f>
        <v/>
      </c>
      <c r="BS33" s="94">
        <f>'PINTURA'!E68</f>
        <v/>
      </c>
      <c r="BT33" s="94">
        <f>'PINTURA'!E69</f>
        <v/>
      </c>
      <c r="BU33" s="94">
        <f>'PINTURA'!E70</f>
        <v/>
      </c>
      <c r="BV33" s="94">
        <f>'PINTURA'!E71</f>
        <v/>
      </c>
      <c r="BW33" s="94">
        <f>'PINTURA'!E72</f>
        <v/>
      </c>
      <c r="BX33" s="94">
        <f>'PINTURA'!E73</f>
        <v/>
      </c>
      <c r="BY33" s="94">
        <f>'PINTURA'!E74</f>
        <v/>
      </c>
      <c r="BZ33" s="94">
        <f>'PINTURA'!E75</f>
        <v/>
      </c>
      <c r="CA33" s="94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0">
        <f>'PROJETO'!$K$5</f>
        <v/>
      </c>
      <c r="E34" s="49">
        <f>SUM(H34:CA34)</f>
        <v/>
      </c>
      <c r="F34" s="49">
        <f>IF(D34="","",D34-E34)</f>
        <v/>
      </c>
      <c r="H34" s="94">
        <f>'PROJETO'!E5</f>
        <v/>
      </c>
      <c r="I34" s="94">
        <f>'PROJETO'!E6</f>
        <v/>
      </c>
      <c r="J34" s="94">
        <f>'PROJETO'!E7</f>
        <v/>
      </c>
      <c r="K34" s="94">
        <f>'PROJETO'!E8</f>
        <v/>
      </c>
      <c r="L34" s="94">
        <f>'PROJETO'!E9</f>
        <v/>
      </c>
      <c r="M34" s="94">
        <f>'PROJETO'!E10</f>
        <v/>
      </c>
      <c r="N34" s="94">
        <f>'PROJETO'!E11</f>
        <v/>
      </c>
      <c r="O34" s="94">
        <f>'PROJETO'!E12</f>
        <v/>
      </c>
      <c r="P34" s="94">
        <f>'PROJETO'!E13</f>
        <v/>
      </c>
      <c r="Q34" s="94">
        <f>'PROJETO'!E14</f>
        <v/>
      </c>
      <c r="R34" s="94">
        <f>'PROJETO'!E15</f>
        <v/>
      </c>
      <c r="S34" s="94">
        <f>'PROJETO'!E16</f>
        <v/>
      </c>
      <c r="T34" s="94">
        <f>'PROJETO'!E17</f>
        <v/>
      </c>
      <c r="U34" s="94">
        <f>'PROJETO'!E18</f>
        <v/>
      </c>
      <c r="V34" s="94">
        <f>'PROJETO'!E19</f>
        <v/>
      </c>
      <c r="W34" s="94">
        <f>'PROJETO'!E20</f>
        <v/>
      </c>
      <c r="X34" s="94">
        <f>'PROJETO'!E21</f>
        <v/>
      </c>
      <c r="Y34" s="94">
        <f>'PROJETO'!E22</f>
        <v/>
      </c>
      <c r="Z34" s="94">
        <f>'PROJETO'!E23</f>
        <v/>
      </c>
      <c r="AA34" s="94">
        <f>'PROJETO'!E24</f>
        <v/>
      </c>
      <c r="AB34" s="94">
        <f>'PROJETO'!E25</f>
        <v/>
      </c>
      <c r="AC34" s="94">
        <f>'PROJETO'!E26</f>
        <v/>
      </c>
      <c r="AD34" s="94">
        <f>'PROJETO'!E27</f>
        <v/>
      </c>
      <c r="AE34" s="94">
        <f>'PROJETO'!E28</f>
        <v/>
      </c>
      <c r="AF34" s="94">
        <f>'PROJETO'!E29</f>
        <v/>
      </c>
      <c r="AG34" s="94">
        <f>'PROJETO'!E30</f>
        <v/>
      </c>
      <c r="AH34" s="94">
        <f>'PROJETO'!E31</f>
        <v/>
      </c>
      <c r="AI34" s="94">
        <f>'PROJETO'!E32</f>
        <v/>
      </c>
      <c r="AJ34" s="94">
        <f>'PROJETO'!E33</f>
        <v/>
      </c>
      <c r="AK34" s="94">
        <f>'PROJETO'!E34</f>
        <v/>
      </c>
      <c r="AL34" s="94">
        <f>'PROJETO'!E35</f>
        <v/>
      </c>
      <c r="AM34" s="94">
        <f>'PROJETO'!E36</f>
        <v/>
      </c>
      <c r="AN34" s="94">
        <f>'PROJETO'!E37</f>
        <v/>
      </c>
      <c r="AO34" s="94">
        <f>'PROJETO'!E38</f>
        <v/>
      </c>
      <c r="AP34" s="94">
        <f>'PROJETO'!E39</f>
        <v/>
      </c>
      <c r="AQ34" s="94">
        <f>'PROJETO'!E40</f>
        <v/>
      </c>
      <c r="AR34" s="94">
        <f>'PROJETO'!E41</f>
        <v/>
      </c>
      <c r="AS34" s="94">
        <f>'PROJETO'!E42</f>
        <v/>
      </c>
      <c r="AT34" s="94">
        <f>'PROJETO'!E43</f>
        <v/>
      </c>
      <c r="AU34" s="94">
        <f>'PROJETO'!E44</f>
        <v/>
      </c>
      <c r="AV34" s="94">
        <f>'PROJETO'!E45</f>
        <v/>
      </c>
      <c r="AW34" s="94">
        <f>'PROJETO'!E46</f>
        <v/>
      </c>
      <c r="AX34" s="94">
        <f>'PROJETO'!E47</f>
        <v/>
      </c>
      <c r="AY34" s="94">
        <f>'PROJETO'!E48</f>
        <v/>
      </c>
      <c r="AZ34" s="94">
        <f>'PROJETO'!E49</f>
        <v/>
      </c>
      <c r="BA34" s="94">
        <f>'PROJETO'!E50</f>
        <v/>
      </c>
      <c r="BB34" s="94">
        <f>'PROJETO'!E51</f>
        <v/>
      </c>
      <c r="BC34" s="94">
        <f>'PROJETO'!E52</f>
        <v/>
      </c>
      <c r="BD34" s="94">
        <f>'PROJETO'!E53</f>
        <v/>
      </c>
      <c r="BE34" s="94">
        <f>'PROJETO'!E54</f>
        <v/>
      </c>
      <c r="BF34" s="94">
        <f>'PROJETO'!E55</f>
        <v/>
      </c>
      <c r="BG34" s="94">
        <f>'PROJETO'!E56</f>
        <v/>
      </c>
      <c r="BH34" s="94">
        <f>'PROJETO'!E57</f>
        <v/>
      </c>
      <c r="BI34" s="94">
        <f>'PROJETO'!E58</f>
        <v/>
      </c>
      <c r="BJ34" s="94">
        <f>'PROJETO'!E59</f>
        <v/>
      </c>
      <c r="BK34" s="94">
        <f>'PROJETO'!E60</f>
        <v/>
      </c>
      <c r="BL34" s="94">
        <f>'PROJETO'!E61</f>
        <v/>
      </c>
      <c r="BM34" s="94">
        <f>'PROJETO'!E62</f>
        <v/>
      </c>
      <c r="BN34" s="94">
        <f>'PROJETO'!E63</f>
        <v/>
      </c>
      <c r="BO34" s="94">
        <f>'PROJETO'!E64</f>
        <v/>
      </c>
      <c r="BP34" s="94">
        <f>'PROJETO'!E65</f>
        <v/>
      </c>
      <c r="BQ34" s="94">
        <f>'PROJETO'!E66</f>
        <v/>
      </c>
      <c r="BR34" s="94">
        <f>'PROJETO'!E67</f>
        <v/>
      </c>
      <c r="BS34" s="94">
        <f>'PROJETO'!E68</f>
        <v/>
      </c>
      <c r="BT34" s="94">
        <f>'PROJETO'!E69</f>
        <v/>
      </c>
      <c r="BU34" s="94">
        <f>'PROJETO'!E70</f>
        <v/>
      </c>
      <c r="BV34" s="94">
        <f>'PROJETO'!E71</f>
        <v/>
      </c>
      <c r="BW34" s="94">
        <f>'PROJETO'!E72</f>
        <v/>
      </c>
      <c r="BX34" s="94">
        <f>'PROJETO'!E73</f>
        <v/>
      </c>
      <c r="BY34" s="94">
        <f>'PROJETO'!E74</f>
        <v/>
      </c>
      <c r="BZ34" s="94">
        <f>'PROJETO'!E75</f>
        <v/>
      </c>
      <c r="CA34" s="94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0">
        <f>'REV. ACAB'!$K$5</f>
        <v/>
      </c>
      <c r="E36" s="49">
        <f>SUM(H36:CA36)</f>
        <v/>
      </c>
      <c r="F36" s="49">
        <f>IF(D36="","",D36-E36)</f>
        <v/>
      </c>
      <c r="H36" s="94">
        <f>'REV. ACAB'!E5</f>
        <v/>
      </c>
      <c r="I36" s="94">
        <f>'REV. ACAB'!E6</f>
        <v/>
      </c>
      <c r="J36" s="94">
        <f>'REV. ACAB'!E7</f>
        <v/>
      </c>
      <c r="K36" s="94">
        <f>'REV. ACAB'!E8</f>
        <v/>
      </c>
      <c r="L36" s="94">
        <f>'REV. ACAB'!E9</f>
        <v/>
      </c>
      <c r="M36" s="94">
        <f>'REV. ACAB'!E10</f>
        <v/>
      </c>
      <c r="N36" s="94">
        <f>'REV. ACAB'!E11</f>
        <v/>
      </c>
      <c r="O36" s="94">
        <f>'REV. ACAB'!E12</f>
        <v/>
      </c>
      <c r="P36" s="94">
        <f>'REV. ACAB'!E13</f>
        <v/>
      </c>
      <c r="Q36" s="94">
        <f>'REV. ACAB'!E14</f>
        <v/>
      </c>
      <c r="R36" s="94">
        <f>'REV. ACAB'!E15</f>
        <v/>
      </c>
      <c r="S36" s="94">
        <f>'REV. ACAB'!E16</f>
        <v/>
      </c>
      <c r="T36" s="94">
        <f>'REV. ACAB'!E17</f>
        <v/>
      </c>
      <c r="U36" s="94">
        <f>'REV. ACAB'!E18</f>
        <v/>
      </c>
      <c r="V36" s="94">
        <f>'REV. ACAB'!E19</f>
        <v/>
      </c>
      <c r="W36" s="94">
        <f>'REV. ACAB'!E20</f>
        <v/>
      </c>
      <c r="X36" s="94">
        <f>'REV. ACAB'!E21</f>
        <v/>
      </c>
      <c r="Y36" s="94">
        <f>'REV. ACAB'!E22</f>
        <v/>
      </c>
      <c r="Z36" s="94">
        <f>'REV. ACAB'!E23</f>
        <v/>
      </c>
      <c r="AA36" s="94">
        <f>'REV. ACAB'!E24</f>
        <v/>
      </c>
      <c r="AB36" s="94">
        <f>'REV. ACAB'!E25</f>
        <v/>
      </c>
      <c r="AC36" s="94">
        <f>'REV. ACAB'!E26</f>
        <v/>
      </c>
      <c r="AD36" s="94">
        <f>'REV. ACAB'!E27</f>
        <v/>
      </c>
      <c r="AE36" s="94">
        <f>'REV. ACAB'!E28</f>
        <v/>
      </c>
      <c r="AF36" s="94">
        <f>'REV. ACAB'!E29</f>
        <v/>
      </c>
      <c r="AG36" s="94">
        <f>'REV. ACAB'!E30</f>
        <v/>
      </c>
      <c r="AH36" s="94">
        <f>'REV. ACAB'!E31</f>
        <v/>
      </c>
      <c r="AI36" s="94">
        <f>'REV. ACAB'!E32</f>
        <v/>
      </c>
      <c r="AJ36" s="94">
        <f>'REV. ACAB'!E33</f>
        <v/>
      </c>
      <c r="AK36" s="94">
        <f>'REV. ACAB'!E34</f>
        <v/>
      </c>
      <c r="AL36" s="94">
        <f>'REV. ACAB'!E35</f>
        <v/>
      </c>
      <c r="AM36" s="94">
        <f>'REV. ACAB'!E36</f>
        <v/>
      </c>
      <c r="AN36" s="94">
        <f>'REV. ACAB'!E37</f>
        <v/>
      </c>
      <c r="AO36" s="94">
        <f>'REV. ACAB'!E38</f>
        <v/>
      </c>
      <c r="AP36" s="94">
        <f>'REV. ACAB'!E39</f>
        <v/>
      </c>
      <c r="AQ36" s="94">
        <f>'REV. ACAB'!E40</f>
        <v/>
      </c>
      <c r="AR36" s="94">
        <f>'REV. ACAB'!E41</f>
        <v/>
      </c>
      <c r="AS36" s="94">
        <f>'REV. ACAB'!E42</f>
        <v/>
      </c>
      <c r="AT36" s="94">
        <f>'REV. ACAB'!E43</f>
        <v/>
      </c>
      <c r="AU36" s="94">
        <f>'REV. ACAB'!E44</f>
        <v/>
      </c>
      <c r="AV36" s="94">
        <f>'REV. ACAB'!E45</f>
        <v/>
      </c>
      <c r="AW36" s="94">
        <f>'REV. ACAB'!E46</f>
        <v/>
      </c>
      <c r="AX36" s="94">
        <f>'REV. ACAB'!E47</f>
        <v/>
      </c>
      <c r="AY36" s="94">
        <f>'REV. ACAB'!E48</f>
        <v/>
      </c>
      <c r="AZ36" s="94">
        <f>'REV. ACAB'!E49</f>
        <v/>
      </c>
      <c r="BA36" s="94">
        <f>'REV. ACAB'!E50</f>
        <v/>
      </c>
      <c r="BB36" s="94">
        <f>'REV. ACAB'!E51</f>
        <v/>
      </c>
      <c r="BC36" s="94">
        <f>'REV. ACAB'!E52</f>
        <v/>
      </c>
      <c r="BD36" s="94">
        <f>'REV. ACAB'!E53</f>
        <v/>
      </c>
      <c r="BE36" s="94">
        <f>'REV. ACAB'!E54</f>
        <v/>
      </c>
      <c r="BF36" s="94">
        <f>'REV. ACAB'!E55</f>
        <v/>
      </c>
      <c r="BG36" s="94">
        <f>'REV. ACAB'!E56</f>
        <v/>
      </c>
      <c r="BH36" s="94">
        <f>'REV. ACAB'!E57</f>
        <v/>
      </c>
      <c r="BI36" s="94">
        <f>'REV. ACAB'!E58</f>
        <v/>
      </c>
      <c r="BJ36" s="94">
        <f>'REV. ACAB'!E59</f>
        <v/>
      </c>
      <c r="BK36" s="94">
        <f>'REV. ACAB'!E60</f>
        <v/>
      </c>
      <c r="BL36" s="94">
        <f>'REV. ACAB'!E61</f>
        <v/>
      </c>
      <c r="BM36" s="94">
        <f>'REV. ACAB'!E62</f>
        <v/>
      </c>
      <c r="BN36" s="94">
        <f>'REV. ACAB'!E63</f>
        <v/>
      </c>
      <c r="BO36" s="94">
        <f>'REV. ACAB'!E64</f>
        <v/>
      </c>
      <c r="BP36" s="94">
        <f>'REV. ACAB'!E65</f>
        <v/>
      </c>
      <c r="BQ36" s="94">
        <f>'REV. ACAB'!E66</f>
        <v/>
      </c>
      <c r="BR36" s="94">
        <f>'REV. ACAB'!E67</f>
        <v/>
      </c>
      <c r="BS36" s="94">
        <f>'REV. ACAB'!E68</f>
        <v/>
      </c>
      <c r="BT36" s="94">
        <f>'REV. ACAB'!E69</f>
        <v/>
      </c>
      <c r="BU36" s="94">
        <f>'REV. ACAB'!E70</f>
        <v/>
      </c>
      <c r="BV36" s="94">
        <f>'REV. ACAB'!E71</f>
        <v/>
      </c>
      <c r="BW36" s="94">
        <f>'REV. ACAB'!E72</f>
        <v/>
      </c>
      <c r="BX36" s="94">
        <f>'REV. ACAB'!E73</f>
        <v/>
      </c>
      <c r="BY36" s="94">
        <f>'REV. ACAB'!E74</f>
        <v/>
      </c>
      <c r="BZ36" s="94">
        <f>'REV. ACAB'!E75</f>
        <v/>
      </c>
      <c r="CA36" s="94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0">
        <f>'REV. PISOS'!$K$5</f>
        <v/>
      </c>
      <c r="E37" s="49">
        <f>SUM(H37:CA37)</f>
        <v/>
      </c>
      <c r="F37" s="49">
        <f>IF(D37="","",D37-E37)</f>
        <v/>
      </c>
      <c r="H37" s="94">
        <f>'REV. PISOS'!E5</f>
        <v/>
      </c>
      <c r="I37" s="94">
        <f>'REV. PISOS'!E6</f>
        <v/>
      </c>
      <c r="J37" s="94">
        <f>'REV. PISOS'!E7</f>
        <v/>
      </c>
      <c r="K37" s="94">
        <f>'REV. PISOS'!E8</f>
        <v/>
      </c>
      <c r="L37" s="94">
        <f>'REV. PISOS'!E9</f>
        <v/>
      </c>
      <c r="M37" s="94">
        <f>'REV. PISOS'!E10</f>
        <v/>
      </c>
      <c r="N37" s="94">
        <f>'REV. PISOS'!E11</f>
        <v/>
      </c>
      <c r="O37" s="94">
        <f>'REV. PISOS'!E12</f>
        <v/>
      </c>
      <c r="P37" s="94">
        <f>'REV. PISOS'!E13</f>
        <v/>
      </c>
      <c r="Q37" s="94">
        <f>'REV. PISOS'!E14</f>
        <v/>
      </c>
      <c r="R37" s="94">
        <f>'REV. PISOS'!E15</f>
        <v/>
      </c>
      <c r="S37" s="94">
        <f>'REV. PISOS'!E16</f>
        <v/>
      </c>
      <c r="T37" s="94">
        <f>'REV. PISOS'!E17</f>
        <v/>
      </c>
      <c r="U37" s="94">
        <f>'REV. PISOS'!E18</f>
        <v/>
      </c>
      <c r="V37" s="94">
        <f>'REV. PISOS'!E19</f>
        <v/>
      </c>
      <c r="W37" s="94">
        <f>'REV. PISOS'!E20</f>
        <v/>
      </c>
      <c r="X37" s="94">
        <f>'REV. PISOS'!E21</f>
        <v/>
      </c>
      <c r="Y37" s="94">
        <f>'REV. PISOS'!E22</f>
        <v/>
      </c>
      <c r="Z37" s="94">
        <f>'REV. PISOS'!E23</f>
        <v/>
      </c>
      <c r="AA37" s="94">
        <f>'REV. PISOS'!E24</f>
        <v/>
      </c>
      <c r="AB37" s="94">
        <f>'REV. PISOS'!E25</f>
        <v/>
      </c>
      <c r="AC37" s="94">
        <f>'REV. PISOS'!E26</f>
        <v/>
      </c>
      <c r="AD37" s="94">
        <f>'REV. PISOS'!E27</f>
        <v/>
      </c>
      <c r="AE37" s="94">
        <f>'REV. PISOS'!E28</f>
        <v/>
      </c>
      <c r="AF37" s="94">
        <f>'REV. PISOS'!E29</f>
        <v/>
      </c>
      <c r="AG37" s="94">
        <f>'REV. PISOS'!E30</f>
        <v/>
      </c>
      <c r="AH37" s="94">
        <f>'REV. PISOS'!E31</f>
        <v/>
      </c>
      <c r="AI37" s="94">
        <f>'REV. PISOS'!E32</f>
        <v/>
      </c>
      <c r="AJ37" s="94">
        <f>'REV. PISOS'!E33</f>
        <v/>
      </c>
      <c r="AK37" s="94">
        <f>'REV. PISOS'!E34</f>
        <v/>
      </c>
      <c r="AL37" s="94">
        <f>'REV. PISOS'!E35</f>
        <v/>
      </c>
      <c r="AM37" s="94">
        <f>'REV. PISOS'!E36</f>
        <v/>
      </c>
      <c r="AN37" s="94">
        <f>'REV. PISOS'!E37</f>
        <v/>
      </c>
      <c r="AO37" s="94">
        <f>'REV. PISOS'!E38</f>
        <v/>
      </c>
      <c r="AP37" s="94">
        <f>'REV. PISOS'!E39</f>
        <v/>
      </c>
      <c r="AQ37" s="94">
        <f>'REV. PISOS'!E40</f>
        <v/>
      </c>
      <c r="AR37" s="94">
        <f>'REV. PISOS'!E41</f>
        <v/>
      </c>
      <c r="AS37" s="94">
        <f>'REV. PISOS'!E42</f>
        <v/>
      </c>
      <c r="AT37" s="94">
        <f>'REV. PISOS'!E43</f>
        <v/>
      </c>
      <c r="AU37" s="94">
        <f>'REV. PISOS'!E44</f>
        <v/>
      </c>
      <c r="AV37" s="94">
        <f>'REV. PISOS'!E45</f>
        <v/>
      </c>
      <c r="AW37" s="94">
        <f>'REV. PISOS'!E46</f>
        <v/>
      </c>
      <c r="AX37" s="94">
        <f>'REV. PISOS'!E47</f>
        <v/>
      </c>
      <c r="AY37" s="94">
        <f>'REV. PISOS'!E48</f>
        <v/>
      </c>
      <c r="AZ37" s="94">
        <f>'REV. PISOS'!E49</f>
        <v/>
      </c>
      <c r="BA37" s="94">
        <f>'REV. PISOS'!E50</f>
        <v/>
      </c>
      <c r="BB37" s="94">
        <f>'REV. PISOS'!E51</f>
        <v/>
      </c>
      <c r="BC37" s="94">
        <f>'REV. PISOS'!E52</f>
        <v/>
      </c>
      <c r="BD37" s="94">
        <f>'REV. PISOS'!E53</f>
        <v/>
      </c>
      <c r="BE37" s="94">
        <f>'REV. PISOS'!E54</f>
        <v/>
      </c>
      <c r="BF37" s="94">
        <f>'REV. PISOS'!E55</f>
        <v/>
      </c>
      <c r="BG37" s="94">
        <f>'REV. PISOS'!E56</f>
        <v/>
      </c>
      <c r="BH37" s="94">
        <f>'REV. PISOS'!E57</f>
        <v/>
      </c>
      <c r="BI37" s="94">
        <f>'REV. PISOS'!E58</f>
        <v/>
      </c>
      <c r="BJ37" s="94">
        <f>'REV. PISOS'!E59</f>
        <v/>
      </c>
      <c r="BK37" s="94">
        <f>'REV. PISOS'!E60</f>
        <v/>
      </c>
      <c r="BL37" s="94">
        <f>'REV. PISOS'!E61</f>
        <v/>
      </c>
      <c r="BM37" s="94">
        <f>'REV. PISOS'!E62</f>
        <v/>
      </c>
      <c r="BN37" s="94">
        <f>'REV. PISOS'!E63</f>
        <v/>
      </c>
      <c r="BO37" s="94">
        <f>'REV. PISOS'!E64</f>
        <v/>
      </c>
      <c r="BP37" s="94">
        <f>'REV. PISOS'!E65</f>
        <v/>
      </c>
      <c r="BQ37" s="94">
        <f>'REV. PISOS'!E66</f>
        <v/>
      </c>
      <c r="BR37" s="94">
        <f>'REV. PISOS'!E67</f>
        <v/>
      </c>
      <c r="BS37" s="94">
        <f>'REV. PISOS'!E68</f>
        <v/>
      </c>
      <c r="BT37" s="94">
        <f>'REV. PISOS'!E69</f>
        <v/>
      </c>
      <c r="BU37" s="94">
        <f>'REV. PISOS'!E70</f>
        <v/>
      </c>
      <c r="BV37" s="94">
        <f>'REV. PISOS'!E71</f>
        <v/>
      </c>
      <c r="BW37" s="94">
        <f>'REV. PISOS'!E72</f>
        <v/>
      </c>
      <c r="BX37" s="94">
        <f>'REV. PISOS'!E73</f>
        <v/>
      </c>
      <c r="BY37" s="94">
        <f>'REV. PISOS'!E74</f>
        <v/>
      </c>
      <c r="BZ37" s="94">
        <f>'REV. PISOS'!E75</f>
        <v/>
      </c>
      <c r="CA37" s="94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0">
        <f>'REV. PAREDE'!$K$5</f>
        <v/>
      </c>
      <c r="E38" s="49">
        <f>SUM(H38:CA38)</f>
        <v/>
      </c>
      <c r="F38" s="49">
        <f>IF(D38="","",D38-E38)</f>
        <v/>
      </c>
      <c r="H38" s="94">
        <f>'REV. PAREDE'!E5</f>
        <v/>
      </c>
      <c r="I38" s="94">
        <f>'REV. PAREDE'!E6</f>
        <v/>
      </c>
      <c r="J38" s="94">
        <f>'REV. PAREDE'!E7</f>
        <v/>
      </c>
      <c r="K38" s="94">
        <f>'REV. PAREDE'!E8</f>
        <v/>
      </c>
      <c r="L38" s="94">
        <f>'REV. PAREDE'!E9</f>
        <v/>
      </c>
      <c r="M38" s="94">
        <f>'REV. PAREDE'!E10</f>
        <v/>
      </c>
      <c r="N38" s="94">
        <f>'REV. PAREDE'!E11</f>
        <v/>
      </c>
      <c r="O38" s="94">
        <f>'REV. PAREDE'!E12</f>
        <v/>
      </c>
      <c r="P38" s="94">
        <f>'REV. PAREDE'!E13</f>
        <v/>
      </c>
      <c r="Q38" s="94">
        <f>'REV. PAREDE'!E14</f>
        <v/>
      </c>
      <c r="R38" s="94">
        <f>'REV. PAREDE'!E15</f>
        <v/>
      </c>
      <c r="S38" s="94">
        <f>'REV. PAREDE'!E16</f>
        <v/>
      </c>
      <c r="T38" s="94">
        <f>'REV. PAREDE'!E17</f>
        <v/>
      </c>
      <c r="U38" s="94">
        <f>'REV. PAREDE'!E18</f>
        <v/>
      </c>
      <c r="V38" s="94">
        <f>'REV. PAREDE'!E19</f>
        <v/>
      </c>
      <c r="W38" s="94">
        <f>'REV. PAREDE'!E20</f>
        <v/>
      </c>
      <c r="X38" s="94">
        <f>'REV. PAREDE'!E21</f>
        <v/>
      </c>
      <c r="Y38" s="94">
        <f>'REV. PAREDE'!E22</f>
        <v/>
      </c>
      <c r="Z38" s="94">
        <f>'REV. PAREDE'!E23</f>
        <v/>
      </c>
      <c r="AA38" s="94">
        <f>'REV. PAREDE'!E24</f>
        <v/>
      </c>
      <c r="AB38" s="94">
        <f>'REV. PAREDE'!E25</f>
        <v/>
      </c>
      <c r="AC38" s="94">
        <f>'REV. PAREDE'!E26</f>
        <v/>
      </c>
      <c r="AD38" s="94">
        <f>'REV. PAREDE'!E27</f>
        <v/>
      </c>
      <c r="AE38" s="94">
        <f>'REV. PAREDE'!E28</f>
        <v/>
      </c>
      <c r="AF38" s="94">
        <f>'REV. PAREDE'!E29</f>
        <v/>
      </c>
      <c r="AG38" s="94">
        <f>'REV. PAREDE'!E30</f>
        <v/>
      </c>
      <c r="AH38" s="94">
        <f>'REV. PAREDE'!E31</f>
        <v/>
      </c>
      <c r="AI38" s="94">
        <f>'REV. PAREDE'!E32</f>
        <v/>
      </c>
      <c r="AJ38" s="94">
        <f>'REV. PAREDE'!E33</f>
        <v/>
      </c>
      <c r="AK38" s="94">
        <f>'REV. PAREDE'!E34</f>
        <v/>
      </c>
      <c r="AL38" s="94">
        <f>'REV. PAREDE'!E35</f>
        <v/>
      </c>
      <c r="AM38" s="94">
        <f>'REV. PAREDE'!E36</f>
        <v/>
      </c>
      <c r="AN38" s="94">
        <f>'REV. PAREDE'!E37</f>
        <v/>
      </c>
      <c r="AO38" s="94">
        <f>'REV. PAREDE'!E38</f>
        <v/>
      </c>
      <c r="AP38" s="94">
        <f>'REV. PAREDE'!E39</f>
        <v/>
      </c>
      <c r="AQ38" s="94">
        <f>'REV. PAREDE'!E40</f>
        <v/>
      </c>
      <c r="AR38" s="94">
        <f>'REV. PAREDE'!E41</f>
        <v/>
      </c>
      <c r="AS38" s="94">
        <f>'REV. PAREDE'!E42</f>
        <v/>
      </c>
      <c r="AT38" s="94">
        <f>'REV. PAREDE'!E43</f>
        <v/>
      </c>
      <c r="AU38" s="94">
        <f>'REV. PAREDE'!E44</f>
        <v/>
      </c>
      <c r="AV38" s="94">
        <f>'REV. PAREDE'!E45</f>
        <v/>
      </c>
      <c r="AW38" s="94">
        <f>'REV. PAREDE'!E46</f>
        <v/>
      </c>
      <c r="AX38" s="94">
        <f>'REV. PAREDE'!E47</f>
        <v/>
      </c>
      <c r="AY38" s="94">
        <f>'REV. PAREDE'!E48</f>
        <v/>
      </c>
      <c r="AZ38" s="94">
        <f>'REV. PAREDE'!E49</f>
        <v/>
      </c>
      <c r="BA38" s="94">
        <f>'REV. PAREDE'!E50</f>
        <v/>
      </c>
      <c r="BB38" s="94">
        <f>'REV. PAREDE'!E51</f>
        <v/>
      </c>
      <c r="BC38" s="94">
        <f>'REV. PAREDE'!E52</f>
        <v/>
      </c>
      <c r="BD38" s="94">
        <f>'REV. PAREDE'!E53</f>
        <v/>
      </c>
      <c r="BE38" s="94">
        <f>'REV. PAREDE'!E54</f>
        <v/>
      </c>
      <c r="BF38" s="94">
        <f>'REV. PAREDE'!E55</f>
        <v/>
      </c>
      <c r="BG38" s="94">
        <f>'REV. PAREDE'!E56</f>
        <v/>
      </c>
      <c r="BH38" s="94">
        <f>'REV. PAREDE'!E57</f>
        <v/>
      </c>
      <c r="BI38" s="94">
        <f>'REV. PAREDE'!E58</f>
        <v/>
      </c>
      <c r="BJ38" s="94">
        <f>'REV. PAREDE'!E59</f>
        <v/>
      </c>
      <c r="BK38" s="94">
        <f>'REV. PAREDE'!E60</f>
        <v/>
      </c>
      <c r="BL38" s="94">
        <f>'REV. PAREDE'!E61</f>
        <v/>
      </c>
      <c r="BM38" s="94">
        <f>'REV. PAREDE'!E62</f>
        <v/>
      </c>
      <c r="BN38" s="94">
        <f>'REV. PAREDE'!E63</f>
        <v/>
      </c>
      <c r="BO38" s="94">
        <f>'REV. PAREDE'!E64</f>
        <v/>
      </c>
      <c r="BP38" s="94">
        <f>'REV. PAREDE'!E65</f>
        <v/>
      </c>
      <c r="BQ38" s="94">
        <f>'REV. PAREDE'!E66</f>
        <v/>
      </c>
      <c r="BR38" s="94">
        <f>'REV. PAREDE'!E67</f>
        <v/>
      </c>
      <c r="BS38" s="94">
        <f>'REV. PAREDE'!E68</f>
        <v/>
      </c>
      <c r="BT38" s="94">
        <f>'REV. PAREDE'!E69</f>
        <v/>
      </c>
      <c r="BU38" s="94">
        <f>'REV. PAREDE'!E70</f>
        <v/>
      </c>
      <c r="BV38" s="94">
        <f>'REV. PAREDE'!E71</f>
        <v/>
      </c>
      <c r="BW38" s="94">
        <f>'REV. PAREDE'!E72</f>
        <v/>
      </c>
      <c r="BX38" s="94">
        <f>'REV. PAREDE'!E73</f>
        <v/>
      </c>
      <c r="BY38" s="94">
        <f>'REV. PAREDE'!E74</f>
        <v/>
      </c>
      <c r="BZ38" s="94">
        <f>'REV. PAREDE'!E75</f>
        <v/>
      </c>
      <c r="CA38" s="94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0">
        <f>'REV. FACHADA'!$K$5</f>
        <v/>
      </c>
      <c r="E39" s="49">
        <f>SUM(H39:CA39)</f>
        <v/>
      </c>
      <c r="F39" s="49">
        <f>IF(D39="","",D39-E39)</f>
        <v/>
      </c>
      <c r="H39" s="94">
        <f>'REV. FACHADA'!E5</f>
        <v/>
      </c>
      <c r="I39" s="94">
        <f>'REV. FACHADA'!E6</f>
        <v/>
      </c>
      <c r="J39" s="94">
        <f>'REV. FACHADA'!E7</f>
        <v/>
      </c>
      <c r="K39" s="94">
        <f>'REV. FACHADA'!E8</f>
        <v/>
      </c>
      <c r="L39" s="94">
        <f>'REV. FACHADA'!E9</f>
        <v/>
      </c>
      <c r="M39" s="94">
        <f>'REV. FACHADA'!E10</f>
        <v/>
      </c>
      <c r="N39" s="94">
        <f>'REV. FACHADA'!E11</f>
        <v/>
      </c>
      <c r="O39" s="94">
        <f>'REV. FACHADA'!E12</f>
        <v/>
      </c>
      <c r="P39" s="94">
        <f>'REV. FACHADA'!E13</f>
        <v/>
      </c>
      <c r="Q39" s="94">
        <f>'REV. FACHADA'!E14</f>
        <v/>
      </c>
      <c r="R39" s="94">
        <f>'REV. FACHADA'!E15</f>
        <v/>
      </c>
      <c r="S39" s="94">
        <f>'REV. FACHADA'!E16</f>
        <v/>
      </c>
      <c r="T39" s="94">
        <f>'REV. FACHADA'!E17</f>
        <v/>
      </c>
      <c r="U39" s="94">
        <f>'REV. FACHADA'!E18</f>
        <v/>
      </c>
      <c r="V39" s="94">
        <f>'REV. FACHADA'!E19</f>
        <v/>
      </c>
      <c r="W39" s="94">
        <f>'REV. FACHADA'!E20</f>
        <v/>
      </c>
      <c r="X39" s="94">
        <f>'REV. FACHADA'!E21</f>
        <v/>
      </c>
      <c r="Y39" s="94">
        <f>'REV. FACHADA'!E22</f>
        <v/>
      </c>
      <c r="Z39" s="94">
        <f>'REV. FACHADA'!E23</f>
        <v/>
      </c>
      <c r="AA39" s="94">
        <f>'REV. FACHADA'!E24</f>
        <v/>
      </c>
      <c r="AB39" s="94">
        <f>'REV. FACHADA'!E25</f>
        <v/>
      </c>
      <c r="AC39" s="94">
        <f>'REV. FACHADA'!E26</f>
        <v/>
      </c>
      <c r="AD39" s="94">
        <f>'REV. FACHADA'!E27</f>
        <v/>
      </c>
      <c r="AE39" s="94">
        <f>'REV. FACHADA'!E28</f>
        <v/>
      </c>
      <c r="AF39" s="94">
        <f>'REV. FACHADA'!E29</f>
        <v/>
      </c>
      <c r="AG39" s="94">
        <f>'REV. FACHADA'!E30</f>
        <v/>
      </c>
      <c r="AH39" s="94">
        <f>'REV. FACHADA'!E31</f>
        <v/>
      </c>
      <c r="AI39" s="94">
        <f>'REV. FACHADA'!E32</f>
        <v/>
      </c>
      <c r="AJ39" s="94">
        <f>'REV. FACHADA'!E33</f>
        <v/>
      </c>
      <c r="AK39" s="94">
        <f>'REV. FACHADA'!E34</f>
        <v/>
      </c>
      <c r="AL39" s="94">
        <f>'REV. FACHADA'!E35</f>
        <v/>
      </c>
      <c r="AM39" s="94">
        <f>'REV. FACHADA'!E36</f>
        <v/>
      </c>
      <c r="AN39" s="94">
        <f>'REV. FACHADA'!E37</f>
        <v/>
      </c>
      <c r="AO39" s="94">
        <f>'REV. FACHADA'!E38</f>
        <v/>
      </c>
      <c r="AP39" s="94">
        <f>'REV. FACHADA'!E39</f>
        <v/>
      </c>
      <c r="AQ39" s="94">
        <f>'REV. FACHADA'!E40</f>
        <v/>
      </c>
      <c r="AR39" s="94">
        <f>'REV. FACHADA'!E41</f>
        <v/>
      </c>
      <c r="AS39" s="94">
        <f>'REV. FACHADA'!E42</f>
        <v/>
      </c>
      <c r="AT39" s="94">
        <f>'REV. FACHADA'!E43</f>
        <v/>
      </c>
      <c r="AU39" s="94">
        <f>'REV. FACHADA'!E44</f>
        <v/>
      </c>
      <c r="AV39" s="94">
        <f>'REV. FACHADA'!E45</f>
        <v/>
      </c>
      <c r="AW39" s="94">
        <f>'REV. FACHADA'!E46</f>
        <v/>
      </c>
      <c r="AX39" s="94">
        <f>'REV. FACHADA'!E47</f>
        <v/>
      </c>
      <c r="AY39" s="94">
        <f>'REV. FACHADA'!E48</f>
        <v/>
      </c>
      <c r="AZ39" s="94">
        <f>'REV. FACHADA'!E49</f>
        <v/>
      </c>
      <c r="BA39" s="94">
        <f>'REV. FACHADA'!E50</f>
        <v/>
      </c>
      <c r="BB39" s="94">
        <f>'REV. FACHADA'!E51</f>
        <v/>
      </c>
      <c r="BC39" s="94">
        <f>'REV. FACHADA'!E52</f>
        <v/>
      </c>
      <c r="BD39" s="94">
        <f>'REV. FACHADA'!E53</f>
        <v/>
      </c>
      <c r="BE39" s="94">
        <f>'REV. FACHADA'!E54</f>
        <v/>
      </c>
      <c r="BF39" s="94">
        <f>'REV. FACHADA'!E55</f>
        <v/>
      </c>
      <c r="BG39" s="94">
        <f>'REV. FACHADA'!E56</f>
        <v/>
      </c>
      <c r="BH39" s="94">
        <f>'REV. FACHADA'!E57</f>
        <v/>
      </c>
      <c r="BI39" s="94">
        <f>'REV. FACHADA'!E58</f>
        <v/>
      </c>
      <c r="BJ39" s="94">
        <f>'REV. FACHADA'!E59</f>
        <v/>
      </c>
      <c r="BK39" s="94">
        <f>'REV. FACHADA'!E60</f>
        <v/>
      </c>
      <c r="BL39" s="94">
        <f>'REV. FACHADA'!E61</f>
        <v/>
      </c>
      <c r="BM39" s="94">
        <f>'REV. FACHADA'!E62</f>
        <v/>
      </c>
      <c r="BN39" s="94">
        <f>'REV. FACHADA'!E63</f>
        <v/>
      </c>
      <c r="BO39" s="94">
        <f>'REV. FACHADA'!E64</f>
        <v/>
      </c>
      <c r="BP39" s="94">
        <f>'REV. FACHADA'!E65</f>
        <v/>
      </c>
      <c r="BQ39" s="94">
        <f>'REV. FACHADA'!E66</f>
        <v/>
      </c>
      <c r="BR39" s="94">
        <f>'REV. FACHADA'!E67</f>
        <v/>
      </c>
      <c r="BS39" s="94">
        <f>'REV. FACHADA'!E68</f>
        <v/>
      </c>
      <c r="BT39" s="94">
        <f>'REV. FACHADA'!E69</f>
        <v/>
      </c>
      <c r="BU39" s="94">
        <f>'REV. FACHADA'!E70</f>
        <v/>
      </c>
      <c r="BV39" s="94">
        <f>'REV. FACHADA'!E71</f>
        <v/>
      </c>
      <c r="BW39" s="94">
        <f>'REV. FACHADA'!E72</f>
        <v/>
      </c>
      <c r="BX39" s="94">
        <f>'REV. FACHADA'!E73</f>
        <v/>
      </c>
      <c r="BY39" s="94">
        <f>'REV. FACHADA'!E74</f>
        <v/>
      </c>
      <c r="BZ39" s="94">
        <f>'REV. FACHADA'!E75</f>
        <v/>
      </c>
      <c r="CA39" s="94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0">
        <f>'SEGUROS'!$K$5</f>
        <v/>
      </c>
      <c r="E45" s="49">
        <f>SUM(H45:CA45)</f>
        <v/>
      </c>
      <c r="F45" s="49">
        <f>IF(D45="","",D45-E45)</f>
        <v/>
      </c>
      <c r="H45" s="94">
        <f>'SEGUROS'!E5</f>
        <v/>
      </c>
      <c r="I45" s="94">
        <f>'SEGUROS'!E6</f>
        <v/>
      </c>
      <c r="J45" s="94">
        <f>'SEGUROS'!E7</f>
        <v/>
      </c>
      <c r="K45" s="94">
        <f>'SEGUROS'!E8</f>
        <v/>
      </c>
      <c r="L45" s="94">
        <f>'SEGUROS'!E9</f>
        <v/>
      </c>
      <c r="M45" s="94">
        <f>'SEGUROS'!E10</f>
        <v/>
      </c>
      <c r="N45" s="94">
        <f>'SEGUROS'!E11</f>
        <v/>
      </c>
      <c r="O45" s="94">
        <f>'SEGUROS'!E12</f>
        <v/>
      </c>
      <c r="P45" s="94">
        <f>'SEGUROS'!E13</f>
        <v/>
      </c>
      <c r="Q45" s="94">
        <f>'SEGUROS'!E14</f>
        <v/>
      </c>
      <c r="R45" s="94">
        <f>'SEGUROS'!E15</f>
        <v/>
      </c>
      <c r="S45" s="94">
        <f>'SEGUROS'!E16</f>
        <v/>
      </c>
      <c r="T45" s="94">
        <f>'SEGUROS'!E17</f>
        <v/>
      </c>
      <c r="U45" s="94">
        <f>'SEGUROS'!E18</f>
        <v/>
      </c>
      <c r="V45" s="94">
        <f>'SEGUROS'!E19</f>
        <v/>
      </c>
      <c r="W45" s="94">
        <f>'SEGUROS'!E20</f>
        <v/>
      </c>
      <c r="X45" s="94">
        <f>'SEGUROS'!E21</f>
        <v/>
      </c>
      <c r="Y45" s="94">
        <f>'SEGUROS'!E22</f>
        <v/>
      </c>
      <c r="Z45" s="94">
        <f>'SEGUROS'!E23</f>
        <v/>
      </c>
      <c r="AA45" s="94">
        <f>'SEGUROS'!E24</f>
        <v/>
      </c>
      <c r="AB45" s="94">
        <f>'SEGUROS'!E25</f>
        <v/>
      </c>
      <c r="AC45" s="94">
        <f>'SEGUROS'!E26</f>
        <v/>
      </c>
      <c r="AD45" s="94">
        <f>'SEGUROS'!E27</f>
        <v/>
      </c>
      <c r="AE45" s="94">
        <f>'SEGUROS'!E28</f>
        <v/>
      </c>
      <c r="AF45" s="94">
        <f>'SEGUROS'!E29</f>
        <v/>
      </c>
      <c r="AG45" s="94">
        <f>'SEGUROS'!E30</f>
        <v/>
      </c>
      <c r="AH45" s="94">
        <f>'SEGUROS'!E31</f>
        <v/>
      </c>
      <c r="AI45" s="94">
        <f>'SEGUROS'!E32</f>
        <v/>
      </c>
      <c r="AJ45" s="94">
        <f>'SEGUROS'!E33</f>
        <v/>
      </c>
      <c r="AK45" s="94">
        <f>'SEGUROS'!E34</f>
        <v/>
      </c>
      <c r="AL45" s="94">
        <f>'SEGUROS'!E35</f>
        <v/>
      </c>
      <c r="AM45" s="94">
        <f>'SEGUROS'!E36</f>
        <v/>
      </c>
      <c r="AN45" s="94">
        <f>'SEGUROS'!E37</f>
        <v/>
      </c>
      <c r="AO45" s="94">
        <f>'SEGUROS'!E38</f>
        <v/>
      </c>
      <c r="AP45" s="94">
        <f>'SEGUROS'!E39</f>
        <v/>
      </c>
      <c r="AQ45" s="94">
        <f>'SEGUROS'!E40</f>
        <v/>
      </c>
      <c r="AR45" s="94">
        <f>'SEGUROS'!E41</f>
        <v/>
      </c>
      <c r="AS45" s="94">
        <f>'SEGUROS'!E42</f>
        <v/>
      </c>
      <c r="AT45" s="94">
        <f>'SEGUROS'!E43</f>
        <v/>
      </c>
      <c r="AU45" s="94">
        <f>'SEGUROS'!E44</f>
        <v/>
      </c>
      <c r="AV45" s="94">
        <f>'SEGUROS'!E45</f>
        <v/>
      </c>
      <c r="AW45" s="94">
        <f>'SEGUROS'!E46</f>
        <v/>
      </c>
      <c r="AX45" s="94">
        <f>'SEGUROS'!E47</f>
        <v/>
      </c>
      <c r="AY45" s="94">
        <f>'SEGUROS'!E48</f>
        <v/>
      </c>
      <c r="AZ45" s="94">
        <f>'SEGUROS'!E49</f>
        <v/>
      </c>
      <c r="BA45" s="94">
        <f>'SEGUROS'!E50</f>
        <v/>
      </c>
      <c r="BB45" s="94">
        <f>'SEGUROS'!E51</f>
        <v/>
      </c>
      <c r="BC45" s="94">
        <f>'SEGUROS'!E52</f>
        <v/>
      </c>
      <c r="BD45" s="94">
        <f>'SEGUROS'!E53</f>
        <v/>
      </c>
      <c r="BE45" s="94">
        <f>'SEGUROS'!E54</f>
        <v/>
      </c>
      <c r="BF45" s="94">
        <f>'SEGUROS'!E55</f>
        <v/>
      </c>
      <c r="BG45" s="94">
        <f>'SEGUROS'!E56</f>
        <v/>
      </c>
      <c r="BH45" s="94">
        <f>'SEGUROS'!E57</f>
        <v/>
      </c>
      <c r="BI45" s="94">
        <f>'SEGUROS'!E58</f>
        <v/>
      </c>
      <c r="BJ45" s="94">
        <f>'SEGUROS'!E59</f>
        <v/>
      </c>
      <c r="BK45" s="94">
        <f>'SEGUROS'!E60</f>
        <v/>
      </c>
      <c r="BL45" s="94">
        <f>'SEGUROS'!E61</f>
        <v/>
      </c>
      <c r="BM45" s="94">
        <f>'SEGUROS'!E62</f>
        <v/>
      </c>
      <c r="BN45" s="94">
        <f>'SEGUROS'!E63</f>
        <v/>
      </c>
      <c r="BO45" s="94">
        <f>'SEGUROS'!E64</f>
        <v/>
      </c>
      <c r="BP45" s="94">
        <f>'SEGUROS'!E65</f>
        <v/>
      </c>
      <c r="BQ45" s="94">
        <f>'SEGUROS'!E66</f>
        <v/>
      </c>
      <c r="BR45" s="94">
        <f>'SEGUROS'!E67</f>
        <v/>
      </c>
      <c r="BS45" s="94">
        <f>'SEGUROS'!E68</f>
        <v/>
      </c>
      <c r="BT45" s="94">
        <f>'SEGUROS'!E69</f>
        <v/>
      </c>
      <c r="BU45" s="94">
        <f>'SEGUROS'!E70</f>
        <v/>
      </c>
      <c r="BV45" s="94">
        <f>'SEGUROS'!E71</f>
        <v/>
      </c>
      <c r="BW45" s="94">
        <f>'SEGUROS'!E72</f>
        <v/>
      </c>
      <c r="BX45" s="94">
        <f>'SEGUROS'!E73</f>
        <v/>
      </c>
      <c r="BY45" s="94">
        <f>'SEGUROS'!E74</f>
        <v/>
      </c>
      <c r="BZ45" s="94">
        <f>'SEGUROS'!E75</f>
        <v/>
      </c>
      <c r="CA45" s="94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0">
        <f>'SERRALHERIA'!$K$5</f>
        <v/>
      </c>
      <c r="E46" s="49">
        <f>SUM(H46:CA46)</f>
        <v/>
      </c>
      <c r="F46" s="49">
        <f>IF(D46="","",D46-E46)</f>
        <v/>
      </c>
      <c r="H46" s="94">
        <f>'SERRALHERIA'!E5</f>
        <v/>
      </c>
      <c r="I46" s="94">
        <f>'SERRALHERIA'!E6</f>
        <v/>
      </c>
      <c r="J46" s="94">
        <f>'SERRALHERIA'!E7</f>
        <v/>
      </c>
      <c r="K46" s="94">
        <f>'SERRALHERIA'!E8</f>
        <v/>
      </c>
      <c r="L46" s="94">
        <f>'SERRALHERIA'!E9</f>
        <v/>
      </c>
      <c r="M46" s="94">
        <f>'SERRALHERIA'!E10</f>
        <v/>
      </c>
      <c r="N46" s="94">
        <f>'SERRALHERIA'!E11</f>
        <v/>
      </c>
      <c r="O46" s="94">
        <f>'SERRALHERIA'!E12</f>
        <v/>
      </c>
      <c r="P46" s="94">
        <f>'SERRALHERIA'!E13</f>
        <v/>
      </c>
      <c r="Q46" s="94">
        <f>'SERRALHERIA'!E14</f>
        <v/>
      </c>
      <c r="R46" s="94">
        <f>'SERRALHERIA'!E15</f>
        <v/>
      </c>
      <c r="S46" s="94">
        <f>'SERRALHERIA'!E16</f>
        <v/>
      </c>
      <c r="T46" s="94">
        <f>'SERRALHERIA'!E17</f>
        <v/>
      </c>
      <c r="U46" s="94">
        <f>'SERRALHERIA'!E18</f>
        <v/>
      </c>
      <c r="V46" s="94">
        <f>'SERRALHERIA'!E19</f>
        <v/>
      </c>
      <c r="W46" s="94">
        <f>'SERRALHERIA'!E20</f>
        <v/>
      </c>
      <c r="X46" s="94">
        <f>'SERRALHERIA'!E21</f>
        <v/>
      </c>
      <c r="Y46" s="94">
        <f>'SERRALHERIA'!E22</f>
        <v/>
      </c>
      <c r="Z46" s="94">
        <f>'SERRALHERIA'!E23</f>
        <v/>
      </c>
      <c r="AA46" s="94">
        <f>'SERRALHERIA'!E24</f>
        <v/>
      </c>
      <c r="AB46" s="94">
        <f>'SERRALHERIA'!E25</f>
        <v/>
      </c>
      <c r="AC46" s="94">
        <f>'SERRALHERIA'!E26</f>
        <v/>
      </c>
      <c r="AD46" s="94">
        <f>'SERRALHERIA'!E27</f>
        <v/>
      </c>
      <c r="AE46" s="94">
        <f>'SERRALHERIA'!E28</f>
        <v/>
      </c>
      <c r="AF46" s="94">
        <f>'SERRALHERIA'!E29</f>
        <v/>
      </c>
      <c r="AG46" s="94">
        <f>'SERRALHERIA'!E30</f>
        <v/>
      </c>
      <c r="AH46" s="94">
        <f>'SERRALHERIA'!E31</f>
        <v/>
      </c>
      <c r="AI46" s="94">
        <f>'SERRALHERIA'!E32</f>
        <v/>
      </c>
      <c r="AJ46" s="94">
        <f>'SERRALHERIA'!E33</f>
        <v/>
      </c>
      <c r="AK46" s="94">
        <f>'SERRALHERIA'!E34</f>
        <v/>
      </c>
      <c r="AL46" s="94">
        <f>'SERRALHERIA'!E35</f>
        <v/>
      </c>
      <c r="AM46" s="94">
        <f>'SERRALHERIA'!E36</f>
        <v/>
      </c>
      <c r="AN46" s="94">
        <f>'SERRALHERIA'!E37</f>
        <v/>
      </c>
      <c r="AO46" s="94">
        <f>'SERRALHERIA'!E38</f>
        <v/>
      </c>
      <c r="AP46" s="94">
        <f>'SERRALHERIA'!E39</f>
        <v/>
      </c>
      <c r="AQ46" s="94">
        <f>'SERRALHERIA'!E40</f>
        <v/>
      </c>
      <c r="AR46" s="94">
        <f>'SERRALHERIA'!E41</f>
        <v/>
      </c>
      <c r="AS46" s="94">
        <f>'SERRALHERIA'!E42</f>
        <v/>
      </c>
      <c r="AT46" s="94">
        <f>'SERRALHERIA'!E43</f>
        <v/>
      </c>
      <c r="AU46" s="94">
        <f>'SERRALHERIA'!E44</f>
        <v/>
      </c>
      <c r="AV46" s="94">
        <f>'SERRALHERIA'!E45</f>
        <v/>
      </c>
      <c r="AW46" s="94">
        <f>'SERRALHERIA'!E46</f>
        <v/>
      </c>
      <c r="AX46" s="94">
        <f>'SERRALHERIA'!E47</f>
        <v/>
      </c>
      <c r="AY46" s="94">
        <f>'SERRALHERIA'!E48</f>
        <v/>
      </c>
      <c r="AZ46" s="94">
        <f>'SERRALHERIA'!E49</f>
        <v/>
      </c>
      <c r="BA46" s="94">
        <f>'SERRALHERIA'!E50</f>
        <v/>
      </c>
      <c r="BB46" s="94">
        <f>'SERRALHERIA'!E51</f>
        <v/>
      </c>
      <c r="BC46" s="94">
        <f>'SERRALHERIA'!E52</f>
        <v/>
      </c>
      <c r="BD46" s="94">
        <f>'SERRALHERIA'!E53</f>
        <v/>
      </c>
      <c r="BE46" s="94">
        <f>'SERRALHERIA'!E54</f>
        <v/>
      </c>
      <c r="BF46" s="94">
        <f>'SERRALHERIA'!E55</f>
        <v/>
      </c>
      <c r="BG46" s="94">
        <f>'SERRALHERIA'!E56</f>
        <v/>
      </c>
      <c r="BH46" s="94">
        <f>'SERRALHERIA'!E57</f>
        <v/>
      </c>
      <c r="BI46" s="94">
        <f>'SERRALHERIA'!E58</f>
        <v/>
      </c>
      <c r="BJ46" s="94">
        <f>'SERRALHERIA'!E59</f>
        <v/>
      </c>
      <c r="BK46" s="94">
        <f>'SERRALHERIA'!E60</f>
        <v/>
      </c>
      <c r="BL46" s="94">
        <f>'SERRALHERIA'!E61</f>
        <v/>
      </c>
      <c r="BM46" s="94">
        <f>'SERRALHERIA'!E62</f>
        <v/>
      </c>
      <c r="BN46" s="94">
        <f>'SERRALHERIA'!E63</f>
        <v/>
      </c>
      <c r="BO46" s="94">
        <f>'SERRALHERIA'!E64</f>
        <v/>
      </c>
      <c r="BP46" s="94">
        <f>'SERRALHERIA'!E65</f>
        <v/>
      </c>
      <c r="BQ46" s="94">
        <f>'SERRALHERIA'!E66</f>
        <v/>
      </c>
      <c r="BR46" s="94">
        <f>'SERRALHERIA'!E67</f>
        <v/>
      </c>
      <c r="BS46" s="94">
        <f>'SERRALHERIA'!E68</f>
        <v/>
      </c>
      <c r="BT46" s="94">
        <f>'SERRALHERIA'!E69</f>
        <v/>
      </c>
      <c r="BU46" s="94">
        <f>'SERRALHERIA'!E70</f>
        <v/>
      </c>
      <c r="BV46" s="94">
        <f>'SERRALHERIA'!E71</f>
        <v/>
      </c>
      <c r="BW46" s="94">
        <f>'SERRALHERIA'!E72</f>
        <v/>
      </c>
      <c r="BX46" s="94">
        <f>'SERRALHERIA'!E73</f>
        <v/>
      </c>
      <c r="BY46" s="94">
        <f>'SERRALHERIA'!E74</f>
        <v/>
      </c>
      <c r="BZ46" s="94">
        <f>'SERRALHERIA'!E75</f>
        <v/>
      </c>
      <c r="CA46" s="94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0">
        <f>'TAX. ADM'!$K$5</f>
        <v/>
      </c>
      <c r="E47" s="49">
        <f>SUM(H47:CA47)</f>
        <v/>
      </c>
      <c r="F47" s="49">
        <f>IF(D47="","",D47-E47)</f>
        <v/>
      </c>
      <c r="H47" s="94">
        <f>'TAX. ADM'!E5</f>
        <v/>
      </c>
      <c r="I47" s="94">
        <f>'TAX. ADM'!E6</f>
        <v/>
      </c>
      <c r="J47" s="94">
        <f>'TAX. ADM'!E7</f>
        <v/>
      </c>
      <c r="K47" s="94">
        <f>'TAX. ADM'!E8</f>
        <v/>
      </c>
      <c r="L47" s="94">
        <f>'TAX. ADM'!E9</f>
        <v/>
      </c>
      <c r="M47" s="94">
        <f>'TAX. ADM'!E10</f>
        <v/>
      </c>
      <c r="N47" s="94">
        <f>'TAX. ADM'!E11</f>
        <v/>
      </c>
      <c r="O47" s="94">
        <f>'TAX. ADM'!E12</f>
        <v/>
      </c>
      <c r="P47" s="94">
        <f>'TAX. ADM'!E13</f>
        <v/>
      </c>
      <c r="Q47" s="94">
        <f>'TAX. ADM'!E14</f>
        <v/>
      </c>
      <c r="R47" s="94">
        <f>'TAX. ADM'!E15</f>
        <v/>
      </c>
      <c r="S47" s="94">
        <f>'TAX. ADM'!E16</f>
        <v/>
      </c>
      <c r="T47" s="94">
        <f>'TAX. ADM'!E17</f>
        <v/>
      </c>
      <c r="U47" s="94">
        <f>'TAX. ADM'!E18</f>
        <v/>
      </c>
      <c r="V47" s="94">
        <f>'TAX. ADM'!E19</f>
        <v/>
      </c>
      <c r="W47" s="94">
        <f>'TAX. ADM'!E20</f>
        <v/>
      </c>
      <c r="X47" s="94">
        <f>'TAX. ADM'!E21</f>
        <v/>
      </c>
      <c r="Y47" s="94">
        <f>'TAX. ADM'!E22</f>
        <v/>
      </c>
      <c r="Z47" s="94">
        <f>'TAX. ADM'!E23</f>
        <v/>
      </c>
      <c r="AA47" s="94">
        <f>'TAX. ADM'!E24</f>
        <v/>
      </c>
      <c r="AB47" s="94">
        <f>'TAX. ADM'!E25</f>
        <v/>
      </c>
      <c r="AC47" s="94">
        <f>'TAX. ADM'!E26</f>
        <v/>
      </c>
      <c r="AD47" s="94">
        <f>'TAX. ADM'!E27</f>
        <v/>
      </c>
      <c r="AE47" s="94">
        <f>'TAX. ADM'!E28</f>
        <v/>
      </c>
      <c r="AF47" s="94">
        <f>'TAX. ADM'!E29</f>
        <v/>
      </c>
      <c r="AG47" s="94">
        <f>'TAX. ADM'!E30</f>
        <v/>
      </c>
      <c r="AH47" s="94">
        <f>'TAX. ADM'!E31</f>
        <v/>
      </c>
      <c r="AI47" s="94">
        <f>'TAX. ADM'!E32</f>
        <v/>
      </c>
      <c r="AJ47" s="94">
        <f>'TAX. ADM'!E33</f>
        <v/>
      </c>
      <c r="AK47" s="94">
        <f>'TAX. ADM'!E34</f>
        <v/>
      </c>
      <c r="AL47" s="94">
        <f>'TAX. ADM'!E35</f>
        <v/>
      </c>
      <c r="AM47" s="94">
        <f>'TAX. ADM'!E36</f>
        <v/>
      </c>
      <c r="AN47" s="94">
        <f>'TAX. ADM'!E37</f>
        <v/>
      </c>
      <c r="AO47" s="94">
        <f>'TAX. ADM'!E38</f>
        <v/>
      </c>
      <c r="AP47" s="94">
        <f>'TAX. ADM'!E39</f>
        <v/>
      </c>
      <c r="AQ47" s="94">
        <f>'TAX. ADM'!E40</f>
        <v/>
      </c>
      <c r="AR47" s="94">
        <f>'TAX. ADM'!E41</f>
        <v/>
      </c>
      <c r="AS47" s="94">
        <f>'TAX. ADM'!E42</f>
        <v/>
      </c>
      <c r="AT47" s="94">
        <f>'TAX. ADM'!E43</f>
        <v/>
      </c>
      <c r="AU47" s="94">
        <f>'TAX. ADM'!E44</f>
        <v/>
      </c>
      <c r="AV47" s="94">
        <f>'TAX. ADM'!E45</f>
        <v/>
      </c>
      <c r="AW47" s="94">
        <f>'TAX. ADM'!E46</f>
        <v/>
      </c>
      <c r="AX47" s="94">
        <f>'TAX. ADM'!E47</f>
        <v/>
      </c>
      <c r="AY47" s="94">
        <f>'TAX. ADM'!E48</f>
        <v/>
      </c>
      <c r="AZ47" s="94">
        <f>'TAX. ADM'!E49</f>
        <v/>
      </c>
      <c r="BA47" s="94">
        <f>'TAX. ADM'!E50</f>
        <v/>
      </c>
      <c r="BB47" s="94">
        <f>'TAX. ADM'!E51</f>
        <v/>
      </c>
      <c r="BC47" s="94">
        <f>'TAX. ADM'!E52</f>
        <v/>
      </c>
      <c r="BD47" s="94">
        <f>'TAX. ADM'!E53</f>
        <v/>
      </c>
      <c r="BE47" s="94">
        <f>'TAX. ADM'!E54</f>
        <v/>
      </c>
      <c r="BF47" s="94">
        <f>'TAX. ADM'!E55</f>
        <v/>
      </c>
      <c r="BG47" s="94">
        <f>'TAX. ADM'!E56</f>
        <v/>
      </c>
      <c r="BH47" s="94">
        <f>'TAX. ADM'!E57</f>
        <v/>
      </c>
      <c r="BI47" s="94">
        <f>'TAX. ADM'!E58</f>
        <v/>
      </c>
      <c r="BJ47" s="94">
        <f>'TAX. ADM'!E59</f>
        <v/>
      </c>
      <c r="BK47" s="94">
        <f>'TAX. ADM'!E60</f>
        <v/>
      </c>
      <c r="BL47" s="94">
        <f>'TAX. ADM'!E61</f>
        <v/>
      </c>
      <c r="BM47" s="94">
        <f>'TAX. ADM'!E62</f>
        <v/>
      </c>
      <c r="BN47" s="94">
        <f>'TAX. ADM'!E63</f>
        <v/>
      </c>
      <c r="BO47" s="94">
        <f>'TAX. ADM'!E64</f>
        <v/>
      </c>
      <c r="BP47" s="94">
        <f>'TAX. ADM'!E65</f>
        <v/>
      </c>
      <c r="BQ47" s="94">
        <f>'TAX. ADM'!E66</f>
        <v/>
      </c>
      <c r="BR47" s="94">
        <f>'TAX. ADM'!E67</f>
        <v/>
      </c>
      <c r="BS47" s="94">
        <f>'TAX. ADM'!E68</f>
        <v/>
      </c>
      <c r="BT47" s="94">
        <f>'TAX. ADM'!E69</f>
        <v/>
      </c>
      <c r="BU47" s="94">
        <f>'TAX. ADM'!E70</f>
        <v/>
      </c>
      <c r="BV47" s="94">
        <f>'TAX. ADM'!E71</f>
        <v/>
      </c>
      <c r="BW47" s="94">
        <f>'TAX. ADM'!E72</f>
        <v/>
      </c>
      <c r="BX47" s="94">
        <f>'TAX. ADM'!E73</f>
        <v/>
      </c>
      <c r="BY47" s="94">
        <f>'TAX. ADM'!E74</f>
        <v/>
      </c>
      <c r="BZ47" s="94">
        <f>'TAX. ADM'!E75</f>
        <v/>
      </c>
      <c r="CA47" s="94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0">
        <f>'TERRAPLENAGEM'!$K$5</f>
        <v/>
      </c>
      <c r="E48" s="49">
        <f>SUM(H48:CA48)</f>
        <v/>
      </c>
      <c r="F48" s="49">
        <f>IF(D48="","",D48-E48)</f>
        <v/>
      </c>
      <c r="H48" s="94">
        <f>'TERRAPLENAGEM'!E5</f>
        <v/>
      </c>
      <c r="I48" s="94">
        <f>'TERRAPLENAGEM'!E6</f>
        <v/>
      </c>
      <c r="J48" s="94">
        <f>'TERRAPLENAGEM'!E7</f>
        <v/>
      </c>
      <c r="K48" s="94">
        <f>'TERRAPLENAGEM'!E8</f>
        <v/>
      </c>
      <c r="L48" s="94">
        <f>'TERRAPLENAGEM'!E9</f>
        <v/>
      </c>
      <c r="M48" s="94">
        <f>'TERRAPLENAGEM'!E10</f>
        <v/>
      </c>
      <c r="N48" s="94">
        <f>'TERRAPLENAGEM'!E11</f>
        <v/>
      </c>
      <c r="O48" s="94">
        <f>'TERRAPLENAGEM'!E12</f>
        <v/>
      </c>
      <c r="P48" s="94">
        <f>'TERRAPLENAGEM'!E13</f>
        <v/>
      </c>
      <c r="Q48" s="94">
        <f>'TERRAPLENAGEM'!E14</f>
        <v/>
      </c>
      <c r="R48" s="94">
        <f>'TERRAPLENAGEM'!E15</f>
        <v/>
      </c>
      <c r="S48" s="94">
        <f>'TERRAPLENAGEM'!E16</f>
        <v/>
      </c>
      <c r="T48" s="94">
        <f>'TERRAPLENAGEM'!E17</f>
        <v/>
      </c>
      <c r="U48" s="94">
        <f>'TERRAPLENAGEM'!E18</f>
        <v/>
      </c>
      <c r="V48" s="94">
        <f>'TERRAPLENAGEM'!E19</f>
        <v/>
      </c>
      <c r="W48" s="94">
        <f>'TERRAPLENAGEM'!E20</f>
        <v/>
      </c>
      <c r="X48" s="94">
        <f>'TERRAPLENAGEM'!E21</f>
        <v/>
      </c>
      <c r="Y48" s="94">
        <f>'TERRAPLENAGEM'!E22</f>
        <v/>
      </c>
      <c r="Z48" s="94">
        <f>'TERRAPLENAGEM'!E23</f>
        <v/>
      </c>
      <c r="AA48" s="94">
        <f>'TERRAPLENAGEM'!E24</f>
        <v/>
      </c>
      <c r="AB48" s="94">
        <f>'TERRAPLENAGEM'!E25</f>
        <v/>
      </c>
      <c r="AC48" s="94">
        <f>'TERRAPLENAGEM'!E26</f>
        <v/>
      </c>
      <c r="AD48" s="94">
        <f>'TERRAPLENAGEM'!E27</f>
        <v/>
      </c>
      <c r="AE48" s="94">
        <f>'TERRAPLENAGEM'!E28</f>
        <v/>
      </c>
      <c r="AF48" s="94">
        <f>'TERRAPLENAGEM'!E29</f>
        <v/>
      </c>
      <c r="AG48" s="94">
        <f>'TERRAPLENAGEM'!E30</f>
        <v/>
      </c>
      <c r="AH48" s="94">
        <f>'TERRAPLENAGEM'!E31</f>
        <v/>
      </c>
      <c r="AI48" s="94">
        <f>'TERRAPLENAGEM'!E32</f>
        <v/>
      </c>
      <c r="AJ48" s="94">
        <f>'TERRAPLENAGEM'!E33</f>
        <v/>
      </c>
      <c r="AK48" s="94">
        <f>'TERRAPLENAGEM'!E34</f>
        <v/>
      </c>
      <c r="AL48" s="94">
        <f>'TERRAPLENAGEM'!E35</f>
        <v/>
      </c>
      <c r="AM48" s="94">
        <f>'TERRAPLENAGEM'!E36</f>
        <v/>
      </c>
      <c r="AN48" s="94">
        <f>'TERRAPLENAGEM'!E37</f>
        <v/>
      </c>
      <c r="AO48" s="94">
        <f>'TERRAPLENAGEM'!E38</f>
        <v/>
      </c>
      <c r="AP48" s="94">
        <f>'TERRAPLENAGEM'!E39</f>
        <v/>
      </c>
      <c r="AQ48" s="94">
        <f>'TERRAPLENAGEM'!E40</f>
        <v/>
      </c>
      <c r="AR48" s="94">
        <f>'TERRAPLENAGEM'!E41</f>
        <v/>
      </c>
      <c r="AS48" s="94">
        <f>'TERRAPLENAGEM'!E42</f>
        <v/>
      </c>
      <c r="AT48" s="94">
        <f>'TERRAPLENAGEM'!E43</f>
        <v/>
      </c>
      <c r="AU48" s="94">
        <f>'TERRAPLENAGEM'!E44</f>
        <v/>
      </c>
      <c r="AV48" s="94">
        <f>'TERRAPLENAGEM'!E45</f>
        <v/>
      </c>
      <c r="AW48" s="94">
        <f>'TERRAPLENAGEM'!E46</f>
        <v/>
      </c>
      <c r="AX48" s="94">
        <f>'TERRAPLENAGEM'!E47</f>
        <v/>
      </c>
      <c r="AY48" s="94">
        <f>'TERRAPLENAGEM'!E48</f>
        <v/>
      </c>
      <c r="AZ48" s="94">
        <f>'TERRAPLENAGEM'!E49</f>
        <v/>
      </c>
      <c r="BA48" s="94">
        <f>'TERRAPLENAGEM'!E50</f>
        <v/>
      </c>
      <c r="BB48" s="94">
        <f>'TERRAPLENAGEM'!E51</f>
        <v/>
      </c>
      <c r="BC48" s="94">
        <f>'TERRAPLENAGEM'!E52</f>
        <v/>
      </c>
      <c r="BD48" s="94">
        <f>'TERRAPLENAGEM'!E53</f>
        <v/>
      </c>
      <c r="BE48" s="94">
        <f>'TERRAPLENAGEM'!E54</f>
        <v/>
      </c>
      <c r="BF48" s="94">
        <f>'TERRAPLENAGEM'!E55</f>
        <v/>
      </c>
      <c r="BG48" s="94">
        <f>'TERRAPLENAGEM'!E56</f>
        <v/>
      </c>
      <c r="BH48" s="94">
        <f>'TERRAPLENAGEM'!E57</f>
        <v/>
      </c>
      <c r="BI48" s="94">
        <f>'TERRAPLENAGEM'!E58</f>
        <v/>
      </c>
      <c r="BJ48" s="94">
        <f>'TERRAPLENAGEM'!E59</f>
        <v/>
      </c>
      <c r="BK48" s="94">
        <f>'TERRAPLENAGEM'!E60</f>
        <v/>
      </c>
      <c r="BL48" s="94">
        <f>'TERRAPLENAGEM'!E61</f>
        <v/>
      </c>
      <c r="BM48" s="94">
        <f>'TERRAPLENAGEM'!E62</f>
        <v/>
      </c>
      <c r="BN48" s="94">
        <f>'TERRAPLENAGEM'!E63</f>
        <v/>
      </c>
      <c r="BO48" s="94">
        <f>'TERRAPLENAGEM'!E64</f>
        <v/>
      </c>
      <c r="BP48" s="94">
        <f>'TERRAPLENAGEM'!E65</f>
        <v/>
      </c>
      <c r="BQ48" s="94">
        <f>'TERRAPLENAGEM'!E66</f>
        <v/>
      </c>
      <c r="BR48" s="94">
        <f>'TERRAPLENAGEM'!E67</f>
        <v/>
      </c>
      <c r="BS48" s="94">
        <f>'TERRAPLENAGEM'!E68</f>
        <v/>
      </c>
      <c r="BT48" s="94">
        <f>'TERRAPLENAGEM'!E69</f>
        <v/>
      </c>
      <c r="BU48" s="94">
        <f>'TERRAPLENAGEM'!E70</f>
        <v/>
      </c>
      <c r="BV48" s="94">
        <f>'TERRAPLENAGEM'!E71</f>
        <v/>
      </c>
      <c r="BW48" s="94">
        <f>'TERRAPLENAGEM'!E72</f>
        <v/>
      </c>
      <c r="BX48" s="94">
        <f>'TERRAPLENAGEM'!E73</f>
        <v/>
      </c>
      <c r="BY48" s="94">
        <f>'TERRAPLENAGEM'!E74</f>
        <v/>
      </c>
      <c r="BZ48" s="94">
        <f>'TERRAPLENAGEM'!E75</f>
        <v/>
      </c>
      <c r="CA48" s="94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0">
        <f>'TRANSPORTES'!$K$5</f>
        <v/>
      </c>
      <c r="E50" s="49">
        <f>SUM(H50:CA50)</f>
        <v/>
      </c>
      <c r="F50" s="49">
        <f>IF(D50="","",D50-E50)</f>
        <v/>
      </c>
      <c r="H50" s="94">
        <f>'TRANSPORTES'!E5</f>
        <v/>
      </c>
      <c r="I50" s="94">
        <f>'TRANSPORTES'!E6</f>
        <v/>
      </c>
      <c r="J50" s="94">
        <f>'TRANSPORTES'!E7</f>
        <v/>
      </c>
      <c r="K50" s="94">
        <f>'TRANSPORTES'!E8</f>
        <v/>
      </c>
      <c r="L50" s="94">
        <f>'TRANSPORTES'!E9</f>
        <v/>
      </c>
      <c r="M50" s="94">
        <f>'TRANSPORTES'!E10</f>
        <v/>
      </c>
      <c r="N50" s="94">
        <f>'TRANSPORTES'!E11</f>
        <v/>
      </c>
      <c r="O50" s="94">
        <f>'TRANSPORTES'!E12</f>
        <v/>
      </c>
      <c r="P50" s="94">
        <f>'TRANSPORTES'!E13</f>
        <v/>
      </c>
      <c r="Q50" s="94">
        <f>'TRANSPORTES'!E14</f>
        <v/>
      </c>
      <c r="R50" s="94">
        <f>'TRANSPORTES'!E15</f>
        <v/>
      </c>
      <c r="S50" s="94">
        <f>'TRANSPORTES'!E16</f>
        <v/>
      </c>
      <c r="T50" s="94">
        <f>'TRANSPORTES'!E17</f>
        <v/>
      </c>
      <c r="U50" s="94">
        <f>'TRANSPORTES'!E18</f>
        <v/>
      </c>
      <c r="V50" s="94">
        <f>'TRANSPORTES'!E19</f>
        <v/>
      </c>
      <c r="W50" s="94">
        <f>'TRANSPORTES'!E20</f>
        <v/>
      </c>
      <c r="X50" s="94">
        <f>'TRANSPORTES'!E21</f>
        <v/>
      </c>
      <c r="Y50" s="94">
        <f>'TRANSPORTES'!E22</f>
        <v/>
      </c>
      <c r="Z50" s="94">
        <f>'TRANSPORTES'!E23</f>
        <v/>
      </c>
      <c r="AA50" s="94">
        <f>'TRANSPORTES'!E24</f>
        <v/>
      </c>
      <c r="AB50" s="94">
        <f>'TRANSPORTES'!E25</f>
        <v/>
      </c>
      <c r="AC50" s="94">
        <f>'TRANSPORTES'!E26</f>
        <v/>
      </c>
      <c r="AD50" s="94">
        <f>'TRANSPORTES'!E27</f>
        <v/>
      </c>
      <c r="AE50" s="94">
        <f>'TRANSPORTES'!E28</f>
        <v/>
      </c>
      <c r="AF50" s="94">
        <f>'TRANSPORTES'!E29</f>
        <v/>
      </c>
      <c r="AG50" s="94">
        <f>'TRANSPORTES'!E30</f>
        <v/>
      </c>
      <c r="AH50" s="94">
        <f>'TRANSPORTES'!E31</f>
        <v/>
      </c>
      <c r="AI50" s="94">
        <f>'TRANSPORTES'!E32</f>
        <v/>
      </c>
      <c r="AJ50" s="94">
        <f>'TRANSPORTES'!E33</f>
        <v/>
      </c>
      <c r="AK50" s="94">
        <f>'TRANSPORTES'!E34</f>
        <v/>
      </c>
      <c r="AL50" s="94">
        <f>'TRANSPORTES'!E35</f>
        <v/>
      </c>
      <c r="AM50" s="94">
        <f>'TRANSPORTES'!E36</f>
        <v/>
      </c>
      <c r="AN50" s="94">
        <f>'TRANSPORTES'!E37</f>
        <v/>
      </c>
      <c r="AO50" s="94">
        <f>'TRANSPORTES'!E38</f>
        <v/>
      </c>
      <c r="AP50" s="94">
        <f>'TRANSPORTES'!E39</f>
        <v/>
      </c>
      <c r="AQ50" s="94">
        <f>'TRANSPORTES'!E40</f>
        <v/>
      </c>
      <c r="AR50" s="94">
        <f>'TRANSPORTES'!E41</f>
        <v/>
      </c>
      <c r="AS50" s="94">
        <f>'TRANSPORTES'!E42</f>
        <v/>
      </c>
      <c r="AT50" s="94">
        <f>'TRANSPORTES'!E43</f>
        <v/>
      </c>
      <c r="AU50" s="94">
        <f>'TRANSPORTES'!E44</f>
        <v/>
      </c>
      <c r="AV50" s="94">
        <f>'TRANSPORTES'!E45</f>
        <v/>
      </c>
      <c r="AW50" s="94">
        <f>'TRANSPORTES'!E46</f>
        <v/>
      </c>
      <c r="AX50" s="94">
        <f>'TRANSPORTES'!E47</f>
        <v/>
      </c>
      <c r="AY50" s="94">
        <f>'TRANSPORTES'!E48</f>
        <v/>
      </c>
      <c r="AZ50" s="94">
        <f>'TRANSPORTES'!E49</f>
        <v/>
      </c>
      <c r="BA50" s="94">
        <f>'TRANSPORTES'!E50</f>
        <v/>
      </c>
      <c r="BB50" s="94">
        <f>'TRANSPORTES'!E51</f>
        <v/>
      </c>
      <c r="BC50" s="94">
        <f>'TRANSPORTES'!E52</f>
        <v/>
      </c>
      <c r="BD50" s="94">
        <f>'TRANSPORTES'!E53</f>
        <v/>
      </c>
      <c r="BE50" s="94">
        <f>'TRANSPORTES'!E54</f>
        <v/>
      </c>
      <c r="BF50" s="94">
        <f>'TRANSPORTES'!E55</f>
        <v/>
      </c>
      <c r="BG50" s="94">
        <f>'TRANSPORTES'!E56</f>
        <v/>
      </c>
      <c r="BH50" s="94">
        <f>'TRANSPORTES'!E57</f>
        <v/>
      </c>
      <c r="BI50" s="94">
        <f>'TRANSPORTES'!E58</f>
        <v/>
      </c>
      <c r="BJ50" s="94">
        <f>'TRANSPORTES'!E59</f>
        <v/>
      </c>
      <c r="BK50" s="94">
        <f>'TRANSPORTES'!E60</f>
        <v/>
      </c>
      <c r="BL50" s="94">
        <f>'TRANSPORTES'!E61</f>
        <v/>
      </c>
      <c r="BM50" s="94">
        <f>'TRANSPORTES'!E62</f>
        <v/>
      </c>
      <c r="BN50" s="94">
        <f>'TRANSPORTES'!E63</f>
        <v/>
      </c>
      <c r="BO50" s="94">
        <f>'TRANSPORTES'!E64</f>
        <v/>
      </c>
      <c r="BP50" s="94">
        <f>'TRANSPORTES'!E65</f>
        <v/>
      </c>
      <c r="BQ50" s="94">
        <f>'TRANSPORTES'!E66</f>
        <v/>
      </c>
      <c r="BR50" s="94">
        <f>'TRANSPORTES'!E67</f>
        <v/>
      </c>
      <c r="BS50" s="94">
        <f>'TRANSPORTES'!E68</f>
        <v/>
      </c>
      <c r="BT50" s="94">
        <f>'TRANSPORTES'!E69</f>
        <v/>
      </c>
      <c r="BU50" s="94">
        <f>'TRANSPORTES'!E70</f>
        <v/>
      </c>
      <c r="BV50" s="94">
        <f>'TRANSPORTES'!E71</f>
        <v/>
      </c>
      <c r="BW50" s="94">
        <f>'TRANSPORTES'!E72</f>
        <v/>
      </c>
      <c r="BX50" s="94">
        <f>'TRANSPORTES'!E73</f>
        <v/>
      </c>
      <c r="BY50" s="94">
        <f>'TRANSPORTES'!E74</f>
        <v/>
      </c>
      <c r="BZ50" s="94">
        <f>'TRANSPORTES'!E75</f>
        <v/>
      </c>
      <c r="CA50" s="94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0">
        <f>'TAX. DIVERSAS'!$K$5</f>
        <v/>
      </c>
      <c r="E53" s="49">
        <f>SUM(H53:CA53)</f>
        <v/>
      </c>
      <c r="F53" s="49">
        <f>IF(D53="","",D53-E53)</f>
        <v/>
      </c>
      <c r="H53" s="94">
        <f>'TAX. DIVERSAS'!E5</f>
        <v/>
      </c>
      <c r="I53" s="94">
        <f>'TAX. DIVERSAS'!E6</f>
        <v/>
      </c>
      <c r="J53" s="94">
        <f>'TAX. DIVERSAS'!E7</f>
        <v/>
      </c>
      <c r="K53" s="94">
        <f>'TAX. DIVERSAS'!E8</f>
        <v/>
      </c>
      <c r="L53" s="94">
        <f>'TAX. DIVERSAS'!E9</f>
        <v/>
      </c>
      <c r="M53" s="94">
        <f>'TAX. DIVERSAS'!E10</f>
        <v/>
      </c>
      <c r="N53" s="94">
        <f>'TAX. DIVERSAS'!E11</f>
        <v/>
      </c>
      <c r="O53" s="94">
        <f>'TAX. DIVERSAS'!E12</f>
        <v/>
      </c>
      <c r="P53" s="94">
        <f>'TAX. DIVERSAS'!E13</f>
        <v/>
      </c>
      <c r="Q53" s="94">
        <f>'TAX. DIVERSAS'!E14</f>
        <v/>
      </c>
      <c r="R53" s="94">
        <f>'TAX. DIVERSAS'!E15</f>
        <v/>
      </c>
      <c r="S53" s="94">
        <f>'TAX. DIVERSAS'!E16</f>
        <v/>
      </c>
      <c r="T53" s="94">
        <f>'TAX. DIVERSAS'!E17</f>
        <v/>
      </c>
      <c r="U53" s="94">
        <f>'TAX. DIVERSAS'!E18</f>
        <v/>
      </c>
      <c r="V53" s="94">
        <f>'TAX. DIVERSAS'!E19</f>
        <v/>
      </c>
      <c r="W53" s="94">
        <f>'TAX. DIVERSAS'!E20</f>
        <v/>
      </c>
      <c r="X53" s="94">
        <f>'TAX. DIVERSAS'!E21</f>
        <v/>
      </c>
      <c r="Y53" s="94">
        <f>'TAX. DIVERSAS'!E22</f>
        <v/>
      </c>
      <c r="Z53" s="94">
        <f>'TAX. DIVERSAS'!E23</f>
        <v/>
      </c>
      <c r="AA53" s="94">
        <f>'TAX. DIVERSAS'!E24</f>
        <v/>
      </c>
      <c r="AB53" s="94">
        <f>'TAX. DIVERSAS'!E25</f>
        <v/>
      </c>
      <c r="AC53" s="94">
        <f>'TAX. DIVERSAS'!E26</f>
        <v/>
      </c>
      <c r="AD53" s="94">
        <f>'TAX. DIVERSAS'!E27</f>
        <v/>
      </c>
      <c r="AE53" s="94">
        <f>'TAX. DIVERSAS'!E28</f>
        <v/>
      </c>
      <c r="AF53" s="94">
        <f>'TAX. DIVERSAS'!E29</f>
        <v/>
      </c>
      <c r="AG53" s="94">
        <f>'TAX. DIVERSAS'!E30</f>
        <v/>
      </c>
      <c r="AH53" s="94">
        <f>'TAX. DIVERSAS'!E31</f>
        <v/>
      </c>
      <c r="AI53" s="94">
        <f>'TAX. DIVERSAS'!E32</f>
        <v/>
      </c>
      <c r="AJ53" s="94">
        <f>'TAX. DIVERSAS'!E33</f>
        <v/>
      </c>
      <c r="AK53" s="94">
        <f>'TAX. DIVERSAS'!E34</f>
        <v/>
      </c>
      <c r="AL53" s="94">
        <f>'TAX. DIVERSAS'!E35</f>
        <v/>
      </c>
      <c r="AM53" s="94">
        <f>'TAX. DIVERSAS'!E36</f>
        <v/>
      </c>
      <c r="AN53" s="94">
        <f>'TAX. DIVERSAS'!E37</f>
        <v/>
      </c>
      <c r="AO53" s="94">
        <f>'TAX. DIVERSAS'!E38</f>
        <v/>
      </c>
      <c r="AP53" s="94">
        <f>'TAX. DIVERSAS'!E39</f>
        <v/>
      </c>
      <c r="AQ53" s="94">
        <f>'TAX. DIVERSAS'!E40</f>
        <v/>
      </c>
      <c r="AR53" s="94">
        <f>'TAX. DIVERSAS'!E41</f>
        <v/>
      </c>
      <c r="AS53" s="94">
        <f>'TAX. DIVERSAS'!E42</f>
        <v/>
      </c>
      <c r="AT53" s="94">
        <f>'TAX. DIVERSAS'!E43</f>
        <v/>
      </c>
      <c r="AU53" s="94">
        <f>'TAX. DIVERSAS'!E44</f>
        <v/>
      </c>
      <c r="AV53" s="94">
        <f>'TAX. DIVERSAS'!E45</f>
        <v/>
      </c>
      <c r="AW53" s="94">
        <f>'TAX. DIVERSAS'!E46</f>
        <v/>
      </c>
      <c r="AX53" s="94">
        <f>'TAX. DIVERSAS'!E47</f>
        <v/>
      </c>
      <c r="AY53" s="94">
        <f>'TAX. DIVERSAS'!E48</f>
        <v/>
      </c>
      <c r="AZ53" s="94">
        <f>'TAX. DIVERSAS'!E49</f>
        <v/>
      </c>
      <c r="BA53" s="94">
        <f>'TAX. DIVERSAS'!E50</f>
        <v/>
      </c>
      <c r="BB53" s="94">
        <f>'TAX. DIVERSAS'!E51</f>
        <v/>
      </c>
      <c r="BC53" s="94">
        <f>'TAX. DIVERSAS'!E52</f>
        <v/>
      </c>
      <c r="BD53" s="94">
        <f>'TAX. DIVERSAS'!E53</f>
        <v/>
      </c>
      <c r="BE53" s="94">
        <f>'TAX. DIVERSAS'!E54</f>
        <v/>
      </c>
      <c r="BF53" s="94">
        <f>'TAX. DIVERSAS'!E55</f>
        <v/>
      </c>
      <c r="BG53" s="94">
        <f>'TAX. DIVERSAS'!E56</f>
        <v/>
      </c>
      <c r="BH53" s="94">
        <f>'TAX. DIVERSAS'!E57</f>
        <v/>
      </c>
      <c r="BI53" s="94">
        <f>'TAX. DIVERSAS'!E58</f>
        <v/>
      </c>
      <c r="BJ53" s="94">
        <f>'TAX. DIVERSAS'!E59</f>
        <v/>
      </c>
      <c r="BK53" s="94">
        <f>'TAX. DIVERSAS'!E60</f>
        <v/>
      </c>
      <c r="BL53" s="94">
        <f>'TAX. DIVERSAS'!E61</f>
        <v/>
      </c>
      <c r="BM53" s="94">
        <f>'TAX. DIVERSAS'!E62</f>
        <v/>
      </c>
      <c r="BN53" s="94">
        <f>'TAX. DIVERSAS'!E63</f>
        <v/>
      </c>
      <c r="BO53" s="94">
        <f>'TAX. DIVERSAS'!E64</f>
        <v/>
      </c>
      <c r="BP53" s="94">
        <f>'TAX. DIVERSAS'!E65</f>
        <v/>
      </c>
      <c r="BQ53" s="94">
        <f>'TAX. DIVERSAS'!E66</f>
        <v/>
      </c>
      <c r="BR53" s="94">
        <f>'TAX. DIVERSAS'!E67</f>
        <v/>
      </c>
      <c r="BS53" s="94">
        <f>'TAX. DIVERSAS'!E68</f>
        <v/>
      </c>
      <c r="BT53" s="94">
        <f>'TAX. DIVERSAS'!E69</f>
        <v/>
      </c>
      <c r="BU53" s="94">
        <f>'TAX. DIVERSAS'!E70</f>
        <v/>
      </c>
      <c r="BV53" s="94">
        <f>'TAX. DIVERSAS'!E71</f>
        <v/>
      </c>
      <c r="BW53" s="94">
        <f>'TAX. DIVERSAS'!E72</f>
        <v/>
      </c>
      <c r="BX53" s="94">
        <f>'TAX. DIVERSAS'!E73</f>
        <v/>
      </c>
      <c r="BY53" s="94">
        <f>'TAX. DIVERSAS'!E74</f>
        <v/>
      </c>
      <c r="BZ53" s="94">
        <f>'TAX. DIVERSAS'!E75</f>
        <v/>
      </c>
      <c r="CA53" s="94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0">
        <f>'SERV. INICIAIS'!$K$5</f>
        <v/>
      </c>
      <c r="E55" s="49">
        <f>SUM(H55:CA55)</f>
        <v/>
      </c>
      <c r="F55" s="49">
        <f>IF(D55="","",D55-E55)</f>
        <v/>
      </c>
      <c r="H55" s="94">
        <f>'SERV. INICIAIS'!E5</f>
        <v/>
      </c>
      <c r="I55" s="94">
        <f>'SERV. INICIAIS'!E6</f>
        <v/>
      </c>
      <c r="J55" s="94">
        <f>'SERV. INICIAIS'!E7</f>
        <v/>
      </c>
      <c r="K55" s="94">
        <f>'SERV. INICIAIS'!E8</f>
        <v/>
      </c>
      <c r="L55" s="94">
        <f>'SERV. INICIAIS'!E9</f>
        <v/>
      </c>
      <c r="M55" s="94">
        <f>'SERV. INICIAIS'!E10</f>
        <v/>
      </c>
      <c r="N55" s="94">
        <f>'SERV. INICIAIS'!E11</f>
        <v/>
      </c>
      <c r="O55" s="94">
        <f>'SERV. INICIAIS'!E12</f>
        <v/>
      </c>
      <c r="P55" s="94">
        <f>'SERV. INICIAIS'!E13</f>
        <v/>
      </c>
      <c r="Q55" s="94">
        <f>'SERV. INICIAIS'!E14</f>
        <v/>
      </c>
      <c r="R55" s="94">
        <f>'SERV. INICIAIS'!E15</f>
        <v/>
      </c>
      <c r="S55" s="94">
        <f>'SERV. INICIAIS'!E16</f>
        <v/>
      </c>
      <c r="T55" s="94">
        <f>'SERV. INICIAIS'!E17</f>
        <v/>
      </c>
      <c r="U55" s="94">
        <f>'SERV. INICIAIS'!E18</f>
        <v/>
      </c>
      <c r="V55" s="94">
        <f>'SERV. INICIAIS'!E19</f>
        <v/>
      </c>
      <c r="W55" s="94">
        <f>'SERV. INICIAIS'!E20</f>
        <v/>
      </c>
      <c r="X55" s="94">
        <f>'SERV. INICIAIS'!E21</f>
        <v/>
      </c>
      <c r="Y55" s="94">
        <f>'SERV. INICIAIS'!E22</f>
        <v/>
      </c>
      <c r="Z55" s="94">
        <f>'SERV. INICIAIS'!E23</f>
        <v/>
      </c>
      <c r="AA55" s="94">
        <f>'SERV. INICIAIS'!E24</f>
        <v/>
      </c>
      <c r="AB55" s="94">
        <f>'SERV. INICIAIS'!E25</f>
        <v/>
      </c>
      <c r="AC55" s="94">
        <f>'SERV. INICIAIS'!E26</f>
        <v/>
      </c>
      <c r="AD55" s="94">
        <f>'SERV. INICIAIS'!E27</f>
        <v/>
      </c>
      <c r="AE55" s="94">
        <f>'SERV. INICIAIS'!E28</f>
        <v/>
      </c>
      <c r="AF55" s="94">
        <f>'SERV. INICIAIS'!E29</f>
        <v/>
      </c>
      <c r="AG55" s="94">
        <f>'SERV. INICIAIS'!E30</f>
        <v/>
      </c>
      <c r="AH55" s="94">
        <f>'SERV. INICIAIS'!E31</f>
        <v/>
      </c>
      <c r="AI55" s="94">
        <f>'SERV. INICIAIS'!E32</f>
        <v/>
      </c>
      <c r="AJ55" s="94">
        <f>'SERV. INICIAIS'!E33</f>
        <v/>
      </c>
      <c r="AK55" s="94">
        <f>'SERV. INICIAIS'!E34</f>
        <v/>
      </c>
      <c r="AL55" s="94">
        <f>'SERV. INICIAIS'!E35</f>
        <v/>
      </c>
      <c r="AM55" s="94">
        <f>'SERV. INICIAIS'!E36</f>
        <v/>
      </c>
      <c r="AN55" s="94">
        <f>'SERV. INICIAIS'!E37</f>
        <v/>
      </c>
      <c r="AO55" s="94">
        <f>'SERV. INICIAIS'!E38</f>
        <v/>
      </c>
      <c r="AP55" s="94">
        <f>'SERV. INICIAIS'!E39</f>
        <v/>
      </c>
      <c r="AQ55" s="94">
        <f>'SERV. INICIAIS'!E40</f>
        <v/>
      </c>
      <c r="AR55" s="94">
        <f>'SERV. INICIAIS'!E41</f>
        <v/>
      </c>
      <c r="AS55" s="94">
        <f>'SERV. INICIAIS'!E42</f>
        <v/>
      </c>
      <c r="AT55" s="94">
        <f>'SERV. INICIAIS'!E43</f>
        <v/>
      </c>
      <c r="AU55" s="94">
        <f>'SERV. INICIAIS'!E44</f>
        <v/>
      </c>
      <c r="AV55" s="94">
        <f>'SERV. INICIAIS'!E45</f>
        <v/>
      </c>
      <c r="AW55" s="94">
        <f>'SERV. INICIAIS'!E46</f>
        <v/>
      </c>
      <c r="AX55" s="94">
        <f>'SERV. INICIAIS'!E47</f>
        <v/>
      </c>
      <c r="AY55" s="94">
        <f>'SERV. INICIAIS'!E48</f>
        <v/>
      </c>
      <c r="AZ55" s="94">
        <f>'SERV. INICIAIS'!E49</f>
        <v/>
      </c>
      <c r="BA55" s="94">
        <f>'SERV. INICIAIS'!E50</f>
        <v/>
      </c>
      <c r="BB55" s="94">
        <f>'SERV. INICIAIS'!E51</f>
        <v/>
      </c>
      <c r="BC55" s="94">
        <f>'SERV. INICIAIS'!E52</f>
        <v/>
      </c>
      <c r="BD55" s="94">
        <f>'SERV. INICIAIS'!E53</f>
        <v/>
      </c>
      <c r="BE55" s="94">
        <f>'SERV. INICIAIS'!E54</f>
        <v/>
      </c>
      <c r="BF55" s="94">
        <f>'SERV. INICIAIS'!E55</f>
        <v/>
      </c>
      <c r="BG55" s="94">
        <f>'SERV. INICIAIS'!E56</f>
        <v/>
      </c>
      <c r="BH55" s="94">
        <f>'SERV. INICIAIS'!E57</f>
        <v/>
      </c>
      <c r="BI55" s="94">
        <f>'SERV. INICIAIS'!E58</f>
        <v/>
      </c>
      <c r="BJ55" s="94">
        <f>'SERV. INICIAIS'!E59</f>
        <v/>
      </c>
      <c r="BK55" s="94">
        <f>'SERV. INICIAIS'!E60</f>
        <v/>
      </c>
      <c r="BL55" s="94">
        <f>'SERV. INICIAIS'!E61</f>
        <v/>
      </c>
      <c r="BM55" s="94">
        <f>'SERV. INICIAIS'!E62</f>
        <v/>
      </c>
      <c r="BN55" s="94">
        <f>'SERV. INICIAIS'!E63</f>
        <v/>
      </c>
      <c r="BO55" s="94">
        <f>'SERV. INICIAIS'!E64</f>
        <v/>
      </c>
      <c r="BP55" s="94">
        <f>'SERV. INICIAIS'!E65</f>
        <v/>
      </c>
      <c r="BQ55" s="94">
        <f>'SERV. INICIAIS'!E66</f>
        <v/>
      </c>
      <c r="BR55" s="94">
        <f>'SERV. INICIAIS'!E67</f>
        <v/>
      </c>
      <c r="BS55" s="94">
        <f>'SERV. INICIAIS'!E68</f>
        <v/>
      </c>
      <c r="BT55" s="94">
        <f>'SERV. INICIAIS'!E69</f>
        <v/>
      </c>
      <c r="BU55" s="94">
        <f>'SERV. INICIAIS'!E70</f>
        <v/>
      </c>
      <c r="BV55" s="94">
        <f>'SERV. INICIAIS'!E71</f>
        <v/>
      </c>
      <c r="BW55" s="94">
        <f>'SERV. INICIAIS'!E72</f>
        <v/>
      </c>
      <c r="BX55" s="94">
        <f>'SERV. INICIAIS'!E73</f>
        <v/>
      </c>
      <c r="BY55" s="94">
        <f>'SERV. INICIAIS'!E74</f>
        <v/>
      </c>
      <c r="BZ55" s="94">
        <f>'SERV. INICIAIS'!E75</f>
        <v/>
      </c>
      <c r="CA55" s="94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8">
      <c r="A58" s="59" t="inlineStr">
        <is>
          <t>G041.002</t>
        </is>
      </c>
      <c r="B58" s="59" t="n"/>
      <c r="C58" s="113" t="inlineStr">
        <is>
          <t>AJUSTE DE CONCILIAÇÃO (medição)</t>
        </is>
      </c>
      <c r="D58" s="49" t="n"/>
      <c r="E58" s="49">
        <f>SUM(H58:CA58)</f>
        <v/>
      </c>
      <c r="F58" s="49">
        <f>IF(D58="","",D58-E58)</f>
        <v/>
      </c>
      <c r="H58" s="114">
        <f>IF(H$1='VALOR POR PL'!$P$5,'VALOR POR PL'!$G$64,0)</f>
        <v/>
      </c>
      <c r="I58" s="114">
        <f>IF(I$1='VALOR POR PL'!$P$5,'VALOR POR PL'!$G$64,0)</f>
        <v/>
      </c>
      <c r="J58" s="114">
        <f>IF(J$1='VALOR POR PL'!$P$5,'VALOR POR PL'!$G$64,0)</f>
        <v/>
      </c>
      <c r="K58" s="114">
        <f>IF(K$1='VALOR POR PL'!$P$5,'VALOR POR PL'!$G$64,0)</f>
        <v/>
      </c>
      <c r="L58" s="114">
        <f>IF(L$1='VALOR POR PL'!$P$5,'VALOR POR PL'!$G$64,0)</f>
        <v/>
      </c>
      <c r="M58" s="114">
        <f>IF(M$1='VALOR POR PL'!$P$5,'VALOR POR PL'!$G$64,0)</f>
        <v/>
      </c>
      <c r="N58" s="114">
        <f>IF(N$1='VALOR POR PL'!$P$5,'VALOR POR PL'!$G$64,0)</f>
        <v/>
      </c>
      <c r="O58" s="114">
        <f>IF(O$1='VALOR POR PL'!$P$5,'VALOR POR PL'!$G$64,0)</f>
        <v/>
      </c>
      <c r="P58" s="114">
        <f>IF(P$1='VALOR POR PL'!$P$5,'VALOR POR PL'!$G$64,0)</f>
        <v/>
      </c>
      <c r="Q58" s="114">
        <f>IF(Q$1='VALOR POR PL'!$P$5,'VALOR POR PL'!$G$64,0)</f>
        <v/>
      </c>
      <c r="R58" s="114">
        <f>IF(R$1='VALOR POR PL'!$P$5,'VALOR POR PL'!$G$64,0)</f>
        <v/>
      </c>
      <c r="S58" s="114">
        <f>IF(S$1='VALOR POR PL'!$P$5,'VALOR POR PL'!$G$64,0)</f>
        <v/>
      </c>
      <c r="T58" s="114">
        <f>IF(T$1='VALOR POR PL'!$P$5,'VALOR POR PL'!$G$64,0)</f>
        <v/>
      </c>
      <c r="U58" s="114">
        <f>IF(U$1='VALOR POR PL'!$P$5,'VALOR POR PL'!$G$64,0)</f>
        <v/>
      </c>
      <c r="V58" s="114">
        <f>IF(V$1='VALOR POR PL'!$P$5,'VALOR POR PL'!$G$64,0)</f>
        <v/>
      </c>
      <c r="W58" s="114">
        <f>IF(W$1='VALOR POR PL'!$P$5,'VALOR POR PL'!$G$64,0)</f>
        <v/>
      </c>
      <c r="X58" s="114">
        <f>IF(X$1='VALOR POR PL'!$P$5,'VALOR POR PL'!$G$64,0)</f>
        <v/>
      </c>
      <c r="Y58" s="114">
        <f>IF(Y$1='VALOR POR PL'!$P$5,'VALOR POR PL'!$G$64,0)</f>
        <v/>
      </c>
      <c r="Z58" s="114">
        <f>IF(Z$1='VALOR POR PL'!$P$5,'VALOR POR PL'!$G$64,0)</f>
        <v/>
      </c>
      <c r="AA58" s="114">
        <f>IF(AA$1='VALOR POR PL'!$P$5,'VALOR POR PL'!$G$64,0)</f>
        <v/>
      </c>
      <c r="AB58" s="114">
        <f>IF(AB$1='VALOR POR PL'!$P$5,'VALOR POR PL'!$G$64,0)</f>
        <v/>
      </c>
      <c r="AC58" s="114">
        <f>IF(AC$1='VALOR POR PL'!$P$5,'VALOR POR PL'!$G$64,0)</f>
        <v/>
      </c>
      <c r="AD58" s="114">
        <f>IF(AD$1='VALOR POR PL'!$P$5,'VALOR POR PL'!$G$64,0)</f>
        <v/>
      </c>
      <c r="AE58" s="114">
        <f>IF(AE$1='VALOR POR PL'!$P$5,'VALOR POR PL'!$G$64,0)</f>
        <v/>
      </c>
      <c r="AF58" s="114">
        <f>IF(AF$1='VALOR POR PL'!$P$5,'VALOR POR PL'!$G$64,0)</f>
        <v/>
      </c>
      <c r="AG58" s="114">
        <f>IF(AG$1='VALOR POR PL'!$P$5,'VALOR POR PL'!$G$64,0)</f>
        <v/>
      </c>
      <c r="AH58" s="114">
        <f>IF(AH$1='VALOR POR PL'!$P$5,'VALOR POR PL'!$G$64,0)</f>
        <v/>
      </c>
      <c r="AI58" s="114">
        <f>IF(AI$1='VALOR POR PL'!$P$5,'VALOR POR PL'!$G$64,0)</f>
        <v/>
      </c>
      <c r="AJ58" s="114">
        <f>IF(AJ$1='VALOR POR PL'!$P$5,'VALOR POR PL'!$G$64,0)</f>
        <v/>
      </c>
      <c r="AK58" s="114">
        <f>IF(AK$1='VALOR POR PL'!$P$5,'VALOR POR PL'!$G$64,0)</f>
        <v/>
      </c>
      <c r="AL58" s="114">
        <f>IF(AL$1='VALOR POR PL'!$P$5,'VALOR POR PL'!$G$64,0)</f>
        <v/>
      </c>
      <c r="AM58" s="114">
        <f>IF(AM$1='VALOR POR PL'!$P$5,'VALOR POR PL'!$G$64,0)</f>
        <v/>
      </c>
      <c r="AN58" s="114">
        <f>IF(AN$1='VALOR POR PL'!$P$5,'VALOR POR PL'!$G$64,0)</f>
        <v/>
      </c>
      <c r="AO58" s="114">
        <f>IF(AO$1='VALOR POR PL'!$P$5,'VALOR POR PL'!$G$64,0)</f>
        <v/>
      </c>
      <c r="AP58" s="114">
        <f>IF(AP$1='VALOR POR PL'!$P$5,'VALOR POR PL'!$G$64,0)</f>
        <v/>
      </c>
      <c r="AQ58" s="114">
        <f>IF(AQ$1='VALOR POR PL'!$P$5,'VALOR POR PL'!$G$64,0)</f>
        <v/>
      </c>
      <c r="AR58" s="114">
        <f>IF(AR$1='VALOR POR PL'!$P$5,'VALOR POR PL'!$G$64,0)</f>
        <v/>
      </c>
      <c r="AS58" s="114">
        <f>IF(AS$1='VALOR POR PL'!$P$5,'VALOR POR PL'!$G$64,0)</f>
        <v/>
      </c>
      <c r="AT58" s="114">
        <f>IF(AT$1='VALOR POR PL'!$P$5,'VALOR POR PL'!$G$64,0)</f>
        <v/>
      </c>
      <c r="AU58" s="114">
        <f>IF(AU$1='VALOR POR PL'!$P$5,'VALOR POR PL'!$G$64,0)</f>
        <v/>
      </c>
      <c r="AV58" s="114">
        <f>IF(AV$1='VALOR POR PL'!$P$5,'VALOR POR PL'!$G$64,0)</f>
        <v/>
      </c>
      <c r="AW58" s="114">
        <f>IF(AW$1='VALOR POR PL'!$P$5,'VALOR POR PL'!$G$64,0)</f>
        <v/>
      </c>
      <c r="AX58" s="114">
        <f>IF(AX$1='VALOR POR PL'!$P$5,'VALOR POR PL'!$G$64,0)</f>
        <v/>
      </c>
      <c r="AY58" s="114">
        <f>IF(AY$1='VALOR POR PL'!$P$5,'VALOR POR PL'!$G$64,0)</f>
        <v/>
      </c>
      <c r="AZ58" s="114">
        <f>IF(AZ$1='VALOR POR PL'!$P$5,'VALOR POR PL'!$G$64,0)</f>
        <v/>
      </c>
      <c r="BA58" s="114">
        <f>IF(BA$1='VALOR POR PL'!$P$5,'VALOR POR PL'!$G$64,0)</f>
        <v/>
      </c>
      <c r="BB58" s="114">
        <f>IF(BB$1='VALOR POR PL'!$P$5,'VALOR POR PL'!$G$64,0)</f>
        <v/>
      </c>
      <c r="BC58" s="114">
        <f>IF(BC$1='VALOR POR PL'!$P$5,'VALOR POR PL'!$G$64,0)</f>
        <v/>
      </c>
      <c r="BD58" s="114">
        <f>IF(BD$1='VALOR POR PL'!$P$5,'VALOR POR PL'!$G$64,0)</f>
        <v/>
      </c>
      <c r="BE58" s="114">
        <f>IF(BE$1='VALOR POR PL'!$P$5,'VALOR POR PL'!$G$64,0)</f>
        <v/>
      </c>
      <c r="BF58" s="114">
        <f>IF(BF$1='VALOR POR PL'!$P$5,'VALOR POR PL'!$G$64,0)</f>
        <v/>
      </c>
      <c r="BG58" s="114">
        <f>IF(BG$1='VALOR POR PL'!$P$5,'VALOR POR PL'!$G$64,0)</f>
        <v/>
      </c>
      <c r="BH58" s="114">
        <f>IF(BH$1='VALOR POR PL'!$P$5,'VALOR POR PL'!$G$64,0)</f>
        <v/>
      </c>
      <c r="BI58" s="114">
        <f>IF(BI$1='VALOR POR PL'!$P$5,'VALOR POR PL'!$G$64,0)</f>
        <v/>
      </c>
      <c r="BJ58" s="114">
        <f>IF(BJ$1='VALOR POR PL'!$P$5,'VALOR POR PL'!$G$64,0)</f>
        <v/>
      </c>
      <c r="BK58" s="114">
        <f>IF(BK$1='VALOR POR PL'!$P$5,'VALOR POR PL'!$G$64,0)</f>
        <v/>
      </c>
      <c r="BL58" s="114">
        <f>IF(BL$1='VALOR POR PL'!$P$5,'VALOR POR PL'!$G$64,0)</f>
        <v/>
      </c>
      <c r="BM58" s="114">
        <f>IF(BM$1='VALOR POR PL'!$P$5,'VALOR POR PL'!$G$64,0)</f>
        <v/>
      </c>
      <c r="BN58" s="114">
        <f>IF(BN$1='VALOR POR PL'!$P$5,'VALOR POR PL'!$G$64,0)</f>
        <v/>
      </c>
      <c r="BO58" s="114">
        <f>IF(BO$1='VALOR POR PL'!$P$5,'VALOR POR PL'!$G$64,0)</f>
        <v/>
      </c>
      <c r="BP58" s="114">
        <f>IF(BP$1='VALOR POR PL'!$P$5,'VALOR POR PL'!$G$64,0)</f>
        <v/>
      </c>
      <c r="BQ58" s="114">
        <f>IF(BQ$1='VALOR POR PL'!$P$5,'VALOR POR PL'!$G$64,0)</f>
        <v/>
      </c>
      <c r="BR58" s="114">
        <f>IF(BR$1='VALOR POR PL'!$P$5,'VALOR POR PL'!$G$64,0)</f>
        <v/>
      </c>
      <c r="BS58" s="114">
        <f>IF(BS$1='VALOR POR PL'!$P$5,'VALOR POR PL'!$G$64,0)</f>
        <v/>
      </c>
      <c r="BT58" s="114">
        <f>IF(BT$1='VALOR POR PL'!$P$5,'VALOR POR PL'!$G$64,0)</f>
        <v/>
      </c>
      <c r="BU58" s="114">
        <f>IF(BU$1='VALOR POR PL'!$P$5,'VALOR POR PL'!$G$64,0)</f>
        <v/>
      </c>
      <c r="BV58" s="114">
        <f>IF(BV$1='VALOR POR PL'!$P$5,'VALOR POR PL'!$G$64,0)</f>
        <v/>
      </c>
      <c r="BW58" s="114">
        <f>IF(BW$1='VALOR POR PL'!$P$5,'VALOR POR PL'!$G$64,0)</f>
        <v/>
      </c>
      <c r="BX58" s="114">
        <f>IF(BX$1='VALOR POR PL'!$P$5,'VALOR POR PL'!$G$64,0)</f>
        <v/>
      </c>
      <c r="BY58" s="114">
        <f>IF(BY$1='VALOR POR PL'!$P$5,'VALOR POR PL'!$G$64,0)</f>
        <v/>
      </c>
      <c r="BZ58" s="114">
        <f>IF(BZ$1='VALOR POR PL'!$P$5,'VALOR POR PL'!$G$64,0)</f>
        <v/>
      </c>
      <c r="CA58" s="114">
        <f>IF(CA$1='VALOR POR PL'!$P$5,'VALOR POR PL'!$G$64,0)</f>
        <v/>
      </c>
    </row>
    <row r="59">
      <c r="A59" s="59" t="inlineStr">
        <is>
          <t>G041.002</t>
        </is>
      </c>
      <c r="B59" s="59" t="n"/>
      <c r="C59" s="115" t="inlineStr">
        <is>
          <t>CONTINGÊNCIA</t>
        </is>
      </c>
      <c r="D59" s="49" t="n"/>
      <c r="E59" s="49">
        <f>SUM(H59:CA59)</f>
        <v/>
      </c>
      <c r="F59" s="49">
        <f>IF(D59="","",D59-E59)</f>
        <v/>
      </c>
      <c r="H59" s="114">
        <f>IF(H$1=DATE(2030,6,1),MAX(0,'VALOR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I59" s="114">
        <f>IF(I$1=DATE(2030,6,1),MAX(0,'VALOR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J59" s="114">
        <f>IF(J$1=DATE(2030,6,1),MAX(0,'VALOR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K59" s="114">
        <f>IF(K$1=DATE(2030,6,1),MAX(0,'VALOR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L59" s="114">
        <f>IF(L$1=DATE(2030,6,1),MAX(0,'VALOR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M59" s="114">
        <f>IF(M$1=DATE(2030,6,1),MAX(0,'VALOR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N59" s="114">
        <f>IF(N$1=DATE(2030,6,1),MAX(0,'VALOR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O59" s="114">
        <f>IF(O$1=DATE(2030,6,1),MAX(0,'VALOR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P59" s="114">
        <f>IF(P$1=DATE(2030,6,1),MAX(0,'VALOR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Q59" s="114">
        <f>IF(Q$1=DATE(2030,6,1),MAX(0,'VALOR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R59" s="114">
        <f>IF(R$1=DATE(2030,6,1),MAX(0,'VALOR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S59" s="114">
        <f>IF(S$1=DATE(2030,6,1),MAX(0,'VALOR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T59" s="114">
        <f>IF(T$1=DATE(2030,6,1),MAX(0,'VALOR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U59" s="114">
        <f>IF(U$1=DATE(2030,6,1),MAX(0,'VALOR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V59" s="114">
        <f>IF(V$1=DATE(2030,6,1),MAX(0,'VALOR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W59" s="114">
        <f>IF(W$1=DATE(2030,6,1),MAX(0,'VALOR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X59" s="114">
        <f>IF(X$1=DATE(2030,6,1),MAX(0,'VALOR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Y59" s="114">
        <f>IF(Y$1=DATE(2030,6,1),MAX(0,'VALOR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Z59" s="114">
        <f>IF(Z$1=DATE(2030,6,1),MAX(0,'VALOR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A59" s="114">
        <f>IF(AA$1=DATE(2030,6,1),MAX(0,'VALOR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B59" s="114">
        <f>IF(AB$1=DATE(2030,6,1),MAX(0,'VALOR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C59" s="114">
        <f>IF(AC$1=DATE(2030,6,1),MAX(0,'VALOR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D59" s="114">
        <f>IF(AD$1=DATE(2030,6,1),MAX(0,'VALOR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E59" s="114">
        <f>IF(AE$1=DATE(2030,6,1),MAX(0,'VALOR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F59" s="114">
        <f>IF(AF$1=DATE(2030,6,1),MAX(0,'VALOR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G59" s="114">
        <f>IF(AG$1=DATE(2030,6,1),MAX(0,'VALOR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H59" s="114">
        <f>IF(AH$1=DATE(2030,6,1),MAX(0,'VALOR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I59" s="114">
        <f>IF(AI$1=DATE(2030,6,1),MAX(0,'VALOR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J59" s="114">
        <f>IF(AJ$1=DATE(2030,6,1),MAX(0,'VALOR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K59" s="114">
        <f>IF(AK$1=DATE(2030,6,1),MAX(0,'VALOR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L59" s="114">
        <f>IF(AL$1=DATE(2030,6,1),MAX(0,'VALOR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M59" s="114">
        <f>IF(AM$1=DATE(2030,6,1),MAX(0,'VALOR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N59" s="114">
        <f>IF(AN$1=DATE(2030,6,1),MAX(0,'VALOR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O59" s="114">
        <f>IF(AO$1=DATE(2030,6,1),MAX(0,'VALOR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P59" s="114">
        <f>IF(AP$1=DATE(2030,6,1),MAX(0,'VALOR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Q59" s="114">
        <f>IF(AQ$1=DATE(2030,6,1),MAX(0,'VALOR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R59" s="114">
        <f>IF(AR$1=DATE(2030,6,1),MAX(0,'VALOR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S59" s="114">
        <f>IF(AS$1=DATE(2030,6,1),MAX(0,'VALOR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T59" s="114">
        <f>IF(AT$1=DATE(2030,6,1),MAX(0,'VALOR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U59" s="114">
        <f>IF(AU$1=DATE(2030,6,1),MAX(0,'VALOR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V59" s="114">
        <f>IF(AV$1=DATE(2030,6,1),MAX(0,'VALOR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W59" s="114">
        <f>IF(AW$1=DATE(2030,6,1),MAX(0,'VALOR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X59" s="114">
        <f>IF(AX$1=DATE(2030,6,1),MAX(0,'VALOR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Y59" s="114">
        <f>IF(AY$1=DATE(2030,6,1),MAX(0,'VALOR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AZ59" s="114">
        <f>IF(AZ$1=DATE(2030,6,1),MAX(0,'VALOR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A59" s="114">
        <f>IF(BA$1=DATE(2030,6,1),MAX(0,'VALOR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B59" s="114">
        <f>IF(BB$1=DATE(2030,6,1),MAX(0,'VALOR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C59" s="114">
        <f>IF(BC$1=DATE(2030,6,1),MAX(0,'VALOR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D59" s="114">
        <f>IF(BD$1=DATE(2030,6,1),MAX(0,'VALOR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E59" s="114">
        <f>IF(BE$1=DATE(2030,6,1),MAX(0,'VALOR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F59" s="114">
        <f>IF(BF$1=DATE(2030,6,1),MAX(0,'VALOR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G59" s="114">
        <f>IF(BG$1=DATE(2030,6,1),MAX(0,'VALOR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H59" s="114">
        <f>IF(BH$1=DATE(2030,6,1),MAX(0,'VALOR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I59" s="114">
        <f>IF(BI$1=DATE(2030,6,1),MAX(0,'VALOR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J59" s="114">
        <f>IF(BJ$1=DATE(2030,6,1),MAX(0,'VALOR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K59" s="114">
        <f>IF(BK$1=DATE(2030,6,1),MAX(0,'VALOR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L59" s="114">
        <f>IF(BL$1=DATE(2030,6,1),MAX(0,'VALOR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M59" s="114">
        <f>IF(BM$1=DATE(2030,6,1),MAX(0,'VALOR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N59" s="114">
        <f>IF(BN$1=DATE(2030,6,1),MAX(0,'VALOR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O59" s="114">
        <f>IF(BO$1=DATE(2030,6,1),MAX(0,'VALOR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P59" s="114">
        <f>IF(BP$1=DATE(2030,6,1),MAX(0,'VALOR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Q59" s="114">
        <f>IF(BQ$1=DATE(2030,6,1),MAX(0,'VALOR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R59" s="114">
        <f>IF(BR$1=DATE(2030,6,1),MAX(0,'VALOR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S59" s="114">
        <f>IF(BS$1=DATE(2030,6,1),MAX(0,'VALOR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T59" s="114">
        <f>IF(BT$1=DATE(2030,6,1),MAX(0,'VALOR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U59" s="114">
        <f>IF(BU$1=DATE(2030,6,1),MAX(0,'VALOR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V59" s="114">
        <f>IF(BV$1=DATE(2030,6,1),MAX(0,'VALOR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W59" s="114">
        <f>IF(BW$1=DATE(2030,6,1),MAX(0,'VALOR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X59" s="114">
        <f>IF(BX$1=DATE(2030,6,1),MAX(0,'VALOR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Y59" s="114">
        <f>IF(BY$1=DATE(2030,6,1),MAX(0,'VALOR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BZ59" s="114">
        <f>IF(BZ$1=DATE(2030,6,1),MAX(0,'VALOR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  <c r="CA59" s="114">
        <f>IF(CA$1=DATE(2030,6,1),MAX(0,'VALOR POR PL'!$G$50-('PROJETO'!$E$78+'SEGUROS'!$E$78+'TAX. DIVERSAS'!$E$78+'BARRACÃO DE OBRA'!$E$78+'LIG. PROVISÓRIAS'!$E$78+'CONSUMOS'!$E$78+'DIVERSOS'!$E$78+'TRANSPORTES'!$E$78+'CONSULTORIAS'!$E$78+'MDO'!$E$78+'EQUIP E FER'!$E$78+'SERV. INICIAIS'!$E$78+'CONTENÇÃO'!$E$78+'TERRAPLENAGEM'!$E$78+'FUND. PROF'!$E$78+'FUND. SUP'!$E$78+'ESTRUTURA'!$E$78+'ALVENARIA'!$E$78+'IMPERMEABILIZAÇÃO'!$E$78+'INST. ELÉTRICA'!$E$78+'INST. HIDRO'!$E$78+'INST. INC'!$E$78+'INST. ESP'!$E$78+'ELEVADORES '!$E$78+'ESQUADRIAS'!$E$78+'SERRALHERIA'!$E$78+'MARCENARIA'!$E$78+'REV. PISOS'!$E$78+'REV. PAREDE'!$E$78+'REV. ACAB'!$E$78+'EST. METÁLICA'!$E$78+'REV. FACHADA'!$E$78+'FORRO'!$E$78+'LOUÇAS'!$E$78+'PINTURA'!$E$78+'PAISAGISMO'!$E$78+'LIMPEZA'!$E$78+'TAX. ADM'!$E$78)-'VALOR POR PL'!$G$64),0)</f>
        <v/>
      </c>
    </row>
    <row r="61">
      <c r="C61" s="46" t="inlineStr">
        <is>
          <t>SOMA SEM TAXA DE ADM. (INCC)</t>
        </is>
      </c>
      <c r="D61" s="65">
        <f>SUM(D2:D59)-D47</f>
        <v/>
      </c>
      <c r="E61" s="65">
        <f>SUM(E2:E59)-E47</f>
        <v/>
      </c>
      <c r="H61" s="65">
        <f>SUM(H2:H59)-H47</f>
        <v/>
      </c>
      <c r="I61" s="65">
        <f>SUM(I2:I59)-I47</f>
        <v/>
      </c>
      <c r="J61" s="65">
        <f>SUM(J2:J59)-J47</f>
        <v/>
      </c>
      <c r="K61" s="65">
        <f>SUM(K2:K59)-K47</f>
        <v/>
      </c>
      <c r="L61" s="65">
        <f>SUM(L2:L59)-L47</f>
        <v/>
      </c>
      <c r="M61" s="65">
        <f>SUM(M2:M59)-M47</f>
        <v/>
      </c>
      <c r="N61" s="65">
        <f>SUM(N2:N59)-N47</f>
        <v/>
      </c>
      <c r="O61" s="65">
        <f>SUM(O2:O59)-O47</f>
        <v/>
      </c>
      <c r="P61" s="65">
        <f>SUM(P2:P59)-P47</f>
        <v/>
      </c>
      <c r="Q61" s="65">
        <f>SUM(Q2:Q59)-Q47</f>
        <v/>
      </c>
      <c r="R61" s="65">
        <f>SUM(R2:R59)-R47</f>
        <v/>
      </c>
      <c r="S61" s="65">
        <f>SUM(S2:S59)-S47</f>
        <v/>
      </c>
      <c r="T61" s="65">
        <f>SUM(T2:T59)-T47</f>
        <v/>
      </c>
      <c r="U61" s="65">
        <f>SUM(U2:U59)-U47</f>
        <v/>
      </c>
      <c r="V61" s="65">
        <f>SUM(V2:V59)-V47</f>
        <v/>
      </c>
      <c r="W61" s="65">
        <f>SUM(W2:W59)-W47</f>
        <v/>
      </c>
      <c r="X61" s="65">
        <f>SUM(X2:X59)-X47</f>
        <v/>
      </c>
      <c r="Y61" s="65">
        <f>SUM(Y2:Y59)-Y47</f>
        <v/>
      </c>
      <c r="Z61" s="65">
        <f>SUM(Z2:Z59)-Z47</f>
        <v/>
      </c>
      <c r="AA61" s="65">
        <f>SUM(AA2:AA59)-AA47</f>
        <v/>
      </c>
      <c r="AB61" s="65">
        <f>SUM(AB2:AB59)-AB47</f>
        <v/>
      </c>
      <c r="AC61" s="65">
        <f>SUM(AC2:AC59)-AC47</f>
        <v/>
      </c>
      <c r="AD61" s="65">
        <f>SUM(AD2:AD59)-AD47</f>
        <v/>
      </c>
      <c r="AE61" s="65">
        <f>SUM(AE2:AE59)-AE47</f>
        <v/>
      </c>
      <c r="AF61" s="65">
        <f>SUM(AF2:AF59)-AF47</f>
        <v/>
      </c>
      <c r="AG61" s="65">
        <f>SUM(AG2:AG59)-AG47</f>
        <v/>
      </c>
      <c r="AH61" s="65">
        <f>SUM(AH2:AH59)-AH47</f>
        <v/>
      </c>
      <c r="AI61" s="65">
        <f>SUM(AI2:AI59)-AI47</f>
        <v/>
      </c>
      <c r="AJ61" s="65">
        <f>SUM(AJ2:AJ59)-AJ47</f>
        <v/>
      </c>
      <c r="AK61" s="65">
        <f>SUM(AK2:AK59)-AK47</f>
        <v/>
      </c>
      <c r="AL61" s="65">
        <f>SUM(AL2:AL59)-AL47</f>
        <v/>
      </c>
      <c r="AM61" s="65">
        <f>SUM(AM2:AM59)-AM47</f>
        <v/>
      </c>
      <c r="AN61" s="65">
        <f>SUM(AN2:AN59)-AN47</f>
        <v/>
      </c>
      <c r="AO61" s="65">
        <f>SUM(AO2:AO59)-AO47</f>
        <v/>
      </c>
      <c r="AP61" s="65">
        <f>SUM(AP2:AP59)-AP47</f>
        <v/>
      </c>
      <c r="AQ61" s="65">
        <f>SUM(AQ2:AQ59)-AQ47</f>
        <v/>
      </c>
      <c r="AR61" s="65">
        <f>SUM(AR2:AR59)-AR47</f>
        <v/>
      </c>
      <c r="AS61" s="65">
        <f>SUM(AS2:AS59)-AS47</f>
        <v/>
      </c>
      <c r="AT61" s="65">
        <f>SUM(AT2:AT59)-AT47</f>
        <v/>
      </c>
      <c r="AU61" s="65">
        <f>SUM(AU2:AU59)-AU47</f>
        <v/>
      </c>
      <c r="AV61" s="65">
        <f>SUM(AV2:AV59)-AV47</f>
        <v/>
      </c>
      <c r="AW61" s="65">
        <f>SUM(AW2:AW59)-AW47</f>
        <v/>
      </c>
      <c r="AX61" s="65">
        <f>SUM(AX2:AX59)-AX47</f>
        <v/>
      </c>
      <c r="AY61" s="65">
        <f>SUM(AY2:AY59)-AY47</f>
        <v/>
      </c>
      <c r="AZ61" s="65">
        <f>SUM(AZ2:AZ59)-AZ47</f>
        <v/>
      </c>
      <c r="BA61" s="65">
        <f>SUM(BA2:BA59)-BA47</f>
        <v/>
      </c>
      <c r="BB61" s="65">
        <f>SUM(BB2:BB59)-BB47</f>
        <v/>
      </c>
      <c r="BC61" s="65">
        <f>SUM(BC2:BC59)-BC47</f>
        <v/>
      </c>
      <c r="BD61" s="65">
        <f>SUM(BD2:BD59)-BD47</f>
        <v/>
      </c>
      <c r="BE61" s="65">
        <f>SUM(BE2:BE59)-BE47</f>
        <v/>
      </c>
      <c r="BF61" s="65">
        <f>SUM(BF2:BF59)-BF47</f>
        <v/>
      </c>
      <c r="BG61" s="65">
        <f>SUM(BG2:BG59)-BG47</f>
        <v/>
      </c>
      <c r="BH61" s="65">
        <f>SUM(BH2:BH59)-BH47</f>
        <v/>
      </c>
      <c r="BI61" s="65">
        <f>SUM(BI2:BI59)-BI47</f>
        <v/>
      </c>
      <c r="BJ61" s="65">
        <f>SUM(BJ2:BJ59)-BJ47</f>
        <v/>
      </c>
      <c r="BK61" s="65">
        <f>SUM(BK2:BK59)-BK47</f>
        <v/>
      </c>
      <c r="BL61" s="65">
        <f>SUM(BL2:BL59)-BL47</f>
        <v/>
      </c>
      <c r="BM61" s="65">
        <f>SUM(BM2:BM59)-BM47</f>
        <v/>
      </c>
      <c r="BN61" s="65">
        <f>SUM(BN2:BN59)-BN47</f>
        <v/>
      </c>
      <c r="BO61" s="65">
        <f>SUM(BO2:BO59)-BO47</f>
        <v/>
      </c>
      <c r="BP61" s="65">
        <f>SUM(BP2:BP59)-BP47</f>
        <v/>
      </c>
      <c r="BQ61" s="65">
        <f>SUM(BQ2:BQ59)-BQ47</f>
        <v/>
      </c>
      <c r="BR61" s="65">
        <f>SUM(BR2:BR59)-BR47</f>
        <v/>
      </c>
      <c r="BS61" s="65">
        <f>SUM(BS2:BS59)-BS47</f>
        <v/>
      </c>
      <c r="BT61" s="65">
        <f>SUM(BT2:BT59)-BT47</f>
        <v/>
      </c>
      <c r="BU61" s="65">
        <f>SUM(BU2:BU59)-BU47</f>
        <v/>
      </c>
      <c r="BV61" s="65">
        <f>SUM(BV2:BV59)-BV47</f>
        <v/>
      </c>
      <c r="BW61" s="65">
        <f>SUM(BW2:BW59)-BW47</f>
        <v/>
      </c>
      <c r="BX61" s="65">
        <f>SUM(BX2:BX59)-BX47</f>
        <v/>
      </c>
      <c r="BY61" s="65">
        <f>SUM(BY2:BY59)-BY47</f>
        <v/>
      </c>
      <c r="BZ61" s="65">
        <f>SUM(BZ2:BZ59)-BZ47</f>
        <v/>
      </c>
      <c r="CA61" s="65">
        <f>SUM(CA2:CA59)-CA47</f>
        <v/>
      </c>
    </row>
    <row r="62">
      <c r="C62" s="46" t="inlineStr">
        <is>
          <t>TAXA DE ADMINISTRAÇÃO (INCC)</t>
        </is>
      </c>
      <c r="D62" s="65">
        <f>D47</f>
        <v/>
      </c>
      <c r="E62" s="65">
        <f>E47</f>
        <v/>
      </c>
      <c r="H62" s="65">
        <f>H47</f>
        <v/>
      </c>
      <c r="I62" s="65">
        <f>I47</f>
        <v/>
      </c>
      <c r="J62" s="65">
        <f>J47</f>
        <v/>
      </c>
      <c r="K62" s="65">
        <f>K47</f>
        <v/>
      </c>
      <c r="L62" s="65">
        <f>L47</f>
        <v/>
      </c>
      <c r="M62" s="65">
        <f>M47</f>
        <v/>
      </c>
      <c r="N62" s="65">
        <f>N47</f>
        <v/>
      </c>
      <c r="O62" s="65">
        <f>O47</f>
        <v/>
      </c>
      <c r="P62" s="65">
        <f>P47</f>
        <v/>
      </c>
      <c r="Q62" s="65">
        <f>Q47</f>
        <v/>
      </c>
      <c r="R62" s="65">
        <f>R47</f>
        <v/>
      </c>
      <c r="S62" s="65">
        <f>S47</f>
        <v/>
      </c>
      <c r="T62" s="65">
        <f>T47</f>
        <v/>
      </c>
      <c r="U62" s="65">
        <f>U47</f>
        <v/>
      </c>
      <c r="V62" s="65">
        <f>V47</f>
        <v/>
      </c>
      <c r="W62" s="65">
        <f>W47</f>
        <v/>
      </c>
      <c r="X62" s="65">
        <f>X47</f>
        <v/>
      </c>
      <c r="Y62" s="65">
        <f>Y47</f>
        <v/>
      </c>
      <c r="Z62" s="65">
        <f>Z47</f>
        <v/>
      </c>
      <c r="AA62" s="65">
        <f>AA47</f>
        <v/>
      </c>
      <c r="AB62" s="65">
        <f>AB47</f>
        <v/>
      </c>
      <c r="AC62" s="65">
        <f>AC47</f>
        <v/>
      </c>
      <c r="AD62" s="65">
        <f>AD47</f>
        <v/>
      </c>
      <c r="AE62" s="65">
        <f>AE47</f>
        <v/>
      </c>
      <c r="AF62" s="65">
        <f>AF47</f>
        <v/>
      </c>
      <c r="AG62" s="65">
        <f>AG47</f>
        <v/>
      </c>
      <c r="AH62" s="65">
        <f>AH47</f>
        <v/>
      </c>
      <c r="AI62" s="65">
        <f>AI47</f>
        <v/>
      </c>
      <c r="AJ62" s="65">
        <f>AJ47</f>
        <v/>
      </c>
      <c r="AK62" s="65">
        <f>AK47</f>
        <v/>
      </c>
      <c r="AL62" s="65">
        <f>AL47</f>
        <v/>
      </c>
      <c r="AM62" s="65">
        <f>AM47</f>
        <v/>
      </c>
      <c r="AN62" s="65">
        <f>AN47</f>
        <v/>
      </c>
      <c r="AO62" s="65">
        <f>AO47</f>
        <v/>
      </c>
      <c r="AP62" s="65">
        <f>AP47</f>
        <v/>
      </c>
      <c r="AQ62" s="65">
        <f>AQ47</f>
        <v/>
      </c>
      <c r="AR62" s="65">
        <f>AR47</f>
        <v/>
      </c>
      <c r="AS62" s="65">
        <f>AS47</f>
        <v/>
      </c>
      <c r="AT62" s="65">
        <f>AT47</f>
        <v/>
      </c>
      <c r="AU62" s="65">
        <f>AU47</f>
        <v/>
      </c>
      <c r="AV62" s="65">
        <f>AV47</f>
        <v/>
      </c>
      <c r="AW62" s="65">
        <f>AW47</f>
        <v/>
      </c>
      <c r="AX62" s="65">
        <f>AX47</f>
        <v/>
      </c>
      <c r="AY62" s="65">
        <f>AY47</f>
        <v/>
      </c>
      <c r="AZ62" s="65">
        <f>AZ47</f>
        <v/>
      </c>
      <c r="BA62" s="65">
        <f>BA47</f>
        <v/>
      </c>
      <c r="BB62" s="65">
        <f>BB47</f>
        <v/>
      </c>
      <c r="BC62" s="65">
        <f>BC47</f>
        <v/>
      </c>
      <c r="BD62" s="65">
        <f>BD47</f>
        <v/>
      </c>
      <c r="BE62" s="65">
        <f>BE47</f>
        <v/>
      </c>
      <c r="BF62" s="65">
        <f>BF47</f>
        <v/>
      </c>
      <c r="BG62" s="65">
        <f>BG47</f>
        <v/>
      </c>
      <c r="BH62" s="65">
        <f>BH47</f>
        <v/>
      </c>
      <c r="BI62" s="65">
        <f>BI47</f>
        <v/>
      </c>
      <c r="BJ62" s="65">
        <f>BJ47</f>
        <v/>
      </c>
      <c r="BK62" s="65">
        <f>BK47</f>
        <v/>
      </c>
      <c r="BL62" s="65">
        <f>BL47</f>
        <v/>
      </c>
      <c r="BM62" s="65">
        <f>BM47</f>
        <v/>
      </c>
      <c r="BN62" s="65">
        <f>BN47</f>
        <v/>
      </c>
      <c r="BO62" s="65">
        <f>BO47</f>
        <v/>
      </c>
      <c r="BP62" s="65">
        <f>BP47</f>
        <v/>
      </c>
      <c r="BQ62" s="65">
        <f>BQ47</f>
        <v/>
      </c>
      <c r="BR62" s="65">
        <f>BR47</f>
        <v/>
      </c>
      <c r="BS62" s="65">
        <f>BS47</f>
        <v/>
      </c>
      <c r="BT62" s="65">
        <f>BT47</f>
        <v/>
      </c>
      <c r="BU62" s="65">
        <f>BU47</f>
        <v/>
      </c>
      <c r="BV62" s="65">
        <f>BV47</f>
        <v/>
      </c>
      <c r="BW62" s="65">
        <f>BW47</f>
        <v/>
      </c>
      <c r="BX62" s="65">
        <f>BX47</f>
        <v/>
      </c>
      <c r="BY62" s="65">
        <f>BY47</f>
        <v/>
      </c>
      <c r="BZ62" s="65">
        <f>BZ47</f>
        <v/>
      </c>
      <c r="CA62" s="65">
        <f>CA47</f>
        <v/>
      </c>
    </row>
    <row r="63">
      <c r="C63" s="46" t="inlineStr">
        <is>
          <t>TOTAL (INCC)</t>
        </is>
      </c>
      <c r="D63" s="65">
        <f>D61+D62</f>
        <v/>
      </c>
      <c r="E63" s="65">
        <f>E61+E62</f>
        <v/>
      </c>
      <c r="H63" s="65">
        <f>H61+H62</f>
        <v/>
      </c>
      <c r="I63" s="65">
        <f>I61+I62</f>
        <v/>
      </c>
      <c r="J63" s="65">
        <f>J61+J62</f>
        <v/>
      </c>
      <c r="K63" s="65">
        <f>K61+K62</f>
        <v/>
      </c>
      <c r="L63" s="65">
        <f>L61+L62</f>
        <v/>
      </c>
      <c r="M63" s="65">
        <f>M61+M62</f>
        <v/>
      </c>
      <c r="N63" s="65">
        <f>N61+N62</f>
        <v/>
      </c>
      <c r="O63" s="65">
        <f>O61+O62</f>
        <v/>
      </c>
      <c r="P63" s="65">
        <f>P61+P62</f>
        <v/>
      </c>
      <c r="Q63" s="65">
        <f>Q61+Q62</f>
        <v/>
      </c>
      <c r="R63" s="65">
        <f>R61+R62</f>
        <v/>
      </c>
      <c r="S63" s="65">
        <f>S61+S62</f>
        <v/>
      </c>
      <c r="T63" s="65">
        <f>T61+T62</f>
        <v/>
      </c>
      <c r="U63" s="65">
        <f>U61+U62</f>
        <v/>
      </c>
      <c r="V63" s="65">
        <f>V61+V62</f>
        <v/>
      </c>
      <c r="W63" s="65">
        <f>W61+W62</f>
        <v/>
      </c>
      <c r="X63" s="65">
        <f>X61+X62</f>
        <v/>
      </c>
      <c r="Y63" s="65">
        <f>Y61+Y62</f>
        <v/>
      </c>
      <c r="Z63" s="65">
        <f>Z61+Z62</f>
        <v/>
      </c>
      <c r="AA63" s="65">
        <f>AA61+AA62</f>
        <v/>
      </c>
      <c r="AB63" s="65">
        <f>AB61+AB62</f>
        <v/>
      </c>
      <c r="AC63" s="65">
        <f>AC61+AC62</f>
        <v/>
      </c>
      <c r="AD63" s="65">
        <f>AD61+AD62</f>
        <v/>
      </c>
      <c r="AE63" s="65">
        <f>AE61+AE62</f>
        <v/>
      </c>
      <c r="AF63" s="65">
        <f>AF61+AF62</f>
        <v/>
      </c>
      <c r="AG63" s="65">
        <f>AG61+AG62</f>
        <v/>
      </c>
      <c r="AH63" s="65">
        <f>AH61+AH62</f>
        <v/>
      </c>
      <c r="AI63" s="65">
        <f>AI61+AI62</f>
        <v/>
      </c>
      <c r="AJ63" s="65">
        <f>AJ61+AJ62</f>
        <v/>
      </c>
      <c r="AK63" s="65">
        <f>AK61+AK62</f>
        <v/>
      </c>
      <c r="AL63" s="65">
        <f>AL61+AL62</f>
        <v/>
      </c>
      <c r="AM63" s="65">
        <f>AM61+AM62</f>
        <v/>
      </c>
      <c r="AN63" s="65">
        <f>AN61+AN62</f>
        <v/>
      </c>
      <c r="AO63" s="65">
        <f>AO61+AO62</f>
        <v/>
      </c>
      <c r="AP63" s="65">
        <f>AP61+AP62</f>
        <v/>
      </c>
      <c r="AQ63" s="65">
        <f>AQ61+AQ62</f>
        <v/>
      </c>
      <c r="AR63" s="65">
        <f>AR61+AR62</f>
        <v/>
      </c>
      <c r="AS63" s="65">
        <f>AS61+AS62</f>
        <v/>
      </c>
      <c r="AT63" s="65">
        <f>AT61+AT62</f>
        <v/>
      </c>
      <c r="AU63" s="65">
        <f>AU61+AU62</f>
        <v/>
      </c>
      <c r="AV63" s="65">
        <f>AV61+AV62</f>
        <v/>
      </c>
      <c r="AW63" s="65">
        <f>AW61+AW62</f>
        <v/>
      </c>
      <c r="AX63" s="65">
        <f>AX61+AX62</f>
        <v/>
      </c>
      <c r="AY63" s="65">
        <f>AY61+AY62</f>
        <v/>
      </c>
      <c r="AZ63" s="65">
        <f>AZ61+AZ62</f>
        <v/>
      </c>
      <c r="BA63" s="65">
        <f>BA61+BA62</f>
        <v/>
      </c>
      <c r="BB63" s="65">
        <f>BB61+BB62</f>
        <v/>
      </c>
      <c r="BC63" s="65">
        <f>BC61+BC62</f>
        <v/>
      </c>
      <c r="BD63" s="65">
        <f>BD61+BD62</f>
        <v/>
      </c>
      <c r="BE63" s="65">
        <f>BE61+BE62</f>
        <v/>
      </c>
      <c r="BF63" s="65">
        <f>BF61+BF62</f>
        <v/>
      </c>
      <c r="BG63" s="65">
        <f>BG61+BG62</f>
        <v/>
      </c>
      <c r="BH63" s="65">
        <f>BH61+BH62</f>
        <v/>
      </c>
      <c r="BI63" s="65">
        <f>BI61+BI62</f>
        <v/>
      </c>
      <c r="BJ63" s="65">
        <f>BJ61+BJ62</f>
        <v/>
      </c>
      <c r="BK63" s="65">
        <f>BK61+BK62</f>
        <v/>
      </c>
      <c r="BL63" s="65">
        <f>BL61+BL62</f>
        <v/>
      </c>
      <c r="BM63" s="65">
        <f>BM61+BM62</f>
        <v/>
      </c>
      <c r="BN63" s="65">
        <f>BN61+BN62</f>
        <v/>
      </c>
      <c r="BO63" s="65">
        <f>BO61+BO62</f>
        <v/>
      </c>
      <c r="BP63" s="65">
        <f>BP61+BP62</f>
        <v/>
      </c>
      <c r="BQ63" s="65">
        <f>BQ61+BQ62</f>
        <v/>
      </c>
      <c r="BR63" s="65">
        <f>BR61+BR62</f>
        <v/>
      </c>
      <c r="BS63" s="65">
        <f>BS61+BS62</f>
        <v/>
      </c>
      <c r="BT63" s="65">
        <f>BT61+BT62</f>
        <v/>
      </c>
      <c r="BU63" s="65">
        <f>BU61+BU62</f>
        <v/>
      </c>
      <c r="BV63" s="65">
        <f>BV61+BV62</f>
        <v/>
      </c>
      <c r="BW63" s="65">
        <f>BW61+BW62</f>
        <v/>
      </c>
      <c r="BX63" s="65">
        <f>BX61+BX62</f>
        <v/>
      </c>
      <c r="BY63" s="65">
        <f>BY61+BY62</f>
        <v/>
      </c>
      <c r="BZ63" s="65">
        <f>BZ61+BZ62</f>
        <v/>
      </c>
      <c r="CA63" s="65">
        <f>CA61+CA62</f>
        <v/>
      </c>
    </row>
    <row r="64">
      <c r="C64" s="61">
        <f>"INCORRIDO ATÉ -&gt; "&amp;TEXT('VALOR POR PL'!$P$5,"mm/aaaa")</f>
        <v/>
      </c>
    </row>
    <row r="65">
      <c r="C65" s="46" t="inlineStr">
        <is>
          <t>CURVA MENSAL (R$ nominal)</t>
        </is>
      </c>
      <c r="E65" s="116">
        <f>SUM(H65:CA65)</f>
        <v/>
      </c>
      <c r="H65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ADM'!D5+H59*'VALOR POR PL'!$P$7+IF(H$1='VALOR POR PL'!$P$5,'VALOR POR PL'!$G$63,0)</f>
        <v/>
      </c>
      <c r="I65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ADM'!D6+I59*'VALOR POR PL'!$P$7+IF(I$1='VALOR POR PL'!$P$5,'VALOR POR PL'!$G$63,0)</f>
        <v/>
      </c>
      <c r="J65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ADM'!D7+J59*'VALOR POR PL'!$P$7+IF(J$1='VALOR POR PL'!$P$5,'VALOR POR PL'!$G$63,0)</f>
        <v/>
      </c>
      <c r="K65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ADM'!D8+K59*'VALOR POR PL'!$P$7+IF(K$1='VALOR POR PL'!$P$5,'VALOR POR PL'!$G$63,0)</f>
        <v/>
      </c>
      <c r="L65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ADM'!D9+L59*'VALOR POR PL'!$P$7+IF(L$1='VALOR POR PL'!$P$5,'VALOR POR PL'!$G$63,0)</f>
        <v/>
      </c>
      <c r="M65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ADM'!D10+M59*'VALOR POR PL'!$P$7+IF(M$1='VALOR POR PL'!$P$5,'VALOR POR PL'!$G$63,0)</f>
        <v/>
      </c>
      <c r="N65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ADM'!D11+N59*'VALOR POR PL'!$P$7+IF(N$1='VALOR POR PL'!$P$5,'VALOR POR PL'!$G$63,0)</f>
        <v/>
      </c>
      <c r="O65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ADM'!D12+O59*'VALOR POR PL'!$P$7+IF(O$1='VALOR POR PL'!$P$5,'VALOR POR PL'!$G$63,0)</f>
        <v/>
      </c>
      <c r="P65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ADM'!D13+P59*'VALOR POR PL'!$P$7+IF(P$1='VALOR POR PL'!$P$5,'VALOR POR PL'!$G$63,0)</f>
        <v/>
      </c>
      <c r="Q65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ADM'!D14+Q59*'VALOR POR PL'!$P$7+IF(Q$1='VALOR POR PL'!$P$5,'VALOR POR PL'!$G$63,0)</f>
        <v/>
      </c>
      <c r="R65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ADM'!D15+R59*'VALOR POR PL'!$P$7+IF(R$1='VALOR POR PL'!$P$5,'VALOR POR PL'!$G$63,0)</f>
        <v/>
      </c>
      <c r="S65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ADM'!D16+S59*'VALOR POR PL'!$P$7+IF(S$1='VALOR POR PL'!$P$5,'VALOR POR PL'!$G$63,0)</f>
        <v/>
      </c>
      <c r="T65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ADM'!D17+T59*'VALOR POR PL'!$P$7+IF(T$1='VALOR POR PL'!$P$5,'VALOR POR PL'!$G$63,0)</f>
        <v/>
      </c>
      <c r="U65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ADM'!D18+U59*'VALOR POR PL'!$P$7+IF(U$1='VALOR POR PL'!$P$5,'VALOR POR PL'!$G$63,0)</f>
        <v/>
      </c>
      <c r="V65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ADM'!D19+V59*'VALOR POR PL'!$P$7+IF(V$1='VALOR POR PL'!$P$5,'VALOR POR PL'!$G$63,0)</f>
        <v/>
      </c>
      <c r="W65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ADM'!D20+W59*'VALOR POR PL'!$P$7+IF(W$1='VALOR POR PL'!$P$5,'VALOR POR PL'!$G$63,0)</f>
        <v/>
      </c>
      <c r="X65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ADM'!D21+X59*'VALOR POR PL'!$P$7+IF(X$1='VALOR POR PL'!$P$5,'VALOR POR PL'!$G$63,0)</f>
        <v/>
      </c>
      <c r="Y65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ADM'!D22+Y59*'VALOR POR PL'!$P$7+IF(Y$1='VALOR POR PL'!$P$5,'VALOR POR PL'!$G$63,0)</f>
        <v/>
      </c>
      <c r="Z65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ADM'!D23+Z59*'VALOR POR PL'!$P$7+IF(Z$1='VALOR POR PL'!$P$5,'VALOR POR PL'!$G$63,0)</f>
        <v/>
      </c>
      <c r="AA65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ADM'!D24+AA59*'VALOR POR PL'!$P$7+IF(AA$1='VALOR POR PL'!$P$5,'VALOR POR PL'!$G$63,0)</f>
        <v/>
      </c>
      <c r="AB65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ADM'!D25+AB59*'VALOR POR PL'!$P$7+IF(AB$1='VALOR POR PL'!$P$5,'VALOR POR PL'!$G$63,0)</f>
        <v/>
      </c>
      <c r="AC65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ADM'!D26+AC59*'VALOR POR PL'!$P$7+IF(AC$1='VALOR POR PL'!$P$5,'VALOR POR PL'!$G$63,0)</f>
        <v/>
      </c>
      <c r="AD65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ADM'!D27+AD59*'VALOR POR PL'!$P$7+IF(AD$1='VALOR POR PL'!$P$5,'VALOR POR PL'!$G$63,0)</f>
        <v/>
      </c>
      <c r="AE65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ADM'!D28+AE59*'VALOR POR PL'!$P$7+IF(AE$1='VALOR POR PL'!$P$5,'VALOR POR PL'!$G$63,0)</f>
        <v/>
      </c>
      <c r="AF65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ADM'!D29+AF59*'VALOR POR PL'!$P$7+IF(AF$1='VALOR POR PL'!$P$5,'VALOR POR PL'!$G$63,0)</f>
        <v/>
      </c>
      <c r="AG65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ADM'!D30+AG59*'VALOR POR PL'!$P$7+IF(AG$1='VALOR POR PL'!$P$5,'VALOR POR PL'!$G$63,0)</f>
        <v/>
      </c>
      <c r="AH65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ADM'!D31+AH59*'VALOR POR PL'!$P$7+IF(AH$1='VALOR POR PL'!$P$5,'VALOR POR PL'!$G$63,0)</f>
        <v/>
      </c>
      <c r="AI65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ADM'!D32+AI59*'VALOR POR PL'!$P$7+IF(AI$1='VALOR POR PL'!$P$5,'VALOR POR PL'!$G$63,0)</f>
        <v/>
      </c>
      <c r="AJ65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ADM'!D33+AJ59*'VALOR POR PL'!$P$7+IF(AJ$1='VALOR POR PL'!$P$5,'VALOR POR PL'!$G$63,0)</f>
        <v/>
      </c>
      <c r="AK65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ADM'!D34+AK59*'VALOR POR PL'!$P$7+IF(AK$1='VALOR POR PL'!$P$5,'VALOR POR PL'!$G$63,0)</f>
        <v/>
      </c>
      <c r="AL65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ADM'!D35+AL59*'VALOR POR PL'!$P$7+IF(AL$1='VALOR POR PL'!$P$5,'VALOR POR PL'!$G$63,0)</f>
        <v/>
      </c>
      <c r="AM65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ADM'!D36+AM59*'VALOR POR PL'!$P$7+IF(AM$1='VALOR POR PL'!$P$5,'VALOR POR PL'!$G$63,0)</f>
        <v/>
      </c>
      <c r="AN65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ADM'!D37+AN59*'VALOR POR PL'!$P$7+IF(AN$1='VALOR POR PL'!$P$5,'VALOR POR PL'!$G$63,0)</f>
        <v/>
      </c>
      <c r="AO65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ADM'!D38+AO59*'VALOR POR PL'!$P$7+IF(AO$1='VALOR POR PL'!$P$5,'VALOR POR PL'!$G$63,0)</f>
        <v/>
      </c>
      <c r="AP65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ADM'!D39+AP59*'VALOR POR PL'!$P$7+IF(AP$1='VALOR POR PL'!$P$5,'VALOR POR PL'!$G$63,0)</f>
        <v/>
      </c>
      <c r="AQ65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ADM'!D40+AQ59*'VALOR POR PL'!$P$7+IF(AQ$1='VALOR POR PL'!$P$5,'VALOR POR PL'!$G$63,0)</f>
        <v/>
      </c>
      <c r="AR65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ADM'!D41+AR59*'VALOR POR PL'!$P$7+IF(AR$1='VALOR POR PL'!$P$5,'VALOR POR PL'!$G$63,0)</f>
        <v/>
      </c>
      <c r="AS65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ADM'!D42+AS59*'VALOR POR PL'!$P$7+IF(AS$1='VALOR POR PL'!$P$5,'VALOR POR PL'!$G$63,0)</f>
        <v/>
      </c>
      <c r="AT65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ADM'!D43+AT59*'VALOR POR PL'!$P$7+IF(AT$1='VALOR POR PL'!$P$5,'VALOR POR PL'!$G$63,0)</f>
        <v/>
      </c>
      <c r="AU65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ADM'!D44+AU59*'VALOR POR PL'!$P$7+IF(AU$1='VALOR POR PL'!$P$5,'VALOR POR PL'!$G$63,0)</f>
        <v/>
      </c>
      <c r="AV65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ADM'!D45+AV59*'VALOR POR PL'!$P$7+IF(AV$1='VALOR POR PL'!$P$5,'VALOR POR PL'!$G$63,0)</f>
        <v/>
      </c>
      <c r="AW65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ADM'!D46+AW59*'VALOR POR PL'!$P$7+IF(AW$1='VALOR POR PL'!$P$5,'VALOR POR PL'!$G$63,0)</f>
        <v/>
      </c>
      <c r="AX65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ADM'!D47+AX59*'VALOR POR PL'!$P$7+IF(AX$1='VALOR POR PL'!$P$5,'VALOR POR PL'!$G$63,0)</f>
        <v/>
      </c>
      <c r="AY65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ADM'!D48+AY59*'VALOR POR PL'!$P$7+IF(AY$1='VALOR POR PL'!$P$5,'VALOR POR PL'!$G$63,0)</f>
        <v/>
      </c>
      <c r="AZ65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ADM'!D49+AZ59*'VALOR POR PL'!$P$7+IF(AZ$1='VALOR POR PL'!$P$5,'VALOR POR PL'!$G$63,0)</f>
        <v/>
      </c>
      <c r="BA65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ADM'!D50+BA59*'VALOR POR PL'!$P$7+IF(BA$1='VALOR POR PL'!$P$5,'VALOR POR PL'!$G$63,0)</f>
        <v/>
      </c>
      <c r="BB65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ADM'!D51+BB59*'VALOR POR PL'!$P$7+IF(BB$1='VALOR POR PL'!$P$5,'VALOR POR PL'!$G$63,0)</f>
        <v/>
      </c>
      <c r="BC65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ADM'!D52+BC59*'VALOR POR PL'!$P$7+IF(BC$1='VALOR POR PL'!$P$5,'VALOR POR PL'!$G$63,0)</f>
        <v/>
      </c>
      <c r="BD65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ADM'!D53+BD59*'VALOR POR PL'!$P$7+IF(BD$1='VALOR POR PL'!$P$5,'VALOR POR PL'!$G$63,0)</f>
        <v/>
      </c>
      <c r="BE65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ADM'!D54+BE59*'VALOR POR PL'!$P$7+IF(BE$1='VALOR POR PL'!$P$5,'VALOR POR PL'!$G$63,0)</f>
        <v/>
      </c>
      <c r="BF65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ADM'!D55+BF59*'VALOR POR PL'!$P$7+IF(BF$1='VALOR POR PL'!$P$5,'VALOR POR PL'!$G$63,0)</f>
        <v/>
      </c>
      <c r="BG65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ADM'!D56+BG59*'VALOR POR PL'!$P$7+IF(BG$1='VALOR POR PL'!$P$5,'VALOR POR PL'!$G$63,0)</f>
        <v/>
      </c>
      <c r="BH65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ADM'!D57+BH59*'VALOR POR PL'!$P$7+IF(BH$1='VALOR POR PL'!$P$5,'VALOR POR PL'!$G$63,0)</f>
        <v/>
      </c>
      <c r="BI65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ADM'!D58+BI59*'VALOR POR PL'!$P$7+IF(BI$1='VALOR POR PL'!$P$5,'VALOR POR PL'!$G$63,0)</f>
        <v/>
      </c>
      <c r="BJ65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ADM'!D59+BJ59*'VALOR POR PL'!$P$7+IF(BJ$1='VALOR POR PL'!$P$5,'VALOR POR PL'!$G$63,0)</f>
        <v/>
      </c>
      <c r="BK65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ADM'!D60+BK59*'VALOR POR PL'!$P$7+IF(BK$1='VALOR POR PL'!$P$5,'VALOR POR PL'!$G$63,0)</f>
        <v/>
      </c>
      <c r="BL65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ADM'!D61+BL59*'VALOR POR PL'!$P$7+IF(BL$1='VALOR POR PL'!$P$5,'VALOR POR PL'!$G$63,0)</f>
        <v/>
      </c>
      <c r="BM65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ADM'!D62+BM59*'VALOR POR PL'!$P$7+IF(BM$1='VALOR POR PL'!$P$5,'VALOR POR PL'!$G$63,0)</f>
        <v/>
      </c>
      <c r="BN65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ADM'!D63+BN59*'VALOR POR PL'!$P$7+IF(BN$1='VALOR POR PL'!$P$5,'VALOR POR PL'!$G$63,0)</f>
        <v/>
      </c>
      <c r="BO65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ADM'!D64+BO59*'VALOR POR PL'!$P$7+IF(BO$1='VALOR POR PL'!$P$5,'VALOR POR PL'!$G$63,0)</f>
        <v/>
      </c>
      <c r="BP65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ADM'!D65+BP59*'VALOR POR PL'!$P$7+IF(BP$1='VALOR POR PL'!$P$5,'VALOR POR PL'!$G$63,0)</f>
        <v/>
      </c>
      <c r="BQ65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ADM'!D66+BQ59*'VALOR POR PL'!$P$7+IF(BQ$1='VALOR POR PL'!$P$5,'VALOR POR PL'!$G$63,0)</f>
        <v/>
      </c>
      <c r="BR65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ADM'!D67+BR59*'VALOR POR PL'!$P$7+IF(BR$1='VALOR POR PL'!$P$5,'VALOR POR PL'!$G$63,0)</f>
        <v/>
      </c>
      <c r="BS65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ADM'!D68+BS59*'VALOR POR PL'!$P$7+IF(BS$1='VALOR POR PL'!$P$5,'VALOR POR PL'!$G$63,0)</f>
        <v/>
      </c>
      <c r="BT65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ADM'!D69+BT59*'VALOR POR PL'!$P$7+IF(BT$1='VALOR POR PL'!$P$5,'VALOR POR PL'!$G$63,0)</f>
        <v/>
      </c>
      <c r="BU65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ADM'!D70+BU59*'VALOR POR PL'!$P$7+IF(BU$1='VALOR POR PL'!$P$5,'VALOR POR PL'!$G$63,0)</f>
        <v/>
      </c>
      <c r="BV65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ADM'!D71+BV59*'VALOR POR PL'!$P$7+IF(BV$1='VALOR POR PL'!$P$5,'VALOR POR PL'!$G$63,0)</f>
        <v/>
      </c>
      <c r="BW65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ADM'!D72+BW59*'VALOR POR PL'!$P$7+IF(BW$1='VALOR POR PL'!$P$5,'VALOR POR PL'!$G$63,0)</f>
        <v/>
      </c>
      <c r="BX65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ADM'!D73+BX59*'VALOR POR PL'!$P$7+IF(BX$1='VALOR POR PL'!$P$5,'VALOR POR PL'!$G$63,0)</f>
        <v/>
      </c>
      <c r="BY65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ADM'!D74+BY59*'VALOR POR PL'!$P$7+IF(BY$1='VALOR POR PL'!$P$5,'VALOR POR PL'!$G$63,0)</f>
        <v/>
      </c>
      <c r="BZ65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ADM'!D75+BZ59*'VALOR POR PL'!$P$7+IF(BZ$1='VALOR POR PL'!$P$5,'VALOR POR PL'!$G$63,0)</f>
        <v/>
      </c>
      <c r="CA65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ADM'!D76+CA59*'VALOR POR PL'!$P$7+IF(CA$1='VALOR POR PL'!$P$5,'VALOR POR PL'!$G$63,0)</f>
        <v/>
      </c>
    </row>
    <row r="66">
      <c r="C66" s="46" t="inlineStr">
        <is>
          <t>CURVA ACUMULADA (R$ nominal)</t>
        </is>
      </c>
      <c r="E66" s="116">
        <f>CA66</f>
        <v/>
      </c>
      <c r="H66" s="54">
        <f>H65</f>
        <v/>
      </c>
      <c r="I66" s="54">
        <f>H66+I65</f>
        <v/>
      </c>
      <c r="J66" s="54">
        <f>I66+J65</f>
        <v/>
      </c>
      <c r="K66" s="54">
        <f>J66+K65</f>
        <v/>
      </c>
      <c r="L66" s="54">
        <f>K66+L65</f>
        <v/>
      </c>
      <c r="M66" s="54">
        <f>L66+M65</f>
        <v/>
      </c>
      <c r="N66" s="54">
        <f>M66+N65</f>
        <v/>
      </c>
      <c r="O66" s="54">
        <f>N66+O65</f>
        <v/>
      </c>
      <c r="P66" s="54">
        <f>O66+P65</f>
        <v/>
      </c>
      <c r="Q66" s="54">
        <f>P66+Q65</f>
        <v/>
      </c>
      <c r="R66" s="54">
        <f>Q66+R65</f>
        <v/>
      </c>
      <c r="S66" s="54">
        <f>R66+S65</f>
        <v/>
      </c>
      <c r="T66" s="54">
        <f>S66+T65</f>
        <v/>
      </c>
      <c r="U66" s="54">
        <f>T66+U65</f>
        <v/>
      </c>
      <c r="V66" s="54">
        <f>U66+V65</f>
        <v/>
      </c>
      <c r="W66" s="54">
        <f>V66+W65</f>
        <v/>
      </c>
      <c r="X66" s="54">
        <f>W66+X65</f>
        <v/>
      </c>
      <c r="Y66" s="54">
        <f>X66+Y65</f>
        <v/>
      </c>
      <c r="Z66" s="54">
        <f>Y66+Z65</f>
        <v/>
      </c>
      <c r="AA66" s="54">
        <f>Z66+AA65</f>
        <v/>
      </c>
      <c r="AB66" s="54">
        <f>AA66+AB65</f>
        <v/>
      </c>
      <c r="AC66" s="54">
        <f>AB66+AC65</f>
        <v/>
      </c>
      <c r="AD66" s="54">
        <f>AC66+AD65</f>
        <v/>
      </c>
      <c r="AE66" s="54">
        <f>AD66+AE65</f>
        <v/>
      </c>
      <c r="AF66" s="54">
        <f>AE66+AF65</f>
        <v/>
      </c>
      <c r="AG66" s="54">
        <f>AF66+AG65</f>
        <v/>
      </c>
      <c r="AH66" s="54">
        <f>AG66+AH65</f>
        <v/>
      </c>
      <c r="AI66" s="54">
        <f>AH66+AI65</f>
        <v/>
      </c>
      <c r="AJ66" s="54">
        <f>AI66+AJ65</f>
        <v/>
      </c>
      <c r="AK66" s="54">
        <f>AJ66+AK65</f>
        <v/>
      </c>
      <c r="AL66" s="54">
        <f>AK66+AL65</f>
        <v/>
      </c>
      <c r="AM66" s="54">
        <f>AL66+AM65</f>
        <v/>
      </c>
      <c r="AN66" s="54">
        <f>AM66+AN65</f>
        <v/>
      </c>
      <c r="AO66" s="54">
        <f>AN66+AO65</f>
        <v/>
      </c>
      <c r="AP66" s="54">
        <f>AO66+AP65</f>
        <v/>
      </c>
      <c r="AQ66" s="54">
        <f>AP66+AQ65</f>
        <v/>
      </c>
      <c r="AR66" s="54">
        <f>AQ66+AR65</f>
        <v/>
      </c>
      <c r="AS66" s="54">
        <f>AR66+AS65</f>
        <v/>
      </c>
      <c r="AT66" s="54">
        <f>AS66+AT65</f>
        <v/>
      </c>
      <c r="AU66" s="54">
        <f>AT66+AU65</f>
        <v/>
      </c>
      <c r="AV66" s="54">
        <f>AU66+AV65</f>
        <v/>
      </c>
      <c r="AW66" s="54">
        <f>AV66+AW65</f>
        <v/>
      </c>
      <c r="AX66" s="54">
        <f>AW66+AX65</f>
        <v/>
      </c>
      <c r="AY66" s="54">
        <f>AX66+AY65</f>
        <v/>
      </c>
      <c r="AZ66" s="54">
        <f>AY66+AZ65</f>
        <v/>
      </c>
      <c r="BA66" s="54">
        <f>AZ66+BA65</f>
        <v/>
      </c>
      <c r="BB66" s="54">
        <f>BA66+BB65</f>
        <v/>
      </c>
      <c r="BC66" s="54">
        <f>BB66+BC65</f>
        <v/>
      </c>
      <c r="BD66" s="54">
        <f>BC66+BD65</f>
        <v/>
      </c>
      <c r="BE66" s="54">
        <f>BD66+BE65</f>
        <v/>
      </c>
      <c r="BF66" s="54">
        <f>BE66+BF65</f>
        <v/>
      </c>
      <c r="BG66" s="54">
        <f>BF66+BG65</f>
        <v/>
      </c>
      <c r="BH66" s="54">
        <f>BG66+BH65</f>
        <v/>
      </c>
      <c r="BI66" s="54">
        <f>BH66+BI65</f>
        <v/>
      </c>
      <c r="BJ66" s="54">
        <f>BI66+BJ65</f>
        <v/>
      </c>
      <c r="BK66" s="54">
        <f>BJ66+BK65</f>
        <v/>
      </c>
      <c r="BL66" s="54">
        <f>BK66+BL65</f>
        <v/>
      </c>
      <c r="BM66" s="54">
        <f>BL66+BM65</f>
        <v/>
      </c>
      <c r="BN66" s="54">
        <f>BM66+BN65</f>
        <v/>
      </c>
      <c r="BO66" s="54">
        <f>BN66+BO65</f>
        <v/>
      </c>
      <c r="BP66" s="54">
        <f>BO66+BP65</f>
        <v/>
      </c>
      <c r="BQ66" s="54">
        <f>BP66+BQ65</f>
        <v/>
      </c>
      <c r="BR66" s="54">
        <f>BQ66+BR65</f>
        <v/>
      </c>
      <c r="BS66" s="54">
        <f>BR66+BS65</f>
        <v/>
      </c>
      <c r="BT66" s="54">
        <f>BS66+BT65</f>
        <v/>
      </c>
      <c r="BU66" s="54">
        <f>BT66+BU65</f>
        <v/>
      </c>
      <c r="BV66" s="54">
        <f>BU66+BV65</f>
        <v/>
      </c>
      <c r="BW66" s="54">
        <f>BV66+BW65</f>
        <v/>
      </c>
      <c r="BX66" s="54">
        <f>BW66+BX65</f>
        <v/>
      </c>
      <c r="BY66" s="54">
        <f>BX66+BY65</f>
        <v/>
      </c>
      <c r="BZ66" s="54">
        <f>BY66+BZ65</f>
        <v/>
      </c>
      <c r="CA66" s="54">
        <f>BZ66+CA65</f>
        <v/>
      </c>
    </row>
    <row r="67">
      <c r="C67" s="46" t="inlineStr">
        <is>
          <t>% ACUMULADO DA PROJEÇÃO</t>
        </is>
      </c>
      <c r="H67" s="117">
        <f>IF($E$66=0,0,H66/$E$66)</f>
        <v/>
      </c>
      <c r="I67" s="117">
        <f>IF($E$66=0,0,I66/$E$66)</f>
        <v/>
      </c>
      <c r="J67" s="117">
        <f>IF($E$66=0,0,J66/$E$66)</f>
        <v/>
      </c>
      <c r="K67" s="117">
        <f>IF($E$66=0,0,K66/$E$66)</f>
        <v/>
      </c>
      <c r="L67" s="117">
        <f>IF($E$66=0,0,L66/$E$66)</f>
        <v/>
      </c>
      <c r="M67" s="117">
        <f>IF($E$66=0,0,M66/$E$66)</f>
        <v/>
      </c>
      <c r="N67" s="117">
        <f>IF($E$66=0,0,N66/$E$66)</f>
        <v/>
      </c>
      <c r="O67" s="117">
        <f>IF($E$66=0,0,O66/$E$66)</f>
        <v/>
      </c>
      <c r="P67" s="117">
        <f>IF($E$66=0,0,P66/$E$66)</f>
        <v/>
      </c>
      <c r="Q67" s="117">
        <f>IF($E$66=0,0,Q66/$E$66)</f>
        <v/>
      </c>
      <c r="R67" s="117">
        <f>IF($E$66=0,0,R66/$E$66)</f>
        <v/>
      </c>
      <c r="S67" s="117">
        <f>IF($E$66=0,0,S66/$E$66)</f>
        <v/>
      </c>
      <c r="T67" s="117">
        <f>IF($E$66=0,0,T66/$E$66)</f>
        <v/>
      </c>
      <c r="U67" s="117">
        <f>IF($E$66=0,0,U66/$E$66)</f>
        <v/>
      </c>
      <c r="V67" s="117">
        <f>IF($E$66=0,0,V66/$E$66)</f>
        <v/>
      </c>
      <c r="W67" s="117">
        <f>IF($E$66=0,0,W66/$E$66)</f>
        <v/>
      </c>
      <c r="X67" s="117">
        <f>IF($E$66=0,0,X66/$E$66)</f>
        <v/>
      </c>
      <c r="Y67" s="117">
        <f>IF($E$66=0,0,Y66/$E$66)</f>
        <v/>
      </c>
      <c r="Z67" s="117">
        <f>IF($E$66=0,0,Z66/$E$66)</f>
        <v/>
      </c>
      <c r="AA67" s="117">
        <f>IF($E$66=0,0,AA66/$E$66)</f>
        <v/>
      </c>
      <c r="AB67" s="117">
        <f>IF($E$66=0,0,AB66/$E$66)</f>
        <v/>
      </c>
      <c r="AC67" s="117">
        <f>IF($E$66=0,0,AC66/$E$66)</f>
        <v/>
      </c>
      <c r="AD67" s="117">
        <f>IF($E$66=0,0,AD66/$E$66)</f>
        <v/>
      </c>
      <c r="AE67" s="117">
        <f>IF($E$66=0,0,AE66/$E$66)</f>
        <v/>
      </c>
      <c r="AF67" s="117">
        <f>IF($E$66=0,0,AF66/$E$66)</f>
        <v/>
      </c>
      <c r="AG67" s="117">
        <f>IF($E$66=0,0,AG66/$E$66)</f>
        <v/>
      </c>
      <c r="AH67" s="117">
        <f>IF($E$66=0,0,AH66/$E$66)</f>
        <v/>
      </c>
      <c r="AI67" s="117">
        <f>IF($E$66=0,0,AI66/$E$66)</f>
        <v/>
      </c>
      <c r="AJ67" s="117">
        <f>IF($E$66=0,0,AJ66/$E$66)</f>
        <v/>
      </c>
      <c r="AK67" s="117">
        <f>IF($E$66=0,0,AK66/$E$66)</f>
        <v/>
      </c>
      <c r="AL67" s="117">
        <f>IF($E$66=0,0,AL66/$E$66)</f>
        <v/>
      </c>
      <c r="AM67" s="117">
        <f>IF($E$66=0,0,AM66/$E$66)</f>
        <v/>
      </c>
      <c r="AN67" s="117">
        <f>IF($E$66=0,0,AN66/$E$66)</f>
        <v/>
      </c>
      <c r="AO67" s="117">
        <f>IF($E$66=0,0,AO66/$E$66)</f>
        <v/>
      </c>
      <c r="AP67" s="117">
        <f>IF($E$66=0,0,AP66/$E$66)</f>
        <v/>
      </c>
      <c r="AQ67" s="117">
        <f>IF($E$66=0,0,AQ66/$E$66)</f>
        <v/>
      </c>
      <c r="AR67" s="117">
        <f>IF($E$66=0,0,AR66/$E$66)</f>
        <v/>
      </c>
      <c r="AS67" s="117">
        <f>IF($E$66=0,0,AS66/$E$66)</f>
        <v/>
      </c>
      <c r="AT67" s="117">
        <f>IF($E$66=0,0,AT66/$E$66)</f>
        <v/>
      </c>
      <c r="AU67" s="117">
        <f>IF($E$66=0,0,AU66/$E$66)</f>
        <v/>
      </c>
      <c r="AV67" s="117">
        <f>IF($E$66=0,0,AV66/$E$66)</f>
        <v/>
      </c>
      <c r="AW67" s="117">
        <f>IF($E$66=0,0,AW66/$E$66)</f>
        <v/>
      </c>
      <c r="AX67" s="117">
        <f>IF($E$66=0,0,AX66/$E$66)</f>
        <v/>
      </c>
      <c r="AY67" s="117">
        <f>IF($E$66=0,0,AY66/$E$66)</f>
        <v/>
      </c>
      <c r="AZ67" s="117">
        <f>IF($E$66=0,0,AZ66/$E$66)</f>
        <v/>
      </c>
      <c r="BA67" s="117">
        <f>IF($E$66=0,0,BA66/$E$66)</f>
        <v/>
      </c>
      <c r="BB67" s="117">
        <f>IF($E$66=0,0,BB66/$E$66)</f>
        <v/>
      </c>
      <c r="BC67" s="117">
        <f>IF($E$66=0,0,BC66/$E$66)</f>
        <v/>
      </c>
      <c r="BD67" s="117">
        <f>IF($E$66=0,0,BD66/$E$66)</f>
        <v/>
      </c>
      <c r="BE67" s="117">
        <f>IF($E$66=0,0,BE66/$E$66)</f>
        <v/>
      </c>
      <c r="BF67" s="117">
        <f>IF($E$66=0,0,BF66/$E$66)</f>
        <v/>
      </c>
      <c r="BG67" s="117">
        <f>IF($E$66=0,0,BG66/$E$66)</f>
        <v/>
      </c>
      <c r="BH67" s="117">
        <f>IF($E$66=0,0,BH66/$E$66)</f>
        <v/>
      </c>
      <c r="BI67" s="117">
        <f>IF($E$66=0,0,BI66/$E$66)</f>
        <v/>
      </c>
      <c r="BJ67" s="117">
        <f>IF($E$66=0,0,BJ66/$E$66)</f>
        <v/>
      </c>
      <c r="BK67" s="117">
        <f>IF($E$66=0,0,BK66/$E$66)</f>
        <v/>
      </c>
      <c r="BL67" s="117">
        <f>IF($E$66=0,0,BL66/$E$66)</f>
        <v/>
      </c>
      <c r="BM67" s="117">
        <f>IF($E$66=0,0,BM66/$E$66)</f>
        <v/>
      </c>
      <c r="BN67" s="117">
        <f>IF($E$66=0,0,BN66/$E$66)</f>
        <v/>
      </c>
      <c r="BO67" s="117">
        <f>IF($E$66=0,0,BO66/$E$66)</f>
        <v/>
      </c>
      <c r="BP67" s="117">
        <f>IF($E$66=0,0,BP66/$E$66)</f>
        <v/>
      </c>
      <c r="BQ67" s="117">
        <f>IF($E$66=0,0,BQ66/$E$66)</f>
        <v/>
      </c>
      <c r="BR67" s="117">
        <f>IF($E$66=0,0,BR66/$E$66)</f>
        <v/>
      </c>
      <c r="BS67" s="117">
        <f>IF($E$66=0,0,BS66/$E$66)</f>
        <v/>
      </c>
      <c r="BT67" s="117">
        <f>IF($E$66=0,0,BT66/$E$66)</f>
        <v/>
      </c>
      <c r="BU67" s="117">
        <f>IF($E$66=0,0,BU66/$E$66)</f>
        <v/>
      </c>
      <c r="BV67" s="117">
        <f>IF($E$66=0,0,BV66/$E$66)</f>
        <v/>
      </c>
      <c r="BW67" s="117">
        <f>IF($E$66=0,0,BW66/$E$66)</f>
        <v/>
      </c>
      <c r="BX67" s="117">
        <f>IF($E$66=0,0,BX66/$E$66)</f>
        <v/>
      </c>
      <c r="BY67" s="117">
        <f>IF($E$66=0,0,BY66/$E$66)</f>
        <v/>
      </c>
      <c r="BZ67" s="117">
        <f>IF($E$66=0,0,BZ66/$E$66)</f>
        <v/>
      </c>
      <c r="CA67" s="117">
        <f>IF($E$66=0,0,CA66/$E$66)</f>
        <v/>
      </c>
    </row>
  </sheetData>
  <conditionalFormatting sqref="H2:CA63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8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6" t="inlineStr">
        <is>
          <t>Anotações (do arquivo original)</t>
        </is>
      </c>
    </row>
    <row r="4">
      <c r="A4" s="119">
        <f>'MODELO PARA BI'!H1</f>
        <v/>
      </c>
      <c r="B4" s="120" t="n"/>
      <c r="C4" s="117">
        <f>B4</f>
        <v/>
      </c>
      <c r="D4" s="60">
        <f>IF(A4&lt;='VALOR POR PL'!$P$5,'MODELO PARA BI'!H63,0)</f>
        <v/>
      </c>
      <c r="E4" s="60">
        <f>IF(A4&gt;'VALOR POR PL'!$P$5,'MODELO PARA BI'!H63,0)</f>
        <v/>
      </c>
      <c r="F4" s="117">
        <f>IF('MODELO PARA BI'!$E$63=0,0,(D4+E4)/'MODELO PARA BI'!$E$63)</f>
        <v/>
      </c>
      <c r="G4" s="117">
        <f>F4</f>
        <v/>
      </c>
      <c r="I4" s="49">
        <f>B4*'VALOR POR PL'!$G$50</f>
        <v/>
      </c>
      <c r="J4" s="54">
        <f>I4*IF(A4&lt;='VALOR POR PL'!$P$5,IFERROR(INDEX('"INCC-FGV"'!$B$2:$B$800,MATCH(A4,'"INCC-FGV"'!$A$2:$A$800,0)),'VALOR POR PL'!$P$7),'VALOR POR PL'!$P$7)</f>
        <v/>
      </c>
      <c r="K4" s="71">
        <f>'MODELO PARA BI'!H65</f>
        <v/>
      </c>
      <c r="L4" s="71">
        <f>'MODELO PARA BI'!H66</f>
        <v/>
      </c>
      <c r="M4" s="54">
        <f>J4</f>
        <v/>
      </c>
      <c r="O4" s="4" t="inlineStr">
        <is>
          <t>Anual
%</t>
        </is>
      </c>
    </row>
    <row r="5">
      <c r="A5" s="119">
        <f>'MODELO PARA BI'!I1</f>
        <v/>
      </c>
      <c r="B5" s="120" t="n"/>
      <c r="C5" s="117">
        <f>C4+B5</f>
        <v/>
      </c>
      <c r="D5" s="60">
        <f>IF(A5&lt;='VALOR POR PL'!$P$5,'MODELO PARA BI'!I63,0)</f>
        <v/>
      </c>
      <c r="E5" s="60">
        <f>IF(A5&gt;'VALOR POR PL'!$P$5,'MODELO PARA BI'!I63,0)</f>
        <v/>
      </c>
      <c r="F5" s="117">
        <f>IF('MODELO PARA BI'!$E$63=0,0,(D5+E5)/'MODELO PARA BI'!$E$63)</f>
        <v/>
      </c>
      <c r="G5" s="117">
        <f>G4+F5</f>
        <v/>
      </c>
      <c r="I5" s="49">
        <f>B5*'VALOR POR PL'!$G$50</f>
        <v/>
      </c>
      <c r="J5" s="54">
        <f>I5*IF(A5&lt;='VALOR POR PL'!$P$5,IFERROR(INDEX('"INCC-FGV"'!$B$2:$B$800,MATCH(A5,'"INCC-FGV"'!$A$2:$A$800,0)),'VALOR POR PL'!$P$7),'VALOR POR PL'!$P$7)</f>
        <v/>
      </c>
      <c r="K5" s="71">
        <f>'MODELO PARA BI'!I65</f>
        <v/>
      </c>
      <c r="L5" s="71">
        <f>'MODELO PARA BI'!I66</f>
        <v/>
      </c>
      <c r="M5" s="54">
        <f>M4+J5</f>
        <v/>
      </c>
      <c r="O5" s="4" t="n">
        <v>0.05920832319294678</v>
      </c>
    </row>
    <row r="6">
      <c r="A6" s="119">
        <f>'MODELO PARA BI'!J1</f>
        <v/>
      </c>
      <c r="B6" s="120" t="n"/>
      <c r="C6" s="117">
        <f>C5+B6</f>
        <v/>
      </c>
      <c r="D6" s="60">
        <f>IF(A6&lt;='VALOR POR PL'!$P$5,'MODELO PARA BI'!J63,0)</f>
        <v/>
      </c>
      <c r="E6" s="60">
        <f>IF(A6&gt;'VALOR POR PL'!$P$5,'MODELO PARA BI'!J63,0)</f>
        <v/>
      </c>
      <c r="F6" s="117">
        <f>IF('MODELO PARA BI'!$E$63=0,0,(D6+E6)/'MODELO PARA BI'!$E$63)</f>
        <v/>
      </c>
      <c r="G6" s="117">
        <f>G5+F6</f>
        <v/>
      </c>
      <c r="I6" s="49">
        <f>B6*'VALOR POR PL'!$G$50</f>
        <v/>
      </c>
      <c r="J6" s="54">
        <f>I6*IF(A6&lt;='VALOR POR PL'!$P$5,IFERROR(INDEX('"INCC-FGV"'!$B$2:$B$800,MATCH(A6,'"INCC-FGV"'!$A$2:$A$800,0)),'VALOR POR PL'!$P$7),'VALOR POR PL'!$P$7)</f>
        <v/>
      </c>
      <c r="K6" s="71">
        <f>'MODELO PARA BI'!J65</f>
        <v/>
      </c>
      <c r="L6" s="71">
        <f>'MODELO PARA BI'!J66</f>
        <v/>
      </c>
      <c r="M6" s="54">
        <f>M5+J6</f>
        <v/>
      </c>
      <c r="O6" s="4" t="n">
        <v>0.08222673836190261</v>
      </c>
    </row>
    <row r="7">
      <c r="A7" s="119">
        <f>'MODELO PARA BI'!K1</f>
        <v/>
      </c>
      <c r="B7" s="120" t="n"/>
      <c r="C7" s="117">
        <f>C6+B7</f>
        <v/>
      </c>
      <c r="D7" s="60">
        <f>IF(A7&lt;='VALOR POR PL'!$P$5,'MODELO PARA BI'!K63,0)</f>
        <v/>
      </c>
      <c r="E7" s="60">
        <f>IF(A7&gt;'VALOR POR PL'!$P$5,'MODELO PARA BI'!K63,0)</f>
        <v/>
      </c>
      <c r="F7" s="117">
        <f>IF('MODELO PARA BI'!$E$63=0,0,(D7+E7)/'MODELO PARA BI'!$E$63)</f>
        <v/>
      </c>
      <c r="G7" s="117">
        <f>G6+F7</f>
        <v/>
      </c>
      <c r="I7" s="49">
        <f>B7*'VALOR POR PL'!$G$50</f>
        <v/>
      </c>
      <c r="J7" s="54">
        <f>I7*IF(A7&lt;='VALOR POR PL'!$P$5,IFERROR(INDEX('"INCC-FGV"'!$B$2:$B$800,MATCH(A7,'"INCC-FGV"'!$A$2:$A$800,0)),'VALOR POR PL'!$P$7),'VALOR POR PL'!$P$7)</f>
        <v/>
      </c>
      <c r="K7" s="71">
        <f>'MODELO PARA BI'!K65</f>
        <v/>
      </c>
      <c r="L7" s="71">
        <f>'MODELO PARA BI'!K66</f>
        <v/>
      </c>
      <c r="M7" s="54">
        <f>M6+J7</f>
        <v/>
      </c>
      <c r="O7" s="4" t="n">
        <v>0.197756749338267</v>
      </c>
    </row>
    <row r="8">
      <c r="A8" s="119">
        <f>'MODELO PARA BI'!L1</f>
        <v/>
      </c>
      <c r="B8" s="120" t="n"/>
      <c r="C8" s="117">
        <f>C7+B8</f>
        <v/>
      </c>
      <c r="D8" s="60">
        <f>IF(A8&lt;='VALOR POR PL'!$P$5,'MODELO PARA BI'!L63,0)</f>
        <v/>
      </c>
      <c r="E8" s="60">
        <f>IF(A8&gt;'VALOR POR PL'!$P$5,'MODELO PARA BI'!L63,0)</f>
        <v/>
      </c>
      <c r="F8" s="117">
        <f>IF('MODELO PARA BI'!$E$63=0,0,(D8+E8)/'MODELO PARA BI'!$E$63)</f>
        <v/>
      </c>
      <c r="G8" s="117">
        <f>G7+F8</f>
        <v/>
      </c>
      <c r="I8" s="49">
        <f>B8*'VALOR POR PL'!$G$50</f>
        <v/>
      </c>
      <c r="J8" s="54">
        <f>I8*IF(A8&lt;='VALOR POR PL'!$P$5,IFERROR(INDEX('"INCC-FGV"'!$B$2:$B$800,MATCH(A8,'"INCC-FGV"'!$A$2:$A$800,0)),'VALOR POR PL'!$P$7),'VALOR POR PL'!$P$7)</f>
        <v/>
      </c>
      <c r="K8" s="71">
        <f>'MODELO PARA BI'!L65</f>
        <v/>
      </c>
      <c r="L8" s="71">
        <f>'MODELO PARA BI'!L66</f>
        <v/>
      </c>
      <c r="M8" s="54">
        <f>M7+J8</f>
        <v/>
      </c>
      <c r="O8" s="4" t="n">
        <v>0.1607152630510936</v>
      </c>
    </row>
    <row r="9">
      <c r="A9" s="119">
        <f>'MODELO PARA BI'!M1</f>
        <v/>
      </c>
      <c r="B9" s="120" t="n"/>
      <c r="C9" s="117">
        <f>C8+B9</f>
        <v/>
      </c>
      <c r="D9" s="60">
        <f>IF(A9&lt;='VALOR POR PL'!$P$5,'MODELO PARA BI'!M63,0)</f>
        <v/>
      </c>
      <c r="E9" s="60">
        <f>IF(A9&gt;'VALOR POR PL'!$P$5,'MODELO PARA BI'!M63,0)</f>
        <v/>
      </c>
      <c r="F9" s="117">
        <f>IF('MODELO PARA BI'!$E$63=0,0,(D9+E9)/'MODELO PARA BI'!$E$63)</f>
        <v/>
      </c>
      <c r="G9" s="117">
        <f>G8+F9</f>
        <v/>
      </c>
      <c r="I9" s="49">
        <f>B9*'VALOR POR PL'!$G$50</f>
        <v/>
      </c>
      <c r="J9" s="54">
        <f>I9*IF(A9&lt;='VALOR POR PL'!$P$5,IFERROR(INDEX('"INCC-FGV"'!$B$2:$B$800,MATCH(A9,'"INCC-FGV"'!$A$2:$A$800,0)),'VALOR POR PL'!$P$7),'VALOR POR PL'!$P$7)</f>
        <v/>
      </c>
      <c r="K9" s="71">
        <f>'MODELO PARA BI'!M65</f>
        <v/>
      </c>
      <c r="L9" s="71">
        <f>'MODELO PARA BI'!M66</f>
        <v/>
      </c>
      <c r="M9" s="54">
        <f>M8+J9</f>
        <v/>
      </c>
      <c r="O9" s="4" t="n">
        <v>0.5000929260557899</v>
      </c>
    </row>
    <row r="10">
      <c r="A10" s="119">
        <f>'MODELO PARA BI'!N1</f>
        <v/>
      </c>
      <c r="B10" s="120" t="n"/>
      <c r="C10" s="117">
        <f>C9+B10</f>
        <v/>
      </c>
      <c r="D10" s="60">
        <f>IF(A10&lt;='VALOR POR PL'!$P$5,'MODELO PARA BI'!N63,0)</f>
        <v/>
      </c>
      <c r="E10" s="60">
        <f>IF(A10&gt;'VALOR POR PL'!$P$5,'MODELO PARA BI'!N63,0)</f>
        <v/>
      </c>
      <c r="F10" s="117">
        <f>IF('MODELO PARA BI'!$E$63=0,0,(D10+E10)/'MODELO PARA BI'!$E$63)</f>
        <v/>
      </c>
      <c r="G10" s="117">
        <f>G9+F10</f>
        <v/>
      </c>
      <c r="I10" s="49">
        <f>B10*'VALOR POR PL'!$G$50</f>
        <v/>
      </c>
      <c r="J10" s="54">
        <f>I10*IF(A10&lt;='VALOR POR PL'!$P$5,IFERROR(INDEX('"INCC-FGV"'!$B$2:$B$800,MATCH(A10,'"INCC-FGV"'!$A$2:$A$800,0)),'VALOR POR PL'!$P$7),'VALOR POR PL'!$P$7)</f>
        <v/>
      </c>
      <c r="K10" s="71">
        <f>'MODELO PARA BI'!N65</f>
        <v/>
      </c>
      <c r="L10" s="71">
        <f>'MODELO PARA BI'!N66</f>
        <v/>
      </c>
      <c r="M10" s="54">
        <f>M9+J10</f>
        <v/>
      </c>
    </row>
    <row r="11">
      <c r="A11" s="119">
        <f>'MODELO PARA BI'!O1</f>
        <v/>
      </c>
      <c r="B11" s="120" t="n"/>
      <c r="C11" s="117">
        <f>C10+B11</f>
        <v/>
      </c>
      <c r="D11" s="60">
        <f>IF(A11&lt;='VALOR POR PL'!$P$5,'MODELO PARA BI'!O63,0)</f>
        <v/>
      </c>
      <c r="E11" s="60">
        <f>IF(A11&gt;'VALOR POR PL'!$P$5,'MODELO PARA BI'!O63,0)</f>
        <v/>
      </c>
      <c r="F11" s="117">
        <f>IF('MODELO PARA BI'!$E$63=0,0,(D11+E11)/'MODELO PARA BI'!$E$63)</f>
        <v/>
      </c>
      <c r="G11" s="117">
        <f>G10+F11</f>
        <v/>
      </c>
      <c r="I11" s="49">
        <f>B11*'VALOR POR PL'!$G$50</f>
        <v/>
      </c>
      <c r="J11" s="54">
        <f>I11*IF(A11&lt;='VALOR POR PL'!$P$5,IFERROR(INDEX('"INCC-FGV"'!$B$2:$B$800,MATCH(A11,'"INCC-FGV"'!$A$2:$A$800,0)),'VALOR POR PL'!$P$7),'VALOR POR PL'!$P$7)</f>
        <v/>
      </c>
      <c r="K11" s="71">
        <f>'MODELO PARA BI'!O65</f>
        <v/>
      </c>
      <c r="L11" s="71">
        <f>'MODELO PARA BI'!O66</f>
        <v/>
      </c>
      <c r="M11" s="54">
        <f>M10+J11</f>
        <v/>
      </c>
    </row>
    <row r="12">
      <c r="A12" s="119">
        <f>'MODELO PARA BI'!P1</f>
        <v/>
      </c>
      <c r="B12" s="120" t="n"/>
      <c r="C12" s="117">
        <f>C11+B12</f>
        <v/>
      </c>
      <c r="D12" s="60">
        <f>IF(A12&lt;='VALOR POR PL'!$P$5,'MODELO PARA BI'!P63,0)</f>
        <v/>
      </c>
      <c r="E12" s="60">
        <f>IF(A12&gt;'VALOR POR PL'!$P$5,'MODELO PARA BI'!P63,0)</f>
        <v/>
      </c>
      <c r="F12" s="117">
        <f>IF('MODELO PARA BI'!$E$63=0,0,(D12+E12)/'MODELO PARA BI'!$E$63)</f>
        <v/>
      </c>
      <c r="G12" s="117">
        <f>G11+F12</f>
        <v/>
      </c>
      <c r="I12" s="49">
        <f>B12*'VALOR POR PL'!$G$50</f>
        <v/>
      </c>
      <c r="J12" s="54">
        <f>I12*IF(A12&lt;='VALOR POR PL'!$P$5,IFERROR(INDEX('"INCC-FGV"'!$B$2:$B$800,MATCH(A12,'"INCC-FGV"'!$A$2:$A$800,0)),'VALOR POR PL'!$P$7),'VALOR POR PL'!$P$7)</f>
        <v/>
      </c>
      <c r="K12" s="71">
        <f>'MODELO PARA BI'!P65</f>
        <v/>
      </c>
      <c r="L12" s="71">
        <f>'MODELO PARA BI'!P66</f>
        <v/>
      </c>
      <c r="M12" s="54">
        <f>M11+J12</f>
        <v/>
      </c>
    </row>
    <row r="13">
      <c r="A13" s="119">
        <f>'MODELO PARA BI'!Q1</f>
        <v/>
      </c>
      <c r="B13" s="120" t="n"/>
      <c r="C13" s="117">
        <f>C12+B13</f>
        <v/>
      </c>
      <c r="D13" s="60">
        <f>IF(A13&lt;='VALOR POR PL'!$P$5,'MODELO PARA BI'!Q63,0)</f>
        <v/>
      </c>
      <c r="E13" s="60">
        <f>IF(A13&gt;'VALOR POR PL'!$P$5,'MODELO PARA BI'!Q63,0)</f>
        <v/>
      </c>
      <c r="F13" s="117">
        <f>IF('MODELO PARA BI'!$E$63=0,0,(D13+E13)/'MODELO PARA BI'!$E$63)</f>
        <v/>
      </c>
      <c r="G13" s="117">
        <f>G12+F13</f>
        <v/>
      </c>
      <c r="I13" s="49">
        <f>B13*'VALOR POR PL'!$G$50</f>
        <v/>
      </c>
      <c r="J13" s="54">
        <f>I13*IF(A13&lt;='VALOR POR PL'!$P$5,IFERROR(INDEX('"INCC-FGV"'!$B$2:$B$800,MATCH(A13,'"INCC-FGV"'!$A$2:$A$800,0)),'VALOR POR PL'!$P$7),'VALOR POR PL'!$P$7)</f>
        <v/>
      </c>
      <c r="K13" s="71">
        <f>'MODELO PARA BI'!Q65</f>
        <v/>
      </c>
      <c r="L13" s="71">
        <f>'MODELO PARA BI'!Q66</f>
        <v/>
      </c>
      <c r="M13" s="54">
        <f>M12+J13</f>
        <v/>
      </c>
    </row>
    <row r="14">
      <c r="A14" s="119">
        <f>'MODELO PARA BI'!R1</f>
        <v/>
      </c>
      <c r="B14" s="120" t="n"/>
      <c r="C14" s="117">
        <f>C13+B14</f>
        <v/>
      </c>
      <c r="D14" s="60">
        <f>IF(A14&lt;='VALOR POR PL'!$P$5,'MODELO PARA BI'!R63,0)</f>
        <v/>
      </c>
      <c r="E14" s="60">
        <f>IF(A14&gt;'VALOR POR PL'!$P$5,'MODELO PARA BI'!R63,0)</f>
        <v/>
      </c>
      <c r="F14" s="117">
        <f>IF('MODELO PARA BI'!$E$63=0,0,(D14+E14)/'MODELO PARA BI'!$E$63)</f>
        <v/>
      </c>
      <c r="G14" s="117">
        <f>G13+F14</f>
        <v/>
      </c>
      <c r="I14" s="49">
        <f>B14*'VALOR POR PL'!$G$50</f>
        <v/>
      </c>
      <c r="J14" s="54">
        <f>I14*IF(A14&lt;='VALOR POR PL'!$P$5,IFERROR(INDEX('"INCC-FGV"'!$B$2:$B$800,MATCH(A14,'"INCC-FGV"'!$A$2:$A$800,0)),'VALOR POR PL'!$P$7),'VALOR POR PL'!$P$7)</f>
        <v/>
      </c>
      <c r="K14" s="71">
        <f>'MODELO PARA BI'!R65</f>
        <v/>
      </c>
      <c r="L14" s="71">
        <f>'MODELO PARA BI'!R66</f>
        <v/>
      </c>
      <c r="M14" s="54">
        <f>M13+J14</f>
        <v/>
      </c>
    </row>
    <row r="15">
      <c r="A15" s="119">
        <f>'MODELO PARA BI'!S1</f>
        <v/>
      </c>
      <c r="B15" s="120" t="n"/>
      <c r="C15" s="117">
        <f>C14+B15</f>
        <v/>
      </c>
      <c r="D15" s="60">
        <f>IF(A15&lt;='VALOR POR PL'!$P$5,'MODELO PARA BI'!S63,0)</f>
        <v/>
      </c>
      <c r="E15" s="60">
        <f>IF(A15&gt;'VALOR POR PL'!$P$5,'MODELO PARA BI'!S63,0)</f>
        <v/>
      </c>
      <c r="F15" s="117">
        <f>IF('MODELO PARA BI'!$E$63=0,0,(D15+E15)/'MODELO PARA BI'!$E$63)</f>
        <v/>
      </c>
      <c r="G15" s="117">
        <f>G14+F15</f>
        <v/>
      </c>
      <c r="I15" s="49">
        <f>B15*'VALOR POR PL'!$G$50</f>
        <v/>
      </c>
      <c r="J15" s="54">
        <f>I15*IF(A15&lt;='VALOR POR PL'!$P$5,IFERROR(INDEX('"INCC-FGV"'!$B$2:$B$800,MATCH(A15,'"INCC-FGV"'!$A$2:$A$800,0)),'VALOR POR PL'!$P$7),'VALOR POR PL'!$P$7)</f>
        <v/>
      </c>
      <c r="K15" s="71">
        <f>'MODELO PARA BI'!S65</f>
        <v/>
      </c>
      <c r="L15" s="71">
        <f>'MODELO PARA BI'!S66</f>
        <v/>
      </c>
      <c r="M15" s="54">
        <f>M14+J15</f>
        <v/>
      </c>
    </row>
    <row r="16">
      <c r="A16" s="119">
        <f>'MODELO PARA BI'!T1</f>
        <v/>
      </c>
      <c r="B16" s="120" t="n"/>
      <c r="C16" s="117">
        <f>C15+B16</f>
        <v/>
      </c>
      <c r="D16" s="60">
        <f>IF(A16&lt;='VALOR POR PL'!$P$5,'MODELO PARA BI'!T63,0)</f>
        <v/>
      </c>
      <c r="E16" s="60">
        <f>IF(A16&gt;'VALOR POR PL'!$P$5,'MODELO PARA BI'!T63,0)</f>
        <v/>
      </c>
      <c r="F16" s="117">
        <f>IF('MODELO PARA BI'!$E$63=0,0,(D16+E16)/'MODELO PARA BI'!$E$63)</f>
        <v/>
      </c>
      <c r="G16" s="117">
        <f>G15+F16</f>
        <v/>
      </c>
      <c r="I16" s="49">
        <f>B16*'VALOR POR PL'!$G$50</f>
        <v/>
      </c>
      <c r="J16" s="54">
        <f>I16*IF(A16&lt;='VALOR POR PL'!$P$5,IFERROR(INDEX('"INCC-FGV"'!$B$2:$B$800,MATCH(A16,'"INCC-FGV"'!$A$2:$A$800,0)),'VALOR POR PL'!$P$7),'VALOR POR PL'!$P$7)</f>
        <v/>
      </c>
      <c r="K16" s="71">
        <f>'MODELO PARA BI'!T65</f>
        <v/>
      </c>
      <c r="L16" s="71">
        <f>'MODELO PARA BI'!T66</f>
        <v/>
      </c>
      <c r="M16" s="54">
        <f>M15+J16</f>
        <v/>
      </c>
    </row>
    <row r="17">
      <c r="A17" s="119">
        <f>'MODELO PARA BI'!U1</f>
        <v/>
      </c>
      <c r="B17" s="120" t="n"/>
      <c r="C17" s="117">
        <f>C16+B17</f>
        <v/>
      </c>
      <c r="D17" s="60">
        <f>IF(A17&lt;='VALOR POR PL'!$P$5,'MODELO PARA BI'!U63,0)</f>
        <v/>
      </c>
      <c r="E17" s="60">
        <f>IF(A17&gt;'VALOR POR PL'!$P$5,'MODELO PARA BI'!U63,0)</f>
        <v/>
      </c>
      <c r="F17" s="117">
        <f>IF('MODELO PARA BI'!$E$63=0,0,(D17+E17)/'MODELO PARA BI'!$E$63)</f>
        <v/>
      </c>
      <c r="G17" s="117">
        <f>G16+F17</f>
        <v/>
      </c>
      <c r="I17" s="49">
        <f>B17*'VALOR POR PL'!$G$50</f>
        <v/>
      </c>
      <c r="J17" s="54">
        <f>I17*IF(A17&lt;='VALOR POR PL'!$P$5,IFERROR(INDEX('"INCC-FGV"'!$B$2:$B$800,MATCH(A17,'"INCC-FGV"'!$A$2:$A$800,0)),'VALOR POR PL'!$P$7),'VALOR POR PL'!$P$7)</f>
        <v/>
      </c>
      <c r="K17" s="71">
        <f>'MODELO PARA BI'!U65</f>
        <v/>
      </c>
      <c r="L17" s="71">
        <f>'MODELO PARA BI'!U66</f>
        <v/>
      </c>
      <c r="M17" s="54">
        <f>M16+J17</f>
        <v/>
      </c>
    </row>
    <row r="18">
      <c r="A18" s="119">
        <f>'MODELO PARA BI'!V1</f>
        <v/>
      </c>
      <c r="B18" s="120" t="n"/>
      <c r="C18" s="117">
        <f>C17+B18</f>
        <v/>
      </c>
      <c r="D18" s="60">
        <f>IF(A18&lt;='VALOR POR PL'!$P$5,'MODELO PARA BI'!V63,0)</f>
        <v/>
      </c>
      <c r="E18" s="60">
        <f>IF(A18&gt;'VALOR POR PL'!$P$5,'MODELO PARA BI'!V63,0)</f>
        <v/>
      </c>
      <c r="F18" s="117">
        <f>IF('MODELO PARA BI'!$E$63=0,0,(D18+E18)/'MODELO PARA BI'!$E$63)</f>
        <v/>
      </c>
      <c r="G18" s="117">
        <f>G17+F18</f>
        <v/>
      </c>
      <c r="I18" s="49">
        <f>B18*'VALOR POR PL'!$G$50</f>
        <v/>
      </c>
      <c r="J18" s="54">
        <f>I18*IF(A18&lt;='VALOR POR PL'!$P$5,IFERROR(INDEX('"INCC-FGV"'!$B$2:$B$800,MATCH(A18,'"INCC-FGV"'!$A$2:$A$800,0)),'VALOR POR PL'!$P$7),'VALOR POR PL'!$P$7)</f>
        <v/>
      </c>
      <c r="K18" s="71">
        <f>'MODELO PARA BI'!V65</f>
        <v/>
      </c>
      <c r="L18" s="71">
        <f>'MODELO PARA BI'!V66</f>
        <v/>
      </c>
      <c r="M18" s="54">
        <f>M17+J18</f>
        <v/>
      </c>
    </row>
    <row r="19">
      <c r="A19" s="119">
        <f>'MODELO PARA BI'!W1</f>
        <v/>
      </c>
      <c r="B19" s="120" t="n"/>
      <c r="C19" s="117">
        <f>C18+B19</f>
        <v/>
      </c>
      <c r="D19" s="60">
        <f>IF(A19&lt;='VALOR POR PL'!$P$5,'MODELO PARA BI'!W63,0)</f>
        <v/>
      </c>
      <c r="E19" s="60">
        <f>IF(A19&gt;'VALOR POR PL'!$P$5,'MODELO PARA BI'!W63,0)</f>
        <v/>
      </c>
      <c r="F19" s="117">
        <f>IF('MODELO PARA BI'!$E$63=0,0,(D19+E19)/'MODELO PARA BI'!$E$63)</f>
        <v/>
      </c>
      <c r="G19" s="117">
        <f>G18+F19</f>
        <v/>
      </c>
      <c r="I19" s="49">
        <f>B19*'VALOR POR PL'!$G$50</f>
        <v/>
      </c>
      <c r="J19" s="54">
        <f>I19*IF(A19&lt;='VALOR POR PL'!$P$5,IFERROR(INDEX('"INCC-FGV"'!$B$2:$B$800,MATCH(A19,'"INCC-FGV"'!$A$2:$A$800,0)),'VALOR POR PL'!$P$7),'VALOR POR PL'!$P$7)</f>
        <v/>
      </c>
      <c r="K19" s="71">
        <f>'MODELO PARA BI'!W65</f>
        <v/>
      </c>
      <c r="L19" s="71">
        <f>'MODELO PARA BI'!W66</f>
        <v/>
      </c>
      <c r="M19" s="54">
        <f>M18+J19</f>
        <v/>
      </c>
    </row>
    <row r="20">
      <c r="A20" s="119">
        <f>'MODELO PARA BI'!X1</f>
        <v/>
      </c>
      <c r="B20" s="120" t="n"/>
      <c r="C20" s="117">
        <f>C19+B20</f>
        <v/>
      </c>
      <c r="D20" s="60">
        <f>IF(A20&lt;='VALOR POR PL'!$P$5,'MODELO PARA BI'!X63,0)</f>
        <v/>
      </c>
      <c r="E20" s="60">
        <f>IF(A20&gt;'VALOR POR PL'!$P$5,'MODELO PARA BI'!X63,0)</f>
        <v/>
      </c>
      <c r="F20" s="117">
        <f>IF('MODELO PARA BI'!$E$63=0,0,(D20+E20)/'MODELO PARA BI'!$E$63)</f>
        <v/>
      </c>
      <c r="G20" s="117">
        <f>G19+F20</f>
        <v/>
      </c>
      <c r="I20" s="49">
        <f>B20*'VALOR POR PL'!$G$50</f>
        <v/>
      </c>
      <c r="J20" s="54">
        <f>I20*IF(A20&lt;='VALOR POR PL'!$P$5,IFERROR(INDEX('"INCC-FGV"'!$B$2:$B$800,MATCH(A20,'"INCC-FGV"'!$A$2:$A$800,0)),'VALOR POR PL'!$P$7),'VALOR POR PL'!$P$7)</f>
        <v/>
      </c>
      <c r="K20" s="71">
        <f>'MODELO PARA BI'!X65</f>
        <v/>
      </c>
      <c r="L20" s="71">
        <f>'MODELO PARA BI'!X66</f>
        <v/>
      </c>
      <c r="M20" s="54">
        <f>M19+J20</f>
        <v/>
      </c>
    </row>
    <row r="21">
      <c r="A21" s="119">
        <f>'MODELO PARA BI'!Y1</f>
        <v/>
      </c>
      <c r="B21" s="120" t="n"/>
      <c r="C21" s="117">
        <f>C20+B21</f>
        <v/>
      </c>
      <c r="D21" s="60">
        <f>IF(A21&lt;='VALOR POR PL'!$P$5,'MODELO PARA BI'!Y63,0)</f>
        <v/>
      </c>
      <c r="E21" s="60">
        <f>IF(A21&gt;'VALOR POR PL'!$P$5,'MODELO PARA BI'!Y63,0)</f>
        <v/>
      </c>
      <c r="F21" s="117">
        <f>IF('MODELO PARA BI'!$E$63=0,0,(D21+E21)/'MODELO PARA BI'!$E$63)</f>
        <v/>
      </c>
      <c r="G21" s="117">
        <f>G20+F21</f>
        <v/>
      </c>
      <c r="I21" s="49">
        <f>B21*'VALOR POR PL'!$G$50</f>
        <v/>
      </c>
      <c r="J21" s="54">
        <f>I21*IF(A21&lt;='VALOR POR PL'!$P$5,IFERROR(INDEX('"INCC-FGV"'!$B$2:$B$800,MATCH(A21,'"INCC-FGV"'!$A$2:$A$800,0)),'VALOR POR PL'!$P$7),'VALOR POR PL'!$P$7)</f>
        <v/>
      </c>
      <c r="K21" s="71">
        <f>'MODELO PARA BI'!Y65</f>
        <v/>
      </c>
      <c r="L21" s="71">
        <f>'MODELO PARA BI'!Y66</f>
        <v/>
      </c>
      <c r="M21" s="54">
        <f>M20+J21</f>
        <v/>
      </c>
    </row>
    <row r="22">
      <c r="A22" s="119">
        <f>'MODELO PARA BI'!Z1</f>
        <v/>
      </c>
      <c r="B22" s="120" t="n"/>
      <c r="C22" s="117">
        <f>C21+B22</f>
        <v/>
      </c>
      <c r="D22" s="60">
        <f>IF(A22&lt;='VALOR POR PL'!$P$5,'MODELO PARA BI'!Z63,0)</f>
        <v/>
      </c>
      <c r="E22" s="60">
        <f>IF(A22&gt;'VALOR POR PL'!$P$5,'MODELO PARA BI'!Z63,0)</f>
        <v/>
      </c>
      <c r="F22" s="117">
        <f>IF('MODELO PARA BI'!$E$63=0,0,(D22+E22)/'MODELO PARA BI'!$E$63)</f>
        <v/>
      </c>
      <c r="G22" s="117">
        <f>G21+F22</f>
        <v/>
      </c>
      <c r="I22" s="49">
        <f>B22*'VALOR POR PL'!$G$50</f>
        <v/>
      </c>
      <c r="J22" s="54">
        <f>I22*IF(A22&lt;='VALOR POR PL'!$P$5,IFERROR(INDEX('"INCC-FGV"'!$B$2:$B$800,MATCH(A22,'"INCC-FGV"'!$A$2:$A$800,0)),'VALOR POR PL'!$P$7),'VALOR POR PL'!$P$7)</f>
        <v/>
      </c>
      <c r="K22" s="71">
        <f>'MODELO PARA BI'!Z65</f>
        <v/>
      </c>
      <c r="L22" s="71">
        <f>'MODELO PARA BI'!Z66</f>
        <v/>
      </c>
      <c r="M22" s="54">
        <f>M21+J22</f>
        <v/>
      </c>
    </row>
    <row r="23">
      <c r="A23" s="119">
        <f>'MODELO PARA BI'!AA1</f>
        <v/>
      </c>
      <c r="B23" s="120" t="n"/>
      <c r="C23" s="117">
        <f>C22+B23</f>
        <v/>
      </c>
      <c r="D23" s="60">
        <f>IF(A23&lt;='VALOR POR PL'!$P$5,'MODELO PARA BI'!AA63,0)</f>
        <v/>
      </c>
      <c r="E23" s="60">
        <f>IF(A23&gt;'VALOR POR PL'!$P$5,'MODELO PARA BI'!AA63,0)</f>
        <v/>
      </c>
      <c r="F23" s="117">
        <f>IF('MODELO PARA BI'!$E$63=0,0,(D23+E23)/'MODELO PARA BI'!$E$63)</f>
        <v/>
      </c>
      <c r="G23" s="117">
        <f>G22+F23</f>
        <v/>
      </c>
      <c r="I23" s="49">
        <f>B23*'VALOR POR PL'!$G$50</f>
        <v/>
      </c>
      <c r="J23" s="54">
        <f>I23*IF(A23&lt;='VALOR POR PL'!$P$5,IFERROR(INDEX('"INCC-FGV"'!$B$2:$B$800,MATCH(A23,'"INCC-FGV"'!$A$2:$A$800,0)),'VALOR POR PL'!$P$7),'VALOR POR PL'!$P$7)</f>
        <v/>
      </c>
      <c r="K23" s="71">
        <f>'MODELO PARA BI'!AA65</f>
        <v/>
      </c>
      <c r="L23" s="71">
        <f>'MODELO PARA BI'!AA66</f>
        <v/>
      </c>
      <c r="M23" s="54">
        <f>M22+J23</f>
        <v/>
      </c>
    </row>
    <row r="24">
      <c r="A24" s="119">
        <f>'MODELO PARA BI'!AB1</f>
        <v/>
      </c>
      <c r="B24" s="120" t="n"/>
      <c r="C24" s="117">
        <f>C23+B24</f>
        <v/>
      </c>
      <c r="D24" s="60">
        <f>IF(A24&lt;='VALOR POR PL'!$P$5,'MODELO PARA BI'!AB63,0)</f>
        <v/>
      </c>
      <c r="E24" s="60">
        <f>IF(A24&gt;'VALOR POR PL'!$P$5,'MODELO PARA BI'!AB63,0)</f>
        <v/>
      </c>
      <c r="F24" s="117">
        <f>IF('MODELO PARA BI'!$E$63=0,0,(D24+E24)/'MODELO PARA BI'!$E$63)</f>
        <v/>
      </c>
      <c r="G24" s="117">
        <f>G23+F24</f>
        <v/>
      </c>
      <c r="I24" s="49">
        <f>B24*'VALOR POR PL'!$G$50</f>
        <v/>
      </c>
      <c r="J24" s="54">
        <f>I24*IF(A24&lt;='VALOR POR PL'!$P$5,IFERROR(INDEX('"INCC-FGV"'!$B$2:$B$800,MATCH(A24,'"INCC-FGV"'!$A$2:$A$800,0)),'VALOR POR PL'!$P$7),'VALOR POR PL'!$P$7)</f>
        <v/>
      </c>
      <c r="K24" s="71">
        <f>'MODELO PARA BI'!AB65</f>
        <v/>
      </c>
      <c r="L24" s="71">
        <f>'MODELO PARA BI'!AB66</f>
        <v/>
      </c>
      <c r="M24" s="54">
        <f>M23+J24</f>
        <v/>
      </c>
    </row>
    <row r="25">
      <c r="A25" s="119">
        <f>'MODELO PARA BI'!AC1</f>
        <v/>
      </c>
      <c r="B25" s="120" t="n"/>
      <c r="C25" s="117">
        <f>C24+B25</f>
        <v/>
      </c>
      <c r="D25" s="60">
        <f>IF(A25&lt;='VALOR POR PL'!$P$5,'MODELO PARA BI'!AC63,0)</f>
        <v/>
      </c>
      <c r="E25" s="60">
        <f>IF(A25&gt;'VALOR POR PL'!$P$5,'MODELO PARA BI'!AC63,0)</f>
        <v/>
      </c>
      <c r="F25" s="117">
        <f>IF('MODELO PARA BI'!$E$63=0,0,(D25+E25)/'MODELO PARA BI'!$E$63)</f>
        <v/>
      </c>
      <c r="G25" s="117">
        <f>G24+F25</f>
        <v/>
      </c>
      <c r="I25" s="49">
        <f>B25*'VALOR POR PL'!$G$50</f>
        <v/>
      </c>
      <c r="J25" s="54">
        <f>I25*IF(A25&lt;='VALOR POR PL'!$P$5,IFERROR(INDEX('"INCC-FGV"'!$B$2:$B$800,MATCH(A25,'"INCC-FGV"'!$A$2:$A$800,0)),'VALOR POR PL'!$P$7),'VALOR POR PL'!$P$7)</f>
        <v/>
      </c>
      <c r="K25" s="71">
        <f>'MODELO PARA BI'!AC65</f>
        <v/>
      </c>
      <c r="L25" s="71">
        <f>'MODELO PARA BI'!AC66</f>
        <v/>
      </c>
      <c r="M25" s="54">
        <f>M24+J25</f>
        <v/>
      </c>
    </row>
    <row r="26">
      <c r="A26" s="119">
        <f>'MODELO PARA BI'!AD1</f>
        <v/>
      </c>
      <c r="B26" s="120" t="n"/>
      <c r="C26" s="117">
        <f>C25+B26</f>
        <v/>
      </c>
      <c r="D26" s="60">
        <f>IF(A26&lt;='VALOR POR PL'!$P$5,'MODELO PARA BI'!AD63,0)</f>
        <v/>
      </c>
      <c r="E26" s="60">
        <f>IF(A26&gt;'VALOR POR PL'!$P$5,'MODELO PARA BI'!AD63,0)</f>
        <v/>
      </c>
      <c r="F26" s="117">
        <f>IF('MODELO PARA BI'!$E$63=0,0,(D26+E26)/'MODELO PARA BI'!$E$63)</f>
        <v/>
      </c>
      <c r="G26" s="117">
        <f>G25+F26</f>
        <v/>
      </c>
      <c r="I26" s="49">
        <f>B26*'VALOR POR PL'!$G$50</f>
        <v/>
      </c>
      <c r="J26" s="54">
        <f>I26*IF(A26&lt;='VALOR POR PL'!$P$5,IFERROR(INDEX('"INCC-FGV"'!$B$2:$B$800,MATCH(A26,'"INCC-FGV"'!$A$2:$A$800,0)),'VALOR POR PL'!$P$7),'VALOR POR PL'!$P$7)</f>
        <v/>
      </c>
      <c r="K26" s="71">
        <f>'MODELO PARA BI'!AD65</f>
        <v/>
      </c>
      <c r="L26" s="71">
        <f>'MODELO PARA BI'!AD66</f>
        <v/>
      </c>
      <c r="M26" s="54">
        <f>M25+J26</f>
        <v/>
      </c>
    </row>
    <row r="27">
      <c r="A27" s="119">
        <f>'MODELO PARA BI'!AE1</f>
        <v/>
      </c>
      <c r="B27" s="120" t="n"/>
      <c r="C27" s="117">
        <f>C26+B27</f>
        <v/>
      </c>
      <c r="D27" s="60">
        <f>IF(A27&lt;='VALOR POR PL'!$P$5,'MODELO PARA BI'!AE63,0)</f>
        <v/>
      </c>
      <c r="E27" s="60">
        <f>IF(A27&gt;'VALOR POR PL'!$P$5,'MODELO PARA BI'!AE63,0)</f>
        <v/>
      </c>
      <c r="F27" s="117">
        <f>IF('MODELO PARA BI'!$E$63=0,0,(D27+E27)/'MODELO PARA BI'!$E$63)</f>
        <v/>
      </c>
      <c r="G27" s="117">
        <f>G26+F27</f>
        <v/>
      </c>
      <c r="I27" s="49">
        <f>B27*'VALOR POR PL'!$G$50</f>
        <v/>
      </c>
      <c r="J27" s="54">
        <f>I27*IF(A27&lt;='VALOR POR PL'!$P$5,IFERROR(INDEX('"INCC-FGV"'!$B$2:$B$800,MATCH(A27,'"INCC-FGV"'!$A$2:$A$800,0)),'VALOR POR PL'!$P$7),'VALOR POR PL'!$P$7)</f>
        <v/>
      </c>
      <c r="K27" s="71">
        <f>'MODELO PARA BI'!AE65</f>
        <v/>
      </c>
      <c r="L27" s="71">
        <f>'MODELO PARA BI'!AE66</f>
        <v/>
      </c>
      <c r="M27" s="54">
        <f>M26+J27</f>
        <v/>
      </c>
    </row>
    <row r="28">
      <c r="A28" s="119">
        <f>'MODELO PARA BI'!AF1</f>
        <v/>
      </c>
      <c r="B28" s="120" t="n"/>
      <c r="C28" s="117">
        <f>C27+B28</f>
        <v/>
      </c>
      <c r="D28" s="60">
        <f>IF(A28&lt;='VALOR POR PL'!$P$5,'MODELO PARA BI'!AF63,0)</f>
        <v/>
      </c>
      <c r="E28" s="60">
        <f>IF(A28&gt;'VALOR POR PL'!$P$5,'MODELO PARA BI'!AF63,0)</f>
        <v/>
      </c>
      <c r="F28" s="117">
        <f>IF('MODELO PARA BI'!$E$63=0,0,(D28+E28)/'MODELO PARA BI'!$E$63)</f>
        <v/>
      </c>
      <c r="G28" s="117">
        <f>G27+F28</f>
        <v/>
      </c>
      <c r="I28" s="49">
        <f>B28*'VALOR POR PL'!$G$50</f>
        <v/>
      </c>
      <c r="J28" s="54">
        <f>I28*IF(A28&lt;='VALOR POR PL'!$P$5,IFERROR(INDEX('"INCC-FGV"'!$B$2:$B$800,MATCH(A28,'"INCC-FGV"'!$A$2:$A$800,0)),'VALOR POR PL'!$P$7),'VALOR POR PL'!$P$7)</f>
        <v/>
      </c>
      <c r="K28" s="71">
        <f>'MODELO PARA BI'!AF65</f>
        <v/>
      </c>
      <c r="L28" s="71">
        <f>'MODELO PARA BI'!AF66</f>
        <v/>
      </c>
      <c r="M28" s="54">
        <f>M27+J28</f>
        <v/>
      </c>
    </row>
    <row r="29">
      <c r="A29" s="119">
        <f>'MODELO PARA BI'!AG1</f>
        <v/>
      </c>
      <c r="B29" s="120" t="n"/>
      <c r="C29" s="117">
        <f>C28+B29</f>
        <v/>
      </c>
      <c r="D29" s="60">
        <f>IF(A29&lt;='VALOR POR PL'!$P$5,'MODELO PARA BI'!AG63,0)</f>
        <v/>
      </c>
      <c r="E29" s="60">
        <f>IF(A29&gt;'VALOR POR PL'!$P$5,'MODELO PARA BI'!AG63,0)</f>
        <v/>
      </c>
      <c r="F29" s="117">
        <f>IF('MODELO PARA BI'!$E$63=0,0,(D29+E29)/'MODELO PARA BI'!$E$63)</f>
        <v/>
      </c>
      <c r="G29" s="117">
        <f>G28+F29</f>
        <v/>
      </c>
      <c r="I29" s="49">
        <f>B29*'VALOR POR PL'!$G$50</f>
        <v/>
      </c>
      <c r="J29" s="54">
        <f>I29*IF(A29&lt;='VALOR POR PL'!$P$5,IFERROR(INDEX('"INCC-FGV"'!$B$2:$B$800,MATCH(A29,'"INCC-FGV"'!$A$2:$A$800,0)),'VALOR POR PL'!$P$7),'VALOR POR PL'!$P$7)</f>
        <v/>
      </c>
      <c r="K29" s="71">
        <f>'MODELO PARA BI'!AG65</f>
        <v/>
      </c>
      <c r="L29" s="71">
        <f>'MODELO PARA BI'!AG66</f>
        <v/>
      </c>
      <c r="M29" s="54">
        <f>M28+J29</f>
        <v/>
      </c>
    </row>
    <row r="30">
      <c r="A30" s="119">
        <f>'MODELO PARA BI'!AH1</f>
        <v/>
      </c>
      <c r="B30" s="120" t="n"/>
      <c r="C30" s="117">
        <f>C29+B30</f>
        <v/>
      </c>
      <c r="D30" s="60">
        <f>IF(A30&lt;='VALOR POR PL'!$P$5,'MODELO PARA BI'!AH63,0)</f>
        <v/>
      </c>
      <c r="E30" s="60">
        <f>IF(A30&gt;'VALOR POR PL'!$P$5,'MODELO PARA BI'!AH63,0)</f>
        <v/>
      </c>
      <c r="F30" s="117">
        <f>IF('MODELO PARA BI'!$E$63=0,0,(D30+E30)/'MODELO PARA BI'!$E$63)</f>
        <v/>
      </c>
      <c r="G30" s="117">
        <f>G29+F30</f>
        <v/>
      </c>
      <c r="I30" s="49">
        <f>B30*'VALOR POR PL'!$G$50</f>
        <v/>
      </c>
      <c r="J30" s="54">
        <f>I30*IF(A30&lt;='VALOR POR PL'!$P$5,IFERROR(INDEX('"INCC-FGV"'!$B$2:$B$800,MATCH(A30,'"INCC-FGV"'!$A$2:$A$800,0)),'VALOR POR PL'!$P$7),'VALOR POR PL'!$P$7)</f>
        <v/>
      </c>
      <c r="K30" s="71">
        <f>'MODELO PARA BI'!AH65</f>
        <v/>
      </c>
      <c r="L30" s="71">
        <f>'MODELO PARA BI'!AH66</f>
        <v/>
      </c>
      <c r="M30" s="54">
        <f>M29+J30</f>
        <v/>
      </c>
    </row>
    <row r="31">
      <c r="A31" s="119">
        <f>'MODELO PARA BI'!AI1</f>
        <v/>
      </c>
      <c r="B31" s="120" t="n"/>
      <c r="C31" s="117">
        <f>C30+B31</f>
        <v/>
      </c>
      <c r="D31" s="60">
        <f>IF(A31&lt;='VALOR POR PL'!$P$5,'MODELO PARA BI'!AI63,0)</f>
        <v/>
      </c>
      <c r="E31" s="60">
        <f>IF(A31&gt;'VALOR POR PL'!$P$5,'MODELO PARA BI'!AI63,0)</f>
        <v/>
      </c>
      <c r="F31" s="117">
        <f>IF('MODELO PARA BI'!$E$63=0,0,(D31+E31)/'MODELO PARA BI'!$E$63)</f>
        <v/>
      </c>
      <c r="G31" s="117">
        <f>G30+F31</f>
        <v/>
      </c>
      <c r="I31" s="49">
        <f>B31*'VALOR POR PL'!$G$50</f>
        <v/>
      </c>
      <c r="J31" s="54">
        <f>I31*IF(A31&lt;='VALOR POR PL'!$P$5,IFERROR(INDEX('"INCC-FGV"'!$B$2:$B$800,MATCH(A31,'"INCC-FGV"'!$A$2:$A$800,0)),'VALOR POR PL'!$P$7),'VALOR POR PL'!$P$7)</f>
        <v/>
      </c>
      <c r="K31" s="71">
        <f>'MODELO PARA BI'!AI65</f>
        <v/>
      </c>
      <c r="L31" s="71">
        <f>'MODELO PARA BI'!AI66</f>
        <v/>
      </c>
      <c r="M31" s="54">
        <f>M30+J31</f>
        <v/>
      </c>
    </row>
    <row r="32">
      <c r="A32" s="119">
        <f>'MODELO PARA BI'!AJ1</f>
        <v/>
      </c>
      <c r="B32" s="120" t="n"/>
      <c r="C32" s="117">
        <f>C31+B32</f>
        <v/>
      </c>
      <c r="D32" s="60">
        <f>IF(A32&lt;='VALOR POR PL'!$P$5,'MODELO PARA BI'!AJ63,0)</f>
        <v/>
      </c>
      <c r="E32" s="60">
        <f>IF(A32&gt;'VALOR POR PL'!$P$5,'MODELO PARA BI'!AJ63,0)</f>
        <v/>
      </c>
      <c r="F32" s="117">
        <f>IF('MODELO PARA BI'!$E$63=0,0,(D32+E32)/'MODELO PARA BI'!$E$63)</f>
        <v/>
      </c>
      <c r="G32" s="117">
        <f>G31+F32</f>
        <v/>
      </c>
      <c r="I32" s="49">
        <f>B32*'VALOR POR PL'!$G$50</f>
        <v/>
      </c>
      <c r="J32" s="54">
        <f>I32*IF(A32&lt;='VALOR POR PL'!$P$5,IFERROR(INDEX('"INCC-FGV"'!$B$2:$B$800,MATCH(A32,'"INCC-FGV"'!$A$2:$A$800,0)),'VALOR POR PL'!$P$7),'VALOR POR PL'!$P$7)</f>
        <v/>
      </c>
      <c r="K32" s="71">
        <f>'MODELO PARA BI'!AJ65</f>
        <v/>
      </c>
      <c r="L32" s="71">
        <f>'MODELO PARA BI'!AJ66</f>
        <v/>
      </c>
      <c r="M32" s="54">
        <f>M31+J32</f>
        <v/>
      </c>
    </row>
    <row r="33">
      <c r="A33" s="119">
        <f>'MODELO PARA BI'!AK1</f>
        <v/>
      </c>
      <c r="B33" s="120" t="n"/>
      <c r="C33" s="117">
        <f>C32+B33</f>
        <v/>
      </c>
      <c r="D33" s="60">
        <f>IF(A33&lt;='VALOR POR PL'!$P$5,'MODELO PARA BI'!AK63,0)</f>
        <v/>
      </c>
      <c r="E33" s="60">
        <f>IF(A33&gt;'VALOR POR PL'!$P$5,'MODELO PARA BI'!AK63,0)</f>
        <v/>
      </c>
      <c r="F33" s="117">
        <f>IF('MODELO PARA BI'!$E$63=0,0,(D33+E33)/'MODELO PARA BI'!$E$63)</f>
        <v/>
      </c>
      <c r="G33" s="117">
        <f>G32+F33</f>
        <v/>
      </c>
      <c r="I33" s="49">
        <f>B33*'VALOR POR PL'!$G$50</f>
        <v/>
      </c>
      <c r="J33" s="54">
        <f>I33*IF(A33&lt;='VALOR POR PL'!$P$5,IFERROR(INDEX('"INCC-FGV"'!$B$2:$B$800,MATCH(A33,'"INCC-FGV"'!$A$2:$A$800,0)),'VALOR POR PL'!$P$7),'VALOR POR PL'!$P$7)</f>
        <v/>
      </c>
      <c r="K33" s="71">
        <f>'MODELO PARA BI'!AK65</f>
        <v/>
      </c>
      <c r="L33" s="71">
        <f>'MODELO PARA BI'!AK66</f>
        <v/>
      </c>
      <c r="M33" s="54">
        <f>M32+J33</f>
        <v/>
      </c>
    </row>
    <row r="34">
      <c r="A34" s="119">
        <f>'MODELO PARA BI'!AL1</f>
        <v/>
      </c>
      <c r="B34" s="120" t="n"/>
      <c r="C34" s="117">
        <f>C33+B34</f>
        <v/>
      </c>
      <c r="D34" s="60">
        <f>IF(A34&lt;='VALOR POR PL'!$P$5,'MODELO PARA BI'!AL63,0)</f>
        <v/>
      </c>
      <c r="E34" s="60">
        <f>IF(A34&gt;'VALOR POR PL'!$P$5,'MODELO PARA BI'!AL63,0)</f>
        <v/>
      </c>
      <c r="F34" s="117">
        <f>IF('MODELO PARA BI'!$E$63=0,0,(D34+E34)/'MODELO PARA BI'!$E$63)</f>
        <v/>
      </c>
      <c r="G34" s="117">
        <f>G33+F34</f>
        <v/>
      </c>
      <c r="I34" s="49">
        <f>B34*'VALOR POR PL'!$G$50</f>
        <v/>
      </c>
      <c r="J34" s="54">
        <f>I34*IF(A34&lt;='VALOR POR PL'!$P$5,IFERROR(INDEX('"INCC-FGV"'!$B$2:$B$800,MATCH(A34,'"INCC-FGV"'!$A$2:$A$800,0)),'VALOR POR PL'!$P$7),'VALOR POR PL'!$P$7)</f>
        <v/>
      </c>
      <c r="K34" s="71">
        <f>'MODELO PARA BI'!AL65</f>
        <v/>
      </c>
      <c r="L34" s="71">
        <f>'MODELO PARA BI'!AL66</f>
        <v/>
      </c>
      <c r="M34" s="54">
        <f>M33+J34</f>
        <v/>
      </c>
    </row>
    <row r="35">
      <c r="A35" s="119">
        <f>'MODELO PARA BI'!AM1</f>
        <v/>
      </c>
      <c r="B35" s="120" t="n"/>
      <c r="C35" s="117">
        <f>C34+B35</f>
        <v/>
      </c>
      <c r="D35" s="60">
        <f>IF(A35&lt;='VALOR POR PL'!$P$5,'MODELO PARA BI'!AM63,0)</f>
        <v/>
      </c>
      <c r="E35" s="60">
        <f>IF(A35&gt;'VALOR POR PL'!$P$5,'MODELO PARA BI'!AM63,0)</f>
        <v/>
      </c>
      <c r="F35" s="117">
        <f>IF('MODELO PARA BI'!$E$63=0,0,(D35+E35)/'MODELO PARA BI'!$E$63)</f>
        <v/>
      </c>
      <c r="G35" s="117">
        <f>G34+F35</f>
        <v/>
      </c>
      <c r="I35" s="49">
        <f>B35*'VALOR POR PL'!$G$50</f>
        <v/>
      </c>
      <c r="J35" s="54">
        <f>I35*IF(A35&lt;='VALOR POR PL'!$P$5,IFERROR(INDEX('"INCC-FGV"'!$B$2:$B$800,MATCH(A35,'"INCC-FGV"'!$A$2:$A$800,0)),'VALOR POR PL'!$P$7),'VALOR POR PL'!$P$7)</f>
        <v/>
      </c>
      <c r="K35" s="71">
        <f>'MODELO PARA BI'!AM65</f>
        <v/>
      </c>
      <c r="L35" s="71">
        <f>'MODELO PARA BI'!AM66</f>
        <v/>
      </c>
      <c r="M35" s="54">
        <f>M34+J35</f>
        <v/>
      </c>
    </row>
    <row r="36">
      <c r="A36" s="119">
        <f>'MODELO PARA BI'!AN1</f>
        <v/>
      </c>
      <c r="B36" s="120" t="n"/>
      <c r="C36" s="117">
        <f>C35+B36</f>
        <v/>
      </c>
      <c r="D36" s="60">
        <f>IF(A36&lt;='VALOR POR PL'!$P$5,'MODELO PARA BI'!AN63,0)</f>
        <v/>
      </c>
      <c r="E36" s="60">
        <f>IF(A36&gt;'VALOR POR PL'!$P$5,'MODELO PARA BI'!AN63,0)</f>
        <v/>
      </c>
      <c r="F36" s="117">
        <f>IF('MODELO PARA BI'!$E$63=0,0,(D36+E36)/'MODELO PARA BI'!$E$63)</f>
        <v/>
      </c>
      <c r="G36" s="117">
        <f>G35+F36</f>
        <v/>
      </c>
      <c r="I36" s="49">
        <f>B36*'VALOR POR PL'!$G$50</f>
        <v/>
      </c>
      <c r="J36" s="54">
        <f>I36*IF(A36&lt;='VALOR POR PL'!$P$5,IFERROR(INDEX('"INCC-FGV"'!$B$2:$B$800,MATCH(A36,'"INCC-FGV"'!$A$2:$A$800,0)),'VALOR POR PL'!$P$7),'VALOR POR PL'!$P$7)</f>
        <v/>
      </c>
      <c r="K36" s="71">
        <f>'MODELO PARA BI'!AN65</f>
        <v/>
      </c>
      <c r="L36" s="71">
        <f>'MODELO PARA BI'!AN66</f>
        <v/>
      </c>
      <c r="M36" s="54">
        <f>M35+J36</f>
        <v/>
      </c>
    </row>
    <row r="37">
      <c r="A37" s="119">
        <f>'MODELO PARA BI'!AO1</f>
        <v/>
      </c>
      <c r="B37" s="120" t="n"/>
      <c r="C37" s="117">
        <f>C36+B37</f>
        <v/>
      </c>
      <c r="D37" s="60">
        <f>IF(A37&lt;='VALOR POR PL'!$P$5,'MODELO PARA BI'!AO63,0)</f>
        <v/>
      </c>
      <c r="E37" s="60">
        <f>IF(A37&gt;'VALOR POR PL'!$P$5,'MODELO PARA BI'!AO63,0)</f>
        <v/>
      </c>
      <c r="F37" s="117">
        <f>IF('MODELO PARA BI'!$E$63=0,0,(D37+E37)/'MODELO PARA BI'!$E$63)</f>
        <v/>
      </c>
      <c r="G37" s="117">
        <f>G36+F37</f>
        <v/>
      </c>
      <c r="I37" s="49">
        <f>B37*'VALOR POR PL'!$G$50</f>
        <v/>
      </c>
      <c r="J37" s="54">
        <f>I37*IF(A37&lt;='VALOR POR PL'!$P$5,IFERROR(INDEX('"INCC-FGV"'!$B$2:$B$800,MATCH(A37,'"INCC-FGV"'!$A$2:$A$800,0)),'VALOR POR PL'!$P$7),'VALOR POR PL'!$P$7)</f>
        <v/>
      </c>
      <c r="K37" s="71">
        <f>'MODELO PARA BI'!AO65</f>
        <v/>
      </c>
      <c r="L37" s="71">
        <f>'MODELO PARA BI'!AO66</f>
        <v/>
      </c>
      <c r="M37" s="54">
        <f>M36+J37</f>
        <v/>
      </c>
    </row>
    <row r="38">
      <c r="A38" s="119">
        <f>'MODELO PARA BI'!AP1</f>
        <v/>
      </c>
      <c r="B38" s="120" t="n"/>
      <c r="C38" s="117">
        <f>C37+B38</f>
        <v/>
      </c>
      <c r="D38" s="60">
        <f>IF(A38&lt;='VALOR POR PL'!$P$5,'MODELO PARA BI'!AP63,0)</f>
        <v/>
      </c>
      <c r="E38" s="60">
        <f>IF(A38&gt;'VALOR POR PL'!$P$5,'MODELO PARA BI'!AP63,0)</f>
        <v/>
      </c>
      <c r="F38" s="117">
        <f>IF('MODELO PARA BI'!$E$63=0,0,(D38+E38)/'MODELO PARA BI'!$E$63)</f>
        <v/>
      </c>
      <c r="G38" s="117">
        <f>G37+F38</f>
        <v/>
      </c>
      <c r="I38" s="49">
        <f>B38*'VALOR POR PL'!$G$50</f>
        <v/>
      </c>
      <c r="J38" s="54">
        <f>I38*IF(A38&lt;='VALOR POR PL'!$P$5,IFERROR(INDEX('"INCC-FGV"'!$B$2:$B$800,MATCH(A38,'"INCC-FGV"'!$A$2:$A$800,0)),'VALOR POR PL'!$P$7),'VALOR POR PL'!$P$7)</f>
        <v/>
      </c>
      <c r="K38" s="71">
        <f>'MODELO PARA BI'!AP65</f>
        <v/>
      </c>
      <c r="L38" s="71">
        <f>'MODELO PARA BI'!AP66</f>
        <v/>
      </c>
      <c r="M38" s="54">
        <f>M37+J38</f>
        <v/>
      </c>
    </row>
    <row r="39">
      <c r="A39" s="119">
        <f>'MODELO PARA BI'!AQ1</f>
        <v/>
      </c>
      <c r="B39" s="120" t="n"/>
      <c r="C39" s="117">
        <f>C38+B39</f>
        <v/>
      </c>
      <c r="D39" s="60">
        <f>IF(A39&lt;='VALOR POR PL'!$P$5,'MODELO PARA BI'!AQ63,0)</f>
        <v/>
      </c>
      <c r="E39" s="60">
        <f>IF(A39&gt;'VALOR POR PL'!$P$5,'MODELO PARA BI'!AQ63,0)</f>
        <v/>
      </c>
      <c r="F39" s="117">
        <f>IF('MODELO PARA BI'!$E$63=0,0,(D39+E39)/'MODELO PARA BI'!$E$63)</f>
        <v/>
      </c>
      <c r="G39" s="117">
        <f>G38+F39</f>
        <v/>
      </c>
      <c r="I39" s="49">
        <f>B39*'VALOR POR PL'!$G$50</f>
        <v/>
      </c>
      <c r="J39" s="54">
        <f>I39*IF(A39&lt;='VALOR POR PL'!$P$5,IFERROR(INDEX('"INCC-FGV"'!$B$2:$B$800,MATCH(A39,'"INCC-FGV"'!$A$2:$A$800,0)),'VALOR POR PL'!$P$7),'VALOR POR PL'!$P$7)</f>
        <v/>
      </c>
      <c r="K39" s="71">
        <f>'MODELO PARA BI'!AQ65</f>
        <v/>
      </c>
      <c r="L39" s="71">
        <f>'MODELO PARA BI'!AQ66</f>
        <v/>
      </c>
      <c r="M39" s="54">
        <f>M38+J39</f>
        <v/>
      </c>
    </row>
    <row r="40">
      <c r="A40" s="119">
        <f>'MODELO PARA BI'!AR1</f>
        <v/>
      </c>
      <c r="B40" s="120" t="n"/>
      <c r="C40" s="117">
        <f>C39+B40</f>
        <v/>
      </c>
      <c r="D40" s="60">
        <f>IF(A40&lt;='VALOR POR PL'!$P$5,'MODELO PARA BI'!AR63,0)</f>
        <v/>
      </c>
      <c r="E40" s="60">
        <f>IF(A40&gt;'VALOR POR PL'!$P$5,'MODELO PARA BI'!AR63,0)</f>
        <v/>
      </c>
      <c r="F40" s="117">
        <f>IF('MODELO PARA BI'!$E$63=0,0,(D40+E40)/'MODELO PARA BI'!$E$63)</f>
        <v/>
      </c>
      <c r="G40" s="117">
        <f>G39+F40</f>
        <v/>
      </c>
      <c r="I40" s="49">
        <f>B40*'VALOR POR PL'!$G$50</f>
        <v/>
      </c>
      <c r="J40" s="54">
        <f>I40*IF(A40&lt;='VALOR POR PL'!$P$5,IFERROR(INDEX('"INCC-FGV"'!$B$2:$B$800,MATCH(A40,'"INCC-FGV"'!$A$2:$A$800,0)),'VALOR POR PL'!$P$7),'VALOR POR PL'!$P$7)</f>
        <v/>
      </c>
      <c r="K40" s="71">
        <f>'MODELO PARA BI'!AR65</f>
        <v/>
      </c>
      <c r="L40" s="71">
        <f>'MODELO PARA BI'!AR66</f>
        <v/>
      </c>
      <c r="M40" s="54">
        <f>M39+J40</f>
        <v/>
      </c>
    </row>
    <row r="41">
      <c r="A41" s="119">
        <f>'MODELO PARA BI'!AS1</f>
        <v/>
      </c>
      <c r="B41" s="120" t="n"/>
      <c r="C41" s="117">
        <f>C40+B41</f>
        <v/>
      </c>
      <c r="D41" s="60">
        <f>IF(A41&lt;='VALOR POR PL'!$P$5,'MODELO PARA BI'!AS63,0)</f>
        <v/>
      </c>
      <c r="E41" s="60">
        <f>IF(A41&gt;'VALOR POR PL'!$P$5,'MODELO PARA BI'!AS63,0)</f>
        <v/>
      </c>
      <c r="F41" s="117">
        <f>IF('MODELO PARA BI'!$E$63=0,0,(D41+E41)/'MODELO PARA BI'!$E$63)</f>
        <v/>
      </c>
      <c r="G41" s="117">
        <f>G40+F41</f>
        <v/>
      </c>
      <c r="I41" s="49">
        <f>B41*'VALOR POR PL'!$G$50</f>
        <v/>
      </c>
      <c r="J41" s="54">
        <f>I41*IF(A41&lt;='VALOR POR PL'!$P$5,IFERROR(INDEX('"INCC-FGV"'!$B$2:$B$800,MATCH(A41,'"INCC-FGV"'!$A$2:$A$800,0)),'VALOR POR PL'!$P$7),'VALOR POR PL'!$P$7)</f>
        <v/>
      </c>
      <c r="K41" s="71">
        <f>'MODELO PARA BI'!AS65</f>
        <v/>
      </c>
      <c r="L41" s="71">
        <f>'MODELO PARA BI'!AS66</f>
        <v/>
      </c>
      <c r="M41" s="54">
        <f>M40+J41</f>
        <v/>
      </c>
    </row>
    <row r="42">
      <c r="A42" s="119">
        <f>'MODELO PARA BI'!AT1</f>
        <v/>
      </c>
      <c r="B42" s="120" t="n"/>
      <c r="C42" s="117">
        <f>C41+B42</f>
        <v/>
      </c>
      <c r="D42" s="60">
        <f>IF(A42&lt;='VALOR POR PL'!$P$5,'MODELO PARA BI'!AT63,0)</f>
        <v/>
      </c>
      <c r="E42" s="60">
        <f>IF(A42&gt;'VALOR POR PL'!$P$5,'MODELO PARA BI'!AT63,0)</f>
        <v/>
      </c>
      <c r="F42" s="117">
        <f>IF('MODELO PARA BI'!$E$63=0,0,(D42+E42)/'MODELO PARA BI'!$E$63)</f>
        <v/>
      </c>
      <c r="G42" s="117">
        <f>G41+F42</f>
        <v/>
      </c>
      <c r="I42" s="49">
        <f>B42*'VALOR POR PL'!$G$50</f>
        <v/>
      </c>
      <c r="J42" s="54">
        <f>I42*IF(A42&lt;='VALOR POR PL'!$P$5,IFERROR(INDEX('"INCC-FGV"'!$B$2:$B$800,MATCH(A42,'"INCC-FGV"'!$A$2:$A$800,0)),'VALOR POR PL'!$P$7),'VALOR POR PL'!$P$7)</f>
        <v/>
      </c>
      <c r="K42" s="71">
        <f>'MODELO PARA BI'!AT65</f>
        <v/>
      </c>
      <c r="L42" s="71">
        <f>'MODELO PARA BI'!AT66</f>
        <v/>
      </c>
      <c r="M42" s="54">
        <f>M41+J42</f>
        <v/>
      </c>
    </row>
    <row r="43">
      <c r="A43" s="119">
        <f>'MODELO PARA BI'!AU1</f>
        <v/>
      </c>
      <c r="B43" s="120" t="n"/>
      <c r="C43" s="117">
        <f>C42+B43</f>
        <v/>
      </c>
      <c r="D43" s="60">
        <f>IF(A43&lt;='VALOR POR PL'!$P$5,'MODELO PARA BI'!AU63,0)</f>
        <v/>
      </c>
      <c r="E43" s="60">
        <f>IF(A43&gt;'VALOR POR PL'!$P$5,'MODELO PARA BI'!AU63,0)</f>
        <v/>
      </c>
      <c r="F43" s="117">
        <f>IF('MODELO PARA BI'!$E$63=0,0,(D43+E43)/'MODELO PARA BI'!$E$63)</f>
        <v/>
      </c>
      <c r="G43" s="117">
        <f>G42+F43</f>
        <v/>
      </c>
      <c r="I43" s="49">
        <f>B43*'VALOR POR PL'!$G$50</f>
        <v/>
      </c>
      <c r="J43" s="54">
        <f>I43*IF(A43&lt;='VALOR POR PL'!$P$5,IFERROR(INDEX('"INCC-FGV"'!$B$2:$B$800,MATCH(A43,'"INCC-FGV"'!$A$2:$A$800,0)),'VALOR POR PL'!$P$7),'VALOR POR PL'!$P$7)</f>
        <v/>
      </c>
      <c r="K43" s="71">
        <f>'MODELO PARA BI'!AU65</f>
        <v/>
      </c>
      <c r="L43" s="71">
        <f>'MODELO PARA BI'!AU66</f>
        <v/>
      </c>
      <c r="M43" s="54">
        <f>M42+J43</f>
        <v/>
      </c>
    </row>
    <row r="44">
      <c r="A44" s="119">
        <f>'MODELO PARA BI'!AV1</f>
        <v/>
      </c>
      <c r="B44" s="120" t="n"/>
      <c r="C44" s="117">
        <f>C43+B44</f>
        <v/>
      </c>
      <c r="D44" s="60">
        <f>IF(A44&lt;='VALOR POR PL'!$P$5,'MODELO PARA BI'!AV63,0)</f>
        <v/>
      </c>
      <c r="E44" s="60">
        <f>IF(A44&gt;'VALOR POR PL'!$P$5,'MODELO PARA BI'!AV63,0)</f>
        <v/>
      </c>
      <c r="F44" s="117">
        <f>IF('MODELO PARA BI'!$E$63=0,0,(D44+E44)/'MODELO PARA BI'!$E$63)</f>
        <v/>
      </c>
      <c r="G44" s="117">
        <f>G43+F44</f>
        <v/>
      </c>
      <c r="I44" s="49">
        <f>B44*'VALOR POR PL'!$G$50</f>
        <v/>
      </c>
      <c r="J44" s="54">
        <f>I44*IF(A44&lt;='VALOR POR PL'!$P$5,IFERROR(INDEX('"INCC-FGV"'!$B$2:$B$800,MATCH(A44,'"INCC-FGV"'!$A$2:$A$800,0)),'VALOR POR PL'!$P$7),'VALOR POR PL'!$P$7)</f>
        <v/>
      </c>
      <c r="K44" s="71">
        <f>'MODELO PARA BI'!AV65</f>
        <v/>
      </c>
      <c r="L44" s="71">
        <f>'MODELO PARA BI'!AV66</f>
        <v/>
      </c>
      <c r="M44" s="54">
        <f>M43+J44</f>
        <v/>
      </c>
    </row>
    <row r="45">
      <c r="A45" s="119">
        <f>'MODELO PARA BI'!AW1</f>
        <v/>
      </c>
      <c r="B45" s="120" t="n"/>
      <c r="C45" s="117">
        <f>C44+B45</f>
        <v/>
      </c>
      <c r="D45" s="60">
        <f>IF(A45&lt;='VALOR POR PL'!$P$5,'MODELO PARA BI'!AW63,0)</f>
        <v/>
      </c>
      <c r="E45" s="60">
        <f>IF(A45&gt;'VALOR POR PL'!$P$5,'MODELO PARA BI'!AW63,0)</f>
        <v/>
      </c>
      <c r="F45" s="117">
        <f>IF('MODELO PARA BI'!$E$63=0,0,(D45+E45)/'MODELO PARA BI'!$E$63)</f>
        <v/>
      </c>
      <c r="G45" s="117">
        <f>G44+F45</f>
        <v/>
      </c>
      <c r="I45" s="49">
        <f>B45*'VALOR POR PL'!$G$50</f>
        <v/>
      </c>
      <c r="J45" s="54">
        <f>I45*IF(A45&lt;='VALOR POR PL'!$P$5,IFERROR(INDEX('"INCC-FGV"'!$B$2:$B$800,MATCH(A45,'"INCC-FGV"'!$A$2:$A$800,0)),'VALOR POR PL'!$P$7),'VALOR POR PL'!$P$7)</f>
        <v/>
      </c>
      <c r="K45" s="71">
        <f>'MODELO PARA BI'!AW65</f>
        <v/>
      </c>
      <c r="L45" s="71">
        <f>'MODELO PARA BI'!AW66</f>
        <v/>
      </c>
      <c r="M45" s="54">
        <f>M44+J45</f>
        <v/>
      </c>
    </row>
    <row r="46">
      <c r="A46" s="119">
        <f>'MODELO PARA BI'!AX1</f>
        <v/>
      </c>
      <c r="B46" s="120" t="n"/>
      <c r="C46" s="117">
        <f>C45+B46</f>
        <v/>
      </c>
      <c r="D46" s="60">
        <f>IF(A46&lt;='VALOR POR PL'!$P$5,'MODELO PARA BI'!AX63,0)</f>
        <v/>
      </c>
      <c r="E46" s="60">
        <f>IF(A46&gt;'VALOR POR PL'!$P$5,'MODELO PARA BI'!AX63,0)</f>
        <v/>
      </c>
      <c r="F46" s="117">
        <f>IF('MODELO PARA BI'!$E$63=0,0,(D46+E46)/'MODELO PARA BI'!$E$63)</f>
        <v/>
      </c>
      <c r="G46" s="117">
        <f>G45+F46</f>
        <v/>
      </c>
      <c r="I46" s="49">
        <f>B46*'VALOR POR PL'!$G$50</f>
        <v/>
      </c>
      <c r="J46" s="54">
        <f>I46*IF(A46&lt;='VALOR POR PL'!$P$5,IFERROR(INDEX('"INCC-FGV"'!$B$2:$B$800,MATCH(A46,'"INCC-FGV"'!$A$2:$A$800,0)),'VALOR POR PL'!$P$7),'VALOR POR PL'!$P$7)</f>
        <v/>
      </c>
      <c r="K46" s="71">
        <f>'MODELO PARA BI'!AX65</f>
        <v/>
      </c>
      <c r="L46" s="71">
        <f>'MODELO PARA BI'!AX66</f>
        <v/>
      </c>
      <c r="M46" s="54">
        <f>M45+J46</f>
        <v/>
      </c>
    </row>
    <row r="47">
      <c r="A47" s="119">
        <f>'MODELO PARA BI'!AY1</f>
        <v/>
      </c>
      <c r="B47" s="120" t="n"/>
      <c r="C47" s="117">
        <f>C46+B47</f>
        <v/>
      </c>
      <c r="D47" s="60">
        <f>IF(A47&lt;='VALOR POR PL'!$P$5,'MODELO PARA BI'!AY63,0)</f>
        <v/>
      </c>
      <c r="E47" s="60">
        <f>IF(A47&gt;'VALOR POR PL'!$P$5,'MODELO PARA BI'!AY63,0)</f>
        <v/>
      </c>
      <c r="F47" s="117">
        <f>IF('MODELO PARA BI'!$E$63=0,0,(D47+E47)/'MODELO PARA BI'!$E$63)</f>
        <v/>
      </c>
      <c r="G47" s="117">
        <f>G46+F47</f>
        <v/>
      </c>
      <c r="I47" s="49">
        <f>B47*'VALOR POR PL'!$G$50</f>
        <v/>
      </c>
      <c r="J47" s="54">
        <f>I47*IF(A47&lt;='VALOR POR PL'!$P$5,IFERROR(INDEX('"INCC-FGV"'!$B$2:$B$800,MATCH(A47,'"INCC-FGV"'!$A$2:$A$800,0)),'VALOR POR PL'!$P$7),'VALOR POR PL'!$P$7)</f>
        <v/>
      </c>
      <c r="K47" s="71">
        <f>'MODELO PARA BI'!AY65</f>
        <v/>
      </c>
      <c r="L47" s="71">
        <f>'MODELO PARA BI'!AY66</f>
        <v/>
      </c>
      <c r="M47" s="54">
        <f>M46+J47</f>
        <v/>
      </c>
    </row>
    <row r="48">
      <c r="A48" s="119">
        <f>'MODELO PARA BI'!AZ1</f>
        <v/>
      </c>
      <c r="B48" s="120" t="n"/>
      <c r="C48" s="117">
        <f>C47+B48</f>
        <v/>
      </c>
      <c r="D48" s="60">
        <f>IF(A48&lt;='VALOR POR PL'!$P$5,'MODELO PARA BI'!AZ63,0)</f>
        <v/>
      </c>
      <c r="E48" s="60">
        <f>IF(A48&gt;'VALOR POR PL'!$P$5,'MODELO PARA BI'!AZ63,0)</f>
        <v/>
      </c>
      <c r="F48" s="117">
        <f>IF('MODELO PARA BI'!$E$63=0,0,(D48+E48)/'MODELO PARA BI'!$E$63)</f>
        <v/>
      </c>
      <c r="G48" s="117">
        <f>G47+F48</f>
        <v/>
      </c>
      <c r="I48" s="49">
        <f>B48*'VALOR POR PL'!$G$50</f>
        <v/>
      </c>
      <c r="J48" s="54">
        <f>I48*IF(A48&lt;='VALOR POR PL'!$P$5,IFERROR(INDEX('"INCC-FGV"'!$B$2:$B$800,MATCH(A48,'"INCC-FGV"'!$A$2:$A$800,0)),'VALOR POR PL'!$P$7),'VALOR POR PL'!$P$7)</f>
        <v/>
      </c>
      <c r="K48" s="71">
        <f>'MODELO PARA BI'!AZ65</f>
        <v/>
      </c>
      <c r="L48" s="71">
        <f>'MODELO PARA BI'!AZ66</f>
        <v/>
      </c>
      <c r="M48" s="54">
        <f>M47+J48</f>
        <v/>
      </c>
    </row>
    <row r="49">
      <c r="A49" s="119">
        <f>'MODELO PARA BI'!BA1</f>
        <v/>
      </c>
      <c r="B49" s="120" t="n"/>
      <c r="C49" s="117">
        <f>C48+B49</f>
        <v/>
      </c>
      <c r="D49" s="60">
        <f>IF(A49&lt;='VALOR POR PL'!$P$5,'MODELO PARA BI'!BA63,0)</f>
        <v/>
      </c>
      <c r="E49" s="60">
        <f>IF(A49&gt;'VALOR POR PL'!$P$5,'MODELO PARA BI'!BA63,0)</f>
        <v/>
      </c>
      <c r="F49" s="117">
        <f>IF('MODELO PARA BI'!$E$63=0,0,(D49+E49)/'MODELO PARA BI'!$E$63)</f>
        <v/>
      </c>
      <c r="G49" s="117">
        <f>G48+F49</f>
        <v/>
      </c>
      <c r="I49" s="49">
        <f>B49*'VALOR POR PL'!$G$50</f>
        <v/>
      </c>
      <c r="J49" s="54">
        <f>I49*IF(A49&lt;='VALOR POR PL'!$P$5,IFERROR(INDEX('"INCC-FGV"'!$B$2:$B$800,MATCH(A49,'"INCC-FGV"'!$A$2:$A$800,0)),'VALOR POR PL'!$P$7),'VALOR POR PL'!$P$7)</f>
        <v/>
      </c>
      <c r="K49" s="71">
        <f>'MODELO PARA BI'!BA65</f>
        <v/>
      </c>
      <c r="L49" s="71">
        <f>'MODELO PARA BI'!BA66</f>
        <v/>
      </c>
      <c r="M49" s="54">
        <f>M48+J49</f>
        <v/>
      </c>
    </row>
    <row r="50">
      <c r="A50" s="119">
        <f>'MODELO PARA BI'!BB1</f>
        <v/>
      </c>
      <c r="B50" s="120" t="n"/>
      <c r="C50" s="117">
        <f>C49+B50</f>
        <v/>
      </c>
      <c r="D50" s="60">
        <f>IF(A50&lt;='VALOR POR PL'!$P$5,'MODELO PARA BI'!BB63,0)</f>
        <v/>
      </c>
      <c r="E50" s="60">
        <f>IF(A50&gt;'VALOR POR PL'!$P$5,'MODELO PARA BI'!BB63,0)</f>
        <v/>
      </c>
      <c r="F50" s="117">
        <f>IF('MODELO PARA BI'!$E$63=0,0,(D50+E50)/'MODELO PARA BI'!$E$63)</f>
        <v/>
      </c>
      <c r="G50" s="117">
        <f>G49+F50</f>
        <v/>
      </c>
      <c r="I50" s="49">
        <f>B50*'VALOR POR PL'!$G$50</f>
        <v/>
      </c>
      <c r="J50" s="54">
        <f>I50*IF(A50&lt;='VALOR POR PL'!$P$5,IFERROR(INDEX('"INCC-FGV"'!$B$2:$B$800,MATCH(A50,'"INCC-FGV"'!$A$2:$A$800,0)),'VALOR POR PL'!$P$7),'VALOR POR PL'!$P$7)</f>
        <v/>
      </c>
      <c r="K50" s="71">
        <f>'MODELO PARA BI'!BB65</f>
        <v/>
      </c>
      <c r="L50" s="71">
        <f>'MODELO PARA BI'!BB66</f>
        <v/>
      </c>
      <c r="M50" s="54">
        <f>M49+J50</f>
        <v/>
      </c>
    </row>
    <row r="51">
      <c r="A51" s="119">
        <f>'MODELO PARA BI'!BC1</f>
        <v/>
      </c>
      <c r="B51" s="120" t="n"/>
      <c r="C51" s="117">
        <f>C50+B51</f>
        <v/>
      </c>
      <c r="D51" s="60">
        <f>IF(A51&lt;='VALOR POR PL'!$P$5,'MODELO PARA BI'!BC63,0)</f>
        <v/>
      </c>
      <c r="E51" s="60">
        <f>IF(A51&gt;'VALOR POR PL'!$P$5,'MODELO PARA BI'!BC63,0)</f>
        <v/>
      </c>
      <c r="F51" s="117">
        <f>IF('MODELO PARA BI'!$E$63=0,0,(D51+E51)/'MODELO PARA BI'!$E$63)</f>
        <v/>
      </c>
      <c r="G51" s="117">
        <f>G50+F51</f>
        <v/>
      </c>
      <c r="I51" s="49">
        <f>B51*'VALOR POR PL'!$G$50</f>
        <v/>
      </c>
      <c r="J51" s="54">
        <f>I51*IF(A51&lt;='VALOR POR PL'!$P$5,IFERROR(INDEX('"INCC-FGV"'!$B$2:$B$800,MATCH(A51,'"INCC-FGV"'!$A$2:$A$800,0)),'VALOR POR PL'!$P$7),'VALOR POR PL'!$P$7)</f>
        <v/>
      </c>
      <c r="K51" s="71">
        <f>'MODELO PARA BI'!BC65</f>
        <v/>
      </c>
      <c r="L51" s="71">
        <f>'MODELO PARA BI'!BC66</f>
        <v/>
      </c>
      <c r="M51" s="54">
        <f>M50+J51</f>
        <v/>
      </c>
    </row>
    <row r="52">
      <c r="A52" s="119">
        <f>'MODELO PARA BI'!BD1</f>
        <v/>
      </c>
      <c r="B52" s="120" t="n"/>
      <c r="C52" s="117">
        <f>C51+B52</f>
        <v/>
      </c>
      <c r="D52" s="60">
        <f>IF(A52&lt;='VALOR POR PL'!$P$5,'MODELO PARA BI'!BD63,0)</f>
        <v/>
      </c>
      <c r="E52" s="60">
        <f>IF(A52&gt;'VALOR POR PL'!$P$5,'MODELO PARA BI'!BD63,0)</f>
        <v/>
      </c>
      <c r="F52" s="117">
        <f>IF('MODELO PARA BI'!$E$63=0,0,(D52+E52)/'MODELO PARA BI'!$E$63)</f>
        <v/>
      </c>
      <c r="G52" s="117">
        <f>G51+F52</f>
        <v/>
      </c>
      <c r="I52" s="49">
        <f>B52*'VALOR POR PL'!$G$50</f>
        <v/>
      </c>
      <c r="J52" s="54">
        <f>I52*IF(A52&lt;='VALOR POR PL'!$P$5,IFERROR(INDEX('"INCC-FGV"'!$B$2:$B$800,MATCH(A52,'"INCC-FGV"'!$A$2:$A$800,0)),'VALOR POR PL'!$P$7),'VALOR POR PL'!$P$7)</f>
        <v/>
      </c>
      <c r="K52" s="71">
        <f>'MODELO PARA BI'!BD65</f>
        <v/>
      </c>
      <c r="L52" s="71">
        <f>'MODELO PARA BI'!BD66</f>
        <v/>
      </c>
      <c r="M52" s="54">
        <f>M51+J52</f>
        <v/>
      </c>
    </row>
    <row r="53">
      <c r="A53" s="119">
        <f>'MODELO PARA BI'!BE1</f>
        <v/>
      </c>
      <c r="B53" s="120" t="n"/>
      <c r="C53" s="117">
        <f>C52+B53</f>
        <v/>
      </c>
      <c r="D53" s="60">
        <f>IF(A53&lt;='VALOR POR PL'!$P$5,'MODELO PARA BI'!BE63,0)</f>
        <v/>
      </c>
      <c r="E53" s="60">
        <f>IF(A53&gt;'VALOR POR PL'!$P$5,'MODELO PARA BI'!BE63,0)</f>
        <v/>
      </c>
      <c r="F53" s="117">
        <f>IF('MODELO PARA BI'!$E$63=0,0,(D53+E53)/'MODELO PARA BI'!$E$63)</f>
        <v/>
      </c>
      <c r="G53" s="117">
        <f>G52+F53</f>
        <v/>
      </c>
      <c r="I53" s="49">
        <f>B53*'VALOR POR PL'!$G$50</f>
        <v/>
      </c>
      <c r="J53" s="54">
        <f>I53*IF(A53&lt;='VALOR POR PL'!$P$5,IFERROR(INDEX('"INCC-FGV"'!$B$2:$B$800,MATCH(A53,'"INCC-FGV"'!$A$2:$A$800,0)),'VALOR POR PL'!$P$7),'VALOR POR PL'!$P$7)</f>
        <v/>
      </c>
      <c r="K53" s="71">
        <f>'MODELO PARA BI'!BE65</f>
        <v/>
      </c>
      <c r="L53" s="71">
        <f>'MODELO PARA BI'!BE66</f>
        <v/>
      </c>
      <c r="M53" s="54">
        <f>M52+J53</f>
        <v/>
      </c>
    </row>
    <row r="54">
      <c r="A54" s="119">
        <f>'MODELO PARA BI'!BF1</f>
        <v/>
      </c>
      <c r="B54" s="120" t="n"/>
      <c r="C54" s="117">
        <f>C53+B54</f>
        <v/>
      </c>
      <c r="D54" s="60">
        <f>IF(A54&lt;='VALOR POR PL'!$P$5,'MODELO PARA BI'!BF63,0)</f>
        <v/>
      </c>
      <c r="E54" s="60">
        <f>IF(A54&gt;'VALOR POR PL'!$P$5,'MODELO PARA BI'!BF63,0)</f>
        <v/>
      </c>
      <c r="F54" s="117">
        <f>IF('MODELO PARA BI'!$E$63=0,0,(D54+E54)/'MODELO PARA BI'!$E$63)</f>
        <v/>
      </c>
      <c r="G54" s="117">
        <f>G53+F54</f>
        <v/>
      </c>
      <c r="I54" s="49">
        <f>B54*'VALOR POR PL'!$G$50</f>
        <v/>
      </c>
      <c r="J54" s="54">
        <f>I54*IF(A54&lt;='VALOR POR PL'!$P$5,IFERROR(INDEX('"INCC-FGV"'!$B$2:$B$800,MATCH(A54,'"INCC-FGV"'!$A$2:$A$800,0)),'VALOR POR PL'!$P$7),'VALOR POR PL'!$P$7)</f>
        <v/>
      </c>
      <c r="K54" s="71">
        <f>'MODELO PARA BI'!BF65</f>
        <v/>
      </c>
      <c r="L54" s="71">
        <f>'MODELO PARA BI'!BF66</f>
        <v/>
      </c>
      <c r="M54" s="54">
        <f>M53+J54</f>
        <v/>
      </c>
    </row>
    <row r="55">
      <c r="A55" s="119">
        <f>'MODELO PARA BI'!BG1</f>
        <v/>
      </c>
      <c r="B55" s="120" t="n"/>
      <c r="C55" s="117">
        <f>C54+B55</f>
        <v/>
      </c>
      <c r="D55" s="60">
        <f>IF(A55&lt;='VALOR POR PL'!$P$5,'MODELO PARA BI'!BG63,0)</f>
        <v/>
      </c>
      <c r="E55" s="60">
        <f>IF(A55&gt;'VALOR POR PL'!$P$5,'MODELO PARA BI'!BG63,0)</f>
        <v/>
      </c>
      <c r="F55" s="117">
        <f>IF('MODELO PARA BI'!$E$63=0,0,(D55+E55)/'MODELO PARA BI'!$E$63)</f>
        <v/>
      </c>
      <c r="G55" s="117">
        <f>G54+F55</f>
        <v/>
      </c>
      <c r="I55" s="49">
        <f>B55*'VALOR POR PL'!$G$50</f>
        <v/>
      </c>
      <c r="J55" s="54">
        <f>I55*IF(A55&lt;='VALOR POR PL'!$P$5,IFERROR(INDEX('"INCC-FGV"'!$B$2:$B$800,MATCH(A55,'"INCC-FGV"'!$A$2:$A$800,0)),'VALOR POR PL'!$P$7),'VALOR POR PL'!$P$7)</f>
        <v/>
      </c>
      <c r="K55" s="71">
        <f>'MODELO PARA BI'!BG65</f>
        <v/>
      </c>
      <c r="L55" s="71">
        <f>'MODELO PARA BI'!BG66</f>
        <v/>
      </c>
      <c r="M55" s="54">
        <f>M54+J55</f>
        <v/>
      </c>
    </row>
    <row r="56">
      <c r="A56" s="119">
        <f>'MODELO PARA BI'!BH1</f>
        <v/>
      </c>
      <c r="B56" s="120" t="n"/>
      <c r="C56" s="117">
        <f>C55+B56</f>
        <v/>
      </c>
      <c r="D56" s="60">
        <f>IF(A56&lt;='VALOR POR PL'!$P$5,'MODELO PARA BI'!BH63,0)</f>
        <v/>
      </c>
      <c r="E56" s="60">
        <f>IF(A56&gt;'VALOR POR PL'!$P$5,'MODELO PARA BI'!BH63,0)</f>
        <v/>
      </c>
      <c r="F56" s="117">
        <f>IF('MODELO PARA BI'!$E$63=0,0,(D56+E56)/'MODELO PARA BI'!$E$63)</f>
        <v/>
      </c>
      <c r="G56" s="117">
        <f>G55+F56</f>
        <v/>
      </c>
      <c r="I56" s="49">
        <f>B56*'VALOR POR PL'!$G$50</f>
        <v/>
      </c>
      <c r="J56" s="54">
        <f>I56*IF(A56&lt;='VALOR POR PL'!$P$5,IFERROR(INDEX('"INCC-FGV"'!$B$2:$B$800,MATCH(A56,'"INCC-FGV"'!$A$2:$A$800,0)),'VALOR POR PL'!$P$7),'VALOR POR PL'!$P$7)</f>
        <v/>
      </c>
      <c r="K56" s="71">
        <f>'MODELO PARA BI'!BH65</f>
        <v/>
      </c>
      <c r="L56" s="71">
        <f>'MODELO PARA BI'!BH66</f>
        <v/>
      </c>
      <c r="M56" s="54">
        <f>M55+J56</f>
        <v/>
      </c>
    </row>
    <row r="57">
      <c r="A57" s="119">
        <f>'MODELO PARA BI'!BI1</f>
        <v/>
      </c>
      <c r="B57" s="120" t="n"/>
      <c r="C57" s="117">
        <f>C56+B57</f>
        <v/>
      </c>
      <c r="D57" s="60">
        <f>IF(A57&lt;='VALOR POR PL'!$P$5,'MODELO PARA BI'!BI63,0)</f>
        <v/>
      </c>
      <c r="E57" s="60">
        <f>IF(A57&gt;'VALOR POR PL'!$P$5,'MODELO PARA BI'!BI63,0)</f>
        <v/>
      </c>
      <c r="F57" s="117">
        <f>IF('MODELO PARA BI'!$E$63=0,0,(D57+E57)/'MODELO PARA BI'!$E$63)</f>
        <v/>
      </c>
      <c r="G57" s="117">
        <f>G56+F57</f>
        <v/>
      </c>
      <c r="I57" s="49">
        <f>B57*'VALOR POR PL'!$G$50</f>
        <v/>
      </c>
      <c r="J57" s="54">
        <f>I57*IF(A57&lt;='VALOR POR PL'!$P$5,IFERROR(INDEX('"INCC-FGV"'!$B$2:$B$800,MATCH(A57,'"INCC-FGV"'!$A$2:$A$800,0)),'VALOR POR PL'!$P$7),'VALOR POR PL'!$P$7)</f>
        <v/>
      </c>
      <c r="K57" s="71">
        <f>'MODELO PARA BI'!BI65</f>
        <v/>
      </c>
      <c r="L57" s="71">
        <f>'MODELO PARA BI'!BI66</f>
        <v/>
      </c>
      <c r="M57" s="54">
        <f>M56+J57</f>
        <v/>
      </c>
    </row>
    <row r="58">
      <c r="A58" s="119">
        <f>'MODELO PARA BI'!BJ1</f>
        <v/>
      </c>
      <c r="B58" s="120" t="n"/>
      <c r="C58" s="117">
        <f>C57+B58</f>
        <v/>
      </c>
      <c r="D58" s="60">
        <f>IF(A58&lt;='VALOR POR PL'!$P$5,'MODELO PARA BI'!BJ63,0)</f>
        <v/>
      </c>
      <c r="E58" s="60">
        <f>IF(A58&gt;'VALOR POR PL'!$P$5,'MODELO PARA BI'!BJ63,0)</f>
        <v/>
      </c>
      <c r="F58" s="117">
        <f>IF('MODELO PARA BI'!$E$63=0,0,(D58+E58)/'MODELO PARA BI'!$E$63)</f>
        <v/>
      </c>
      <c r="G58" s="117">
        <f>G57+F58</f>
        <v/>
      </c>
      <c r="I58" s="49">
        <f>B58*'VALOR POR PL'!$G$50</f>
        <v/>
      </c>
      <c r="J58" s="54">
        <f>I58*IF(A58&lt;='VALOR POR PL'!$P$5,IFERROR(INDEX('"INCC-FGV"'!$B$2:$B$800,MATCH(A58,'"INCC-FGV"'!$A$2:$A$800,0)),'VALOR POR PL'!$P$7),'VALOR POR PL'!$P$7)</f>
        <v/>
      </c>
      <c r="K58" s="71">
        <f>'MODELO PARA BI'!BJ65</f>
        <v/>
      </c>
      <c r="L58" s="71">
        <f>'MODELO PARA BI'!BJ66</f>
        <v/>
      </c>
      <c r="M58" s="54">
        <f>M57+J58</f>
        <v/>
      </c>
    </row>
    <row r="59">
      <c r="A59" s="119">
        <f>'MODELO PARA BI'!BK1</f>
        <v/>
      </c>
      <c r="B59" s="120" t="n"/>
      <c r="C59" s="117">
        <f>C58+B59</f>
        <v/>
      </c>
      <c r="D59" s="60">
        <f>IF(A59&lt;='VALOR POR PL'!$P$5,'MODELO PARA BI'!BK63,0)</f>
        <v/>
      </c>
      <c r="E59" s="60">
        <f>IF(A59&gt;'VALOR POR PL'!$P$5,'MODELO PARA BI'!BK63,0)</f>
        <v/>
      </c>
      <c r="F59" s="117">
        <f>IF('MODELO PARA BI'!$E$63=0,0,(D59+E59)/'MODELO PARA BI'!$E$63)</f>
        <v/>
      </c>
      <c r="G59" s="117">
        <f>G58+F59</f>
        <v/>
      </c>
      <c r="I59" s="49">
        <f>B59*'VALOR POR PL'!$G$50</f>
        <v/>
      </c>
      <c r="J59" s="54">
        <f>I59*IF(A59&lt;='VALOR POR PL'!$P$5,IFERROR(INDEX('"INCC-FGV"'!$B$2:$B$800,MATCH(A59,'"INCC-FGV"'!$A$2:$A$800,0)),'VALOR POR PL'!$P$7),'VALOR POR PL'!$P$7)</f>
        <v/>
      </c>
      <c r="K59" s="71">
        <f>'MODELO PARA BI'!BK65</f>
        <v/>
      </c>
      <c r="L59" s="71">
        <f>'MODELO PARA BI'!BK66</f>
        <v/>
      </c>
      <c r="M59" s="54">
        <f>M58+J59</f>
        <v/>
      </c>
    </row>
    <row r="60">
      <c r="A60" s="119">
        <f>'MODELO PARA BI'!BL1</f>
        <v/>
      </c>
      <c r="B60" s="120" t="n"/>
      <c r="C60" s="117">
        <f>C59+B60</f>
        <v/>
      </c>
      <c r="D60" s="60">
        <f>IF(A60&lt;='VALOR POR PL'!$P$5,'MODELO PARA BI'!BL63,0)</f>
        <v/>
      </c>
      <c r="E60" s="60">
        <f>IF(A60&gt;'VALOR POR PL'!$P$5,'MODELO PARA BI'!BL63,0)</f>
        <v/>
      </c>
      <c r="F60" s="117">
        <f>IF('MODELO PARA BI'!$E$63=0,0,(D60+E60)/'MODELO PARA BI'!$E$63)</f>
        <v/>
      </c>
      <c r="G60" s="117">
        <f>G59+F60</f>
        <v/>
      </c>
      <c r="I60" s="49">
        <f>B60*'VALOR POR PL'!$G$50</f>
        <v/>
      </c>
      <c r="J60" s="54">
        <f>I60*IF(A60&lt;='VALOR POR PL'!$P$5,IFERROR(INDEX('"INCC-FGV"'!$B$2:$B$800,MATCH(A60,'"INCC-FGV"'!$A$2:$A$800,0)),'VALOR POR PL'!$P$7),'VALOR POR PL'!$P$7)</f>
        <v/>
      </c>
      <c r="K60" s="71">
        <f>'MODELO PARA BI'!BL65</f>
        <v/>
      </c>
      <c r="L60" s="71">
        <f>'MODELO PARA BI'!BL66</f>
        <v/>
      </c>
      <c r="M60" s="54">
        <f>M59+J60</f>
        <v/>
      </c>
    </row>
    <row r="61">
      <c r="A61" s="119">
        <f>'MODELO PARA BI'!BM1</f>
        <v/>
      </c>
      <c r="B61" s="120" t="n"/>
      <c r="C61" s="117">
        <f>C60+B61</f>
        <v/>
      </c>
      <c r="D61" s="60">
        <f>IF(A61&lt;='VALOR POR PL'!$P$5,'MODELO PARA BI'!BM63,0)</f>
        <v/>
      </c>
      <c r="E61" s="60">
        <f>IF(A61&gt;'VALOR POR PL'!$P$5,'MODELO PARA BI'!BM63,0)</f>
        <v/>
      </c>
      <c r="F61" s="117">
        <f>IF('MODELO PARA BI'!$E$63=0,0,(D61+E61)/'MODELO PARA BI'!$E$63)</f>
        <v/>
      </c>
      <c r="G61" s="117">
        <f>G60+F61</f>
        <v/>
      </c>
      <c r="I61" s="49">
        <f>B61*'VALOR POR PL'!$G$50</f>
        <v/>
      </c>
      <c r="J61" s="54">
        <f>I61*IF(A61&lt;='VALOR POR PL'!$P$5,IFERROR(INDEX('"INCC-FGV"'!$B$2:$B$800,MATCH(A61,'"INCC-FGV"'!$A$2:$A$800,0)),'VALOR POR PL'!$P$7),'VALOR POR PL'!$P$7)</f>
        <v/>
      </c>
      <c r="K61" s="71">
        <f>'MODELO PARA BI'!BM65</f>
        <v/>
      </c>
      <c r="L61" s="71">
        <f>'MODELO PARA BI'!BM66</f>
        <v/>
      </c>
      <c r="M61" s="54">
        <f>M60+J61</f>
        <v/>
      </c>
    </row>
    <row r="62">
      <c r="A62" s="119">
        <f>'MODELO PARA BI'!BN1</f>
        <v/>
      </c>
      <c r="B62" s="120" t="n"/>
      <c r="C62" s="117">
        <f>C61+B62</f>
        <v/>
      </c>
      <c r="D62" s="60">
        <f>IF(A62&lt;='VALOR POR PL'!$P$5,'MODELO PARA BI'!BN63,0)</f>
        <v/>
      </c>
      <c r="E62" s="60">
        <f>IF(A62&gt;'VALOR POR PL'!$P$5,'MODELO PARA BI'!BN63,0)</f>
        <v/>
      </c>
      <c r="F62" s="117">
        <f>IF('MODELO PARA BI'!$E$63=0,0,(D62+E62)/'MODELO PARA BI'!$E$63)</f>
        <v/>
      </c>
      <c r="G62" s="117">
        <f>G61+F62</f>
        <v/>
      </c>
      <c r="I62" s="49">
        <f>B62*'VALOR POR PL'!$G$50</f>
        <v/>
      </c>
      <c r="J62" s="54">
        <f>I62*IF(A62&lt;='VALOR POR PL'!$P$5,IFERROR(INDEX('"INCC-FGV"'!$B$2:$B$800,MATCH(A62,'"INCC-FGV"'!$A$2:$A$800,0)),'VALOR POR PL'!$P$7),'VALOR POR PL'!$P$7)</f>
        <v/>
      </c>
      <c r="K62" s="71">
        <f>'MODELO PARA BI'!BN65</f>
        <v/>
      </c>
      <c r="L62" s="71">
        <f>'MODELO PARA BI'!BN66</f>
        <v/>
      </c>
      <c r="M62" s="54">
        <f>M61+J62</f>
        <v/>
      </c>
    </row>
    <row r="63">
      <c r="A63" s="119">
        <f>'MODELO PARA BI'!BO1</f>
        <v/>
      </c>
      <c r="B63" s="120" t="n"/>
      <c r="C63" s="117">
        <f>C62+B63</f>
        <v/>
      </c>
      <c r="D63" s="60">
        <f>IF(A63&lt;='VALOR POR PL'!$P$5,'MODELO PARA BI'!BO63,0)</f>
        <v/>
      </c>
      <c r="E63" s="60">
        <f>IF(A63&gt;'VALOR POR PL'!$P$5,'MODELO PARA BI'!BO63,0)</f>
        <v/>
      </c>
      <c r="F63" s="117">
        <f>IF('MODELO PARA BI'!$E$63=0,0,(D63+E63)/'MODELO PARA BI'!$E$63)</f>
        <v/>
      </c>
      <c r="G63" s="117">
        <f>G62+F63</f>
        <v/>
      </c>
      <c r="I63" s="49">
        <f>B63*'VALOR POR PL'!$G$50</f>
        <v/>
      </c>
      <c r="J63" s="54">
        <f>I63*IF(A63&lt;='VALOR POR PL'!$P$5,IFERROR(INDEX('"INCC-FGV"'!$B$2:$B$800,MATCH(A63,'"INCC-FGV"'!$A$2:$A$800,0)),'VALOR POR PL'!$P$7),'VALOR POR PL'!$P$7)</f>
        <v/>
      </c>
      <c r="K63" s="71">
        <f>'MODELO PARA BI'!BO65</f>
        <v/>
      </c>
      <c r="L63" s="71">
        <f>'MODELO PARA BI'!BO66</f>
        <v/>
      </c>
      <c r="M63" s="54">
        <f>M62+J63</f>
        <v/>
      </c>
    </row>
    <row r="64">
      <c r="A64" s="119">
        <f>'MODELO PARA BI'!BP1</f>
        <v/>
      </c>
      <c r="B64" s="120" t="n"/>
      <c r="C64" s="117">
        <f>C63+B64</f>
        <v/>
      </c>
      <c r="D64" s="60">
        <f>IF(A64&lt;='VALOR POR PL'!$P$5,'MODELO PARA BI'!BP63,0)</f>
        <v/>
      </c>
      <c r="E64" s="60">
        <f>IF(A64&gt;'VALOR POR PL'!$P$5,'MODELO PARA BI'!BP63,0)</f>
        <v/>
      </c>
      <c r="F64" s="117">
        <f>IF('MODELO PARA BI'!$E$63=0,0,(D64+E64)/'MODELO PARA BI'!$E$63)</f>
        <v/>
      </c>
      <c r="G64" s="117">
        <f>G63+F64</f>
        <v/>
      </c>
      <c r="I64" s="49">
        <f>B64*'VALOR POR PL'!$G$50</f>
        <v/>
      </c>
      <c r="J64" s="54">
        <f>I64*IF(A64&lt;='VALOR POR PL'!$P$5,IFERROR(INDEX('"INCC-FGV"'!$B$2:$B$800,MATCH(A64,'"INCC-FGV"'!$A$2:$A$800,0)),'VALOR POR PL'!$P$7),'VALOR POR PL'!$P$7)</f>
        <v/>
      </c>
      <c r="K64" s="71">
        <f>'MODELO PARA BI'!BP65</f>
        <v/>
      </c>
      <c r="L64" s="71">
        <f>'MODELO PARA BI'!BP66</f>
        <v/>
      </c>
      <c r="M64" s="54">
        <f>M63+J64</f>
        <v/>
      </c>
    </row>
    <row r="65">
      <c r="A65" s="119">
        <f>'MODELO PARA BI'!BQ1</f>
        <v/>
      </c>
      <c r="B65" s="120" t="n"/>
      <c r="C65" s="117">
        <f>C64+B65</f>
        <v/>
      </c>
      <c r="D65" s="60">
        <f>IF(A65&lt;='VALOR POR PL'!$P$5,'MODELO PARA BI'!BQ63,0)</f>
        <v/>
      </c>
      <c r="E65" s="60">
        <f>IF(A65&gt;'VALOR POR PL'!$P$5,'MODELO PARA BI'!BQ63,0)</f>
        <v/>
      </c>
      <c r="F65" s="117">
        <f>IF('MODELO PARA BI'!$E$63=0,0,(D65+E65)/'MODELO PARA BI'!$E$63)</f>
        <v/>
      </c>
      <c r="G65" s="117">
        <f>G64+F65</f>
        <v/>
      </c>
      <c r="I65" s="49">
        <f>B65*'VALOR POR PL'!$G$50</f>
        <v/>
      </c>
      <c r="J65" s="54">
        <f>I65*IF(A65&lt;='VALOR POR PL'!$P$5,IFERROR(INDEX('"INCC-FGV"'!$B$2:$B$800,MATCH(A65,'"INCC-FGV"'!$A$2:$A$800,0)),'VALOR POR PL'!$P$7),'VALOR POR PL'!$P$7)</f>
        <v/>
      </c>
      <c r="K65" s="71">
        <f>'MODELO PARA BI'!BQ65</f>
        <v/>
      </c>
      <c r="L65" s="71">
        <f>'MODELO PARA BI'!BQ66</f>
        <v/>
      </c>
      <c r="M65" s="54">
        <f>M64+J65</f>
        <v/>
      </c>
    </row>
    <row r="66">
      <c r="A66" s="119">
        <f>'MODELO PARA BI'!BR1</f>
        <v/>
      </c>
      <c r="B66" s="120" t="n"/>
      <c r="C66" s="117">
        <f>C65+B66</f>
        <v/>
      </c>
      <c r="D66" s="60">
        <f>IF(A66&lt;='VALOR POR PL'!$P$5,'MODELO PARA BI'!BR63,0)</f>
        <v/>
      </c>
      <c r="E66" s="60">
        <f>IF(A66&gt;'VALOR POR PL'!$P$5,'MODELO PARA BI'!BR63,0)</f>
        <v/>
      </c>
      <c r="F66" s="117">
        <f>IF('MODELO PARA BI'!$E$63=0,0,(D66+E66)/'MODELO PARA BI'!$E$63)</f>
        <v/>
      </c>
      <c r="G66" s="117">
        <f>G65+F66</f>
        <v/>
      </c>
      <c r="I66" s="49">
        <f>B66*'VALOR POR PL'!$G$50</f>
        <v/>
      </c>
      <c r="J66" s="54">
        <f>I66*IF(A66&lt;='VALOR POR PL'!$P$5,IFERROR(INDEX('"INCC-FGV"'!$B$2:$B$800,MATCH(A66,'"INCC-FGV"'!$A$2:$A$800,0)),'VALOR POR PL'!$P$7),'VALOR POR PL'!$P$7)</f>
        <v/>
      </c>
      <c r="K66" s="71">
        <f>'MODELO PARA BI'!BR65</f>
        <v/>
      </c>
      <c r="L66" s="71">
        <f>'MODELO PARA BI'!BR66</f>
        <v/>
      </c>
      <c r="M66" s="54">
        <f>M65+J66</f>
        <v/>
      </c>
    </row>
    <row r="67">
      <c r="A67" s="119">
        <f>'MODELO PARA BI'!BS1</f>
        <v/>
      </c>
      <c r="B67" s="120" t="n"/>
      <c r="C67" s="117">
        <f>C66+B67</f>
        <v/>
      </c>
      <c r="D67" s="60">
        <f>IF(A67&lt;='VALOR POR PL'!$P$5,'MODELO PARA BI'!BS63,0)</f>
        <v/>
      </c>
      <c r="E67" s="60">
        <f>IF(A67&gt;'VALOR POR PL'!$P$5,'MODELO PARA BI'!BS63,0)</f>
        <v/>
      </c>
      <c r="F67" s="117">
        <f>IF('MODELO PARA BI'!$E$63=0,0,(D67+E67)/'MODELO PARA BI'!$E$63)</f>
        <v/>
      </c>
      <c r="G67" s="117">
        <f>G66+F67</f>
        <v/>
      </c>
      <c r="I67" s="49">
        <f>B67*'VALOR POR PL'!$G$50</f>
        <v/>
      </c>
      <c r="J67" s="54">
        <f>I67*IF(A67&lt;='VALOR POR PL'!$P$5,IFERROR(INDEX('"INCC-FGV"'!$B$2:$B$800,MATCH(A67,'"INCC-FGV"'!$A$2:$A$800,0)),'VALOR POR PL'!$P$7),'VALOR POR PL'!$P$7)</f>
        <v/>
      </c>
      <c r="K67" s="71">
        <f>'MODELO PARA BI'!BS65</f>
        <v/>
      </c>
      <c r="L67" s="71">
        <f>'MODELO PARA BI'!BS66</f>
        <v/>
      </c>
      <c r="M67" s="54">
        <f>M66+J67</f>
        <v/>
      </c>
    </row>
    <row r="68">
      <c r="A68" s="119">
        <f>'MODELO PARA BI'!BT1</f>
        <v/>
      </c>
      <c r="B68" s="120" t="n"/>
      <c r="C68" s="117">
        <f>C67+B68</f>
        <v/>
      </c>
      <c r="D68" s="60">
        <f>IF(A68&lt;='VALOR POR PL'!$P$5,'MODELO PARA BI'!BT63,0)</f>
        <v/>
      </c>
      <c r="E68" s="60">
        <f>IF(A68&gt;'VALOR POR PL'!$P$5,'MODELO PARA BI'!BT63,0)</f>
        <v/>
      </c>
      <c r="F68" s="117">
        <f>IF('MODELO PARA BI'!$E$63=0,0,(D68+E68)/'MODELO PARA BI'!$E$63)</f>
        <v/>
      </c>
      <c r="G68" s="117">
        <f>G67+F68</f>
        <v/>
      </c>
      <c r="I68" s="49">
        <f>B68*'VALOR POR PL'!$G$50</f>
        <v/>
      </c>
      <c r="J68" s="54">
        <f>I68*IF(A68&lt;='VALOR POR PL'!$P$5,IFERROR(INDEX('"INCC-FGV"'!$B$2:$B$800,MATCH(A68,'"INCC-FGV"'!$A$2:$A$800,0)),'VALOR POR PL'!$P$7),'VALOR POR PL'!$P$7)</f>
        <v/>
      </c>
      <c r="K68" s="71">
        <f>'MODELO PARA BI'!BT65</f>
        <v/>
      </c>
      <c r="L68" s="71">
        <f>'MODELO PARA BI'!BT66</f>
        <v/>
      </c>
      <c r="M68" s="54">
        <f>M67+J68</f>
        <v/>
      </c>
    </row>
    <row r="69">
      <c r="A69" s="119">
        <f>'MODELO PARA BI'!BU1</f>
        <v/>
      </c>
      <c r="B69" s="120" t="n"/>
      <c r="C69" s="117">
        <f>C68+B69</f>
        <v/>
      </c>
      <c r="D69" s="60">
        <f>IF(A69&lt;='VALOR POR PL'!$P$5,'MODELO PARA BI'!BU63,0)</f>
        <v/>
      </c>
      <c r="E69" s="60">
        <f>IF(A69&gt;'VALOR POR PL'!$P$5,'MODELO PARA BI'!BU63,0)</f>
        <v/>
      </c>
      <c r="F69" s="117">
        <f>IF('MODELO PARA BI'!$E$63=0,0,(D69+E69)/'MODELO PARA BI'!$E$63)</f>
        <v/>
      </c>
      <c r="G69" s="117">
        <f>G68+F69</f>
        <v/>
      </c>
      <c r="I69" s="49">
        <f>B69*'VALOR POR PL'!$G$50</f>
        <v/>
      </c>
      <c r="J69" s="54">
        <f>I69*IF(A69&lt;='VALOR POR PL'!$P$5,IFERROR(INDEX('"INCC-FGV"'!$B$2:$B$800,MATCH(A69,'"INCC-FGV"'!$A$2:$A$800,0)),'VALOR POR PL'!$P$7),'VALOR POR PL'!$P$7)</f>
        <v/>
      </c>
      <c r="K69" s="71">
        <f>'MODELO PARA BI'!BU65</f>
        <v/>
      </c>
      <c r="L69" s="71">
        <f>'MODELO PARA BI'!BU66</f>
        <v/>
      </c>
      <c r="M69" s="54">
        <f>M68+J69</f>
        <v/>
      </c>
    </row>
    <row r="70">
      <c r="A70" s="119">
        <f>'MODELO PARA BI'!BV1</f>
        <v/>
      </c>
      <c r="B70" s="120" t="n"/>
      <c r="C70" s="117">
        <f>C69+B70</f>
        <v/>
      </c>
      <c r="D70" s="60">
        <f>IF(A70&lt;='VALOR POR PL'!$P$5,'MODELO PARA BI'!BV63,0)</f>
        <v/>
      </c>
      <c r="E70" s="60">
        <f>IF(A70&gt;'VALOR POR PL'!$P$5,'MODELO PARA BI'!BV63,0)</f>
        <v/>
      </c>
      <c r="F70" s="117">
        <f>IF('MODELO PARA BI'!$E$63=0,0,(D70+E70)/'MODELO PARA BI'!$E$63)</f>
        <v/>
      </c>
      <c r="G70" s="117">
        <f>G69+F70</f>
        <v/>
      </c>
      <c r="I70" s="49">
        <f>B70*'VALOR POR PL'!$G$50</f>
        <v/>
      </c>
      <c r="J70" s="54">
        <f>I70*IF(A70&lt;='VALOR POR PL'!$P$5,IFERROR(INDEX('"INCC-FGV"'!$B$2:$B$800,MATCH(A70,'"INCC-FGV"'!$A$2:$A$800,0)),'VALOR POR PL'!$P$7),'VALOR POR PL'!$P$7)</f>
        <v/>
      </c>
      <c r="K70" s="71">
        <f>'MODELO PARA BI'!BV65</f>
        <v/>
      </c>
      <c r="L70" s="71">
        <f>'MODELO PARA BI'!BV66</f>
        <v/>
      </c>
      <c r="M70" s="54">
        <f>M69+J70</f>
        <v/>
      </c>
    </row>
    <row r="71">
      <c r="A71" s="119">
        <f>'MODELO PARA BI'!BW1</f>
        <v/>
      </c>
      <c r="B71" s="120" t="n"/>
      <c r="C71" s="117">
        <f>C70+B71</f>
        <v/>
      </c>
      <c r="D71" s="60">
        <f>IF(A71&lt;='VALOR POR PL'!$P$5,'MODELO PARA BI'!BW63,0)</f>
        <v/>
      </c>
      <c r="E71" s="60">
        <f>IF(A71&gt;'VALOR POR PL'!$P$5,'MODELO PARA BI'!BW63,0)</f>
        <v/>
      </c>
      <c r="F71" s="117">
        <f>IF('MODELO PARA BI'!$E$63=0,0,(D71+E71)/'MODELO PARA BI'!$E$63)</f>
        <v/>
      </c>
      <c r="G71" s="117">
        <f>G70+F71</f>
        <v/>
      </c>
      <c r="I71" s="49">
        <f>B71*'VALOR POR PL'!$G$50</f>
        <v/>
      </c>
      <c r="J71" s="54">
        <f>I71*IF(A71&lt;='VALOR POR PL'!$P$5,IFERROR(INDEX('"INCC-FGV"'!$B$2:$B$800,MATCH(A71,'"INCC-FGV"'!$A$2:$A$800,0)),'VALOR POR PL'!$P$7),'VALOR POR PL'!$P$7)</f>
        <v/>
      </c>
      <c r="K71" s="71">
        <f>'MODELO PARA BI'!BW65</f>
        <v/>
      </c>
      <c r="L71" s="71">
        <f>'MODELO PARA BI'!BW66</f>
        <v/>
      </c>
      <c r="M71" s="54">
        <f>M70+J71</f>
        <v/>
      </c>
    </row>
    <row r="72">
      <c r="A72" s="119">
        <f>'MODELO PARA BI'!BX1</f>
        <v/>
      </c>
      <c r="B72" s="120" t="n"/>
      <c r="C72" s="117">
        <f>C71+B72</f>
        <v/>
      </c>
      <c r="D72" s="60">
        <f>IF(A72&lt;='VALOR POR PL'!$P$5,'MODELO PARA BI'!BX63,0)</f>
        <v/>
      </c>
      <c r="E72" s="60">
        <f>IF(A72&gt;'VALOR POR PL'!$P$5,'MODELO PARA BI'!BX63,0)</f>
        <v/>
      </c>
      <c r="F72" s="117">
        <f>IF('MODELO PARA BI'!$E$63=0,0,(D72+E72)/'MODELO PARA BI'!$E$63)</f>
        <v/>
      </c>
      <c r="G72" s="117">
        <f>G71+F72</f>
        <v/>
      </c>
      <c r="I72" s="49">
        <f>B72*'VALOR POR PL'!$G$50</f>
        <v/>
      </c>
      <c r="J72" s="54">
        <f>I72*IF(A72&lt;='VALOR POR PL'!$P$5,IFERROR(INDEX('"INCC-FGV"'!$B$2:$B$800,MATCH(A72,'"INCC-FGV"'!$A$2:$A$800,0)),'VALOR POR PL'!$P$7),'VALOR POR PL'!$P$7)</f>
        <v/>
      </c>
      <c r="K72" s="71">
        <f>'MODELO PARA BI'!BX65</f>
        <v/>
      </c>
      <c r="L72" s="71">
        <f>'MODELO PARA BI'!BX66</f>
        <v/>
      </c>
      <c r="M72" s="54">
        <f>M71+J72</f>
        <v/>
      </c>
    </row>
    <row r="73">
      <c r="A73" s="119">
        <f>'MODELO PARA BI'!BY1</f>
        <v/>
      </c>
      <c r="B73" s="120" t="n"/>
      <c r="C73" s="117">
        <f>C72+B73</f>
        <v/>
      </c>
      <c r="D73" s="60">
        <f>IF(A73&lt;='VALOR POR PL'!$P$5,'MODELO PARA BI'!BY63,0)</f>
        <v/>
      </c>
      <c r="E73" s="60">
        <f>IF(A73&gt;'VALOR POR PL'!$P$5,'MODELO PARA BI'!BY63,0)</f>
        <v/>
      </c>
      <c r="F73" s="117">
        <f>IF('MODELO PARA BI'!$E$63=0,0,(D73+E73)/'MODELO PARA BI'!$E$63)</f>
        <v/>
      </c>
      <c r="G73" s="117">
        <f>G72+F73</f>
        <v/>
      </c>
      <c r="I73" s="49">
        <f>B73*'VALOR POR PL'!$G$50</f>
        <v/>
      </c>
      <c r="J73" s="54">
        <f>I73*IF(A73&lt;='VALOR POR PL'!$P$5,IFERROR(INDEX('"INCC-FGV"'!$B$2:$B$800,MATCH(A73,'"INCC-FGV"'!$A$2:$A$800,0)),'VALOR POR PL'!$P$7),'VALOR POR PL'!$P$7)</f>
        <v/>
      </c>
      <c r="K73" s="71">
        <f>'MODELO PARA BI'!BY65</f>
        <v/>
      </c>
      <c r="L73" s="71">
        <f>'MODELO PARA BI'!BY66</f>
        <v/>
      </c>
      <c r="M73" s="54">
        <f>M72+J73</f>
        <v/>
      </c>
    </row>
    <row r="74">
      <c r="A74" s="119">
        <f>'MODELO PARA BI'!BZ1</f>
        <v/>
      </c>
      <c r="B74" s="120" t="n"/>
      <c r="C74" s="117">
        <f>C73+B74</f>
        <v/>
      </c>
      <c r="D74" s="60">
        <f>IF(A74&lt;='VALOR POR PL'!$P$5,'MODELO PARA BI'!BZ63,0)</f>
        <v/>
      </c>
      <c r="E74" s="60">
        <f>IF(A74&gt;'VALOR POR PL'!$P$5,'MODELO PARA BI'!BZ63,0)</f>
        <v/>
      </c>
      <c r="F74" s="117">
        <f>IF('MODELO PARA BI'!$E$63=0,0,(D74+E74)/'MODELO PARA BI'!$E$63)</f>
        <v/>
      </c>
      <c r="G74" s="117">
        <f>G73+F74</f>
        <v/>
      </c>
      <c r="I74" s="49">
        <f>B74*'VALOR POR PL'!$G$50</f>
        <v/>
      </c>
      <c r="J74" s="54">
        <f>I74*IF(A74&lt;='VALOR POR PL'!$P$5,IFERROR(INDEX('"INCC-FGV"'!$B$2:$B$800,MATCH(A74,'"INCC-FGV"'!$A$2:$A$800,0)),'VALOR POR PL'!$P$7),'VALOR POR PL'!$P$7)</f>
        <v/>
      </c>
      <c r="K74" s="71">
        <f>'MODELO PARA BI'!BZ65</f>
        <v/>
      </c>
      <c r="L74" s="71">
        <f>'MODELO PARA BI'!BZ66</f>
        <v/>
      </c>
      <c r="M74" s="54">
        <f>M73+J74</f>
        <v/>
      </c>
    </row>
    <row r="75">
      <c r="A75" s="119">
        <f>'MODELO PARA BI'!CA1</f>
        <v/>
      </c>
      <c r="B75" s="120" t="n"/>
      <c r="C75" s="117">
        <f>C74+B75</f>
        <v/>
      </c>
      <c r="D75" s="60">
        <f>IF(A75&lt;='VALOR POR PL'!$P$5,'MODELO PARA BI'!CA63,0)</f>
        <v/>
      </c>
      <c r="E75" s="60">
        <f>IF(A75&gt;'VALOR POR PL'!$P$5,'MODELO PARA BI'!CA63,0)</f>
        <v/>
      </c>
      <c r="F75" s="117">
        <f>IF('MODELO PARA BI'!$E$63=0,0,(D75+E75)/'MODELO PARA BI'!$E$63)</f>
        <v/>
      </c>
      <c r="G75" s="117">
        <f>G74+F75</f>
        <v/>
      </c>
      <c r="I75" s="49">
        <f>B75*'VALOR POR PL'!$G$50</f>
        <v/>
      </c>
      <c r="J75" s="54">
        <f>I75*IF(A75&lt;='VALOR POR PL'!$P$5,IFERROR(INDEX('"INCC-FGV"'!$B$2:$B$800,MATCH(A75,'"INCC-FGV"'!$A$2:$A$800,0)),'VALOR POR PL'!$P$7),'VALOR POR PL'!$P$7)</f>
        <v/>
      </c>
      <c r="K75" s="71">
        <f>'MODELO PARA BI'!CA65</f>
        <v/>
      </c>
      <c r="L75" s="71">
        <f>'MODELO PARA BI'!CA66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8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21" t="n">
        <v>34547</v>
      </c>
      <c r="B2" s="47" t="n">
        <v>100</v>
      </c>
      <c r="D2" s="122">
        <f>IF(B2="","",IFERROR(B2/INDEX($B$2:$B$800,MATCH(DATE(YEAR(A2)-1,12,1),$A$2:$A$800,0))-1,""))</f>
        <v/>
      </c>
      <c r="E2" s="122">
        <f>IF(B2="","",IFERROR(B2/INDEX($B$2:$B$800,MATCH(DATE(YEAR(A2)-1,MONTH(A2),1),$A$2:$A$800,0))-1,""))</f>
        <v/>
      </c>
      <c r="G2" s="123" t="inlineStr">
        <is>
          <t>Fonte: FGV (INCC-DI). Acrescente uma linha por mês.</t>
        </is>
      </c>
    </row>
    <row r="3">
      <c r="A3" s="121" t="n">
        <v>34578</v>
      </c>
      <c r="B3" s="47" t="n">
        <v>100.381</v>
      </c>
      <c r="C3" s="122">
        <f>IF(OR(B3="",B2=""),"",B3/B2-1)</f>
        <v/>
      </c>
      <c r="D3" s="122">
        <f>IF(B3="","",IFERROR(B3/INDEX($B$2:$B$800,MATCH(DATE(YEAR(A3)-1,12,1),$A$2:$A$800,0))-1,""))</f>
        <v/>
      </c>
      <c r="E3" s="122">
        <f>IF(B3="","",IFERROR(B3/INDEX($B$2:$B$800,MATCH(DATE(YEAR(A3)-1,MONTH(A3),1),$A$2:$A$800,0))-1,""))</f>
        <v/>
      </c>
    </row>
    <row r="4">
      <c r="A4" s="121" t="n">
        <v>34608</v>
      </c>
      <c r="B4" s="47" t="n">
        <v>101.71</v>
      </c>
      <c r="C4" s="122">
        <f>IF(OR(B4="",B3=""),"",B4/B3-1)</f>
        <v/>
      </c>
      <c r="D4" s="122">
        <f>IF(B4="","",IFERROR(B4/INDEX($B$2:$B$800,MATCH(DATE(YEAR(A4)-1,12,1),$A$2:$A$800,0))-1,""))</f>
        <v/>
      </c>
      <c r="E4" s="122">
        <f>IF(B4="","",IFERROR(B4/INDEX($B$2:$B$800,MATCH(DATE(YEAR(A4)-1,MONTH(A4),1),$A$2:$A$800,0))-1,""))</f>
        <v/>
      </c>
    </row>
    <row r="5">
      <c r="A5" s="121" t="n">
        <v>34639</v>
      </c>
      <c r="B5" s="47" t="n">
        <v>104.11</v>
      </c>
      <c r="C5" s="122">
        <f>IF(OR(B5="",B4=""),"",B5/B4-1)</f>
        <v/>
      </c>
      <c r="D5" s="122">
        <f>IF(B5="","",IFERROR(B5/INDEX($B$2:$B$800,MATCH(DATE(YEAR(A5)-1,12,1),$A$2:$A$800,0))-1,""))</f>
        <v/>
      </c>
      <c r="E5" s="122">
        <f>IF(B5="","",IFERROR(B5/INDEX($B$2:$B$800,MATCH(DATE(YEAR(A5)-1,MONTH(A5),1),$A$2:$A$800,0))-1,""))</f>
        <v/>
      </c>
    </row>
    <row r="6">
      <c r="A6" s="121" t="n">
        <v>34669</v>
      </c>
      <c r="B6" s="47" t="n">
        <v>105.487</v>
      </c>
      <c r="C6" s="122">
        <f>IF(OR(B6="",B5=""),"",B6/B5-1)</f>
        <v/>
      </c>
      <c r="D6" s="122">
        <f>IF(B6="","",IFERROR(B6/INDEX($B$2:$B$800,MATCH(DATE(YEAR(A6)-1,12,1),$A$2:$A$800,0))-1,""))</f>
        <v/>
      </c>
      <c r="E6" s="122">
        <f>IF(B6="","",IFERROR(B6/INDEX($B$2:$B$800,MATCH(DATE(YEAR(A6)-1,MONTH(A6),1),$A$2:$A$800,0))-1,""))</f>
        <v/>
      </c>
    </row>
    <row r="7">
      <c r="A7" s="121" t="n">
        <v>34700</v>
      </c>
      <c r="B7" s="47" t="n">
        <v>109.176</v>
      </c>
      <c r="C7" s="122">
        <f>IF(OR(B7="",B6=""),"",B7/B6-1)</f>
        <v/>
      </c>
      <c r="D7" s="122">
        <f>IF(B7="","",IFERROR(B7/INDEX($B$2:$B$800,MATCH(DATE(YEAR(A7)-1,12,1),$A$2:$A$800,0))-1,""))</f>
        <v/>
      </c>
      <c r="E7" s="122">
        <f>IF(B7="","",IFERROR(B7/INDEX($B$2:$B$800,MATCH(DATE(YEAR(A7)-1,MONTH(A7),1),$A$2:$A$800,0))-1,""))</f>
        <v/>
      </c>
    </row>
    <row r="8">
      <c r="A8" s="121" t="n">
        <v>34731</v>
      </c>
      <c r="B8" s="47" t="n">
        <v>111.453</v>
      </c>
      <c r="C8" s="122">
        <f>IF(OR(B8="",B7=""),"",B8/B7-1)</f>
        <v/>
      </c>
      <c r="D8" s="122">
        <f>IF(B8="","",IFERROR(B8/INDEX($B$2:$B$800,MATCH(DATE(YEAR(A8)-1,12,1),$A$2:$A$800,0))-1,""))</f>
        <v/>
      </c>
      <c r="E8" s="122">
        <f>IF(B8="","",IFERROR(B8/INDEX($B$2:$B$800,MATCH(DATE(YEAR(A8)-1,MONTH(A8),1),$A$2:$A$800,0))-1,""))</f>
        <v/>
      </c>
    </row>
    <row r="9">
      <c r="A9" s="121" t="n">
        <v>34759</v>
      </c>
      <c r="B9" s="47" t="n">
        <v>115.129</v>
      </c>
      <c r="C9" s="122">
        <f>IF(OR(B9="",B8=""),"",B9/B8-1)</f>
        <v/>
      </c>
      <c r="D9" s="122">
        <f>IF(B9="","",IFERROR(B9/INDEX($B$2:$B$800,MATCH(DATE(YEAR(A9)-1,12,1),$A$2:$A$800,0))-1,""))</f>
        <v/>
      </c>
      <c r="E9" s="122">
        <f>IF(B9="","",IFERROR(B9/INDEX($B$2:$B$800,MATCH(DATE(YEAR(A9)-1,MONTH(A9),1),$A$2:$A$800,0))-1,""))</f>
        <v/>
      </c>
    </row>
    <row r="10">
      <c r="A10" s="121" t="n">
        <v>34790</v>
      </c>
      <c r="B10" s="47" t="n">
        <v>117.774</v>
      </c>
      <c r="C10" s="122">
        <f>IF(OR(B10="",B9=""),"",B10/B9-1)</f>
        <v/>
      </c>
      <c r="D10" s="122">
        <f>IF(B10="","",IFERROR(B10/INDEX($B$2:$B$800,MATCH(DATE(YEAR(A10)-1,12,1),$A$2:$A$800,0))-1,""))</f>
        <v/>
      </c>
      <c r="E10" s="122">
        <f>IF(B10="","",IFERROR(B10/INDEX($B$2:$B$800,MATCH(DATE(YEAR(A10)-1,MONTH(A10),1),$A$2:$A$800,0))-1,""))</f>
        <v/>
      </c>
    </row>
    <row r="11">
      <c r="A11" s="121" t="n">
        <v>34820</v>
      </c>
      <c r="B11" s="47" t="n">
        <v>128.098</v>
      </c>
      <c r="C11" s="122">
        <f>IF(OR(B11="",B10=""),"",B11/B10-1)</f>
        <v/>
      </c>
      <c r="D11" s="122">
        <f>IF(B11="","",IFERROR(B11/INDEX($B$2:$B$800,MATCH(DATE(YEAR(A11)-1,12,1),$A$2:$A$800,0))-1,""))</f>
        <v/>
      </c>
      <c r="E11" s="122">
        <f>IF(B11="","",IFERROR(B11/INDEX($B$2:$B$800,MATCH(DATE(YEAR(A11)-1,MONTH(A11),1),$A$2:$A$800,0))-1,""))</f>
        <v/>
      </c>
    </row>
    <row r="12">
      <c r="A12" s="121" t="n">
        <v>34851</v>
      </c>
      <c r="B12" s="47" t="n">
        <v>132.09</v>
      </c>
      <c r="C12" s="122">
        <f>IF(OR(B12="",B11=""),"",B12/B11-1)</f>
        <v/>
      </c>
      <c r="D12" s="122">
        <f>IF(B12="","",IFERROR(B12/INDEX($B$2:$B$800,MATCH(DATE(YEAR(A12)-1,12,1),$A$2:$A$800,0))-1,""))</f>
        <v/>
      </c>
      <c r="E12" s="122">
        <f>IF(B12="","",IFERROR(B12/INDEX($B$2:$B$800,MATCH(DATE(YEAR(A12)-1,MONTH(A12),1),$A$2:$A$800,0))-1,""))</f>
        <v/>
      </c>
    </row>
    <row r="13">
      <c r="A13" s="121" t="n">
        <v>34881</v>
      </c>
      <c r="B13" s="47" t="n">
        <v>133.524</v>
      </c>
      <c r="C13" s="122">
        <f>IF(OR(B13="",B12=""),"",B13/B12-1)</f>
        <v/>
      </c>
      <c r="D13" s="122">
        <f>IF(B13="","",IFERROR(B13/INDEX($B$2:$B$800,MATCH(DATE(YEAR(A13)-1,12,1),$A$2:$A$800,0))-1,""))</f>
        <v/>
      </c>
      <c r="E13" s="122">
        <f>IF(B13="","",IFERROR(B13/INDEX($B$2:$B$800,MATCH(DATE(YEAR(A13)-1,MONTH(A13),1),$A$2:$A$800,0))-1,""))</f>
        <v/>
      </c>
    </row>
    <row r="14">
      <c r="A14" s="121" t="n">
        <v>34912</v>
      </c>
      <c r="B14" s="47" t="n">
        <v>134.353</v>
      </c>
      <c r="C14" s="122">
        <f>IF(OR(B14="",B13=""),"",B14/B13-1)</f>
        <v/>
      </c>
      <c r="D14" s="122">
        <f>IF(B14="","",IFERROR(B14/INDEX($B$2:$B$800,MATCH(DATE(YEAR(A14)-1,12,1),$A$2:$A$800,0))-1,""))</f>
        <v/>
      </c>
      <c r="E14" s="122">
        <f>IF(B14="","",IFERROR(B14/INDEX($B$2:$B$800,MATCH(DATE(YEAR(A14)-1,MONTH(A14),1),$A$2:$A$800,0))-1,""))</f>
        <v/>
      </c>
    </row>
    <row r="15">
      <c r="A15" s="121" t="n">
        <v>34943</v>
      </c>
      <c r="B15" s="47" t="n">
        <v>135.318</v>
      </c>
      <c r="C15" s="122">
        <f>IF(OR(B15="",B14=""),"",B15/B14-1)</f>
        <v/>
      </c>
      <c r="D15" s="122">
        <f>IF(B15="","",IFERROR(B15/INDEX($B$2:$B$800,MATCH(DATE(YEAR(A15)-1,12,1),$A$2:$A$800,0))-1,""))</f>
        <v/>
      </c>
      <c r="E15" s="122">
        <f>IF(B15="","",IFERROR(B15/INDEX($B$2:$B$800,MATCH(DATE(YEAR(A15)-1,MONTH(A15),1),$A$2:$A$800,0))-1,""))</f>
        <v/>
      </c>
    </row>
    <row r="16">
      <c r="A16" s="121" t="n">
        <v>34973</v>
      </c>
      <c r="B16" s="47" t="n">
        <v>136.484</v>
      </c>
      <c r="C16" s="122">
        <f>IF(OR(B16="",B15=""),"",B16/B15-1)</f>
        <v/>
      </c>
      <c r="D16" s="122">
        <f>IF(B16="","",IFERROR(B16/INDEX($B$2:$B$800,MATCH(DATE(YEAR(A16)-1,12,1),$A$2:$A$800,0))-1,""))</f>
        <v/>
      </c>
      <c r="E16" s="122">
        <f>IF(B16="","",IFERROR(B16/INDEX($B$2:$B$800,MATCH(DATE(YEAR(A16)-1,MONTH(A16),1),$A$2:$A$800,0))-1,""))</f>
        <v/>
      </c>
    </row>
    <row r="17">
      <c r="A17" s="121" t="n">
        <v>35004</v>
      </c>
      <c r="B17" s="47" t="n">
        <v>137.478</v>
      </c>
      <c r="C17" s="122">
        <f>IF(OR(B17="",B16=""),"",B17/B16-1)</f>
        <v/>
      </c>
      <c r="D17" s="122">
        <f>IF(B17="","",IFERROR(B17/INDEX($B$2:$B$800,MATCH(DATE(YEAR(A17)-1,12,1),$A$2:$A$800,0))-1,""))</f>
        <v/>
      </c>
      <c r="E17" s="122">
        <f>IF(B17="","",IFERROR(B17/INDEX($B$2:$B$800,MATCH(DATE(YEAR(A17)-1,MONTH(A17),1),$A$2:$A$800,0))-1,""))</f>
        <v/>
      </c>
    </row>
    <row r="18">
      <c r="A18" s="121" t="n">
        <v>35034</v>
      </c>
      <c r="B18" s="47" t="n">
        <v>138.664</v>
      </c>
      <c r="C18" s="122">
        <f>IF(OR(B18="",B17=""),"",B18/B17-1)</f>
        <v/>
      </c>
      <c r="D18" s="122">
        <f>IF(B18="","",IFERROR(B18/INDEX($B$2:$B$800,MATCH(DATE(YEAR(A18)-1,12,1),$A$2:$A$800,0))-1,""))</f>
        <v/>
      </c>
      <c r="E18" s="122">
        <f>IF(B18="","",IFERROR(B18/INDEX($B$2:$B$800,MATCH(DATE(YEAR(A18)-1,MONTH(A18),1),$A$2:$A$800,0))-1,""))</f>
        <v/>
      </c>
    </row>
    <row r="19">
      <c r="A19" s="121" t="n">
        <v>35065</v>
      </c>
      <c r="B19" s="47" t="n">
        <v>140.766</v>
      </c>
      <c r="C19" s="122">
        <f>IF(OR(B19="",B18=""),"",B19/B18-1)</f>
        <v/>
      </c>
      <c r="D19" s="122">
        <f>IF(B19="","",IFERROR(B19/INDEX($B$2:$B$800,MATCH(DATE(YEAR(A19)-1,12,1),$A$2:$A$800,0))-1,""))</f>
        <v/>
      </c>
      <c r="E19" s="122">
        <f>IF(B19="","",IFERROR(B19/INDEX($B$2:$B$800,MATCH(DATE(YEAR(A19)-1,MONTH(A19),1),$A$2:$A$800,0))-1,""))</f>
        <v/>
      </c>
    </row>
    <row r="20">
      <c r="A20" s="121" t="n">
        <v>35096</v>
      </c>
      <c r="B20" s="47" t="n">
        <v>140.929</v>
      </c>
      <c r="C20" s="122">
        <f>IF(OR(B20="",B19=""),"",B20/B19-1)</f>
        <v/>
      </c>
      <c r="D20" s="122">
        <f>IF(B20="","",IFERROR(B20/INDEX($B$2:$B$800,MATCH(DATE(YEAR(A20)-1,12,1),$A$2:$A$800,0))-1,""))</f>
        <v/>
      </c>
      <c r="E20" s="122">
        <f>IF(B20="","",IFERROR(B20/INDEX($B$2:$B$800,MATCH(DATE(YEAR(A20)-1,MONTH(A20),1),$A$2:$A$800,0))-1,""))</f>
        <v/>
      </c>
    </row>
    <row r="21">
      <c r="A21" s="121" t="n">
        <v>35125</v>
      </c>
      <c r="B21" s="47" t="n">
        <v>142.313</v>
      </c>
      <c r="C21" s="122">
        <f>IF(OR(B21="",B20=""),"",B21/B20-1)</f>
        <v/>
      </c>
      <c r="D21" s="122">
        <f>IF(B21="","",IFERROR(B21/INDEX($B$2:$B$800,MATCH(DATE(YEAR(A21)-1,12,1),$A$2:$A$800,0))-1,""))</f>
        <v/>
      </c>
      <c r="E21" s="122">
        <f>IF(B21="","",IFERROR(B21/INDEX($B$2:$B$800,MATCH(DATE(YEAR(A21)-1,MONTH(A21),1),$A$2:$A$800,0))-1,""))</f>
        <v/>
      </c>
    </row>
    <row r="22">
      <c r="A22" s="121" t="n">
        <v>35156</v>
      </c>
      <c r="B22" s="47" t="n">
        <v>142.663</v>
      </c>
      <c r="C22" s="122">
        <f>IF(OR(B22="",B21=""),"",B22/B21-1)</f>
        <v/>
      </c>
      <c r="D22" s="122">
        <f>IF(B22="","",IFERROR(B22/INDEX($B$2:$B$800,MATCH(DATE(YEAR(A22)-1,12,1),$A$2:$A$800,0))-1,""))</f>
        <v/>
      </c>
      <c r="E22" s="122">
        <f>IF(B22="","",IFERROR(B22/INDEX($B$2:$B$800,MATCH(DATE(YEAR(A22)-1,MONTH(A22),1),$A$2:$A$800,0))-1,""))</f>
        <v/>
      </c>
    </row>
    <row r="23">
      <c r="A23" s="121" t="n">
        <v>35186</v>
      </c>
      <c r="B23" s="47" t="n">
        <v>145.742</v>
      </c>
      <c r="C23" s="122">
        <f>IF(OR(B23="",B22=""),"",B23/B22-1)</f>
        <v/>
      </c>
      <c r="D23" s="122">
        <f>IF(B23="","",IFERROR(B23/INDEX($B$2:$B$800,MATCH(DATE(YEAR(A23)-1,12,1),$A$2:$A$800,0))-1,""))</f>
        <v/>
      </c>
      <c r="E23" s="122">
        <f>IF(B23="","",IFERROR(B23/INDEX($B$2:$B$800,MATCH(DATE(YEAR(A23)-1,MONTH(A23),1),$A$2:$A$800,0))-1,""))</f>
        <v/>
      </c>
    </row>
    <row r="24">
      <c r="A24" s="121" t="n">
        <v>35217</v>
      </c>
      <c r="B24" s="47" t="n">
        <v>147.984</v>
      </c>
      <c r="C24" s="122">
        <f>IF(OR(B24="",B23=""),"",B24/B23-1)</f>
        <v/>
      </c>
      <c r="D24" s="122">
        <f>IF(B24="","",IFERROR(B24/INDEX($B$2:$B$800,MATCH(DATE(YEAR(A24)-1,12,1),$A$2:$A$800,0))-1,""))</f>
        <v/>
      </c>
      <c r="E24" s="122">
        <f>IF(B24="","",IFERROR(B24/INDEX($B$2:$B$800,MATCH(DATE(YEAR(A24)-1,MONTH(A24),1),$A$2:$A$800,0))-1,""))</f>
        <v/>
      </c>
    </row>
    <row r="25">
      <c r="A25" s="121" t="n">
        <v>35247</v>
      </c>
      <c r="B25" s="47" t="n">
        <v>149.095</v>
      </c>
      <c r="C25" s="122">
        <f>IF(OR(B25="",B24=""),"",B25/B24-1)</f>
        <v/>
      </c>
      <c r="D25" s="122">
        <f>IF(B25="","",IFERROR(B25/INDEX($B$2:$B$800,MATCH(DATE(YEAR(A25)-1,12,1),$A$2:$A$800,0))-1,""))</f>
        <v/>
      </c>
      <c r="E25" s="122">
        <f>IF(B25="","",IFERROR(B25/INDEX($B$2:$B$800,MATCH(DATE(YEAR(A25)-1,MONTH(A25),1),$A$2:$A$800,0))-1,""))</f>
        <v/>
      </c>
    </row>
    <row r="26">
      <c r="A26" s="121" t="n">
        <v>35278</v>
      </c>
      <c r="B26" s="47" t="n">
        <v>149.445</v>
      </c>
      <c r="C26" s="122">
        <f>IF(OR(B26="",B25=""),"",B26/B25-1)</f>
        <v/>
      </c>
      <c r="D26" s="122">
        <f>IF(B26="","",IFERROR(B26/INDEX($B$2:$B$800,MATCH(DATE(YEAR(A26)-1,12,1),$A$2:$A$800,0))-1,""))</f>
        <v/>
      </c>
      <c r="E26" s="122">
        <f>IF(B26="","",IFERROR(B26/INDEX($B$2:$B$800,MATCH(DATE(YEAR(A26)-1,MONTH(A26),1),$A$2:$A$800,0))-1,""))</f>
        <v/>
      </c>
    </row>
    <row r="27">
      <c r="A27" s="121" t="n">
        <v>35309</v>
      </c>
      <c r="B27" s="47" t="n">
        <v>149.772</v>
      </c>
      <c r="C27" s="122">
        <f>IF(OR(B27="",B26=""),"",B27/B26-1)</f>
        <v/>
      </c>
      <c r="D27" s="122">
        <f>IF(B27="","",IFERROR(B27/INDEX($B$2:$B$800,MATCH(DATE(YEAR(A27)-1,12,1),$A$2:$A$800,0))-1,""))</f>
        <v/>
      </c>
      <c r="E27" s="122">
        <f>IF(B27="","",IFERROR(B27/INDEX($B$2:$B$800,MATCH(DATE(YEAR(A27)-1,MONTH(A27),1),$A$2:$A$800,0))-1,""))</f>
        <v/>
      </c>
    </row>
    <row r="28">
      <c r="A28" s="121" t="n">
        <v>35339</v>
      </c>
      <c r="B28" s="47" t="n">
        <v>150.157</v>
      </c>
      <c r="C28" s="122">
        <f>IF(OR(B28="",B27=""),"",B28/B27-1)</f>
        <v/>
      </c>
      <c r="D28" s="122">
        <f>IF(B28="","",IFERROR(B28/INDEX($B$2:$B$800,MATCH(DATE(YEAR(A28)-1,12,1),$A$2:$A$800,0))-1,""))</f>
        <v/>
      </c>
      <c r="E28" s="122">
        <f>IF(B28="","",IFERROR(B28/INDEX($B$2:$B$800,MATCH(DATE(YEAR(A28)-1,MONTH(A28),1),$A$2:$A$800,0))-1,""))</f>
        <v/>
      </c>
    </row>
    <row r="29">
      <c r="A29" s="121" t="n">
        <v>35370</v>
      </c>
      <c r="B29" s="47" t="n">
        <v>151.035</v>
      </c>
      <c r="C29" s="122">
        <f>IF(OR(B29="",B28=""),"",B29/B28-1)</f>
        <v/>
      </c>
      <c r="D29" s="122">
        <f>IF(B29="","",IFERROR(B29/INDEX($B$2:$B$800,MATCH(DATE(YEAR(A29)-1,12,1),$A$2:$A$800,0))-1,""))</f>
        <v/>
      </c>
      <c r="E29" s="122">
        <f>IF(B29="","",IFERROR(B29/INDEX($B$2:$B$800,MATCH(DATE(YEAR(A29)-1,MONTH(A29),1),$A$2:$A$800,0))-1,""))</f>
        <v/>
      </c>
    </row>
    <row r="30">
      <c r="A30" s="121" t="n">
        <v>35400</v>
      </c>
      <c r="B30" s="47" t="n">
        <v>151.922</v>
      </c>
      <c r="C30" s="122">
        <f>IF(OR(B30="",B29=""),"",B30/B29-1)</f>
        <v/>
      </c>
      <c r="D30" s="122">
        <f>IF(B30="","",IFERROR(B30/INDEX($B$2:$B$800,MATCH(DATE(YEAR(A30)-1,12,1),$A$2:$A$800,0))-1,""))</f>
        <v/>
      </c>
      <c r="E30" s="122">
        <f>IF(B30="","",IFERROR(B30/INDEX($B$2:$B$800,MATCH(DATE(YEAR(A30)-1,MONTH(A30),1),$A$2:$A$800,0))-1,""))</f>
        <v/>
      </c>
    </row>
    <row r="31">
      <c r="A31" s="121" t="n">
        <v>35431</v>
      </c>
      <c r="B31" s="47" t="n">
        <v>152.408</v>
      </c>
      <c r="C31" s="122">
        <f>IF(OR(B31="",B30=""),"",B31/B30-1)</f>
        <v/>
      </c>
      <c r="D31" s="122">
        <f>IF(B31="","",IFERROR(B31/INDEX($B$2:$B$800,MATCH(DATE(YEAR(A31)-1,12,1),$A$2:$A$800,0))-1,""))</f>
        <v/>
      </c>
      <c r="E31" s="122">
        <f>IF(B31="","",IFERROR(B31/INDEX($B$2:$B$800,MATCH(DATE(YEAR(A31)-1,MONTH(A31),1),$A$2:$A$800,0))-1,""))</f>
        <v/>
      </c>
    </row>
    <row r="32">
      <c r="A32" s="121" t="n">
        <v>35462</v>
      </c>
      <c r="B32" s="47" t="n">
        <v>153.147</v>
      </c>
      <c r="C32" s="122">
        <f>IF(OR(B32="",B31=""),"",B32/B31-1)</f>
        <v/>
      </c>
      <c r="D32" s="122">
        <f>IF(B32="","",IFERROR(B32/INDEX($B$2:$B$800,MATCH(DATE(YEAR(A32)-1,12,1),$A$2:$A$800,0))-1,""))</f>
        <v/>
      </c>
      <c r="E32" s="122">
        <f>IF(B32="","",IFERROR(B32/INDEX($B$2:$B$800,MATCH(DATE(YEAR(A32)-1,MONTH(A32),1),$A$2:$A$800,0))-1,""))</f>
        <v/>
      </c>
    </row>
    <row r="33">
      <c r="A33" s="121" t="n">
        <v>35490</v>
      </c>
      <c r="B33" s="47" t="n">
        <v>154.26</v>
      </c>
      <c r="C33" s="122">
        <f>IF(OR(B33="",B32=""),"",B33/B32-1)</f>
        <v/>
      </c>
      <c r="D33" s="122">
        <f>IF(B33="","",IFERROR(B33/INDEX($B$2:$B$800,MATCH(DATE(YEAR(A33)-1,12,1),$A$2:$A$800,0))-1,""))</f>
        <v/>
      </c>
      <c r="E33" s="122">
        <f>IF(B33="","",IFERROR(B33/INDEX($B$2:$B$800,MATCH(DATE(YEAR(A33)-1,MONTH(A33),1),$A$2:$A$800,0))-1,""))</f>
        <v/>
      </c>
    </row>
    <row r="34">
      <c r="A34" s="121" t="n">
        <v>35521</v>
      </c>
      <c r="B34" s="47" t="n">
        <v>154.616</v>
      </c>
      <c r="C34" s="122">
        <f>IF(OR(B34="",B33=""),"",B34/B33-1)</f>
        <v/>
      </c>
      <c r="D34" s="122">
        <f>IF(B34="","",IFERROR(B34/INDEX($B$2:$B$800,MATCH(DATE(YEAR(A34)-1,12,1),$A$2:$A$800,0))-1,""))</f>
        <v/>
      </c>
      <c r="E34" s="122">
        <f>IF(B34="","",IFERROR(B34/INDEX($B$2:$B$800,MATCH(DATE(YEAR(A34)-1,MONTH(A34),1),$A$2:$A$800,0))-1,""))</f>
        <v/>
      </c>
    </row>
    <row r="35">
      <c r="A35" s="121" t="n">
        <v>35551</v>
      </c>
      <c r="B35" s="47" t="n">
        <v>155.953</v>
      </c>
      <c r="C35" s="122">
        <f>IF(OR(B35="",B34=""),"",B35/B34-1)</f>
        <v/>
      </c>
      <c r="D35" s="122">
        <f>IF(B35="","",IFERROR(B35/INDEX($B$2:$B$800,MATCH(DATE(YEAR(A35)-1,12,1),$A$2:$A$800,0))-1,""))</f>
        <v/>
      </c>
      <c r="E35" s="122">
        <f>IF(B35="","",IFERROR(B35/INDEX($B$2:$B$800,MATCH(DATE(YEAR(A35)-1,MONTH(A35),1),$A$2:$A$800,0))-1,""))</f>
        <v/>
      </c>
    </row>
    <row r="36">
      <c r="A36" s="121" t="n">
        <v>35582</v>
      </c>
      <c r="B36" s="47" t="n">
        <v>157.687</v>
      </c>
      <c r="C36" s="122">
        <f>IF(OR(B36="",B35=""),"",B36/B35-1)</f>
        <v/>
      </c>
      <c r="D36" s="122">
        <f>IF(B36="","",IFERROR(B36/INDEX($B$2:$B$800,MATCH(DATE(YEAR(A36)-1,12,1),$A$2:$A$800,0))-1,""))</f>
        <v/>
      </c>
      <c r="E36" s="122">
        <f>IF(B36="","",IFERROR(B36/INDEX($B$2:$B$800,MATCH(DATE(YEAR(A36)-1,MONTH(A36),1),$A$2:$A$800,0))-1,""))</f>
        <v/>
      </c>
    </row>
    <row r="37">
      <c r="A37" s="121" t="n">
        <v>35612</v>
      </c>
      <c r="B37" s="47" t="n">
        <v>158.485</v>
      </c>
      <c r="C37" s="122">
        <f>IF(OR(B37="",B36=""),"",B37/B36-1)</f>
        <v/>
      </c>
      <c r="D37" s="122">
        <f>IF(B37="","",IFERROR(B37/INDEX($B$2:$B$800,MATCH(DATE(YEAR(A37)-1,12,1),$A$2:$A$800,0))-1,""))</f>
        <v/>
      </c>
      <c r="E37" s="122">
        <f>IF(B37="","",IFERROR(B37/INDEX($B$2:$B$800,MATCH(DATE(YEAR(A37)-1,MONTH(A37),1),$A$2:$A$800,0))-1,""))</f>
        <v/>
      </c>
    </row>
    <row r="38">
      <c r="A38" s="121" t="n">
        <v>35643</v>
      </c>
      <c r="B38" s="47" t="n">
        <v>160.352</v>
      </c>
      <c r="C38" s="122">
        <f>IF(OR(B38="",B37=""),"",B38/B37-1)</f>
        <v/>
      </c>
      <c r="D38" s="122">
        <f>IF(B38="","",IFERROR(B38/INDEX($B$2:$B$800,MATCH(DATE(YEAR(A38)-1,12,1),$A$2:$A$800,0))-1,""))</f>
        <v/>
      </c>
      <c r="E38" s="122">
        <f>IF(B38="","",IFERROR(B38/INDEX($B$2:$B$800,MATCH(DATE(YEAR(A38)-1,MONTH(A38),1),$A$2:$A$800,0))-1,""))</f>
        <v/>
      </c>
    </row>
    <row r="39">
      <c r="A39" s="121" t="n">
        <v>35674</v>
      </c>
      <c r="B39" s="47" t="n">
        <v>160.78</v>
      </c>
      <c r="C39" s="122">
        <f>IF(OR(B39="",B38=""),"",B39/B38-1)</f>
        <v/>
      </c>
      <c r="D39" s="122">
        <f>IF(B39="","",IFERROR(B39/INDEX($B$2:$B$800,MATCH(DATE(YEAR(A39)-1,12,1),$A$2:$A$800,0))-1,""))</f>
        <v/>
      </c>
      <c r="E39" s="122">
        <f>IF(B39="","",IFERROR(B39/INDEX($B$2:$B$800,MATCH(DATE(YEAR(A39)-1,MONTH(A39),1),$A$2:$A$800,0))-1,""))</f>
        <v/>
      </c>
    </row>
    <row r="40">
      <c r="A40" s="121" t="n">
        <v>35704</v>
      </c>
      <c r="B40" s="47" t="n">
        <v>161.024</v>
      </c>
      <c r="C40" s="122">
        <f>IF(OR(B40="",B39=""),"",B40/B39-1)</f>
        <v/>
      </c>
      <c r="D40" s="122">
        <f>IF(B40="","",IFERROR(B40/INDEX($B$2:$B$800,MATCH(DATE(YEAR(A40)-1,12,1),$A$2:$A$800,0))-1,""))</f>
        <v/>
      </c>
      <c r="E40" s="122">
        <f>IF(B40="","",IFERROR(B40/INDEX($B$2:$B$800,MATCH(DATE(YEAR(A40)-1,MONTH(A40),1),$A$2:$A$800,0))-1,""))</f>
        <v/>
      </c>
    </row>
    <row r="41">
      <c r="A41" s="121" t="n">
        <v>35735</v>
      </c>
      <c r="B41" s="47" t="n">
        <v>161.897</v>
      </c>
      <c r="C41" s="122">
        <f>IF(OR(B41="",B40=""),"",B41/B40-1)</f>
        <v/>
      </c>
      <c r="D41" s="122">
        <f>IF(B41="","",IFERROR(B41/INDEX($B$2:$B$800,MATCH(DATE(YEAR(A41)-1,12,1),$A$2:$A$800,0))-1,""))</f>
        <v/>
      </c>
      <c r="E41" s="122">
        <f>IF(B41="","",IFERROR(B41/INDEX($B$2:$B$800,MATCH(DATE(YEAR(A41)-1,MONTH(A41),1),$A$2:$A$800,0))-1,""))</f>
        <v/>
      </c>
    </row>
    <row r="42">
      <c r="A42" s="121" t="n">
        <v>35765</v>
      </c>
      <c r="B42" s="47" t="n">
        <v>162.271</v>
      </c>
      <c r="C42" s="122">
        <f>IF(OR(B42="",B41=""),"",B42/B41-1)</f>
        <v/>
      </c>
      <c r="D42" s="122">
        <f>IF(B42="","",IFERROR(B42/INDEX($B$2:$B$800,MATCH(DATE(YEAR(A42)-1,12,1),$A$2:$A$800,0))-1,""))</f>
        <v/>
      </c>
      <c r="E42" s="122">
        <f>IF(B42="","",IFERROR(B42/INDEX($B$2:$B$800,MATCH(DATE(YEAR(A42)-1,MONTH(A42),1),$A$2:$A$800,0))-1,""))</f>
        <v/>
      </c>
    </row>
    <row r="43">
      <c r="A43" s="121" t="n">
        <v>35796</v>
      </c>
      <c r="B43" s="47" t="n">
        <v>162.805</v>
      </c>
      <c r="C43" s="122">
        <f>IF(OR(B43="",B42=""),"",B43/B42-1)</f>
        <v/>
      </c>
      <c r="D43" s="122">
        <f>IF(B43="","",IFERROR(B43/INDEX($B$2:$B$800,MATCH(DATE(YEAR(A43)-1,12,1),$A$2:$A$800,0))-1,""))</f>
        <v/>
      </c>
      <c r="E43" s="122">
        <f>IF(B43="","",IFERROR(B43/INDEX($B$2:$B$800,MATCH(DATE(YEAR(A43)-1,MONTH(A43),1),$A$2:$A$800,0))-1,""))</f>
        <v/>
      </c>
    </row>
    <row r="44">
      <c r="A44" s="121" t="n">
        <v>35827</v>
      </c>
      <c r="B44" s="47" t="n">
        <v>163.593</v>
      </c>
      <c r="C44" s="122">
        <f>IF(OR(B44="",B43=""),"",B44/B43-1)</f>
        <v/>
      </c>
      <c r="D44" s="122">
        <f>IF(B44="","",IFERROR(B44/INDEX($B$2:$B$800,MATCH(DATE(YEAR(A44)-1,12,1),$A$2:$A$800,0))-1,""))</f>
        <v/>
      </c>
      <c r="E44" s="122">
        <f>IF(B44="","",IFERROR(B44/INDEX($B$2:$B$800,MATCH(DATE(YEAR(A44)-1,MONTH(A44),1),$A$2:$A$800,0))-1,""))</f>
        <v/>
      </c>
    </row>
    <row r="45">
      <c r="A45" s="121" t="n">
        <v>35855</v>
      </c>
      <c r="B45" s="47" t="n">
        <v>164.361</v>
      </c>
      <c r="C45" s="122">
        <f>IF(OR(B45="",B44=""),"",B45/B44-1)</f>
        <v/>
      </c>
      <c r="D45" s="122">
        <f>IF(B45="","",IFERROR(B45/INDEX($B$2:$B$800,MATCH(DATE(YEAR(A45)-1,12,1),$A$2:$A$800,0))-1,""))</f>
        <v/>
      </c>
      <c r="E45" s="122">
        <f>IF(B45="","",IFERROR(B45/INDEX($B$2:$B$800,MATCH(DATE(YEAR(A45)-1,MONTH(A45),1),$A$2:$A$800,0))-1,""))</f>
        <v/>
      </c>
    </row>
    <row r="46">
      <c r="A46" s="121" t="n">
        <v>35886</v>
      </c>
      <c r="B46" s="47" t="n">
        <v>163.535</v>
      </c>
      <c r="C46" s="122">
        <f>IF(OR(B46="",B45=""),"",B46/B45-1)</f>
        <v/>
      </c>
      <c r="D46" s="122">
        <f>IF(B46="","",IFERROR(B46/INDEX($B$2:$B$800,MATCH(DATE(YEAR(A46)-1,12,1),$A$2:$A$800,0))-1,""))</f>
        <v/>
      </c>
      <c r="E46" s="122">
        <f>IF(B46="","",IFERROR(B46/INDEX($B$2:$B$800,MATCH(DATE(YEAR(A46)-1,MONTH(A46),1),$A$2:$A$800,0))-1,""))</f>
        <v/>
      </c>
    </row>
    <row r="47">
      <c r="A47" s="121" t="n">
        <v>35916</v>
      </c>
      <c r="B47" s="47" t="n">
        <v>165.133</v>
      </c>
      <c r="C47" s="122">
        <f>IF(OR(B47="",B46=""),"",B47/B46-1)</f>
        <v/>
      </c>
      <c r="D47" s="122">
        <f>IF(B47="","",IFERROR(B47/INDEX($B$2:$B$800,MATCH(DATE(YEAR(A47)-1,12,1),$A$2:$A$800,0))-1,""))</f>
        <v/>
      </c>
      <c r="E47" s="122">
        <f>IF(B47="","",IFERROR(B47/INDEX($B$2:$B$800,MATCH(DATE(YEAR(A47)-1,MONTH(A47),1),$A$2:$A$800,0))-1,""))</f>
        <v/>
      </c>
    </row>
    <row r="48">
      <c r="A48" s="121" t="n">
        <v>35947</v>
      </c>
      <c r="B48" s="47" t="n">
        <v>165.781</v>
      </c>
      <c r="C48" s="122">
        <f>IF(OR(B48="",B47=""),"",B48/B47-1)</f>
        <v/>
      </c>
      <c r="D48" s="122">
        <f>IF(B48="","",IFERROR(B48/INDEX($B$2:$B$800,MATCH(DATE(YEAR(A48)-1,12,1),$A$2:$A$800,0))-1,""))</f>
        <v/>
      </c>
      <c r="E48" s="122">
        <f>IF(B48="","",IFERROR(B48/INDEX($B$2:$B$800,MATCH(DATE(YEAR(A48)-1,MONTH(A48),1),$A$2:$A$800,0))-1,""))</f>
        <v/>
      </c>
    </row>
    <row r="49">
      <c r="A49" s="121" t="n">
        <v>35977</v>
      </c>
      <c r="B49" s="47" t="n">
        <v>166.345</v>
      </c>
      <c r="C49" s="122">
        <f>IF(OR(B49="",B48=""),"",B49/B48-1)</f>
        <v/>
      </c>
      <c r="D49" s="122">
        <f>IF(B49="","",IFERROR(B49/INDEX($B$2:$B$800,MATCH(DATE(YEAR(A49)-1,12,1),$A$2:$A$800,0))-1,""))</f>
        <v/>
      </c>
      <c r="E49" s="122">
        <f>IF(B49="","",IFERROR(B49/INDEX($B$2:$B$800,MATCH(DATE(YEAR(A49)-1,MONTH(A49),1),$A$2:$A$800,0))-1,""))</f>
        <v/>
      </c>
    </row>
    <row r="50">
      <c r="A50" s="121" t="n">
        <v>36008</v>
      </c>
      <c r="B50" s="47" t="n">
        <v>166.705</v>
      </c>
      <c r="C50" s="122">
        <f>IF(OR(B50="",B49=""),"",B50/B49-1)</f>
        <v/>
      </c>
      <c r="D50" s="122">
        <f>IF(B50="","",IFERROR(B50/INDEX($B$2:$B$800,MATCH(DATE(YEAR(A50)-1,12,1),$A$2:$A$800,0))-1,""))</f>
        <v/>
      </c>
      <c r="E50" s="122">
        <f>IF(B50="","",IFERROR(B50/INDEX($B$2:$B$800,MATCH(DATE(YEAR(A50)-1,MONTH(A50),1),$A$2:$A$800,0))-1,""))</f>
        <v/>
      </c>
    </row>
    <row r="51">
      <c r="A51" s="121" t="n">
        <v>36039</v>
      </c>
      <c r="B51" s="47" t="n">
        <v>166.729</v>
      </c>
      <c r="C51" s="122">
        <f>IF(OR(B51="",B50=""),"",B51/B50-1)</f>
        <v/>
      </c>
      <c r="D51" s="122">
        <f>IF(B51="","",IFERROR(B51/INDEX($B$2:$B$800,MATCH(DATE(YEAR(A51)-1,12,1),$A$2:$A$800,0))-1,""))</f>
        <v/>
      </c>
      <c r="E51" s="122">
        <f>IF(B51="","",IFERROR(B51/INDEX($B$2:$B$800,MATCH(DATE(YEAR(A51)-1,MONTH(A51),1),$A$2:$A$800,0))-1,""))</f>
        <v/>
      </c>
    </row>
    <row r="52">
      <c r="A52" s="121" t="n">
        <v>36069</v>
      </c>
      <c r="B52" s="47" t="n">
        <v>166.738</v>
      </c>
      <c r="C52" s="122">
        <f>IF(OR(B52="",B51=""),"",B52/B51-1)</f>
        <v/>
      </c>
      <c r="D52" s="122">
        <f>IF(B52="","",IFERROR(B52/INDEX($B$2:$B$800,MATCH(DATE(YEAR(A52)-1,12,1),$A$2:$A$800,0))-1,""))</f>
        <v/>
      </c>
      <c r="E52" s="122">
        <f>IF(B52="","",IFERROR(B52/INDEX($B$2:$B$800,MATCH(DATE(YEAR(A52)-1,MONTH(A52),1),$A$2:$A$800,0))-1,""))</f>
        <v/>
      </c>
    </row>
    <row r="53">
      <c r="A53" s="121" t="n">
        <v>36100</v>
      </c>
      <c r="B53" s="47" t="n">
        <v>166.657</v>
      </c>
      <c r="C53" s="122">
        <f>IF(OR(B53="",B52=""),"",B53/B52-1)</f>
        <v/>
      </c>
      <c r="D53" s="122">
        <f>IF(B53="","",IFERROR(B53/INDEX($B$2:$B$800,MATCH(DATE(YEAR(A53)-1,12,1),$A$2:$A$800,0))-1,""))</f>
        <v/>
      </c>
      <c r="E53" s="122">
        <f>IF(B53="","",IFERROR(B53/INDEX($B$2:$B$800,MATCH(DATE(YEAR(A53)-1,MONTH(A53),1),$A$2:$A$800,0))-1,""))</f>
        <v/>
      </c>
    </row>
    <row r="54">
      <c r="A54" s="121" t="n">
        <v>36130</v>
      </c>
      <c r="B54" s="47" t="n">
        <v>166.733</v>
      </c>
      <c r="C54" s="122">
        <f>IF(OR(B54="",B53=""),"",B54/B53-1)</f>
        <v/>
      </c>
      <c r="D54" s="122">
        <f>IF(B54="","",IFERROR(B54/INDEX($B$2:$B$800,MATCH(DATE(YEAR(A54)-1,12,1),$A$2:$A$800,0))-1,""))</f>
        <v/>
      </c>
      <c r="E54" s="122">
        <f>IF(B54="","",IFERROR(B54/INDEX($B$2:$B$800,MATCH(DATE(YEAR(A54)-1,MONTH(A54),1),$A$2:$A$800,0))-1,""))</f>
        <v/>
      </c>
    </row>
    <row r="55">
      <c r="A55" s="121" t="n">
        <v>36161</v>
      </c>
      <c r="B55" s="47" t="n">
        <v>167.648</v>
      </c>
      <c r="C55" s="122">
        <f>IF(OR(B55="",B54=""),"",B55/B54-1)</f>
        <v/>
      </c>
      <c r="D55" s="122">
        <f>IF(B55="","",IFERROR(B55/INDEX($B$2:$B$800,MATCH(DATE(YEAR(A55)-1,12,1),$A$2:$A$800,0))-1,""))</f>
        <v/>
      </c>
      <c r="E55" s="122">
        <f>IF(B55="","",IFERROR(B55/INDEX($B$2:$B$800,MATCH(DATE(YEAR(A55)-1,MONTH(A55),1),$A$2:$A$800,0))-1,""))</f>
        <v/>
      </c>
    </row>
    <row r="56">
      <c r="A56" s="121" t="n">
        <v>36192</v>
      </c>
      <c r="B56" s="47" t="n">
        <v>169.288</v>
      </c>
      <c r="C56" s="122">
        <f>IF(OR(B56="",B55=""),"",B56/B55-1)</f>
        <v/>
      </c>
      <c r="D56" s="122">
        <f>IF(B56="","",IFERROR(B56/INDEX($B$2:$B$800,MATCH(DATE(YEAR(A56)-1,12,1),$A$2:$A$800,0))-1,""))</f>
        <v/>
      </c>
      <c r="E56" s="122">
        <f>IF(B56="","",IFERROR(B56/INDEX($B$2:$B$800,MATCH(DATE(YEAR(A56)-1,MONTH(A56),1),$A$2:$A$800,0))-1,""))</f>
        <v/>
      </c>
    </row>
    <row r="57">
      <c r="A57" s="121" t="n">
        <v>36220</v>
      </c>
      <c r="B57" s="47" t="n">
        <v>170.221</v>
      </c>
      <c r="C57" s="122">
        <f>IF(OR(B57="",B56=""),"",B57/B56-1)</f>
        <v/>
      </c>
      <c r="D57" s="122">
        <f>IF(B57="","",IFERROR(B57/INDEX($B$2:$B$800,MATCH(DATE(YEAR(A57)-1,12,1),$A$2:$A$800,0))-1,""))</f>
        <v/>
      </c>
      <c r="E57" s="122">
        <f>IF(B57="","",IFERROR(B57/INDEX($B$2:$B$800,MATCH(DATE(YEAR(A57)-1,MONTH(A57),1),$A$2:$A$800,0))-1,""))</f>
        <v/>
      </c>
    </row>
    <row r="58">
      <c r="A58" s="121" t="n">
        <v>36251</v>
      </c>
      <c r="B58" s="47" t="n">
        <v>171.1</v>
      </c>
      <c r="C58" s="122">
        <f>IF(OR(B58="",B57=""),"",B58/B57-1)</f>
        <v/>
      </c>
      <c r="D58" s="122">
        <f>IF(B58="","",IFERROR(B58/INDEX($B$2:$B$800,MATCH(DATE(YEAR(A58)-1,12,1),$A$2:$A$800,0))-1,""))</f>
        <v/>
      </c>
      <c r="E58" s="122">
        <f>IF(B58="","",IFERROR(B58/INDEX($B$2:$B$800,MATCH(DATE(YEAR(A58)-1,MONTH(A58),1),$A$2:$A$800,0))-1,""))</f>
        <v/>
      </c>
    </row>
    <row r="59">
      <c r="A59" s="121" t="n">
        <v>36281</v>
      </c>
      <c r="B59" s="47" t="n">
        <v>172.578</v>
      </c>
      <c r="C59" s="122">
        <f>IF(OR(B59="",B58=""),"",B59/B58-1)</f>
        <v/>
      </c>
      <c r="D59" s="122">
        <f>IF(B59="","",IFERROR(B59/INDEX($B$2:$B$800,MATCH(DATE(YEAR(A59)-1,12,1),$A$2:$A$800,0))-1,""))</f>
        <v/>
      </c>
      <c r="E59" s="122">
        <f>IF(B59="","",IFERROR(B59/INDEX($B$2:$B$800,MATCH(DATE(YEAR(A59)-1,MONTH(A59),1),$A$2:$A$800,0))-1,""))</f>
        <v/>
      </c>
    </row>
    <row r="60">
      <c r="A60" s="121" t="n">
        <v>36312</v>
      </c>
      <c r="B60" s="47" t="n">
        <v>173.279</v>
      </c>
      <c r="C60" s="122">
        <f>IF(OR(B60="",B59=""),"",B60/B59-1)</f>
        <v/>
      </c>
      <c r="D60" s="122">
        <f>IF(B60="","",IFERROR(B60/INDEX($B$2:$B$800,MATCH(DATE(YEAR(A60)-1,12,1),$A$2:$A$800,0))-1,""))</f>
        <v/>
      </c>
      <c r="E60" s="122">
        <f>IF(B60="","",IFERROR(B60/INDEX($B$2:$B$800,MATCH(DATE(YEAR(A60)-1,MONTH(A60),1),$A$2:$A$800,0))-1,""))</f>
        <v/>
      </c>
    </row>
    <row r="61">
      <c r="A61" s="121" t="n">
        <v>36342</v>
      </c>
      <c r="B61" s="47" t="n">
        <v>174.074</v>
      </c>
      <c r="C61" s="122">
        <f>IF(OR(B61="",B60=""),"",B61/B60-1)</f>
        <v/>
      </c>
      <c r="D61" s="122">
        <f>IF(B61="","",IFERROR(B61/INDEX($B$2:$B$800,MATCH(DATE(YEAR(A61)-1,12,1),$A$2:$A$800,0))-1,""))</f>
        <v/>
      </c>
      <c r="E61" s="122">
        <f>IF(B61="","",IFERROR(B61/INDEX($B$2:$B$800,MATCH(DATE(YEAR(A61)-1,MONTH(A61),1),$A$2:$A$800,0))-1,""))</f>
        <v/>
      </c>
    </row>
    <row r="62">
      <c r="A62" s="121" t="n">
        <v>36373</v>
      </c>
      <c r="B62" s="47" t="n">
        <v>175.28</v>
      </c>
      <c r="C62" s="122">
        <f>IF(OR(B62="",B61=""),"",B62/B61-1)</f>
        <v/>
      </c>
      <c r="D62" s="122">
        <f>IF(B62="","",IFERROR(B62/INDEX($B$2:$B$800,MATCH(DATE(YEAR(A62)-1,12,1),$A$2:$A$800,0))-1,""))</f>
        <v/>
      </c>
      <c r="E62" s="122">
        <f>IF(B62="","",IFERROR(B62/INDEX($B$2:$B$800,MATCH(DATE(YEAR(A62)-1,MONTH(A62),1),$A$2:$A$800,0))-1,""))</f>
        <v/>
      </c>
    </row>
    <row r="63">
      <c r="A63" s="121" t="n">
        <v>36404</v>
      </c>
      <c r="B63" s="47" t="n">
        <v>176.785</v>
      </c>
      <c r="C63" s="122">
        <f>IF(OR(B63="",B62=""),"",B63/B62-1)</f>
        <v/>
      </c>
      <c r="D63" s="122">
        <f>IF(B63="","",IFERROR(B63/INDEX($B$2:$B$800,MATCH(DATE(YEAR(A63)-1,12,1),$A$2:$A$800,0))-1,""))</f>
        <v/>
      </c>
      <c r="E63" s="122">
        <f>IF(B63="","",IFERROR(B63/INDEX($B$2:$B$800,MATCH(DATE(YEAR(A63)-1,MONTH(A63),1),$A$2:$A$800,0))-1,""))</f>
        <v/>
      </c>
    </row>
    <row r="64">
      <c r="A64" s="121" t="n">
        <v>36434</v>
      </c>
      <c r="B64" s="47" t="n">
        <v>178.574</v>
      </c>
      <c r="C64" s="122">
        <f>IF(OR(B64="",B63=""),"",B64/B63-1)</f>
        <v/>
      </c>
      <c r="D64" s="122">
        <f>IF(B64="","",IFERROR(B64/INDEX($B$2:$B$800,MATCH(DATE(YEAR(A64)-1,12,1),$A$2:$A$800,0))-1,""))</f>
        <v/>
      </c>
      <c r="E64" s="122">
        <f>IF(B64="","",IFERROR(B64/INDEX($B$2:$B$800,MATCH(DATE(YEAR(A64)-1,MONTH(A64),1),$A$2:$A$800,0))-1,""))</f>
        <v/>
      </c>
    </row>
    <row r="65">
      <c r="A65" s="121" t="n">
        <v>36465</v>
      </c>
      <c r="B65" s="47" t="n">
        <v>180.207</v>
      </c>
      <c r="C65" s="122">
        <f>IF(OR(B65="",B64=""),"",B65/B64-1)</f>
        <v/>
      </c>
      <c r="D65" s="122">
        <f>IF(B65="","",IFERROR(B65/INDEX($B$2:$B$800,MATCH(DATE(YEAR(A65)-1,12,1),$A$2:$A$800,0))-1,""))</f>
        <v/>
      </c>
      <c r="E65" s="122">
        <f>IF(B65="","",IFERROR(B65/INDEX($B$2:$B$800,MATCH(DATE(YEAR(A65)-1,MONTH(A65),1),$A$2:$A$800,0))-1,""))</f>
        <v/>
      </c>
    </row>
    <row r="66">
      <c r="A66" s="121" t="n">
        <v>36495</v>
      </c>
      <c r="B66" s="47" t="n">
        <v>182.084</v>
      </c>
      <c r="C66" s="122">
        <f>IF(OR(B66="",B65=""),"",B66/B65-1)</f>
        <v/>
      </c>
      <c r="D66" s="122">
        <f>IF(B66="","",IFERROR(B66/INDEX($B$2:$B$800,MATCH(DATE(YEAR(A66)-1,12,1),$A$2:$A$800,0))-1,""))</f>
        <v/>
      </c>
      <c r="E66" s="122">
        <f>IF(B66="","",IFERROR(B66/INDEX($B$2:$B$800,MATCH(DATE(YEAR(A66)-1,MONTH(A66),1),$A$2:$A$800,0))-1,""))</f>
        <v/>
      </c>
    </row>
    <row r="67">
      <c r="A67" s="121" t="n">
        <v>36526</v>
      </c>
      <c r="B67" s="47" t="n">
        <v>184.039</v>
      </c>
      <c r="C67" s="122">
        <f>IF(OR(B67="",B66=""),"",B67/B66-1)</f>
        <v/>
      </c>
      <c r="D67" s="122">
        <f>IF(B67="","",IFERROR(B67/INDEX($B$2:$B$800,MATCH(DATE(YEAR(A67)-1,12,1),$A$2:$A$800,0))-1,""))</f>
        <v/>
      </c>
      <c r="E67" s="122">
        <f>IF(B67="","",IFERROR(B67/INDEX($B$2:$B$800,MATCH(DATE(YEAR(A67)-1,MONTH(A67),1),$A$2:$A$800,0))-1,""))</f>
        <v/>
      </c>
    </row>
    <row r="68">
      <c r="A68" s="121" t="n">
        <v>36557</v>
      </c>
      <c r="B68" s="47" t="n">
        <v>185.461</v>
      </c>
      <c r="C68" s="122">
        <f>IF(OR(B68="",B67=""),"",B68/B67-1)</f>
        <v/>
      </c>
      <c r="D68" s="122">
        <f>IF(B68="","",IFERROR(B68/INDEX($B$2:$B$800,MATCH(DATE(YEAR(A68)-1,12,1),$A$2:$A$800,0))-1,""))</f>
        <v/>
      </c>
      <c r="E68" s="122">
        <f>IF(B68="","",IFERROR(B68/INDEX($B$2:$B$800,MATCH(DATE(YEAR(A68)-1,MONTH(A68),1),$A$2:$A$800,0))-1,""))</f>
        <v/>
      </c>
    </row>
    <row r="69">
      <c r="A69" s="121" t="n">
        <v>36586</v>
      </c>
      <c r="B69" s="47" t="n">
        <v>186.492</v>
      </c>
      <c r="C69" s="122">
        <f>IF(OR(B69="",B68=""),"",B69/B68-1)</f>
        <v/>
      </c>
      <c r="D69" s="122">
        <f>IF(B69="","",IFERROR(B69/INDEX($B$2:$B$800,MATCH(DATE(YEAR(A69)-1,12,1),$A$2:$A$800,0))-1,""))</f>
        <v/>
      </c>
      <c r="E69" s="122">
        <f>IF(B69="","",IFERROR(B69/INDEX($B$2:$B$800,MATCH(DATE(YEAR(A69)-1,MONTH(A69),1),$A$2:$A$800,0))-1,""))</f>
        <v/>
      </c>
    </row>
    <row r="70">
      <c r="A70" s="121" t="n">
        <v>36617</v>
      </c>
      <c r="B70" s="47" t="n">
        <v>187.604</v>
      </c>
      <c r="C70" s="122">
        <f>IF(OR(B70="",B69=""),"",B70/B69-1)</f>
        <v/>
      </c>
      <c r="D70" s="122">
        <f>IF(B70="","",IFERROR(B70/INDEX($B$2:$B$800,MATCH(DATE(YEAR(A70)-1,12,1),$A$2:$A$800,0))-1,""))</f>
        <v/>
      </c>
      <c r="E70" s="122">
        <f>IF(B70="","",IFERROR(B70/INDEX($B$2:$B$800,MATCH(DATE(YEAR(A70)-1,MONTH(A70),1),$A$2:$A$800,0))-1,""))</f>
        <v/>
      </c>
    </row>
    <row r="71">
      <c r="A71" s="121" t="n">
        <v>36647</v>
      </c>
      <c r="B71" s="47" t="n">
        <v>190.136</v>
      </c>
      <c r="C71" s="122">
        <f>IF(OR(B71="",B70=""),"",B71/B70-1)</f>
        <v/>
      </c>
      <c r="D71" s="122">
        <f>IF(B71="","",IFERROR(B71/INDEX($B$2:$B$800,MATCH(DATE(YEAR(A71)-1,12,1),$A$2:$A$800,0))-1,""))</f>
        <v/>
      </c>
      <c r="E71" s="122">
        <f>IF(B71="","",IFERROR(B71/INDEX($B$2:$B$800,MATCH(DATE(YEAR(A71)-1,MONTH(A71),1),$A$2:$A$800,0))-1,""))</f>
        <v/>
      </c>
    </row>
    <row r="72">
      <c r="A72" s="121" t="n">
        <v>36678</v>
      </c>
      <c r="B72" s="47" t="n">
        <v>191.527</v>
      </c>
      <c r="C72" s="122">
        <f>IF(OR(B72="",B71=""),"",B72/B71-1)</f>
        <v/>
      </c>
      <c r="D72" s="122">
        <f>IF(B72="","",IFERROR(B72/INDEX($B$2:$B$800,MATCH(DATE(YEAR(A72)-1,12,1),$A$2:$A$800,0))-1,""))</f>
        <v/>
      </c>
      <c r="E72" s="122">
        <f>IF(B72="","",IFERROR(B72/INDEX($B$2:$B$800,MATCH(DATE(YEAR(A72)-1,MONTH(A72),1),$A$2:$A$800,0))-1,""))</f>
        <v/>
      </c>
    </row>
    <row r="73">
      <c r="A73" s="121" t="n">
        <v>36708</v>
      </c>
      <c r="B73" s="47" t="n">
        <v>192.104</v>
      </c>
      <c r="C73" s="122">
        <f>IF(OR(B73="",B72=""),"",B73/B72-1)</f>
        <v/>
      </c>
      <c r="D73" s="122">
        <f>IF(B73="","",IFERROR(B73/INDEX($B$2:$B$800,MATCH(DATE(YEAR(A73)-1,12,1),$A$2:$A$800,0))-1,""))</f>
        <v/>
      </c>
      <c r="E73" s="122">
        <f>IF(B73="","",IFERROR(B73/INDEX($B$2:$B$800,MATCH(DATE(YEAR(A73)-1,MONTH(A73),1),$A$2:$A$800,0))-1,""))</f>
        <v/>
      </c>
    </row>
    <row r="74">
      <c r="A74" s="121" t="n">
        <v>36739</v>
      </c>
      <c r="B74" s="47" t="n">
        <v>192.846</v>
      </c>
      <c r="C74" s="122">
        <f>IF(OR(B74="",B73=""),"",B74/B73-1)</f>
        <v/>
      </c>
      <c r="D74" s="122">
        <f>IF(B74="","",IFERROR(B74/INDEX($B$2:$B$800,MATCH(DATE(YEAR(A74)-1,12,1),$A$2:$A$800,0))-1,""))</f>
        <v/>
      </c>
      <c r="E74" s="122">
        <f>IF(B74="","",IFERROR(B74/INDEX($B$2:$B$800,MATCH(DATE(YEAR(A74)-1,MONTH(A74),1),$A$2:$A$800,0))-1,""))</f>
        <v/>
      </c>
    </row>
    <row r="75">
      <c r="A75" s="121" t="n">
        <v>36770</v>
      </c>
      <c r="B75" s="47" t="n">
        <v>193.342</v>
      </c>
      <c r="C75" s="122">
        <f>IF(OR(B75="",B74=""),"",B75/B74-1)</f>
        <v/>
      </c>
      <c r="D75" s="122">
        <f>IF(B75="","",IFERROR(B75/INDEX($B$2:$B$800,MATCH(DATE(YEAR(A75)-1,12,1),$A$2:$A$800,0))-1,""))</f>
        <v/>
      </c>
      <c r="E75" s="122">
        <f>IF(B75="","",IFERROR(B75/INDEX($B$2:$B$800,MATCH(DATE(YEAR(A75)-1,MONTH(A75),1),$A$2:$A$800,0))-1,""))</f>
        <v/>
      </c>
    </row>
    <row r="76">
      <c r="A76" s="121" t="n">
        <v>36800</v>
      </c>
      <c r="B76" s="47" t="n">
        <v>193.984</v>
      </c>
      <c r="C76" s="122">
        <f>IF(OR(B76="",B75=""),"",B76/B75-1)</f>
        <v/>
      </c>
      <c r="D76" s="122">
        <f>IF(B76="","",IFERROR(B76/INDEX($B$2:$B$800,MATCH(DATE(YEAR(A76)-1,12,1),$A$2:$A$800,0))-1,""))</f>
        <v/>
      </c>
      <c r="E76" s="122">
        <f>IF(B76="","",IFERROR(B76/INDEX($B$2:$B$800,MATCH(DATE(YEAR(A76)-1,MONTH(A76),1),$A$2:$A$800,0))-1,""))</f>
        <v/>
      </c>
    </row>
    <row r="77">
      <c r="A77" s="121" t="n">
        <v>36831</v>
      </c>
      <c r="B77" s="47" t="n">
        <v>194.789</v>
      </c>
      <c r="C77" s="122">
        <f>IF(OR(B77="",B76=""),"",B77/B76-1)</f>
        <v/>
      </c>
      <c r="D77" s="122">
        <f>IF(B77="","",IFERROR(B77/INDEX($B$2:$B$800,MATCH(DATE(YEAR(A77)-1,12,1),$A$2:$A$800,0))-1,""))</f>
        <v/>
      </c>
      <c r="E77" s="122">
        <f>IF(B77="","",IFERROR(B77/INDEX($B$2:$B$800,MATCH(DATE(YEAR(A77)-1,MONTH(A77),1),$A$2:$A$800,0))-1,""))</f>
        <v/>
      </c>
    </row>
    <row r="78">
      <c r="A78" s="121" t="n">
        <v>36861</v>
      </c>
      <c r="B78" s="47" t="n">
        <v>196.037</v>
      </c>
      <c r="C78" s="122">
        <f>IF(OR(B78="",B77=""),"",B78/B77-1)</f>
        <v/>
      </c>
      <c r="D78" s="122">
        <f>IF(B78="","",IFERROR(B78/INDEX($B$2:$B$800,MATCH(DATE(YEAR(A78)-1,12,1),$A$2:$A$800,0))-1,""))</f>
        <v/>
      </c>
      <c r="E78" s="122">
        <f>IF(B78="","",IFERROR(B78/INDEX($B$2:$B$800,MATCH(DATE(YEAR(A78)-1,MONTH(A78),1),$A$2:$A$800,0))-1,""))</f>
        <v/>
      </c>
    </row>
    <row r="79">
      <c r="A79" s="121" t="n">
        <v>36892</v>
      </c>
      <c r="B79" s="47" t="n">
        <v>197.174</v>
      </c>
      <c r="C79" s="122">
        <f>IF(OR(B79="",B78=""),"",B79/B78-1)</f>
        <v/>
      </c>
      <c r="D79" s="122">
        <f>IF(B79="","",IFERROR(B79/INDEX($B$2:$B$800,MATCH(DATE(YEAR(A79)-1,12,1),$A$2:$A$800,0))-1,""))</f>
        <v/>
      </c>
      <c r="E79" s="122">
        <f>IF(B79="","",IFERROR(B79/INDEX($B$2:$B$800,MATCH(DATE(YEAR(A79)-1,MONTH(A79),1),$A$2:$A$800,0))-1,""))</f>
        <v/>
      </c>
    </row>
    <row r="80">
      <c r="A80" s="121" t="n">
        <v>36923</v>
      </c>
      <c r="B80" s="47" t="n">
        <v>197.849</v>
      </c>
      <c r="C80" s="122">
        <f>IF(OR(B80="",B79=""),"",B80/B79-1)</f>
        <v/>
      </c>
      <c r="D80" s="122">
        <f>IF(B80="","",IFERROR(B80/INDEX($B$2:$B$800,MATCH(DATE(YEAR(A80)-1,12,1),$A$2:$A$800,0))-1,""))</f>
        <v/>
      </c>
      <c r="E80" s="122">
        <f>IF(B80="","",IFERROR(B80/INDEX($B$2:$B$800,MATCH(DATE(YEAR(A80)-1,MONTH(A80),1),$A$2:$A$800,0))-1,""))</f>
        <v/>
      </c>
    </row>
    <row r="81">
      <c r="A81" s="121" t="n">
        <v>36951</v>
      </c>
      <c r="B81" s="47" t="n">
        <v>198.388</v>
      </c>
      <c r="C81" s="122">
        <f>IF(OR(B81="",B80=""),"",B81/B80-1)</f>
        <v/>
      </c>
      <c r="D81" s="122">
        <f>IF(B81="","",IFERROR(B81/INDEX($B$2:$B$800,MATCH(DATE(YEAR(A81)-1,12,1),$A$2:$A$800,0))-1,""))</f>
        <v/>
      </c>
      <c r="E81" s="122">
        <f>IF(B81="","",IFERROR(B81/INDEX($B$2:$B$800,MATCH(DATE(YEAR(A81)-1,MONTH(A81),1),$A$2:$A$800,0))-1,""))</f>
        <v/>
      </c>
    </row>
    <row r="82">
      <c r="A82" s="121" t="n">
        <v>36982</v>
      </c>
      <c r="B82" s="47" t="n">
        <v>199.112</v>
      </c>
      <c r="C82" s="122">
        <f>IF(OR(B82="",B81=""),"",B82/B81-1)</f>
        <v/>
      </c>
      <c r="D82" s="122">
        <f>IF(B82="","",IFERROR(B82/INDEX($B$2:$B$800,MATCH(DATE(YEAR(A82)-1,12,1),$A$2:$A$800,0))-1,""))</f>
        <v/>
      </c>
      <c r="E82" s="122">
        <f>IF(B82="","",IFERROR(B82/INDEX($B$2:$B$800,MATCH(DATE(YEAR(A82)-1,MONTH(A82),1),$A$2:$A$800,0))-1,""))</f>
        <v/>
      </c>
    </row>
    <row r="83">
      <c r="A83" s="121" t="n">
        <v>37012</v>
      </c>
      <c r="B83" s="47" t="n">
        <v>203.321</v>
      </c>
      <c r="C83" s="122">
        <f>IF(OR(B83="",B82=""),"",B83/B82-1)</f>
        <v/>
      </c>
      <c r="D83" s="122">
        <f>IF(B83="","",IFERROR(B83/INDEX($B$2:$B$800,MATCH(DATE(YEAR(A83)-1,12,1),$A$2:$A$800,0))-1,""))</f>
        <v/>
      </c>
      <c r="E83" s="122">
        <f>IF(B83="","",IFERROR(B83/INDEX($B$2:$B$800,MATCH(DATE(YEAR(A83)-1,MONTH(A83),1),$A$2:$A$800,0))-1,""))</f>
        <v/>
      </c>
    </row>
    <row r="84">
      <c r="A84" s="121" t="n">
        <v>37043</v>
      </c>
      <c r="B84" s="47" t="n">
        <v>205.682</v>
      </c>
      <c r="C84" s="122">
        <f>IF(OR(B84="",B83=""),"",B84/B83-1)</f>
        <v/>
      </c>
      <c r="D84" s="122">
        <f>IF(B84="","",IFERROR(B84/INDEX($B$2:$B$800,MATCH(DATE(YEAR(A84)-1,12,1),$A$2:$A$800,0))-1,""))</f>
        <v/>
      </c>
      <c r="E84" s="122">
        <f>IF(B84="","",IFERROR(B84/INDEX($B$2:$B$800,MATCH(DATE(YEAR(A84)-1,MONTH(A84),1),$A$2:$A$800,0))-1,""))</f>
        <v/>
      </c>
    </row>
    <row r="85">
      <c r="A85" s="121" t="n">
        <v>37073</v>
      </c>
      <c r="B85" s="47" t="n">
        <v>206.742</v>
      </c>
      <c r="C85" s="122">
        <f>IF(OR(B85="",B84=""),"",B85/B84-1)</f>
        <v/>
      </c>
      <c r="D85" s="122">
        <f>IF(B85="","",IFERROR(B85/INDEX($B$2:$B$800,MATCH(DATE(YEAR(A85)-1,12,1),$A$2:$A$800,0))-1,""))</f>
        <v/>
      </c>
      <c r="E85" s="122">
        <f>IF(B85="","",IFERROR(B85/INDEX($B$2:$B$800,MATCH(DATE(YEAR(A85)-1,MONTH(A85),1),$A$2:$A$800,0))-1,""))</f>
        <v/>
      </c>
    </row>
    <row r="86">
      <c r="A86" s="121" t="n">
        <v>37104</v>
      </c>
      <c r="B86" s="47" t="n">
        <v>208.026</v>
      </c>
      <c r="C86" s="122">
        <f>IF(OR(B86="",B85=""),"",B86/B85-1)</f>
        <v/>
      </c>
      <c r="D86" s="122">
        <f>IF(B86="","",IFERROR(B86/INDEX($B$2:$B$800,MATCH(DATE(YEAR(A86)-1,12,1),$A$2:$A$800,0))-1,""))</f>
        <v/>
      </c>
      <c r="E86" s="122">
        <f>IF(B86="","",IFERROR(B86/INDEX($B$2:$B$800,MATCH(DATE(YEAR(A86)-1,MONTH(A86),1),$A$2:$A$800,0))-1,""))</f>
        <v/>
      </c>
    </row>
    <row r="87">
      <c r="A87" s="121" t="n">
        <v>37135</v>
      </c>
      <c r="B87" s="47" t="n">
        <v>209.174</v>
      </c>
      <c r="C87" s="122">
        <f>IF(OR(B87="",B86=""),"",B87/B86-1)</f>
        <v/>
      </c>
      <c r="D87" s="122">
        <f>IF(B87="","",IFERROR(B87/INDEX($B$2:$B$800,MATCH(DATE(YEAR(A87)-1,12,1),$A$2:$A$800,0))-1,""))</f>
        <v/>
      </c>
      <c r="E87" s="122">
        <f>IF(B87="","",IFERROR(B87/INDEX($B$2:$B$800,MATCH(DATE(YEAR(A87)-1,MONTH(A87),1),$A$2:$A$800,0))-1,""))</f>
        <v/>
      </c>
    </row>
    <row r="88">
      <c r="A88" s="121" t="n">
        <v>37165</v>
      </c>
      <c r="B88" s="47" t="n">
        <v>211.122</v>
      </c>
      <c r="C88" s="122">
        <f>IF(OR(B88="",B87=""),"",B88/B87-1)</f>
        <v/>
      </c>
      <c r="D88" s="122">
        <f>IF(B88="","",IFERROR(B88/INDEX($B$2:$B$800,MATCH(DATE(YEAR(A88)-1,12,1),$A$2:$A$800,0))-1,""))</f>
        <v/>
      </c>
      <c r="E88" s="122">
        <f>IF(B88="","",IFERROR(B88/INDEX($B$2:$B$800,MATCH(DATE(YEAR(A88)-1,MONTH(A88),1),$A$2:$A$800,0))-1,""))</f>
        <v/>
      </c>
    </row>
    <row r="89">
      <c r="A89" s="121" t="n">
        <v>37196</v>
      </c>
      <c r="B89" s="47" t="n">
        <v>212.676</v>
      </c>
      <c r="C89" s="122">
        <f>IF(OR(B89="",B88=""),"",B89/B88-1)</f>
        <v/>
      </c>
      <c r="D89" s="122">
        <f>IF(B89="","",IFERROR(B89/INDEX($B$2:$B$800,MATCH(DATE(YEAR(A89)-1,12,1),$A$2:$A$800,0))-1,""))</f>
        <v/>
      </c>
      <c r="E89" s="122">
        <f>IF(B89="","",IFERROR(B89/INDEX($B$2:$B$800,MATCH(DATE(YEAR(A89)-1,MONTH(A89),1),$A$2:$A$800,0))-1,""))</f>
        <v/>
      </c>
    </row>
    <row r="90">
      <c r="A90" s="121" t="n">
        <v>37226</v>
      </c>
      <c r="B90" s="47" t="n">
        <v>213.393</v>
      </c>
      <c r="C90" s="122">
        <f>IF(OR(B90="",B89=""),"",B90/B89-1)</f>
        <v/>
      </c>
      <c r="D90" s="122">
        <f>IF(B90="","",IFERROR(B90/INDEX($B$2:$B$800,MATCH(DATE(YEAR(A90)-1,12,1),$A$2:$A$800,0))-1,""))</f>
        <v/>
      </c>
      <c r="E90" s="122">
        <f>IF(B90="","",IFERROR(B90/INDEX($B$2:$B$800,MATCH(DATE(YEAR(A90)-1,MONTH(A90),1),$A$2:$A$800,0))-1,""))</f>
        <v/>
      </c>
    </row>
    <row r="91">
      <c r="A91" s="121" t="n">
        <v>37257</v>
      </c>
      <c r="B91" s="47" t="n">
        <v>214.162</v>
      </c>
      <c r="C91" s="122">
        <f>IF(OR(B91="",B90=""),"",B91/B90-1)</f>
        <v/>
      </c>
      <c r="D91" s="122">
        <f>IF(B91="","",IFERROR(B91/INDEX($B$2:$B$800,MATCH(DATE(YEAR(A91)-1,12,1),$A$2:$A$800,0))-1,""))</f>
        <v/>
      </c>
      <c r="E91" s="122">
        <f>IF(B91="","",IFERROR(B91/INDEX($B$2:$B$800,MATCH(DATE(YEAR(A91)-1,MONTH(A91),1),$A$2:$A$800,0))-1,""))</f>
        <v/>
      </c>
    </row>
    <row r="92">
      <c r="A92" s="121" t="n">
        <v>37288</v>
      </c>
      <c r="B92" s="47" t="n">
        <v>215.399</v>
      </c>
      <c r="C92" s="122">
        <f>IF(OR(B92="",B91=""),"",B92/B91-1)</f>
        <v/>
      </c>
      <c r="D92" s="122">
        <f>IF(B92="","",IFERROR(B92/INDEX($B$2:$B$800,MATCH(DATE(YEAR(A92)-1,12,1),$A$2:$A$800,0))-1,""))</f>
        <v/>
      </c>
      <c r="E92" s="122">
        <f>IF(B92="","",IFERROR(B92/INDEX($B$2:$B$800,MATCH(DATE(YEAR(A92)-1,MONTH(A92),1),$A$2:$A$800,0))-1,""))</f>
        <v/>
      </c>
    </row>
    <row r="93">
      <c r="A93" s="121" t="n">
        <v>37316</v>
      </c>
      <c r="B93" s="47" t="n">
        <v>216.577</v>
      </c>
      <c r="C93" s="122">
        <f>IF(OR(B93="",B92=""),"",B93/B92-1)</f>
        <v/>
      </c>
      <c r="D93" s="122">
        <f>IF(B93="","",IFERROR(B93/INDEX($B$2:$B$800,MATCH(DATE(YEAR(A93)-1,12,1),$A$2:$A$800,0))-1,""))</f>
        <v/>
      </c>
      <c r="E93" s="122">
        <f>IF(B93="","",IFERROR(B93/INDEX($B$2:$B$800,MATCH(DATE(YEAR(A93)-1,MONTH(A93),1),$A$2:$A$800,0))-1,""))</f>
        <v/>
      </c>
    </row>
    <row r="94">
      <c r="A94" s="121" t="n">
        <v>37347</v>
      </c>
      <c r="B94" s="47" t="n">
        <v>217.288</v>
      </c>
      <c r="C94" s="122">
        <f>IF(OR(B94="",B93=""),"",B94/B93-1)</f>
        <v/>
      </c>
      <c r="D94" s="122">
        <f>IF(B94="","",IFERROR(B94/INDEX($B$2:$B$800,MATCH(DATE(YEAR(A94)-1,12,1),$A$2:$A$800,0))-1,""))</f>
        <v/>
      </c>
      <c r="E94" s="122">
        <f>IF(B94="","",IFERROR(B94/INDEX($B$2:$B$800,MATCH(DATE(YEAR(A94)-1,MONTH(A94),1),$A$2:$A$800,0))-1,""))</f>
        <v/>
      </c>
    </row>
    <row r="95">
      <c r="A95" s="121" t="n">
        <v>37377</v>
      </c>
      <c r="B95" s="47" t="n">
        <v>222.793</v>
      </c>
      <c r="C95" s="122">
        <f>IF(OR(B95="",B94=""),"",B95/B94-1)</f>
        <v/>
      </c>
      <c r="D95" s="122">
        <f>IF(B95="","",IFERROR(B95/INDEX($B$2:$B$800,MATCH(DATE(YEAR(A95)-1,12,1),$A$2:$A$800,0))-1,""))</f>
        <v/>
      </c>
      <c r="E95" s="122">
        <f>IF(B95="","",IFERROR(B95/INDEX($B$2:$B$800,MATCH(DATE(YEAR(A95)-1,MONTH(A95),1),$A$2:$A$800,0))-1,""))</f>
        <v/>
      </c>
    </row>
    <row r="96">
      <c r="A96" s="121" t="n">
        <v>37408</v>
      </c>
      <c r="B96" s="47" t="n">
        <v>224.054</v>
      </c>
      <c r="C96" s="122">
        <f>IF(OR(B96="",B95=""),"",B96/B95-1)</f>
        <v/>
      </c>
      <c r="D96" s="122">
        <f>IF(B96="","",IFERROR(B96/INDEX($B$2:$B$800,MATCH(DATE(YEAR(A96)-1,12,1),$A$2:$A$800,0))-1,""))</f>
        <v/>
      </c>
      <c r="E96" s="122">
        <f>IF(B96="","",IFERROR(B96/INDEX($B$2:$B$800,MATCH(DATE(YEAR(A96)-1,MONTH(A96),1),$A$2:$A$800,0))-1,""))</f>
        <v/>
      </c>
    </row>
    <row r="97">
      <c r="A97" s="121" t="n">
        <v>37438</v>
      </c>
      <c r="B97" s="47" t="n">
        <v>224.712</v>
      </c>
      <c r="C97" s="122">
        <f>IF(OR(B97="",B96=""),"",B97/B96-1)</f>
        <v/>
      </c>
      <c r="D97" s="122">
        <f>IF(B97="","",IFERROR(B97/INDEX($B$2:$B$800,MATCH(DATE(YEAR(A97)-1,12,1),$A$2:$A$800,0))-1,""))</f>
        <v/>
      </c>
      <c r="E97" s="122">
        <f>IF(B97="","",IFERROR(B97/INDEX($B$2:$B$800,MATCH(DATE(YEAR(A97)-1,MONTH(A97),1),$A$2:$A$800,0))-1,""))</f>
        <v/>
      </c>
    </row>
    <row r="98">
      <c r="A98" s="121" t="n">
        <v>37469</v>
      </c>
      <c r="B98" s="47" t="n">
        <v>226.968</v>
      </c>
      <c r="C98" s="122">
        <f>IF(OR(B98="",B97=""),"",B98/B97-1)</f>
        <v/>
      </c>
      <c r="D98" s="122">
        <f>IF(B98="","",IFERROR(B98/INDEX($B$2:$B$800,MATCH(DATE(YEAR(A98)-1,12,1),$A$2:$A$800,0))-1,""))</f>
        <v/>
      </c>
      <c r="E98" s="122">
        <f>IF(B98="","",IFERROR(B98/INDEX($B$2:$B$800,MATCH(DATE(YEAR(A98)-1,MONTH(A98),1),$A$2:$A$800,0))-1,""))</f>
        <v/>
      </c>
    </row>
    <row r="99">
      <c r="A99" s="121" t="n">
        <v>37500</v>
      </c>
      <c r="B99" s="47" t="n">
        <v>228.576</v>
      </c>
      <c r="C99" s="122">
        <f>IF(OR(B99="",B98=""),"",B99/B98-1)</f>
        <v/>
      </c>
      <c r="D99" s="122">
        <f>IF(B99="","",IFERROR(B99/INDEX($B$2:$B$800,MATCH(DATE(YEAR(A99)-1,12,1),$A$2:$A$800,0))-1,""))</f>
        <v/>
      </c>
      <c r="E99" s="122">
        <f>IF(B99="","",IFERROR(B99/INDEX($B$2:$B$800,MATCH(DATE(YEAR(A99)-1,MONTH(A99),1),$A$2:$A$800,0))-1,""))</f>
        <v/>
      </c>
    </row>
    <row r="100">
      <c r="A100" s="121" t="n">
        <v>37530</v>
      </c>
      <c r="B100" s="47" t="n">
        <v>231.167</v>
      </c>
      <c r="C100" s="122">
        <f>IF(OR(B100="",B99=""),"",B100/B99-1)</f>
        <v/>
      </c>
      <c r="D100" s="122">
        <f>IF(B100="","",IFERROR(B100/INDEX($B$2:$B$800,MATCH(DATE(YEAR(A100)-1,12,1),$A$2:$A$800,0))-1,""))</f>
        <v/>
      </c>
      <c r="E100" s="122">
        <f>IF(B100="","",IFERROR(B100/INDEX($B$2:$B$800,MATCH(DATE(YEAR(A100)-1,MONTH(A100),1),$A$2:$A$800,0))-1,""))</f>
        <v/>
      </c>
    </row>
    <row r="101">
      <c r="A101" s="121" t="n">
        <v>37561</v>
      </c>
      <c r="B101" s="47" t="n">
        <v>236.83</v>
      </c>
      <c r="C101" s="122">
        <f>IF(OR(B101="",B100=""),"",B101/B100-1)</f>
        <v/>
      </c>
      <c r="D101" s="122">
        <f>IF(B101="","",IFERROR(B101/INDEX($B$2:$B$800,MATCH(DATE(YEAR(A101)-1,12,1),$A$2:$A$800,0))-1,""))</f>
        <v/>
      </c>
      <c r="E101" s="122">
        <f>IF(B101="","",IFERROR(B101/INDEX($B$2:$B$800,MATCH(DATE(YEAR(A101)-1,MONTH(A101),1),$A$2:$A$800,0))-1,""))</f>
        <v/>
      </c>
    </row>
    <row r="102">
      <c r="A102" s="121" t="n">
        <v>37591</v>
      </c>
      <c r="B102" s="47" t="n">
        <v>240.861</v>
      </c>
      <c r="C102" s="122">
        <f>IF(OR(B102="",B101=""),"",B102/B101-1)</f>
        <v/>
      </c>
      <c r="D102" s="122">
        <f>IF(B102="","",IFERROR(B102/INDEX($B$2:$B$800,MATCH(DATE(YEAR(A102)-1,12,1),$A$2:$A$800,0))-1,""))</f>
        <v/>
      </c>
      <c r="E102" s="122">
        <f>IF(B102="","",IFERROR(B102/INDEX($B$2:$B$800,MATCH(DATE(YEAR(A102)-1,MONTH(A102),1),$A$2:$A$800,0))-1,""))</f>
        <v/>
      </c>
    </row>
    <row r="103">
      <c r="A103" s="121" t="n">
        <v>37622</v>
      </c>
      <c r="B103" s="47" t="n">
        <v>244.489</v>
      </c>
      <c r="C103" s="122">
        <f>IF(OR(B103="",B102=""),"",B103/B102-1)</f>
        <v/>
      </c>
      <c r="D103" s="122">
        <f>IF(B103="","",IFERROR(B103/INDEX($B$2:$B$800,MATCH(DATE(YEAR(A103)-1,12,1),$A$2:$A$800,0))-1,""))</f>
        <v/>
      </c>
      <c r="E103" s="122">
        <f>IF(B103="","",IFERROR(B103/INDEX($B$2:$B$800,MATCH(DATE(YEAR(A103)-1,MONTH(A103),1),$A$2:$A$800,0))-1,""))</f>
        <v/>
      </c>
    </row>
    <row r="104">
      <c r="A104" s="121" t="n">
        <v>37653</v>
      </c>
      <c r="B104" s="47" t="n">
        <v>247.898</v>
      </c>
      <c r="C104" s="122">
        <f>IF(OR(B104="",B103=""),"",B104/B103-1)</f>
        <v/>
      </c>
      <c r="D104" s="122">
        <f>IF(B104="","",IFERROR(B104/INDEX($B$2:$B$800,MATCH(DATE(YEAR(A104)-1,12,1),$A$2:$A$800,0))-1,""))</f>
        <v/>
      </c>
      <c r="E104" s="122">
        <f>IF(B104="","",IFERROR(B104/INDEX($B$2:$B$800,MATCH(DATE(YEAR(A104)-1,MONTH(A104),1),$A$2:$A$800,0))-1,""))</f>
        <v/>
      </c>
    </row>
    <row r="105">
      <c r="A105" s="121" t="n">
        <v>37681</v>
      </c>
      <c r="B105" s="47" t="n">
        <v>251.318</v>
      </c>
      <c r="C105" s="122">
        <f>IF(OR(B105="",B104=""),"",B105/B104-1)</f>
        <v/>
      </c>
      <c r="D105" s="122">
        <f>IF(B105="","",IFERROR(B105/INDEX($B$2:$B$800,MATCH(DATE(YEAR(A105)-1,12,1),$A$2:$A$800,0))-1,""))</f>
        <v/>
      </c>
      <c r="E105" s="122">
        <f>IF(B105="","",IFERROR(B105/INDEX($B$2:$B$800,MATCH(DATE(YEAR(A105)-1,MONTH(A105),1),$A$2:$A$800,0))-1,""))</f>
        <v/>
      </c>
    </row>
    <row r="106">
      <c r="A106" s="121" t="n">
        <v>37712</v>
      </c>
      <c r="B106" s="47" t="n">
        <v>253.585</v>
      </c>
      <c r="C106" s="122">
        <f>IF(OR(B106="",B105=""),"",B106/B105-1)</f>
        <v/>
      </c>
      <c r="D106" s="122">
        <f>IF(B106="","",IFERROR(B106/INDEX($B$2:$B$800,MATCH(DATE(YEAR(A106)-1,12,1),$A$2:$A$800,0))-1,""))</f>
        <v/>
      </c>
      <c r="E106" s="122">
        <f>IF(B106="","",IFERROR(B106/INDEX($B$2:$B$800,MATCH(DATE(YEAR(A106)-1,MONTH(A106),1),$A$2:$A$800,0))-1,""))</f>
        <v/>
      </c>
    </row>
    <row r="107">
      <c r="A107" s="121" t="n">
        <v>37742</v>
      </c>
      <c r="B107" s="47" t="n">
        <v>260.778</v>
      </c>
      <c r="C107" s="122">
        <f>IF(OR(B107="",B106=""),"",B107/B106-1)</f>
        <v/>
      </c>
      <c r="D107" s="122">
        <f>IF(B107="","",IFERROR(B107/INDEX($B$2:$B$800,MATCH(DATE(YEAR(A107)-1,12,1),$A$2:$A$800,0))-1,""))</f>
        <v/>
      </c>
      <c r="E107" s="122">
        <f>IF(B107="","",IFERROR(B107/INDEX($B$2:$B$800,MATCH(DATE(YEAR(A107)-1,MONTH(A107),1),$A$2:$A$800,0))-1,""))</f>
        <v/>
      </c>
    </row>
    <row r="108">
      <c r="A108" s="121" t="n">
        <v>37773</v>
      </c>
      <c r="B108" s="47" t="n">
        <v>263.516</v>
      </c>
      <c r="C108" s="122">
        <f>IF(OR(B108="",B107=""),"",B108/B107-1)</f>
        <v/>
      </c>
      <c r="D108" s="122">
        <f>IF(B108="","",IFERROR(B108/INDEX($B$2:$B$800,MATCH(DATE(YEAR(A108)-1,12,1),$A$2:$A$800,0))-1,""))</f>
        <v/>
      </c>
      <c r="E108" s="122">
        <f>IF(B108="","",IFERROR(B108/INDEX($B$2:$B$800,MATCH(DATE(YEAR(A108)-1,MONTH(A108),1),$A$2:$A$800,0))-1,""))</f>
        <v/>
      </c>
    </row>
    <row r="109">
      <c r="A109" s="121" t="n">
        <v>37803</v>
      </c>
      <c r="B109" s="47" t="n">
        <v>266.132</v>
      </c>
      <c r="C109" s="122">
        <f>IF(OR(B109="",B108=""),"",B109/B108-1)</f>
        <v/>
      </c>
      <c r="D109" s="122">
        <f>IF(B109="","",IFERROR(B109/INDEX($B$2:$B$800,MATCH(DATE(YEAR(A109)-1,12,1),$A$2:$A$800,0))-1,""))</f>
        <v/>
      </c>
      <c r="E109" s="122">
        <f>IF(B109="","",IFERROR(B109/INDEX($B$2:$B$800,MATCH(DATE(YEAR(A109)-1,MONTH(A109),1),$A$2:$A$800,0))-1,""))</f>
        <v/>
      </c>
    </row>
    <row r="110">
      <c r="A110" s="121" t="n">
        <v>37834</v>
      </c>
      <c r="B110" s="47" t="n">
        <v>269.967</v>
      </c>
      <c r="C110" s="122">
        <f>IF(OR(B110="",B109=""),"",B110/B109-1)</f>
        <v/>
      </c>
      <c r="D110" s="122">
        <f>IF(B110="","",IFERROR(B110/INDEX($B$2:$B$800,MATCH(DATE(YEAR(A110)-1,12,1),$A$2:$A$800,0))-1,""))</f>
        <v/>
      </c>
      <c r="E110" s="122">
        <f>IF(B110="","",IFERROR(B110/INDEX($B$2:$B$800,MATCH(DATE(YEAR(A110)-1,MONTH(A110),1),$A$2:$A$800,0))-1,""))</f>
        <v/>
      </c>
    </row>
    <row r="111">
      <c r="A111" s="121" t="n">
        <v>37865</v>
      </c>
      <c r="B111" s="47" t="n">
        <v>270.555</v>
      </c>
      <c r="C111" s="122">
        <f>IF(OR(B111="",B110=""),"",B111/B110-1)</f>
        <v/>
      </c>
      <c r="D111" s="122">
        <f>IF(B111="","",IFERROR(B111/INDEX($B$2:$B$800,MATCH(DATE(YEAR(A111)-1,12,1),$A$2:$A$800,0))-1,""))</f>
        <v/>
      </c>
      <c r="E111" s="122">
        <f>IF(B111="","",IFERROR(B111/INDEX($B$2:$B$800,MATCH(DATE(YEAR(A111)-1,MONTH(A111),1),$A$2:$A$800,0))-1,""))</f>
        <v/>
      </c>
    </row>
    <row r="112">
      <c r="A112" s="121" t="n">
        <v>37895</v>
      </c>
      <c r="B112" s="47" t="n">
        <v>272.325</v>
      </c>
      <c r="C112" s="122">
        <f>IF(OR(B112="",B111=""),"",B112/B111-1)</f>
        <v/>
      </c>
      <c r="D112" s="122">
        <f>IF(B112="","",IFERROR(B112/INDEX($B$2:$B$800,MATCH(DATE(YEAR(A112)-1,12,1),$A$2:$A$800,0))-1,""))</f>
        <v/>
      </c>
      <c r="E112" s="122">
        <f>IF(B112="","",IFERROR(B112/INDEX($B$2:$B$800,MATCH(DATE(YEAR(A112)-1,MONTH(A112),1),$A$2:$A$800,0))-1,""))</f>
        <v/>
      </c>
    </row>
    <row r="113">
      <c r="A113" s="121" t="n">
        <v>37926</v>
      </c>
      <c r="B113" s="47" t="n">
        <v>275.152</v>
      </c>
      <c r="C113" s="122">
        <f>IF(OR(B113="",B112=""),"",B113/B112-1)</f>
        <v/>
      </c>
      <c r="D113" s="122">
        <f>IF(B113="","",IFERROR(B113/INDEX($B$2:$B$800,MATCH(DATE(YEAR(A113)-1,12,1),$A$2:$A$800,0))-1,""))</f>
        <v/>
      </c>
      <c r="E113" s="122">
        <f>IF(B113="","",IFERROR(B113/INDEX($B$2:$B$800,MATCH(DATE(YEAR(A113)-1,MONTH(A113),1),$A$2:$A$800,0))-1,""))</f>
        <v/>
      </c>
    </row>
    <row r="114">
      <c r="A114" s="121" t="n">
        <v>37956</v>
      </c>
      <c r="B114" s="47" t="n">
        <v>275.594</v>
      </c>
      <c r="C114" s="122">
        <f>IF(OR(B114="",B113=""),"",B114/B113-1)</f>
        <v/>
      </c>
      <c r="D114" s="122">
        <f>IF(B114="","",IFERROR(B114/INDEX($B$2:$B$800,MATCH(DATE(YEAR(A114)-1,12,1),$A$2:$A$800,0))-1,""))</f>
        <v/>
      </c>
      <c r="E114" s="122">
        <f>IF(B114="","",IFERROR(B114/INDEX($B$2:$B$800,MATCH(DATE(YEAR(A114)-1,MONTH(A114),1),$A$2:$A$800,0))-1,""))</f>
        <v/>
      </c>
    </row>
    <row r="115">
      <c r="A115" s="121" t="n">
        <v>37987</v>
      </c>
      <c r="B115" s="47" t="n">
        <v>276.49</v>
      </c>
      <c r="C115" s="122">
        <f>IF(OR(B115="",B114=""),"",B115/B114-1)</f>
        <v/>
      </c>
      <c r="D115" s="122">
        <f>IF(B115="","",IFERROR(B115/INDEX($B$2:$B$800,MATCH(DATE(YEAR(A115)-1,12,1),$A$2:$A$800,0))-1,""))</f>
        <v/>
      </c>
      <c r="E115" s="122">
        <f>IF(B115="","",IFERROR(B115/INDEX($B$2:$B$800,MATCH(DATE(YEAR(A115)-1,MONTH(A115),1),$A$2:$A$800,0))-1,""))</f>
        <v/>
      </c>
    </row>
    <row r="116">
      <c r="A116" s="121" t="n">
        <v>38018</v>
      </c>
      <c r="B116" s="47" t="n">
        <v>279.243</v>
      </c>
      <c r="C116" s="122">
        <f>IF(OR(B116="",B115=""),"",B116/B115-1)</f>
        <v/>
      </c>
      <c r="D116" s="122">
        <f>IF(B116="","",IFERROR(B116/INDEX($B$2:$B$800,MATCH(DATE(YEAR(A116)-1,12,1),$A$2:$A$800,0))-1,""))</f>
        <v/>
      </c>
      <c r="E116" s="122">
        <f>IF(B116="","",IFERROR(B116/INDEX($B$2:$B$800,MATCH(DATE(YEAR(A116)-1,MONTH(A116),1),$A$2:$A$800,0))-1,""))</f>
        <v/>
      </c>
    </row>
    <row r="117">
      <c r="A117" s="121" t="n">
        <v>38047</v>
      </c>
      <c r="B117" s="47" t="n">
        <v>282.47</v>
      </c>
      <c r="C117" s="122">
        <f>IF(OR(B117="",B116=""),"",B117/B116-1)</f>
        <v/>
      </c>
      <c r="D117" s="122">
        <f>IF(B117="","",IFERROR(B117/INDEX($B$2:$B$800,MATCH(DATE(YEAR(A117)-1,12,1),$A$2:$A$800,0))-1,""))</f>
        <v/>
      </c>
      <c r="E117" s="122">
        <f>IF(B117="","",IFERROR(B117/INDEX($B$2:$B$800,MATCH(DATE(YEAR(A117)-1,MONTH(A117),1),$A$2:$A$800,0))-1,""))</f>
        <v/>
      </c>
    </row>
    <row r="118">
      <c r="A118" s="121" t="n">
        <v>38078</v>
      </c>
      <c r="B118" s="47" t="n">
        <v>284.128</v>
      </c>
      <c r="C118" s="122">
        <f>IF(OR(B118="",B117=""),"",B118/B117-1)</f>
        <v/>
      </c>
      <c r="D118" s="122">
        <f>IF(B118="","",IFERROR(B118/INDEX($B$2:$B$800,MATCH(DATE(YEAR(A118)-1,12,1),$A$2:$A$800,0))-1,""))</f>
        <v/>
      </c>
      <c r="E118" s="122">
        <f>IF(B118="","",IFERROR(B118/INDEX($B$2:$B$800,MATCH(DATE(YEAR(A118)-1,MONTH(A118),1),$A$2:$A$800,0))-1,""))</f>
        <v/>
      </c>
    </row>
    <row r="119">
      <c r="A119" s="121" t="n">
        <v>38108</v>
      </c>
      <c r="B119" s="47" t="n">
        <v>289.317</v>
      </c>
      <c r="C119" s="122">
        <f>IF(OR(B119="",B118=""),"",B119/B118-1)</f>
        <v/>
      </c>
      <c r="D119" s="122">
        <f>IF(B119="","",IFERROR(B119/INDEX($B$2:$B$800,MATCH(DATE(YEAR(A119)-1,12,1),$A$2:$A$800,0))-1,""))</f>
        <v/>
      </c>
      <c r="E119" s="122">
        <f>IF(B119="","",IFERROR(B119/INDEX($B$2:$B$800,MATCH(DATE(YEAR(A119)-1,MONTH(A119),1),$A$2:$A$800,0))-1,""))</f>
        <v/>
      </c>
    </row>
    <row r="120">
      <c r="A120" s="121" t="n">
        <v>38139</v>
      </c>
      <c r="B120" s="47" t="n">
        <v>291.348</v>
      </c>
      <c r="C120" s="122">
        <f>IF(OR(B120="",B119=""),"",B120/B119-1)</f>
        <v/>
      </c>
      <c r="D120" s="122">
        <f>IF(B120="","",IFERROR(B120/INDEX($B$2:$B$800,MATCH(DATE(YEAR(A120)-1,12,1),$A$2:$A$800,0))-1,""))</f>
        <v/>
      </c>
      <c r="E120" s="122">
        <f>IF(B120="","",IFERROR(B120/INDEX($B$2:$B$800,MATCH(DATE(YEAR(A120)-1,MONTH(A120),1),$A$2:$A$800,0))-1,""))</f>
        <v/>
      </c>
    </row>
    <row r="121">
      <c r="A121" s="121" t="n">
        <v>38169</v>
      </c>
      <c r="B121" s="47" t="n">
        <v>294.625</v>
      </c>
      <c r="C121" s="122">
        <f>IF(OR(B121="",B120=""),"",B121/B120-1)</f>
        <v/>
      </c>
      <c r="D121" s="122">
        <f>IF(B121="","",IFERROR(B121/INDEX($B$2:$B$800,MATCH(DATE(YEAR(A121)-1,12,1),$A$2:$A$800,0))-1,""))</f>
        <v/>
      </c>
      <c r="E121" s="122">
        <f>IF(B121="","",IFERROR(B121/INDEX($B$2:$B$800,MATCH(DATE(YEAR(A121)-1,MONTH(A121),1),$A$2:$A$800,0))-1,""))</f>
        <v/>
      </c>
    </row>
    <row r="122">
      <c r="A122" s="121" t="n">
        <v>38200</v>
      </c>
      <c r="B122" s="47" t="n">
        <v>297.003</v>
      </c>
      <c r="C122" s="122">
        <f>IF(OR(B122="",B121=""),"",B122/B121-1)</f>
        <v/>
      </c>
      <c r="D122" s="122">
        <f>IF(B122="","",IFERROR(B122/INDEX($B$2:$B$800,MATCH(DATE(YEAR(A122)-1,12,1),$A$2:$A$800,0))-1,""))</f>
        <v/>
      </c>
      <c r="E122" s="122">
        <f>IF(B122="","",IFERROR(B122/INDEX($B$2:$B$800,MATCH(DATE(YEAR(A122)-1,MONTH(A122),1),$A$2:$A$800,0))-1,""))</f>
        <v/>
      </c>
    </row>
    <row r="123">
      <c r="A123" s="121" t="n">
        <v>38231</v>
      </c>
      <c r="B123" s="47" t="n">
        <v>298.722</v>
      </c>
      <c r="C123" s="122">
        <f>IF(OR(B123="",B122=""),"",B123/B122-1)</f>
        <v/>
      </c>
      <c r="D123" s="122">
        <f>IF(B123="","",IFERROR(B123/INDEX($B$2:$B$800,MATCH(DATE(YEAR(A123)-1,12,1),$A$2:$A$800,0))-1,""))</f>
        <v/>
      </c>
      <c r="E123" s="122">
        <f>IF(B123="","",IFERROR(B123/INDEX($B$2:$B$800,MATCH(DATE(YEAR(A123)-1,MONTH(A123),1),$A$2:$A$800,0))-1,""))</f>
        <v/>
      </c>
    </row>
    <row r="124">
      <c r="A124" s="121" t="n">
        <v>38261</v>
      </c>
      <c r="B124" s="47" t="n">
        <v>302.275</v>
      </c>
      <c r="C124" s="122">
        <f>IF(OR(B124="",B123=""),"",B124/B123-1)</f>
        <v/>
      </c>
      <c r="D124" s="122">
        <f>IF(B124="","",IFERROR(B124/INDEX($B$2:$B$800,MATCH(DATE(YEAR(A124)-1,12,1),$A$2:$A$800,0))-1,""))</f>
        <v/>
      </c>
      <c r="E124" s="122">
        <f>IF(B124="","",IFERROR(B124/INDEX($B$2:$B$800,MATCH(DATE(YEAR(A124)-1,MONTH(A124),1),$A$2:$A$800,0))-1,""))</f>
        <v/>
      </c>
    </row>
    <row r="125">
      <c r="A125" s="121" t="n">
        <v>38292</v>
      </c>
      <c r="B125" s="47" t="n">
        <v>304.429</v>
      </c>
      <c r="C125" s="122">
        <f>IF(OR(B125="",B124=""),"",B125/B124-1)</f>
        <v/>
      </c>
      <c r="D125" s="122">
        <f>IF(B125="","",IFERROR(B125/INDEX($B$2:$B$800,MATCH(DATE(YEAR(A125)-1,12,1),$A$2:$A$800,0))-1,""))</f>
        <v/>
      </c>
      <c r="E125" s="122">
        <f>IF(B125="","",IFERROR(B125/INDEX($B$2:$B$800,MATCH(DATE(YEAR(A125)-1,MONTH(A125),1),$A$2:$A$800,0))-1,""))</f>
        <v/>
      </c>
    </row>
    <row r="126">
      <c r="A126" s="121" t="n">
        <v>38322</v>
      </c>
      <c r="B126" s="47" t="n">
        <v>305.974</v>
      </c>
      <c r="C126" s="122">
        <f>IF(OR(B126="",B125=""),"",B126/B125-1)</f>
        <v/>
      </c>
      <c r="D126" s="122">
        <f>IF(B126="","",IFERROR(B126/INDEX($B$2:$B$800,MATCH(DATE(YEAR(A126)-1,12,1),$A$2:$A$800,0))-1,""))</f>
        <v/>
      </c>
      <c r="E126" s="122">
        <f>IF(B126="","",IFERROR(B126/INDEX($B$2:$B$800,MATCH(DATE(YEAR(A126)-1,MONTH(A126),1),$A$2:$A$800,0))-1,""))</f>
        <v/>
      </c>
    </row>
    <row r="127">
      <c r="A127" s="121" t="n">
        <v>38353</v>
      </c>
      <c r="B127" s="47" t="n">
        <v>308.284</v>
      </c>
      <c r="C127" s="122">
        <f>IF(OR(B127="",B126=""),"",B127/B126-1)</f>
        <v/>
      </c>
      <c r="D127" s="122">
        <f>IF(B127="","",IFERROR(B127/INDEX($B$2:$B$800,MATCH(DATE(YEAR(A127)-1,12,1),$A$2:$A$800,0))-1,""))</f>
        <v/>
      </c>
      <c r="E127" s="122">
        <f>IF(B127="","",IFERROR(B127/INDEX($B$2:$B$800,MATCH(DATE(YEAR(A127)-1,MONTH(A127),1),$A$2:$A$800,0))-1,""))</f>
        <v/>
      </c>
    </row>
    <row r="128">
      <c r="A128" s="121" t="n">
        <v>38384</v>
      </c>
      <c r="B128" s="47" t="n">
        <v>309.646</v>
      </c>
      <c r="C128" s="122">
        <f>IF(OR(B128="",B127=""),"",B128/B127-1)</f>
        <v/>
      </c>
      <c r="D128" s="122">
        <f>IF(B128="","",IFERROR(B128/INDEX($B$2:$B$800,MATCH(DATE(YEAR(A128)-1,12,1),$A$2:$A$800,0))-1,""))</f>
        <v/>
      </c>
      <c r="E128" s="122">
        <f>IF(B128="","",IFERROR(B128/INDEX($B$2:$B$800,MATCH(DATE(YEAR(A128)-1,MONTH(A128),1),$A$2:$A$800,0))-1,""))</f>
        <v/>
      </c>
    </row>
    <row r="129">
      <c r="A129" s="121" t="n">
        <v>38412</v>
      </c>
      <c r="B129" s="47" t="n">
        <v>311.733</v>
      </c>
      <c r="C129" s="122">
        <f>IF(OR(B129="",B128=""),"",B129/B128-1)</f>
        <v/>
      </c>
      <c r="D129" s="122">
        <f>IF(B129="","",IFERROR(B129/INDEX($B$2:$B$800,MATCH(DATE(YEAR(A129)-1,12,1),$A$2:$A$800,0))-1,""))</f>
        <v/>
      </c>
      <c r="E129" s="122">
        <f>IF(B129="","",IFERROR(B129/INDEX($B$2:$B$800,MATCH(DATE(YEAR(A129)-1,MONTH(A129),1),$A$2:$A$800,0))-1,""))</f>
        <v/>
      </c>
    </row>
    <row r="130">
      <c r="A130" s="121" t="n">
        <v>38443</v>
      </c>
      <c r="B130" s="47" t="n">
        <v>313.977</v>
      </c>
      <c r="C130" s="122">
        <f>IF(OR(B130="",B129=""),"",B130/B129-1)</f>
        <v/>
      </c>
      <c r="D130" s="122">
        <f>IF(B130="","",IFERROR(B130/INDEX($B$2:$B$800,MATCH(DATE(YEAR(A130)-1,12,1),$A$2:$A$800,0))-1,""))</f>
        <v/>
      </c>
      <c r="E130" s="122">
        <f>IF(B130="","",IFERROR(B130/INDEX($B$2:$B$800,MATCH(DATE(YEAR(A130)-1,MONTH(A130),1),$A$2:$A$800,0))-1,""))</f>
        <v/>
      </c>
    </row>
    <row r="131">
      <c r="A131" s="121" t="n">
        <v>38473</v>
      </c>
      <c r="B131" s="47" t="n">
        <v>320.524</v>
      </c>
      <c r="C131" s="122">
        <f>IF(OR(B131="",B130=""),"",B131/B130-1)</f>
        <v/>
      </c>
      <c r="D131" s="122">
        <f>IF(B131="","",IFERROR(B131/INDEX($B$2:$B$800,MATCH(DATE(YEAR(A131)-1,12,1),$A$2:$A$800,0))-1,""))</f>
        <v/>
      </c>
      <c r="E131" s="122">
        <f>IF(B131="","",IFERROR(B131/INDEX($B$2:$B$800,MATCH(DATE(YEAR(A131)-1,MONTH(A131),1),$A$2:$A$800,0))-1,""))</f>
        <v/>
      </c>
    </row>
    <row r="132">
      <c r="A132" s="121" t="n">
        <v>38504</v>
      </c>
      <c r="B132" s="47" t="n">
        <v>322.974</v>
      </c>
      <c r="C132" s="122">
        <f>IF(OR(B132="",B131=""),"",B132/B131-1)</f>
        <v/>
      </c>
      <c r="D132" s="122">
        <f>IF(B132="","",IFERROR(B132/INDEX($B$2:$B$800,MATCH(DATE(YEAR(A132)-1,12,1),$A$2:$A$800,0))-1,""))</f>
        <v/>
      </c>
      <c r="E132" s="122">
        <f>IF(B132="","",IFERROR(B132/INDEX($B$2:$B$800,MATCH(DATE(YEAR(A132)-1,MONTH(A132),1),$A$2:$A$800,0))-1,""))</f>
        <v/>
      </c>
    </row>
    <row r="133">
      <c r="A133" s="121" t="n">
        <v>38534</v>
      </c>
      <c r="B133" s="47" t="n">
        <v>323.332</v>
      </c>
      <c r="C133" s="122">
        <f>IF(OR(B133="",B132=""),"",B133/B132-1)</f>
        <v/>
      </c>
      <c r="D133" s="122">
        <f>IF(B133="","",IFERROR(B133/INDEX($B$2:$B$800,MATCH(DATE(YEAR(A133)-1,12,1),$A$2:$A$800,0))-1,""))</f>
        <v/>
      </c>
      <c r="E133" s="122">
        <f>IF(B133="","",IFERROR(B133/INDEX($B$2:$B$800,MATCH(DATE(YEAR(A133)-1,MONTH(A133),1),$A$2:$A$800,0))-1,""))</f>
        <v/>
      </c>
    </row>
    <row r="134">
      <c r="A134" s="121" t="n">
        <v>38565</v>
      </c>
      <c r="B134" s="47" t="n">
        <v>323.382</v>
      </c>
      <c r="C134" s="122">
        <f>IF(OR(B134="",B133=""),"",B134/B133-1)</f>
        <v/>
      </c>
      <c r="D134" s="122">
        <f>IF(B134="","",IFERROR(B134/INDEX($B$2:$B$800,MATCH(DATE(YEAR(A134)-1,12,1),$A$2:$A$800,0))-1,""))</f>
        <v/>
      </c>
      <c r="E134" s="122">
        <f>IF(B134="","",IFERROR(B134/INDEX($B$2:$B$800,MATCH(DATE(YEAR(A134)-1,MONTH(A134),1),$A$2:$A$800,0))-1,""))</f>
        <v/>
      </c>
    </row>
    <row r="135">
      <c r="A135" s="121" t="n">
        <v>38596</v>
      </c>
      <c r="B135" s="47" t="n">
        <v>324.164</v>
      </c>
      <c r="C135" s="122">
        <f>IF(OR(B135="",B134=""),"",B135/B134-1)</f>
        <v/>
      </c>
      <c r="D135" s="122">
        <f>IF(B135="","",IFERROR(B135/INDEX($B$2:$B$800,MATCH(DATE(YEAR(A135)-1,12,1),$A$2:$A$800,0))-1,""))</f>
        <v/>
      </c>
      <c r="E135" s="122">
        <f>IF(B135="","",IFERROR(B135/INDEX($B$2:$B$800,MATCH(DATE(YEAR(A135)-1,MONTH(A135),1),$A$2:$A$800,0))-1,""))</f>
        <v/>
      </c>
    </row>
    <row r="136">
      <c r="A136" s="121" t="n">
        <v>38626</v>
      </c>
      <c r="B136" s="47" t="n">
        <v>324.782</v>
      </c>
      <c r="C136" s="122">
        <f>IF(OR(B136="",B135=""),"",B136/B135-1)</f>
        <v/>
      </c>
      <c r="D136" s="122">
        <f>IF(B136="","",IFERROR(B136/INDEX($B$2:$B$800,MATCH(DATE(YEAR(A136)-1,12,1),$A$2:$A$800,0))-1,""))</f>
        <v/>
      </c>
      <c r="E136" s="122">
        <f>IF(B136="","",IFERROR(B136/INDEX($B$2:$B$800,MATCH(DATE(YEAR(A136)-1,MONTH(A136),1),$A$2:$A$800,0))-1,""))</f>
        <v/>
      </c>
    </row>
    <row r="137">
      <c r="A137" s="121" t="n">
        <v>38657</v>
      </c>
      <c r="B137" s="47" t="n">
        <v>325.703</v>
      </c>
      <c r="C137" s="122">
        <f>IF(OR(B137="",B136=""),"",B137/B136-1)</f>
        <v/>
      </c>
      <c r="D137" s="122">
        <f>IF(B137="","",IFERROR(B137/INDEX($B$2:$B$800,MATCH(DATE(YEAR(A137)-1,12,1),$A$2:$A$800,0))-1,""))</f>
        <v/>
      </c>
      <c r="E137" s="122">
        <f>IF(B137="","",IFERROR(B137/INDEX($B$2:$B$800,MATCH(DATE(YEAR(A137)-1,MONTH(A137),1),$A$2:$A$800,0))-1,""))</f>
        <v/>
      </c>
    </row>
    <row r="138">
      <c r="A138" s="121" t="n">
        <v>38687</v>
      </c>
      <c r="B138" s="47" t="n">
        <v>326.915</v>
      </c>
      <c r="C138" s="122">
        <f>IF(OR(B138="",B137=""),"",B138/B137-1)</f>
        <v/>
      </c>
      <c r="D138" s="122">
        <f>IF(B138="","",IFERROR(B138/INDEX($B$2:$B$800,MATCH(DATE(YEAR(A138)-1,12,1),$A$2:$A$800,0))-1,""))</f>
        <v/>
      </c>
      <c r="E138" s="122">
        <f>IF(B138="","",IFERROR(B138/INDEX($B$2:$B$800,MATCH(DATE(YEAR(A138)-1,MONTH(A138),1),$A$2:$A$800,0))-1,""))</f>
        <v/>
      </c>
    </row>
    <row r="139">
      <c r="A139" s="121" t="n">
        <v>38718</v>
      </c>
      <c r="B139" s="47" t="n">
        <v>328.042</v>
      </c>
      <c r="C139" s="122">
        <f>IF(OR(B139="",B138=""),"",B139/B138-1)</f>
        <v/>
      </c>
      <c r="D139" s="122">
        <f>IF(B139="","",IFERROR(B139/INDEX($B$2:$B$800,MATCH(DATE(YEAR(A139)-1,12,1),$A$2:$A$800,0))-1,""))</f>
        <v/>
      </c>
      <c r="E139" s="122">
        <f>IF(B139="","",IFERROR(B139/INDEX($B$2:$B$800,MATCH(DATE(YEAR(A139)-1,MONTH(A139),1),$A$2:$A$800,0))-1,""))</f>
        <v/>
      </c>
    </row>
    <row r="140">
      <c r="A140" s="121" t="n">
        <v>38749</v>
      </c>
      <c r="B140" s="47" t="n">
        <v>328.651</v>
      </c>
      <c r="C140" s="122">
        <f>IF(OR(B140="",B139=""),"",B140/B139-1)</f>
        <v/>
      </c>
      <c r="D140" s="122">
        <f>IF(B140="","",IFERROR(B140/INDEX($B$2:$B$800,MATCH(DATE(YEAR(A140)-1,12,1),$A$2:$A$800,0))-1,""))</f>
        <v/>
      </c>
      <c r="E140" s="122">
        <f>IF(B140="","",IFERROR(B140/INDEX($B$2:$B$800,MATCH(DATE(YEAR(A140)-1,MONTH(A140),1),$A$2:$A$800,0))-1,""))</f>
        <v/>
      </c>
    </row>
    <row r="141">
      <c r="A141" s="121" t="n">
        <v>38777</v>
      </c>
      <c r="B141" s="47" t="n">
        <v>329.32</v>
      </c>
      <c r="C141" s="122">
        <f>IF(OR(B141="",B140=""),"",B141/B140-1)</f>
        <v/>
      </c>
      <c r="D141" s="122">
        <f>IF(B141="","",IFERROR(B141/INDEX($B$2:$B$800,MATCH(DATE(YEAR(A141)-1,12,1),$A$2:$A$800,0))-1,""))</f>
        <v/>
      </c>
      <c r="E141" s="122">
        <f>IF(B141="","",IFERROR(B141/INDEX($B$2:$B$800,MATCH(DATE(YEAR(A141)-1,MONTH(A141),1),$A$2:$A$800,0))-1,""))</f>
        <v/>
      </c>
    </row>
    <row r="142">
      <c r="A142" s="121" t="n">
        <v>38808</v>
      </c>
      <c r="B142" s="47" t="n">
        <v>330.501</v>
      </c>
      <c r="C142" s="122">
        <f>IF(OR(B142="",B141=""),"",B142/B141-1)</f>
        <v/>
      </c>
      <c r="D142" s="122">
        <f>IF(B142="","",IFERROR(B142/INDEX($B$2:$B$800,MATCH(DATE(YEAR(A142)-1,12,1),$A$2:$A$800,0))-1,""))</f>
        <v/>
      </c>
      <c r="E142" s="122">
        <f>IF(B142="","",IFERROR(B142/INDEX($B$2:$B$800,MATCH(DATE(YEAR(A142)-1,MONTH(A142),1),$A$2:$A$800,0))-1,""))</f>
        <v/>
      </c>
    </row>
    <row r="143">
      <c r="A143" s="121" t="n">
        <v>38838</v>
      </c>
      <c r="B143" s="47" t="n">
        <v>334.867</v>
      </c>
      <c r="C143" s="122">
        <f>IF(OR(B143="",B142=""),"",B143/B142-1)</f>
        <v/>
      </c>
      <c r="D143" s="122">
        <f>IF(B143="","",IFERROR(B143/INDEX($B$2:$B$800,MATCH(DATE(YEAR(A143)-1,12,1),$A$2:$A$800,0))-1,""))</f>
        <v/>
      </c>
      <c r="E143" s="122">
        <f>IF(B143="","",IFERROR(B143/INDEX($B$2:$B$800,MATCH(DATE(YEAR(A143)-1,MONTH(A143),1),$A$2:$A$800,0))-1,""))</f>
        <v/>
      </c>
    </row>
    <row r="144">
      <c r="A144" s="121" t="n">
        <v>38869</v>
      </c>
      <c r="B144" s="47" t="n">
        <v>337.892</v>
      </c>
      <c r="C144" s="122">
        <f>IF(OR(B144="",B143=""),"",B144/B143-1)</f>
        <v/>
      </c>
      <c r="D144" s="122">
        <f>IF(B144="","",IFERROR(B144/INDEX($B$2:$B$800,MATCH(DATE(YEAR(A144)-1,12,1),$A$2:$A$800,0))-1,""))</f>
        <v/>
      </c>
      <c r="E144" s="122">
        <f>IF(B144="","",IFERROR(B144/INDEX($B$2:$B$800,MATCH(DATE(YEAR(A144)-1,MONTH(A144),1),$A$2:$A$800,0))-1,""))</f>
        <v/>
      </c>
    </row>
    <row r="145">
      <c r="A145" s="121" t="n">
        <v>38899</v>
      </c>
      <c r="B145" s="47" t="n">
        <v>339.484</v>
      </c>
      <c r="C145" s="122">
        <f>IF(OR(B145="",B144=""),"",B145/B144-1)</f>
        <v/>
      </c>
      <c r="D145" s="122">
        <f>IF(B145="","",IFERROR(B145/INDEX($B$2:$B$800,MATCH(DATE(YEAR(A145)-1,12,1),$A$2:$A$800,0))-1,""))</f>
        <v/>
      </c>
      <c r="E145" s="122">
        <f>IF(B145="","",IFERROR(B145/INDEX($B$2:$B$800,MATCH(DATE(YEAR(A145)-1,MONTH(A145),1),$A$2:$A$800,0))-1,""))</f>
        <v/>
      </c>
    </row>
    <row r="146">
      <c r="A146" s="121" t="n">
        <v>38930</v>
      </c>
      <c r="B146" s="47" t="n">
        <v>340.283</v>
      </c>
      <c r="C146" s="122">
        <f>IF(OR(B146="",B145=""),"",B146/B145-1)</f>
        <v/>
      </c>
      <c r="D146" s="122">
        <f>IF(B146="","",IFERROR(B146/INDEX($B$2:$B$800,MATCH(DATE(YEAR(A146)-1,12,1),$A$2:$A$800,0))-1,""))</f>
        <v/>
      </c>
      <c r="E146" s="122">
        <f>IF(B146="","",IFERROR(B146/INDEX($B$2:$B$800,MATCH(DATE(YEAR(A146)-1,MONTH(A146),1),$A$2:$A$800,0))-1,""))</f>
        <v/>
      </c>
    </row>
    <row r="147">
      <c r="A147" s="121" t="n">
        <v>38961</v>
      </c>
      <c r="B147" s="47" t="n">
        <v>340.67</v>
      </c>
      <c r="C147" s="122">
        <f>IF(OR(B147="",B146=""),"",B147/B146-1)</f>
        <v/>
      </c>
      <c r="D147" s="122">
        <f>IF(B147="","",IFERROR(B147/INDEX($B$2:$B$800,MATCH(DATE(YEAR(A147)-1,12,1),$A$2:$A$800,0))-1,""))</f>
        <v/>
      </c>
      <c r="E147" s="122">
        <f>IF(B147="","",IFERROR(B147/INDEX($B$2:$B$800,MATCH(DATE(YEAR(A147)-1,MONTH(A147),1),$A$2:$A$800,0))-1,""))</f>
        <v/>
      </c>
    </row>
    <row r="148">
      <c r="A148" s="121" t="n">
        <v>38991</v>
      </c>
      <c r="B148" s="47" t="n">
        <v>341.369</v>
      </c>
      <c r="C148" s="122">
        <f>IF(OR(B148="",B147=""),"",B148/B147-1)</f>
        <v/>
      </c>
      <c r="D148" s="122">
        <f>IF(B148="","",IFERROR(B148/INDEX($B$2:$B$800,MATCH(DATE(YEAR(A148)-1,12,1),$A$2:$A$800,0))-1,""))</f>
        <v/>
      </c>
      <c r="E148" s="122">
        <f>IF(B148="","",IFERROR(B148/INDEX($B$2:$B$800,MATCH(DATE(YEAR(A148)-1,MONTH(A148),1),$A$2:$A$800,0))-1,""))</f>
        <v/>
      </c>
    </row>
    <row r="149">
      <c r="A149" s="121" t="n">
        <v>39022</v>
      </c>
      <c r="B149" s="47" t="n">
        <v>342.159</v>
      </c>
      <c r="C149" s="122">
        <f>IF(OR(B149="",B148=""),"",B149/B148-1)</f>
        <v/>
      </c>
      <c r="D149" s="122">
        <f>IF(B149="","",IFERROR(B149/INDEX($B$2:$B$800,MATCH(DATE(YEAR(A149)-1,12,1),$A$2:$A$800,0))-1,""))</f>
        <v/>
      </c>
      <c r="E149" s="122">
        <f>IF(B149="","",IFERROR(B149/INDEX($B$2:$B$800,MATCH(DATE(YEAR(A149)-1,MONTH(A149),1),$A$2:$A$800,0))-1,""))</f>
        <v/>
      </c>
    </row>
    <row r="150">
      <c r="A150" s="121" t="n">
        <v>39052</v>
      </c>
      <c r="B150" s="47" t="n">
        <v>343.401</v>
      </c>
      <c r="C150" s="122">
        <f>IF(OR(B150="",B149=""),"",B150/B149-1)</f>
        <v/>
      </c>
      <c r="D150" s="122">
        <f>IF(B150="","",IFERROR(B150/INDEX($B$2:$B$800,MATCH(DATE(YEAR(A150)-1,12,1),$A$2:$A$800,0))-1,""))</f>
        <v/>
      </c>
      <c r="E150" s="122">
        <f>IF(B150="","",IFERROR(B150/INDEX($B$2:$B$800,MATCH(DATE(YEAR(A150)-1,MONTH(A150),1),$A$2:$A$800,0))-1,""))</f>
        <v/>
      </c>
    </row>
    <row r="151">
      <c r="A151" s="121" t="n">
        <v>39083</v>
      </c>
      <c r="B151" s="47" t="n">
        <v>344.943</v>
      </c>
      <c r="C151" s="122">
        <f>IF(OR(B151="",B150=""),"",B151/B150-1)</f>
        <v/>
      </c>
      <c r="D151" s="122">
        <f>IF(B151="","",IFERROR(B151/INDEX($B$2:$B$800,MATCH(DATE(YEAR(A151)-1,12,1),$A$2:$A$800,0))-1,""))</f>
        <v/>
      </c>
      <c r="E151" s="122">
        <f>IF(B151="","",IFERROR(B151/INDEX($B$2:$B$800,MATCH(DATE(YEAR(A151)-1,MONTH(A151),1),$A$2:$A$800,0))-1,""))</f>
        <v/>
      </c>
    </row>
    <row r="152">
      <c r="A152" s="121" t="n">
        <v>39114</v>
      </c>
      <c r="B152" s="47" t="n">
        <v>345.682</v>
      </c>
      <c r="C152" s="122">
        <f>IF(OR(B152="",B151=""),"",B152/B151-1)</f>
        <v/>
      </c>
      <c r="D152" s="122">
        <f>IF(B152="","",IFERROR(B152/INDEX($B$2:$B$800,MATCH(DATE(YEAR(A152)-1,12,1),$A$2:$A$800,0))-1,""))</f>
        <v/>
      </c>
      <c r="E152" s="122">
        <f>IF(B152="","",IFERROR(B152/INDEX($B$2:$B$800,MATCH(DATE(YEAR(A152)-1,MONTH(A152),1),$A$2:$A$800,0))-1,""))</f>
        <v/>
      </c>
    </row>
    <row r="153">
      <c r="A153" s="121" t="n">
        <v>39142</v>
      </c>
      <c r="B153" s="47" t="n">
        <v>346.617</v>
      </c>
      <c r="C153" s="122">
        <f>IF(OR(B153="",B152=""),"",B153/B152-1)</f>
        <v/>
      </c>
      <c r="D153" s="122">
        <f>IF(B153="","",IFERROR(B153/INDEX($B$2:$B$800,MATCH(DATE(YEAR(A153)-1,12,1),$A$2:$A$800,0))-1,""))</f>
        <v/>
      </c>
      <c r="E153" s="122">
        <f>IF(B153="","",IFERROR(B153/INDEX($B$2:$B$800,MATCH(DATE(YEAR(A153)-1,MONTH(A153),1),$A$2:$A$800,0))-1,""))</f>
        <v/>
      </c>
    </row>
    <row r="154">
      <c r="A154" s="121" t="n">
        <v>39173</v>
      </c>
      <c r="B154" s="47" t="n">
        <v>348.194</v>
      </c>
      <c r="C154" s="122">
        <f>IF(OR(B154="",B153=""),"",B154/B153-1)</f>
        <v/>
      </c>
      <c r="D154" s="122">
        <f>IF(B154="","",IFERROR(B154/INDEX($B$2:$B$800,MATCH(DATE(YEAR(A154)-1,12,1),$A$2:$A$800,0))-1,""))</f>
        <v/>
      </c>
      <c r="E154" s="122">
        <f>IF(B154="","",IFERROR(B154/INDEX($B$2:$B$800,MATCH(DATE(YEAR(A154)-1,MONTH(A154),1),$A$2:$A$800,0))-1,""))</f>
        <v/>
      </c>
    </row>
    <row r="155">
      <c r="A155" s="121" t="n">
        <v>39203</v>
      </c>
      <c r="B155" s="47" t="n">
        <v>352.204</v>
      </c>
      <c r="C155" s="122">
        <f>IF(OR(B155="",B154=""),"",B155/B154-1)</f>
        <v/>
      </c>
      <c r="D155" s="122">
        <f>IF(B155="","",IFERROR(B155/INDEX($B$2:$B$800,MATCH(DATE(YEAR(A155)-1,12,1),$A$2:$A$800,0))-1,""))</f>
        <v/>
      </c>
      <c r="E155" s="122">
        <f>IF(B155="","",IFERROR(B155/INDEX($B$2:$B$800,MATCH(DATE(YEAR(A155)-1,MONTH(A155),1),$A$2:$A$800,0))-1,""))</f>
        <v/>
      </c>
    </row>
    <row r="156">
      <c r="A156" s="121" t="n">
        <v>39234</v>
      </c>
      <c r="B156" s="47" t="n">
        <v>355.456</v>
      </c>
      <c r="C156" s="122">
        <f>IF(OR(B156="",B155=""),"",B156/B155-1)</f>
        <v/>
      </c>
      <c r="D156" s="122">
        <f>IF(B156="","",IFERROR(B156/INDEX($B$2:$B$800,MATCH(DATE(YEAR(A156)-1,12,1),$A$2:$A$800,0))-1,""))</f>
        <v/>
      </c>
      <c r="E156" s="122">
        <f>IF(B156="","",IFERROR(B156/INDEX($B$2:$B$800,MATCH(DATE(YEAR(A156)-1,MONTH(A156),1),$A$2:$A$800,0))-1,""))</f>
        <v/>
      </c>
    </row>
    <row r="157">
      <c r="A157" s="121" t="n">
        <v>39264</v>
      </c>
      <c r="B157" s="47" t="n">
        <v>356.545</v>
      </c>
      <c r="C157" s="122">
        <f>IF(OR(B157="",B156=""),"",B157/B156-1)</f>
        <v/>
      </c>
      <c r="D157" s="122">
        <f>IF(B157="","",IFERROR(B157/INDEX($B$2:$B$800,MATCH(DATE(YEAR(A157)-1,12,1),$A$2:$A$800,0))-1,""))</f>
        <v/>
      </c>
      <c r="E157" s="122">
        <f>IF(B157="","",IFERROR(B157/INDEX($B$2:$B$800,MATCH(DATE(YEAR(A157)-1,MONTH(A157),1),$A$2:$A$800,0))-1,""))</f>
        <v/>
      </c>
    </row>
    <row r="158">
      <c r="A158" s="121" t="n">
        <v>39295</v>
      </c>
      <c r="B158" s="47" t="n">
        <v>357.467</v>
      </c>
      <c r="C158" s="122">
        <f>IF(OR(B158="",B157=""),"",B158/B157-1)</f>
        <v/>
      </c>
      <c r="D158" s="122">
        <f>IF(B158="","",IFERROR(B158/INDEX($B$2:$B$800,MATCH(DATE(YEAR(A158)-1,12,1),$A$2:$A$800,0))-1,""))</f>
        <v/>
      </c>
      <c r="E158" s="122">
        <f>IF(B158="","",IFERROR(B158/INDEX($B$2:$B$800,MATCH(DATE(YEAR(A158)-1,MONTH(A158),1),$A$2:$A$800,0))-1,""))</f>
        <v/>
      </c>
    </row>
    <row r="159">
      <c r="A159" s="121" t="n">
        <v>39326</v>
      </c>
      <c r="B159" s="47" t="n">
        <v>359.276</v>
      </c>
      <c r="C159" s="122">
        <f>IF(OR(B159="",B158=""),"",B159/B158-1)</f>
        <v/>
      </c>
      <c r="D159" s="122">
        <f>IF(B159="","",IFERROR(B159/INDEX($B$2:$B$800,MATCH(DATE(YEAR(A159)-1,12,1),$A$2:$A$800,0))-1,""))</f>
        <v/>
      </c>
      <c r="E159" s="122">
        <f>IF(B159="","",IFERROR(B159/INDEX($B$2:$B$800,MATCH(DATE(YEAR(A159)-1,MONTH(A159),1),$A$2:$A$800,0))-1,""))</f>
        <v/>
      </c>
    </row>
    <row r="160">
      <c r="A160" s="121" t="n">
        <v>39356</v>
      </c>
      <c r="B160" s="47" t="n">
        <v>361.102</v>
      </c>
      <c r="C160" s="122">
        <f>IF(OR(B160="",B159=""),"",B160/B159-1)</f>
        <v/>
      </c>
      <c r="D160" s="122">
        <f>IF(B160="","",IFERROR(B160/INDEX($B$2:$B$800,MATCH(DATE(YEAR(A160)-1,12,1),$A$2:$A$800,0))-1,""))</f>
        <v/>
      </c>
      <c r="E160" s="122">
        <f>IF(B160="","",IFERROR(B160/INDEX($B$2:$B$800,MATCH(DATE(YEAR(A160)-1,MONTH(A160),1),$A$2:$A$800,0))-1,""))</f>
        <v/>
      </c>
    </row>
    <row r="161">
      <c r="A161" s="121" t="n">
        <v>39387</v>
      </c>
      <c r="B161" s="47" t="n">
        <v>362.403</v>
      </c>
      <c r="C161" s="122">
        <f>IF(OR(B161="",B160=""),"",B161/B160-1)</f>
        <v/>
      </c>
      <c r="D161" s="122">
        <f>IF(B161="","",IFERROR(B161/INDEX($B$2:$B$800,MATCH(DATE(YEAR(A161)-1,12,1),$A$2:$A$800,0))-1,""))</f>
        <v/>
      </c>
      <c r="E161" s="122">
        <f>IF(B161="","",IFERROR(B161/INDEX($B$2:$B$800,MATCH(DATE(YEAR(A161)-1,MONTH(A161),1),$A$2:$A$800,0))-1,""))</f>
        <v/>
      </c>
    </row>
    <row r="162">
      <c r="A162" s="121" t="n">
        <v>39417</v>
      </c>
      <c r="B162" s="47" t="n">
        <v>364.525</v>
      </c>
      <c r="C162" s="122">
        <f>IF(OR(B162="",B161=""),"",B162/B161-1)</f>
        <v/>
      </c>
      <c r="D162" s="122">
        <f>IF(B162="","",IFERROR(B162/INDEX($B$2:$B$800,MATCH(DATE(YEAR(A162)-1,12,1),$A$2:$A$800,0))-1,""))</f>
        <v/>
      </c>
      <c r="E162" s="122">
        <f>IF(B162="","",IFERROR(B162/INDEX($B$2:$B$800,MATCH(DATE(YEAR(A162)-1,MONTH(A162),1),$A$2:$A$800,0))-1,""))</f>
        <v/>
      </c>
    </row>
    <row r="163">
      <c r="A163" s="121" t="n">
        <v>39448</v>
      </c>
      <c r="B163" s="47" t="n">
        <v>365.906</v>
      </c>
      <c r="C163" s="122">
        <f>IF(OR(B163="",B162=""),"",B163/B162-1)</f>
        <v/>
      </c>
      <c r="D163" s="122">
        <f>IF(B163="","",IFERROR(B163/INDEX($B$2:$B$800,MATCH(DATE(YEAR(A163)-1,12,1),$A$2:$A$800,0))-1,""))</f>
        <v/>
      </c>
      <c r="E163" s="122">
        <f>IF(B163="","",IFERROR(B163/INDEX($B$2:$B$800,MATCH(DATE(YEAR(A163)-1,MONTH(A163),1),$A$2:$A$800,0))-1,""))</f>
        <v/>
      </c>
    </row>
    <row r="164">
      <c r="A164" s="121" t="n">
        <v>39479</v>
      </c>
      <c r="B164" s="47" t="n">
        <v>367.382</v>
      </c>
      <c r="C164" s="122">
        <f>IF(OR(B164="",B163=""),"",B164/B163-1)</f>
        <v/>
      </c>
      <c r="D164" s="122">
        <f>IF(B164="","",IFERROR(B164/INDEX($B$2:$B$800,MATCH(DATE(YEAR(A164)-1,12,1),$A$2:$A$800,0))-1,""))</f>
        <v/>
      </c>
      <c r="E164" s="122">
        <f>IF(B164="","",IFERROR(B164/INDEX($B$2:$B$800,MATCH(DATE(YEAR(A164)-1,MONTH(A164),1),$A$2:$A$800,0))-1,""))</f>
        <v/>
      </c>
    </row>
    <row r="165">
      <c r="A165" s="121" t="n">
        <v>39508</v>
      </c>
      <c r="B165" s="47" t="n">
        <v>369.812</v>
      </c>
      <c r="C165" s="122">
        <f>IF(OR(B165="",B164=""),"",B165/B164-1)</f>
        <v/>
      </c>
      <c r="D165" s="122">
        <f>IF(B165="","",IFERROR(B165/INDEX($B$2:$B$800,MATCH(DATE(YEAR(A165)-1,12,1),$A$2:$A$800,0))-1,""))</f>
        <v/>
      </c>
      <c r="E165" s="122">
        <f>IF(B165="","",IFERROR(B165/INDEX($B$2:$B$800,MATCH(DATE(YEAR(A165)-1,MONTH(A165),1),$A$2:$A$800,0))-1,""))</f>
        <v/>
      </c>
    </row>
    <row r="166">
      <c r="A166" s="121" t="n">
        <v>39539</v>
      </c>
      <c r="B166" s="47" t="n">
        <v>373.031</v>
      </c>
      <c r="C166" s="122">
        <f>IF(OR(B166="",B165=""),"",B166/B165-1)</f>
        <v/>
      </c>
      <c r="D166" s="122">
        <f>IF(B166="","",IFERROR(B166/INDEX($B$2:$B$800,MATCH(DATE(YEAR(A166)-1,12,1),$A$2:$A$800,0))-1,""))</f>
        <v/>
      </c>
      <c r="E166" s="122">
        <f>IF(B166="","",IFERROR(B166/INDEX($B$2:$B$800,MATCH(DATE(YEAR(A166)-1,MONTH(A166),1),$A$2:$A$800,0))-1,""))</f>
        <v/>
      </c>
    </row>
    <row r="167">
      <c r="A167" s="121" t="n">
        <v>39569</v>
      </c>
      <c r="B167" s="47" t="n">
        <v>380.582</v>
      </c>
      <c r="C167" s="122">
        <f>IF(OR(B167="",B166=""),"",B167/B166-1)</f>
        <v/>
      </c>
      <c r="D167" s="122">
        <f>IF(B167="","",IFERROR(B167/INDEX($B$2:$B$800,MATCH(DATE(YEAR(A167)-1,12,1),$A$2:$A$800,0))-1,""))</f>
        <v/>
      </c>
      <c r="E167" s="122">
        <f>IF(B167="","",IFERROR(B167/INDEX($B$2:$B$800,MATCH(DATE(YEAR(A167)-1,MONTH(A167),1),$A$2:$A$800,0))-1,""))</f>
        <v/>
      </c>
    </row>
    <row r="168">
      <c r="A168" s="121" t="n">
        <v>39600</v>
      </c>
      <c r="B168" s="47" t="n">
        <v>387.906</v>
      </c>
      <c r="C168" s="122">
        <f>IF(OR(B168="",B167=""),"",B168/B167-1)</f>
        <v/>
      </c>
      <c r="D168" s="122">
        <f>IF(B168="","",IFERROR(B168/INDEX($B$2:$B$800,MATCH(DATE(YEAR(A168)-1,12,1),$A$2:$A$800,0))-1,""))</f>
        <v/>
      </c>
      <c r="E168" s="122">
        <f>IF(B168="","",IFERROR(B168/INDEX($B$2:$B$800,MATCH(DATE(YEAR(A168)-1,MONTH(A168),1),$A$2:$A$800,0))-1,""))</f>
        <v/>
      </c>
    </row>
    <row r="169">
      <c r="A169" s="121" t="n">
        <v>39630</v>
      </c>
      <c r="B169" s="47" t="n">
        <v>393.556</v>
      </c>
      <c r="C169" s="122">
        <f>IF(OR(B169="",B168=""),"",B169/B168-1)</f>
        <v/>
      </c>
      <c r="D169" s="122">
        <f>IF(B169="","",IFERROR(B169/INDEX($B$2:$B$800,MATCH(DATE(YEAR(A169)-1,12,1),$A$2:$A$800,0))-1,""))</f>
        <v/>
      </c>
      <c r="E169" s="122">
        <f>IF(B169="","",IFERROR(B169/INDEX($B$2:$B$800,MATCH(DATE(YEAR(A169)-1,MONTH(A169),1),$A$2:$A$800,0))-1,""))</f>
        <v/>
      </c>
    </row>
    <row r="170">
      <c r="A170" s="121" t="n">
        <v>39661</v>
      </c>
      <c r="B170" s="47" t="n">
        <v>398.202</v>
      </c>
      <c r="C170" s="122">
        <f>IF(OR(B170="",B169=""),"",B170/B169-1)</f>
        <v/>
      </c>
      <c r="D170" s="122">
        <f>IF(B170="","",IFERROR(B170/INDEX($B$2:$B$800,MATCH(DATE(YEAR(A170)-1,12,1),$A$2:$A$800,0))-1,""))</f>
        <v/>
      </c>
      <c r="E170" s="122">
        <f>IF(B170="","",IFERROR(B170/INDEX($B$2:$B$800,MATCH(DATE(YEAR(A170)-1,MONTH(A170),1),$A$2:$A$800,0))-1,""))</f>
        <v/>
      </c>
    </row>
    <row r="171">
      <c r="A171" s="121" t="n">
        <v>39692</v>
      </c>
      <c r="B171" s="47" t="n">
        <v>401.975</v>
      </c>
      <c r="C171" s="122">
        <f>IF(OR(B171="",B170=""),"",B171/B170-1)</f>
        <v/>
      </c>
      <c r="D171" s="122">
        <f>IF(B171="","",IFERROR(B171/INDEX($B$2:$B$800,MATCH(DATE(YEAR(A171)-1,12,1),$A$2:$A$800,0))-1,""))</f>
        <v/>
      </c>
      <c r="E171" s="122">
        <f>IF(B171="","",IFERROR(B171/INDEX($B$2:$B$800,MATCH(DATE(YEAR(A171)-1,MONTH(A171),1),$A$2:$A$800,0))-1,""))</f>
        <v/>
      </c>
    </row>
    <row r="172">
      <c r="A172" s="121" t="n">
        <v>39722</v>
      </c>
      <c r="B172" s="47" t="n">
        <v>405.09</v>
      </c>
      <c r="C172" s="122">
        <f>IF(OR(B172="",B171=""),"",B172/B171-1)</f>
        <v/>
      </c>
      <c r="D172" s="122">
        <f>IF(B172="","",IFERROR(B172/INDEX($B$2:$B$800,MATCH(DATE(YEAR(A172)-1,12,1),$A$2:$A$800,0))-1,""))</f>
        <v/>
      </c>
      <c r="E172" s="122">
        <f>IF(B172="","",IFERROR(B172/INDEX($B$2:$B$800,MATCH(DATE(YEAR(A172)-1,MONTH(A172),1),$A$2:$A$800,0))-1,""))</f>
        <v/>
      </c>
    </row>
    <row r="173">
      <c r="A173" s="121" t="n">
        <v>39753</v>
      </c>
      <c r="B173" s="47" t="n">
        <v>407.109</v>
      </c>
      <c r="C173" s="122">
        <f>IF(OR(B173="",B172=""),"",B173/B172-1)</f>
        <v/>
      </c>
      <c r="D173" s="122">
        <f>IF(B173="","",IFERROR(B173/INDEX($B$2:$B$800,MATCH(DATE(YEAR(A173)-1,12,1),$A$2:$A$800,0))-1,""))</f>
        <v/>
      </c>
      <c r="E173" s="122">
        <f>IF(B173="","",IFERROR(B173/INDEX($B$2:$B$800,MATCH(DATE(YEAR(A173)-1,MONTH(A173),1),$A$2:$A$800,0))-1,""))</f>
        <v/>
      </c>
    </row>
    <row r="174">
      <c r="A174" s="121" t="n">
        <v>39783</v>
      </c>
      <c r="B174" s="47" t="n">
        <v>407.807</v>
      </c>
      <c r="C174" s="122">
        <f>IF(OR(B174="",B173=""),"",B174/B173-1)</f>
        <v/>
      </c>
      <c r="D174" s="122">
        <f>IF(B174="","",IFERROR(B174/INDEX($B$2:$B$800,MATCH(DATE(YEAR(A174)-1,12,1),$A$2:$A$800,0))-1,""))</f>
        <v/>
      </c>
      <c r="E174" s="122">
        <f>IF(B174="","",IFERROR(B174/INDEX($B$2:$B$800,MATCH(DATE(YEAR(A174)-1,MONTH(A174),1),$A$2:$A$800,0))-1,""))</f>
        <v/>
      </c>
    </row>
    <row r="175">
      <c r="A175" s="121" t="n">
        <v>39814</v>
      </c>
      <c r="B175" s="47" t="n">
        <v>409.166</v>
      </c>
      <c r="C175" s="122">
        <f>IF(OR(B175="",B174=""),"",B175/B174-1)</f>
        <v/>
      </c>
      <c r="D175" s="122">
        <f>IF(B175="","",IFERROR(B175/INDEX($B$2:$B$800,MATCH(DATE(YEAR(A175)-1,12,1),$A$2:$A$800,0))-1,""))</f>
        <v/>
      </c>
      <c r="E175" s="122">
        <f>IF(B175="","",IFERROR(B175/INDEX($B$2:$B$800,MATCH(DATE(YEAR(A175)-1,MONTH(A175),1),$A$2:$A$800,0))-1,""))</f>
        <v/>
      </c>
    </row>
    <row r="176">
      <c r="A176" s="121" t="n">
        <v>39845</v>
      </c>
      <c r="B176" s="47" t="n">
        <v>410.262</v>
      </c>
      <c r="C176" s="122">
        <f>IF(OR(B176="",B175=""),"",B176/B175-1)</f>
        <v/>
      </c>
      <c r="D176" s="122">
        <f>IF(B176="","",IFERROR(B176/INDEX($B$2:$B$800,MATCH(DATE(YEAR(A176)-1,12,1),$A$2:$A$800,0))-1,""))</f>
        <v/>
      </c>
      <c r="E176" s="122">
        <f>IF(B176="","",IFERROR(B176/INDEX($B$2:$B$800,MATCH(DATE(YEAR(A176)-1,MONTH(A176),1),$A$2:$A$800,0))-1,""))</f>
        <v/>
      </c>
    </row>
    <row r="177">
      <c r="A177" s="121" t="n">
        <v>39873</v>
      </c>
      <c r="B177" s="47" t="n">
        <v>409.216</v>
      </c>
      <c r="C177" s="122">
        <f>IF(OR(B177="",B176=""),"",B177/B176-1)</f>
        <v/>
      </c>
      <c r="D177" s="122">
        <f>IF(B177="","",IFERROR(B177/INDEX($B$2:$B$800,MATCH(DATE(YEAR(A177)-1,12,1),$A$2:$A$800,0))-1,""))</f>
        <v/>
      </c>
      <c r="E177" s="122">
        <f>IF(B177="","",IFERROR(B177/INDEX($B$2:$B$800,MATCH(DATE(YEAR(A177)-1,MONTH(A177),1),$A$2:$A$800,0))-1,""))</f>
        <v/>
      </c>
    </row>
    <row r="178">
      <c r="A178" s="121" t="n">
        <v>39904</v>
      </c>
      <c r="B178" s="47" t="n">
        <v>409.042</v>
      </c>
      <c r="C178" s="122">
        <f>IF(OR(B178="",B177=""),"",B178/B177-1)</f>
        <v/>
      </c>
      <c r="D178" s="122">
        <f>IF(B178="","",IFERROR(B178/INDEX($B$2:$B$800,MATCH(DATE(YEAR(A178)-1,12,1),$A$2:$A$800,0))-1,""))</f>
        <v/>
      </c>
      <c r="E178" s="122">
        <f>IF(B178="","",IFERROR(B178/INDEX($B$2:$B$800,MATCH(DATE(YEAR(A178)-1,MONTH(A178),1),$A$2:$A$800,0))-1,""))</f>
        <v/>
      </c>
    </row>
    <row r="179">
      <c r="A179" s="121" t="n">
        <v>39934</v>
      </c>
      <c r="B179" s="47" t="n">
        <v>414.742</v>
      </c>
      <c r="C179" s="122">
        <f>IF(OR(B179="",B178=""),"",B179/B178-1)</f>
        <v/>
      </c>
      <c r="D179" s="122">
        <f>IF(B179="","",IFERROR(B179/INDEX($B$2:$B$800,MATCH(DATE(YEAR(A179)-1,12,1),$A$2:$A$800,0))-1,""))</f>
        <v/>
      </c>
      <c r="E179" s="122">
        <f>IF(B179="","",IFERROR(B179/INDEX($B$2:$B$800,MATCH(DATE(YEAR(A179)-1,MONTH(A179),1),$A$2:$A$800,0))-1,""))</f>
        <v/>
      </c>
    </row>
    <row r="180">
      <c r="A180" s="121" t="n">
        <v>39965</v>
      </c>
      <c r="B180" s="47" t="n">
        <v>417.657</v>
      </c>
      <c r="C180" s="122">
        <f>IF(OR(B180="",B179=""),"",B180/B179-1)</f>
        <v/>
      </c>
      <c r="D180" s="122">
        <f>IF(B180="","",IFERROR(B180/INDEX($B$2:$B$800,MATCH(DATE(YEAR(A180)-1,12,1),$A$2:$A$800,0))-1,""))</f>
        <v/>
      </c>
      <c r="E180" s="122">
        <f>IF(B180="","",IFERROR(B180/INDEX($B$2:$B$800,MATCH(DATE(YEAR(A180)-1,MONTH(A180),1),$A$2:$A$800,0))-1,""))</f>
        <v/>
      </c>
    </row>
    <row r="181">
      <c r="A181" s="121" t="n">
        <v>39995</v>
      </c>
      <c r="B181" s="47" t="n">
        <v>418.757</v>
      </c>
      <c r="C181" s="122">
        <f>IF(OR(B181="",B180=""),"",B181/B180-1)</f>
        <v/>
      </c>
      <c r="D181" s="122">
        <f>IF(B181="","",IFERROR(B181/INDEX($B$2:$B$800,MATCH(DATE(YEAR(A181)-1,12,1),$A$2:$A$800,0))-1,""))</f>
        <v/>
      </c>
      <c r="E181" s="122">
        <f>IF(B181="","",IFERROR(B181/INDEX($B$2:$B$800,MATCH(DATE(YEAR(A181)-1,MONTH(A181),1),$A$2:$A$800,0))-1,""))</f>
        <v/>
      </c>
    </row>
    <row r="182">
      <c r="A182" s="121" t="n">
        <v>40026</v>
      </c>
      <c r="B182" s="47" t="n">
        <v>418.528</v>
      </c>
      <c r="C182" s="122">
        <f>IF(OR(B182="",B181=""),"",B182/B181-1)</f>
        <v/>
      </c>
      <c r="D182" s="122">
        <f>IF(B182="","",IFERROR(B182/INDEX($B$2:$B$800,MATCH(DATE(YEAR(A182)-1,12,1),$A$2:$A$800,0))-1,""))</f>
        <v/>
      </c>
      <c r="E182" s="122">
        <f>IF(B182="","",IFERROR(B182/INDEX($B$2:$B$800,MATCH(DATE(YEAR(A182)-1,MONTH(A182),1),$A$2:$A$800,0))-1,""))</f>
        <v/>
      </c>
    </row>
    <row r="183">
      <c r="A183" s="121" t="n">
        <v>40057</v>
      </c>
      <c r="B183" s="47" t="n">
        <v>419.147</v>
      </c>
      <c r="C183" s="122">
        <f>IF(OR(B183="",B182=""),"",B183/B182-1)</f>
        <v/>
      </c>
      <c r="D183" s="122">
        <f>IF(B183="","",IFERROR(B183/INDEX($B$2:$B$800,MATCH(DATE(YEAR(A183)-1,12,1),$A$2:$A$800,0))-1,""))</f>
        <v/>
      </c>
      <c r="E183" s="122">
        <f>IF(B183="","",IFERROR(B183/INDEX($B$2:$B$800,MATCH(DATE(YEAR(A183)-1,MONTH(A183),1),$A$2:$A$800,0))-1,""))</f>
        <v/>
      </c>
    </row>
    <row r="184">
      <c r="A184" s="121" t="n">
        <v>40087</v>
      </c>
      <c r="B184" s="47" t="n">
        <v>419.405</v>
      </c>
      <c r="C184" s="122">
        <f>IF(OR(B184="",B183=""),"",B184/B183-1)</f>
        <v/>
      </c>
      <c r="D184" s="122">
        <f>IF(B184="","",IFERROR(B184/INDEX($B$2:$B$800,MATCH(DATE(YEAR(A184)-1,12,1),$A$2:$A$800,0))-1,""))</f>
        <v/>
      </c>
      <c r="E184" s="122">
        <f>IF(B184="","",IFERROR(B184/INDEX($B$2:$B$800,MATCH(DATE(YEAR(A184)-1,MONTH(A184),1),$A$2:$A$800,0))-1,""))</f>
        <v/>
      </c>
    </row>
    <row r="185">
      <c r="A185" s="121" t="n">
        <v>40118</v>
      </c>
      <c r="B185" s="47" t="n">
        <v>420.635</v>
      </c>
      <c r="C185" s="122">
        <f>IF(OR(B185="",B184=""),"",B185/B184-1)</f>
        <v/>
      </c>
      <c r="D185" s="122">
        <f>IF(B185="","",IFERROR(B185/INDEX($B$2:$B$800,MATCH(DATE(YEAR(A185)-1,12,1),$A$2:$A$800,0))-1,""))</f>
        <v/>
      </c>
      <c r="E185" s="122">
        <f>IF(B185="","",IFERROR(B185/INDEX($B$2:$B$800,MATCH(DATE(YEAR(A185)-1,MONTH(A185),1),$A$2:$A$800,0))-1,""))</f>
        <v/>
      </c>
    </row>
    <row r="186">
      <c r="A186" s="121" t="n">
        <v>40148</v>
      </c>
      <c r="B186" s="47" t="n">
        <v>421.051</v>
      </c>
      <c r="C186" s="122">
        <f>IF(OR(B186="",B185=""),"",B186/B185-1)</f>
        <v/>
      </c>
      <c r="D186" s="122">
        <f>IF(B186="","",IFERROR(B186/INDEX($B$2:$B$800,MATCH(DATE(YEAR(A186)-1,12,1),$A$2:$A$800,0))-1,""))</f>
        <v/>
      </c>
      <c r="E186" s="122">
        <f>IF(B186="","",IFERROR(B186/INDEX($B$2:$B$800,MATCH(DATE(YEAR(A186)-1,MONTH(A186),1),$A$2:$A$800,0))-1,""))</f>
        <v/>
      </c>
    </row>
    <row r="187">
      <c r="A187" s="121" t="n">
        <v>40179</v>
      </c>
      <c r="B187" s="47" t="n">
        <v>423.74</v>
      </c>
      <c r="C187" s="122">
        <f>IF(OR(B187="",B186=""),"",B187/B186-1)</f>
        <v/>
      </c>
      <c r="D187" s="122">
        <f>IF(B187="","",IFERROR(B187/INDEX($B$2:$B$800,MATCH(DATE(YEAR(A187)-1,12,1),$A$2:$A$800,0))-1,""))</f>
        <v/>
      </c>
      <c r="E187" s="122">
        <f>IF(B187="","",IFERROR(B187/INDEX($B$2:$B$800,MATCH(DATE(YEAR(A187)-1,MONTH(A187),1),$A$2:$A$800,0))-1,""))</f>
        <v/>
      </c>
    </row>
    <row r="188">
      <c r="A188" s="121" t="n">
        <v>40210</v>
      </c>
      <c r="B188" s="47" t="n">
        <v>425.268</v>
      </c>
      <c r="C188" s="122">
        <f>IF(OR(B188="",B187=""),"",B188/B187-1)</f>
        <v/>
      </c>
      <c r="D188" s="122">
        <f>IF(B188="","",IFERROR(B188/INDEX($B$2:$B$800,MATCH(DATE(YEAR(A188)-1,12,1),$A$2:$A$800,0))-1,""))</f>
        <v/>
      </c>
      <c r="E188" s="122">
        <f>IF(B188="","",IFERROR(B188/INDEX($B$2:$B$800,MATCH(DATE(YEAR(A188)-1,MONTH(A188),1),$A$2:$A$800,0))-1,""))</f>
        <v/>
      </c>
    </row>
    <row r="189">
      <c r="A189" s="121" t="n">
        <v>40238</v>
      </c>
      <c r="B189" s="47" t="n">
        <v>428.476</v>
      </c>
      <c r="C189" s="122">
        <f>IF(OR(B189="",B188=""),"",B189/B188-1)</f>
        <v/>
      </c>
      <c r="D189" s="122">
        <f>IF(B189="","",IFERROR(B189/INDEX($B$2:$B$800,MATCH(DATE(YEAR(A189)-1,12,1),$A$2:$A$800,0))-1,""))</f>
        <v/>
      </c>
      <c r="E189" s="122">
        <f>IF(B189="","",IFERROR(B189/INDEX($B$2:$B$800,MATCH(DATE(YEAR(A189)-1,MONTH(A189),1),$A$2:$A$800,0))-1,""))</f>
        <v/>
      </c>
    </row>
    <row r="190">
      <c r="A190" s="121" t="n">
        <v>40269</v>
      </c>
      <c r="B190" s="47" t="n">
        <v>432.079</v>
      </c>
      <c r="C190" s="122">
        <f>IF(OR(B190="",B189=""),"",B190/B189-1)</f>
        <v/>
      </c>
      <c r="D190" s="122">
        <f>IF(B190="","",IFERROR(B190/INDEX($B$2:$B$800,MATCH(DATE(YEAR(A190)-1,12,1),$A$2:$A$800,0))-1,""))</f>
        <v/>
      </c>
      <c r="E190" s="122">
        <f>IF(B190="","",IFERROR(B190/INDEX($B$2:$B$800,MATCH(DATE(YEAR(A190)-1,MONTH(A190),1),$A$2:$A$800,0))-1,""))</f>
        <v/>
      </c>
    </row>
    <row r="191">
      <c r="A191" s="121" t="n">
        <v>40299</v>
      </c>
      <c r="B191" s="47" t="n">
        <v>439.914</v>
      </c>
      <c r="C191" s="122">
        <f>IF(OR(B191="",B190=""),"",B191/B190-1)</f>
        <v/>
      </c>
      <c r="D191" s="122">
        <f>IF(B191="","",IFERROR(B191/INDEX($B$2:$B$800,MATCH(DATE(YEAR(A191)-1,12,1),$A$2:$A$800,0))-1,""))</f>
        <v/>
      </c>
      <c r="E191" s="122">
        <f>IF(B191="","",IFERROR(B191/INDEX($B$2:$B$800,MATCH(DATE(YEAR(A191)-1,MONTH(A191),1),$A$2:$A$800,0))-1,""))</f>
        <v/>
      </c>
    </row>
    <row r="192">
      <c r="A192" s="121" t="n">
        <v>40330</v>
      </c>
      <c r="B192" s="47" t="n">
        <v>444.718</v>
      </c>
      <c r="C192" s="122">
        <f>IF(OR(B192="",B191=""),"",B192/B191-1)</f>
        <v/>
      </c>
      <c r="D192" s="122">
        <f>IF(B192="","",IFERROR(B192/INDEX($B$2:$B$800,MATCH(DATE(YEAR(A192)-1,12,1),$A$2:$A$800,0))-1,""))</f>
        <v/>
      </c>
      <c r="E192" s="122">
        <f>IF(B192="","",IFERROR(B192/INDEX($B$2:$B$800,MATCH(DATE(YEAR(A192)-1,MONTH(A192),1),$A$2:$A$800,0))-1,""))</f>
        <v/>
      </c>
    </row>
    <row r="193">
      <c r="A193" s="121" t="n">
        <v>40360</v>
      </c>
      <c r="B193" s="47" t="n">
        <v>446.688</v>
      </c>
      <c r="C193" s="122">
        <f>IF(OR(B193="",B192=""),"",B193/B192-1)</f>
        <v/>
      </c>
      <c r="D193" s="122">
        <f>IF(B193="","",IFERROR(B193/INDEX($B$2:$B$800,MATCH(DATE(YEAR(A193)-1,12,1),$A$2:$A$800,0))-1,""))</f>
        <v/>
      </c>
      <c r="E193" s="122">
        <f>IF(B193="","",IFERROR(B193/INDEX($B$2:$B$800,MATCH(DATE(YEAR(A193)-1,MONTH(A193),1),$A$2:$A$800,0))-1,""))</f>
        <v/>
      </c>
    </row>
    <row r="194">
      <c r="A194" s="121" t="n">
        <v>40391</v>
      </c>
      <c r="B194" s="47" t="n">
        <v>447.296</v>
      </c>
      <c r="C194" s="122">
        <f>IF(OR(B194="",B193=""),"",B194/B193-1)</f>
        <v/>
      </c>
      <c r="D194" s="122">
        <f>IF(B194="","",IFERROR(B194/INDEX($B$2:$B$800,MATCH(DATE(YEAR(A194)-1,12,1),$A$2:$A$800,0))-1,""))</f>
        <v/>
      </c>
      <c r="E194" s="122">
        <f>IF(B194="","",IFERROR(B194/INDEX($B$2:$B$800,MATCH(DATE(YEAR(A194)-1,MONTH(A194),1),$A$2:$A$800,0))-1,""))</f>
        <v/>
      </c>
    </row>
    <row r="195">
      <c r="A195" s="121" t="n">
        <v>40422</v>
      </c>
      <c r="B195" s="47" t="n">
        <v>448.222</v>
      </c>
      <c r="C195" s="122">
        <f>IF(OR(B195="",B194=""),"",B195/B194-1)</f>
        <v/>
      </c>
      <c r="D195" s="122">
        <f>IF(B195="","",IFERROR(B195/INDEX($B$2:$B$800,MATCH(DATE(YEAR(A195)-1,12,1),$A$2:$A$800,0))-1,""))</f>
        <v/>
      </c>
      <c r="E195" s="122">
        <f>IF(B195="","",IFERROR(B195/INDEX($B$2:$B$800,MATCH(DATE(YEAR(A195)-1,MONTH(A195),1),$A$2:$A$800,0))-1,""))</f>
        <v/>
      </c>
    </row>
    <row r="196">
      <c r="A196" s="121" t="n">
        <v>40452</v>
      </c>
      <c r="B196" s="47" t="n">
        <v>449.103</v>
      </c>
      <c r="C196" s="122">
        <f>IF(OR(B196="",B195=""),"",B196/B195-1)</f>
        <v/>
      </c>
      <c r="D196" s="122">
        <f>IF(B196="","",IFERROR(B196/INDEX($B$2:$B$800,MATCH(DATE(YEAR(A196)-1,12,1),$A$2:$A$800,0))-1,""))</f>
        <v/>
      </c>
      <c r="E196" s="122">
        <f>IF(B196="","",IFERROR(B196/INDEX($B$2:$B$800,MATCH(DATE(YEAR(A196)-1,MONTH(A196),1),$A$2:$A$800,0))-1,""))</f>
        <v/>
      </c>
    </row>
    <row r="197">
      <c r="A197" s="121" t="n">
        <v>40483</v>
      </c>
      <c r="B197" s="47" t="n">
        <v>450.763</v>
      </c>
      <c r="C197" s="122">
        <f>IF(OR(B197="",B196=""),"",B197/B196-1)</f>
        <v/>
      </c>
      <c r="D197" s="122">
        <f>IF(B197="","",IFERROR(B197/INDEX($B$2:$B$800,MATCH(DATE(YEAR(A197)-1,12,1),$A$2:$A$800,0))-1,""))</f>
        <v/>
      </c>
      <c r="E197" s="122">
        <f>IF(B197="","",IFERROR(B197/INDEX($B$2:$B$800,MATCH(DATE(YEAR(A197)-1,MONTH(A197),1),$A$2:$A$800,0))-1,""))</f>
        <v/>
      </c>
    </row>
    <row r="198">
      <c r="A198" s="121" t="n">
        <v>40513</v>
      </c>
      <c r="B198" s="47" t="n">
        <v>453.766</v>
      </c>
      <c r="C198" s="122">
        <f>IF(OR(B198="",B197=""),"",B198/B197-1)</f>
        <v/>
      </c>
      <c r="D198" s="122">
        <f>IF(B198="","",IFERROR(B198/INDEX($B$2:$B$800,MATCH(DATE(YEAR(A198)-1,12,1),$A$2:$A$800,0))-1,""))</f>
        <v/>
      </c>
      <c r="E198" s="122">
        <f>IF(B198="","",IFERROR(B198/INDEX($B$2:$B$800,MATCH(DATE(YEAR(A198)-1,MONTH(A198),1),$A$2:$A$800,0))-1,""))</f>
        <v/>
      </c>
    </row>
    <row r="199">
      <c r="A199" s="121" t="n">
        <v>40544</v>
      </c>
      <c r="B199" s="47" t="n">
        <v>455.619</v>
      </c>
      <c r="C199" s="122">
        <f>IF(OR(B199="",B198=""),"",B199/B198-1)</f>
        <v/>
      </c>
      <c r="D199" s="122">
        <f>IF(B199="","",IFERROR(B199/INDEX($B$2:$B$800,MATCH(DATE(YEAR(A199)-1,12,1),$A$2:$A$800,0))-1,""))</f>
        <v/>
      </c>
      <c r="E199" s="122">
        <f>IF(B199="","",IFERROR(B199/INDEX($B$2:$B$800,MATCH(DATE(YEAR(A199)-1,MONTH(A199),1),$A$2:$A$800,0))-1,""))</f>
        <v/>
      </c>
    </row>
    <row r="200">
      <c r="A200" s="121" t="n">
        <v>40575</v>
      </c>
      <c r="B200" s="47" t="n">
        <v>456.917</v>
      </c>
      <c r="C200" s="122">
        <f>IF(OR(B200="",B199=""),"",B200/B199-1)</f>
        <v/>
      </c>
      <c r="D200" s="122">
        <f>IF(B200="","",IFERROR(B200/INDEX($B$2:$B$800,MATCH(DATE(YEAR(A200)-1,12,1),$A$2:$A$800,0))-1,""))</f>
        <v/>
      </c>
      <c r="E200" s="122">
        <f>IF(B200="","",IFERROR(B200/INDEX($B$2:$B$800,MATCH(DATE(YEAR(A200)-1,MONTH(A200),1),$A$2:$A$800,0))-1,""))</f>
        <v/>
      </c>
    </row>
    <row r="201">
      <c r="A201" s="121" t="n">
        <v>40603</v>
      </c>
      <c r="B201" s="47" t="n">
        <v>458.887</v>
      </c>
      <c r="C201" s="122">
        <f>IF(OR(B201="",B200=""),"",B201/B200-1)</f>
        <v/>
      </c>
      <c r="D201" s="122">
        <f>IF(B201="","",IFERROR(B201/INDEX($B$2:$B$800,MATCH(DATE(YEAR(A201)-1,12,1),$A$2:$A$800,0))-1,""))</f>
        <v/>
      </c>
      <c r="E201" s="122">
        <f>IF(B201="","",IFERROR(B201/INDEX($B$2:$B$800,MATCH(DATE(YEAR(A201)-1,MONTH(A201),1),$A$2:$A$800,0))-1,""))</f>
        <v/>
      </c>
    </row>
    <row r="202">
      <c r="A202" s="121" t="n">
        <v>40634</v>
      </c>
      <c r="B202" s="47" t="n">
        <v>463.766</v>
      </c>
      <c r="C202" s="122">
        <f>IF(OR(B202="",B201=""),"",B202/B201-1)</f>
        <v/>
      </c>
      <c r="D202" s="122">
        <f>IF(B202="","",IFERROR(B202/INDEX($B$2:$B$800,MATCH(DATE(YEAR(A202)-1,12,1),$A$2:$A$800,0))-1,""))</f>
        <v/>
      </c>
      <c r="E202" s="122">
        <f>IF(B202="","",IFERROR(B202/INDEX($B$2:$B$800,MATCH(DATE(YEAR(A202)-1,MONTH(A202),1),$A$2:$A$800,0))-1,""))</f>
        <v/>
      </c>
    </row>
    <row r="203">
      <c r="A203" s="121" t="n">
        <v>40664</v>
      </c>
      <c r="B203" s="47" t="n">
        <v>477.405</v>
      </c>
      <c r="C203" s="122">
        <f>IF(OR(B203="",B202=""),"",B203/B202-1)</f>
        <v/>
      </c>
      <c r="D203" s="122">
        <f>IF(B203="","",IFERROR(B203/INDEX($B$2:$B$800,MATCH(DATE(YEAR(A203)-1,12,1),$A$2:$A$800,0))-1,""))</f>
        <v/>
      </c>
      <c r="E203" s="122">
        <f>IF(B203="","",IFERROR(B203/INDEX($B$2:$B$800,MATCH(DATE(YEAR(A203)-1,MONTH(A203),1),$A$2:$A$800,0))-1,""))</f>
        <v/>
      </c>
    </row>
    <row r="204">
      <c r="A204" s="121" t="n">
        <v>40695</v>
      </c>
      <c r="B204" s="47" t="n">
        <v>479.183</v>
      </c>
      <c r="C204" s="122">
        <f>IF(OR(B204="",B203=""),"",B204/B203-1)</f>
        <v/>
      </c>
      <c r="D204" s="122">
        <f>IF(B204="","",IFERROR(B204/INDEX($B$2:$B$800,MATCH(DATE(YEAR(A204)-1,12,1),$A$2:$A$800,0))-1,""))</f>
        <v/>
      </c>
      <c r="E204" s="122">
        <f>IF(B204="","",IFERROR(B204/INDEX($B$2:$B$800,MATCH(DATE(YEAR(A204)-1,MONTH(A204),1),$A$2:$A$800,0))-1,""))</f>
        <v/>
      </c>
    </row>
    <row r="205">
      <c r="A205" s="121" t="n">
        <v>40726</v>
      </c>
      <c r="B205" s="47" t="n">
        <v>481.33</v>
      </c>
      <c r="C205" s="122">
        <f>IF(OR(B205="",B204=""),"",B205/B204-1)</f>
        <v/>
      </c>
      <c r="D205" s="122">
        <f>IF(B205="","",IFERROR(B205/INDEX($B$2:$B$800,MATCH(DATE(YEAR(A205)-1,12,1),$A$2:$A$800,0))-1,""))</f>
        <v/>
      </c>
      <c r="E205" s="122">
        <f>IF(B205="","",IFERROR(B205/INDEX($B$2:$B$800,MATCH(DATE(YEAR(A205)-1,MONTH(A205),1),$A$2:$A$800,0))-1,""))</f>
        <v/>
      </c>
    </row>
    <row r="206">
      <c r="A206" s="121" t="n">
        <v>40756</v>
      </c>
      <c r="B206" s="47" t="n">
        <v>481.966</v>
      </c>
      <c r="C206" s="122">
        <f>IF(OR(B206="",B205=""),"",B206/B205-1)</f>
        <v/>
      </c>
      <c r="D206" s="122">
        <f>IF(B206="","",IFERROR(B206/INDEX($B$2:$B$800,MATCH(DATE(YEAR(A206)-1,12,1),$A$2:$A$800,0))-1,""))</f>
        <v/>
      </c>
      <c r="E206" s="122">
        <f>IF(B206="","",IFERROR(B206/INDEX($B$2:$B$800,MATCH(DATE(YEAR(A206)-1,MONTH(A206),1),$A$2:$A$800,0))-1,""))</f>
        <v/>
      </c>
    </row>
    <row r="207">
      <c r="A207" s="121" t="n">
        <v>40787</v>
      </c>
      <c r="B207" s="47" t="n">
        <v>482.658</v>
      </c>
      <c r="C207" s="122">
        <f>IF(OR(B207="",B206=""),"",B207/B206-1)</f>
        <v/>
      </c>
      <c r="D207" s="122">
        <f>IF(B207="","",IFERROR(B207/INDEX($B$2:$B$800,MATCH(DATE(YEAR(A207)-1,12,1),$A$2:$A$800,0))-1,""))</f>
        <v/>
      </c>
      <c r="E207" s="122">
        <f>IF(B207="","",IFERROR(B207/INDEX($B$2:$B$800,MATCH(DATE(YEAR(A207)-1,MONTH(A207),1),$A$2:$A$800,0))-1,""))</f>
        <v/>
      </c>
    </row>
    <row r="208">
      <c r="A208" s="121" t="n">
        <v>40817</v>
      </c>
      <c r="B208" s="47" t="n">
        <v>483.758</v>
      </c>
      <c r="C208" s="122">
        <f>IF(OR(B208="",B207=""),"",B208/B207-1)</f>
        <v/>
      </c>
      <c r="D208" s="122">
        <f>IF(B208="","",IFERROR(B208/INDEX($B$2:$B$800,MATCH(DATE(YEAR(A208)-1,12,1),$A$2:$A$800,0))-1,""))</f>
        <v/>
      </c>
      <c r="E208" s="122">
        <f>IF(B208="","",IFERROR(B208/INDEX($B$2:$B$800,MATCH(DATE(YEAR(A208)-1,MONTH(A208),1),$A$2:$A$800,0))-1,""))</f>
        <v/>
      </c>
    </row>
    <row r="209">
      <c r="A209" s="121" t="n">
        <v>40848</v>
      </c>
      <c r="B209" s="47" t="n">
        <v>487.221</v>
      </c>
      <c r="C209" s="122">
        <f>IF(OR(B209="",B208=""),"",B209/B208-1)</f>
        <v/>
      </c>
      <c r="D209" s="122">
        <f>IF(B209="","",IFERROR(B209/INDEX($B$2:$B$800,MATCH(DATE(YEAR(A209)-1,12,1),$A$2:$A$800,0))-1,""))</f>
        <v/>
      </c>
      <c r="E209" s="122">
        <f>IF(B209="","",IFERROR(B209/INDEX($B$2:$B$800,MATCH(DATE(YEAR(A209)-1,MONTH(A209),1),$A$2:$A$800,0))-1,""))</f>
        <v/>
      </c>
    </row>
    <row r="210">
      <c r="A210" s="121" t="n">
        <v>40878</v>
      </c>
      <c r="B210" s="47" t="n">
        <v>487.749</v>
      </c>
      <c r="C210" s="122">
        <f>IF(OR(B210="",B209=""),"",B210/B209-1)</f>
        <v/>
      </c>
      <c r="D210" s="122">
        <f>IF(B210="","",IFERROR(B210/INDEX($B$2:$B$800,MATCH(DATE(YEAR(A210)-1,12,1),$A$2:$A$800,0))-1,""))</f>
        <v/>
      </c>
      <c r="E210" s="122">
        <f>IF(B210="","",IFERROR(B210/INDEX($B$2:$B$800,MATCH(DATE(YEAR(A210)-1,MONTH(A210),1),$A$2:$A$800,0))-1,""))</f>
        <v/>
      </c>
    </row>
    <row r="211">
      <c r="A211" s="121" t="n">
        <v>40909</v>
      </c>
      <c r="B211" s="47" t="n">
        <v>492.106</v>
      </c>
      <c r="C211" s="122">
        <f>IF(OR(B211="",B210=""),"",B211/B210-1)</f>
        <v/>
      </c>
      <c r="D211" s="122">
        <f>IF(B211="","",IFERROR(B211/INDEX($B$2:$B$800,MATCH(DATE(YEAR(A211)-1,12,1),$A$2:$A$800,0))-1,""))</f>
        <v/>
      </c>
      <c r="E211" s="122">
        <f>IF(B211="","",IFERROR(B211/INDEX($B$2:$B$800,MATCH(DATE(YEAR(A211)-1,MONTH(A211),1),$A$2:$A$800,0))-1,""))</f>
        <v/>
      </c>
    </row>
    <row r="212">
      <c r="A212" s="121" t="n">
        <v>40940</v>
      </c>
      <c r="B212" s="47" t="n">
        <v>493.584</v>
      </c>
      <c r="C212" s="122">
        <f>IF(OR(B212="",B211=""),"",B212/B211-1)</f>
        <v/>
      </c>
      <c r="D212" s="122">
        <f>IF(B212="","",IFERROR(B212/INDEX($B$2:$B$800,MATCH(DATE(YEAR(A212)-1,12,1),$A$2:$A$800,0))-1,""))</f>
        <v/>
      </c>
      <c r="E212" s="122">
        <f>IF(B212="","",IFERROR(B212/INDEX($B$2:$B$800,MATCH(DATE(YEAR(A212)-1,MONTH(A212),1),$A$2:$A$800,0))-1,""))</f>
        <v/>
      </c>
    </row>
    <row r="213">
      <c r="A213" s="121" t="n">
        <v>40969</v>
      </c>
      <c r="B213" s="47" t="n">
        <v>496.079</v>
      </c>
      <c r="C213" s="122">
        <f>IF(OR(B213="",B212=""),"",B213/B212-1)</f>
        <v/>
      </c>
      <c r="D213" s="122">
        <f>IF(B213="","",IFERROR(B213/INDEX($B$2:$B$800,MATCH(DATE(YEAR(A213)-1,12,1),$A$2:$A$800,0))-1,""))</f>
        <v/>
      </c>
      <c r="E213" s="122">
        <f>IF(B213="","",IFERROR(B213/INDEX($B$2:$B$800,MATCH(DATE(YEAR(A213)-1,MONTH(A213),1),$A$2:$A$800,0))-1,""))</f>
        <v/>
      </c>
    </row>
    <row r="214">
      <c r="A214" s="121" t="n">
        <v>41000</v>
      </c>
      <c r="B214" s="47" t="n">
        <v>499.791</v>
      </c>
      <c r="C214" s="122">
        <f>IF(OR(B214="",B213=""),"",B214/B213-1)</f>
        <v/>
      </c>
      <c r="D214" s="122">
        <f>IF(B214="","",IFERROR(B214/INDEX($B$2:$B$800,MATCH(DATE(YEAR(A214)-1,12,1),$A$2:$A$800,0))-1,""))</f>
        <v/>
      </c>
      <c r="E214" s="122">
        <f>IF(B214="","",IFERROR(B214/INDEX($B$2:$B$800,MATCH(DATE(YEAR(A214)-1,MONTH(A214),1),$A$2:$A$800,0))-1,""))</f>
        <v/>
      </c>
    </row>
    <row r="215">
      <c r="A215" s="121" t="n">
        <v>41030</v>
      </c>
      <c r="B215" s="47" t="n">
        <v>509.184</v>
      </c>
      <c r="C215" s="122">
        <f>IF(OR(B215="",B214=""),"",B215/B214-1)</f>
        <v/>
      </c>
      <c r="D215" s="122">
        <f>IF(B215="","",IFERROR(B215/INDEX($B$2:$B$800,MATCH(DATE(YEAR(A215)-1,12,1),$A$2:$A$800,0))-1,""))</f>
        <v/>
      </c>
      <c r="E215" s="122">
        <f>IF(B215="","",IFERROR(B215/INDEX($B$2:$B$800,MATCH(DATE(YEAR(A215)-1,MONTH(A215),1),$A$2:$A$800,0))-1,""))</f>
        <v/>
      </c>
    </row>
    <row r="216">
      <c r="A216" s="121" t="n">
        <v>41061</v>
      </c>
      <c r="B216" s="47" t="n">
        <v>512.903</v>
      </c>
      <c r="C216" s="122">
        <f>IF(OR(B216="",B215=""),"",B216/B215-1)</f>
        <v/>
      </c>
      <c r="D216" s="122">
        <f>IF(B216="","",IFERROR(B216/INDEX($B$2:$B$800,MATCH(DATE(YEAR(A216)-1,12,1),$A$2:$A$800,0))-1,""))</f>
        <v/>
      </c>
      <c r="E216" s="122">
        <f>IF(B216="","",IFERROR(B216/INDEX($B$2:$B$800,MATCH(DATE(YEAR(A216)-1,MONTH(A216),1),$A$2:$A$800,0))-1,""))</f>
        <v/>
      </c>
    </row>
    <row r="217">
      <c r="A217" s="121" t="n">
        <v>41091</v>
      </c>
      <c r="B217" s="47" t="n">
        <v>516.318</v>
      </c>
      <c r="C217" s="122">
        <f>IF(OR(B217="",B216=""),"",B217/B216-1)</f>
        <v/>
      </c>
      <c r="D217" s="122">
        <f>IF(B217="","",IFERROR(B217/INDEX($B$2:$B$800,MATCH(DATE(YEAR(A217)-1,12,1),$A$2:$A$800,0))-1,""))</f>
        <v/>
      </c>
      <c r="E217" s="122">
        <f>IF(B217="","",IFERROR(B217/INDEX($B$2:$B$800,MATCH(DATE(YEAR(A217)-1,MONTH(A217),1),$A$2:$A$800,0))-1,""))</f>
        <v/>
      </c>
    </row>
    <row r="218">
      <c r="A218" s="121" t="n">
        <v>41122</v>
      </c>
      <c r="B218" s="47" t="n">
        <v>517.657</v>
      </c>
      <c r="C218" s="122">
        <f>IF(OR(B218="",B217=""),"",B218/B217-1)</f>
        <v/>
      </c>
      <c r="D218" s="122">
        <f>IF(B218="","",IFERROR(B218/INDEX($B$2:$B$800,MATCH(DATE(YEAR(A218)-1,12,1),$A$2:$A$800,0))-1,""))</f>
        <v/>
      </c>
      <c r="E218" s="122">
        <f>IF(B218="","",IFERROR(B218/INDEX($B$2:$B$800,MATCH(DATE(YEAR(A218)-1,MONTH(A218),1),$A$2:$A$800,0))-1,""))</f>
        <v/>
      </c>
    </row>
    <row r="219">
      <c r="A219" s="121" t="n">
        <v>41153</v>
      </c>
      <c r="B219" s="47" t="n">
        <v>518.816</v>
      </c>
      <c r="C219" s="122">
        <f>IF(OR(B219="",B218=""),"",B219/B218-1)</f>
        <v/>
      </c>
      <c r="D219" s="122">
        <f>IF(B219="","",IFERROR(B219/INDEX($B$2:$B$800,MATCH(DATE(YEAR(A219)-1,12,1),$A$2:$A$800,0))-1,""))</f>
        <v/>
      </c>
      <c r="E219" s="122">
        <f>IF(B219="","",IFERROR(B219/INDEX($B$2:$B$800,MATCH(DATE(YEAR(A219)-1,MONTH(A219),1),$A$2:$A$800,0))-1,""))</f>
        <v/>
      </c>
    </row>
    <row r="220">
      <c r="A220" s="121" t="n">
        <v>41183</v>
      </c>
      <c r="B220" s="47" t="n">
        <v>519.907</v>
      </c>
      <c r="C220" s="122">
        <f>IF(OR(B220="",B219=""),"",B220/B219-1)</f>
        <v/>
      </c>
      <c r="D220" s="122">
        <f>IF(B220="","",IFERROR(B220/INDEX($B$2:$B$800,MATCH(DATE(YEAR(A220)-1,12,1),$A$2:$A$800,0))-1,""))</f>
        <v/>
      </c>
      <c r="E220" s="122">
        <f>IF(B220="","",IFERROR(B220/INDEX($B$2:$B$800,MATCH(DATE(YEAR(A220)-1,MONTH(A220),1),$A$2:$A$800,0))-1,""))</f>
        <v/>
      </c>
    </row>
    <row r="221">
      <c r="A221" s="121" t="n">
        <v>41214</v>
      </c>
      <c r="B221" s="47" t="n">
        <v>521.638</v>
      </c>
      <c r="C221" s="122">
        <f>IF(OR(B221="",B220=""),"",B221/B220-1)</f>
        <v/>
      </c>
      <c r="D221" s="122">
        <f>IF(B221="","",IFERROR(B221/INDEX($B$2:$B$800,MATCH(DATE(YEAR(A221)-1,12,1),$A$2:$A$800,0))-1,""))</f>
        <v/>
      </c>
      <c r="E221" s="122">
        <f>IF(B221="","",IFERROR(B221/INDEX($B$2:$B$800,MATCH(DATE(YEAR(A221)-1,MONTH(A221),1),$A$2:$A$800,0))-1,""))</f>
        <v/>
      </c>
    </row>
    <row r="222">
      <c r="A222" s="121" t="n">
        <v>41244</v>
      </c>
      <c r="B222" s="47" t="n">
        <v>522.474</v>
      </c>
      <c r="C222" s="122">
        <f>IF(OR(B222="",B221=""),"",B222/B221-1)</f>
        <v/>
      </c>
      <c r="D222" s="122">
        <f>IF(B222="","",IFERROR(B222/INDEX($B$2:$B$800,MATCH(DATE(YEAR(A222)-1,12,1),$A$2:$A$800,0))-1,""))</f>
        <v/>
      </c>
      <c r="E222" s="122">
        <f>IF(B222="","",IFERROR(B222/INDEX($B$2:$B$800,MATCH(DATE(YEAR(A222)-1,MONTH(A222),1),$A$2:$A$800,0))-1,""))</f>
        <v/>
      </c>
    </row>
    <row r="223">
      <c r="A223" s="121" t="n">
        <v>41275</v>
      </c>
      <c r="B223" s="47" t="n">
        <v>525.85</v>
      </c>
      <c r="C223" s="122">
        <f>IF(OR(B223="",B222=""),"",B223/B222-1)</f>
        <v/>
      </c>
      <c r="D223" s="122">
        <f>IF(B223="","",IFERROR(B223/INDEX($B$2:$B$800,MATCH(DATE(YEAR(A223)-1,12,1),$A$2:$A$800,0))-1,""))</f>
        <v/>
      </c>
      <c r="E223" s="122">
        <f>IF(B223="","",IFERROR(B223/INDEX($B$2:$B$800,MATCH(DATE(YEAR(A223)-1,MONTH(A223),1),$A$2:$A$800,0))-1,""))</f>
        <v/>
      </c>
    </row>
    <row r="224">
      <c r="A224" s="121" t="n">
        <v>41306</v>
      </c>
      <c r="B224" s="47" t="n">
        <v>529.029</v>
      </c>
      <c r="C224" s="122">
        <f>IF(OR(B224="",B223=""),"",B224/B223-1)</f>
        <v/>
      </c>
      <c r="D224" s="122">
        <f>IF(B224="","",IFERROR(B224/INDEX($B$2:$B$800,MATCH(DATE(YEAR(A224)-1,12,1),$A$2:$A$800,0))-1,""))</f>
        <v/>
      </c>
      <c r="E224" s="122">
        <f>IF(B224="","",IFERROR(B224/INDEX($B$2:$B$800,MATCH(DATE(YEAR(A224)-1,MONTH(A224),1),$A$2:$A$800,0))-1,""))</f>
        <v/>
      </c>
    </row>
    <row r="225">
      <c r="A225" s="121" t="n">
        <v>41334</v>
      </c>
      <c r="B225" s="47" t="n">
        <v>531.691</v>
      </c>
      <c r="C225" s="122">
        <f>IF(OR(B225="",B224=""),"",B225/B224-1)</f>
        <v/>
      </c>
      <c r="D225" s="122">
        <f>IF(B225="","",IFERROR(B225/INDEX($B$2:$B$800,MATCH(DATE(YEAR(A225)-1,12,1),$A$2:$A$800,0))-1,""))</f>
        <v/>
      </c>
      <c r="E225" s="122">
        <f>IF(B225="","",IFERROR(B225/INDEX($B$2:$B$800,MATCH(DATE(YEAR(A225)-1,MONTH(A225),1),$A$2:$A$800,0))-1,""))</f>
        <v/>
      </c>
    </row>
    <row r="226">
      <c r="A226" s="121" t="n">
        <v>41365</v>
      </c>
      <c r="B226" s="47" t="n">
        <v>535.601</v>
      </c>
      <c r="C226" s="122">
        <f>IF(OR(B226="",B225=""),"",B226/B225-1)</f>
        <v/>
      </c>
      <c r="D226" s="122">
        <f>IF(B226="","",IFERROR(B226/INDEX($B$2:$B$800,MATCH(DATE(YEAR(A226)-1,12,1),$A$2:$A$800,0))-1,""))</f>
        <v/>
      </c>
      <c r="E226" s="122">
        <f>IF(B226="","",IFERROR(B226/INDEX($B$2:$B$800,MATCH(DATE(YEAR(A226)-1,MONTH(A226),1),$A$2:$A$800,0))-1,""))</f>
        <v/>
      </c>
    </row>
    <row r="227">
      <c r="A227" s="121" t="n">
        <v>41395</v>
      </c>
      <c r="B227" s="47" t="n">
        <v>547.655</v>
      </c>
      <c r="C227" s="122">
        <f>IF(OR(B227="",B226=""),"",B227/B226-1)</f>
        <v/>
      </c>
      <c r="D227" s="122">
        <f>IF(B227="","",IFERROR(B227/INDEX($B$2:$B$800,MATCH(DATE(YEAR(A227)-1,12,1),$A$2:$A$800,0))-1,""))</f>
        <v/>
      </c>
      <c r="E227" s="122">
        <f>IF(B227="","",IFERROR(B227/INDEX($B$2:$B$800,MATCH(DATE(YEAR(A227)-1,MONTH(A227),1),$A$2:$A$800,0))-1,""))</f>
        <v/>
      </c>
    </row>
    <row r="228">
      <c r="A228" s="121" t="n">
        <v>41426</v>
      </c>
      <c r="B228" s="47" t="n">
        <v>553.948</v>
      </c>
      <c r="C228" s="122">
        <f>IF(OR(B228="",B227=""),"",B228/B227-1)</f>
        <v/>
      </c>
      <c r="D228" s="122">
        <f>IF(B228="","",IFERROR(B228/INDEX($B$2:$B$800,MATCH(DATE(YEAR(A228)-1,12,1),$A$2:$A$800,0))-1,""))</f>
        <v/>
      </c>
      <c r="E228" s="122">
        <f>IF(B228="","",IFERROR(B228/INDEX($B$2:$B$800,MATCH(DATE(YEAR(A228)-1,MONTH(A228),1),$A$2:$A$800,0))-1,""))</f>
        <v/>
      </c>
    </row>
    <row r="229">
      <c r="A229" s="121" t="n">
        <v>41456</v>
      </c>
      <c r="B229" s="47" t="n">
        <v>556.6</v>
      </c>
      <c r="C229" s="122">
        <f>IF(OR(B229="",B228=""),"",B229/B228-1)</f>
        <v/>
      </c>
      <c r="D229" s="122">
        <f>IF(B229="","",IFERROR(B229/INDEX($B$2:$B$800,MATCH(DATE(YEAR(A229)-1,12,1),$A$2:$A$800,0))-1,""))</f>
        <v/>
      </c>
      <c r="E229" s="122">
        <f>IF(B229="","",IFERROR(B229/INDEX($B$2:$B$800,MATCH(DATE(YEAR(A229)-1,MONTH(A229),1),$A$2:$A$800,0))-1,""))</f>
        <v/>
      </c>
    </row>
    <row r="230">
      <c r="A230" s="121" t="n">
        <v>41487</v>
      </c>
      <c r="B230" s="47" t="n">
        <v>558.34</v>
      </c>
      <c r="C230" s="122">
        <f>IF(OR(B230="",B229=""),"",B230/B229-1)</f>
        <v/>
      </c>
      <c r="D230" s="122">
        <f>IF(B230="","",IFERROR(B230/INDEX($B$2:$B$800,MATCH(DATE(YEAR(A230)-1,12,1),$A$2:$A$800,0))-1,""))</f>
        <v/>
      </c>
      <c r="E230" s="122">
        <f>IF(B230="","",IFERROR(B230/INDEX($B$2:$B$800,MATCH(DATE(YEAR(A230)-1,MONTH(A230),1),$A$2:$A$800,0))-1,""))</f>
        <v/>
      </c>
    </row>
    <row r="231">
      <c r="A231" s="121" t="n">
        <v>41518</v>
      </c>
      <c r="B231" s="47" t="n">
        <v>560.7670000000001</v>
      </c>
      <c r="C231" s="122">
        <f>IF(OR(B231="",B230=""),"",B231/B230-1)</f>
        <v/>
      </c>
      <c r="D231" s="122">
        <f>IF(B231="","",IFERROR(B231/INDEX($B$2:$B$800,MATCH(DATE(YEAR(A231)-1,12,1),$A$2:$A$800,0))-1,""))</f>
        <v/>
      </c>
      <c r="E231" s="122">
        <f>IF(B231="","",IFERROR(B231/INDEX($B$2:$B$800,MATCH(DATE(YEAR(A231)-1,MONTH(A231),1),$A$2:$A$800,0))-1,""))</f>
        <v/>
      </c>
    </row>
    <row r="232">
      <c r="A232" s="121" t="n">
        <v>41548</v>
      </c>
      <c r="B232" s="47" t="n">
        <v>562.241</v>
      </c>
      <c r="C232" s="122">
        <f>IF(OR(B232="",B231=""),"",B232/B231-1)</f>
        <v/>
      </c>
      <c r="D232" s="122">
        <f>IF(B232="","",IFERROR(B232/INDEX($B$2:$B$800,MATCH(DATE(YEAR(A232)-1,12,1),$A$2:$A$800,0))-1,""))</f>
        <v/>
      </c>
      <c r="E232" s="122">
        <f>IF(B232="","",IFERROR(B232/INDEX($B$2:$B$800,MATCH(DATE(YEAR(A232)-1,MONTH(A232),1),$A$2:$A$800,0))-1,""))</f>
        <v/>
      </c>
    </row>
    <row r="233">
      <c r="A233" s="121" t="n">
        <v>41579</v>
      </c>
      <c r="B233" s="47" t="n">
        <v>564.201</v>
      </c>
      <c r="C233" s="122">
        <f>IF(OR(B233="",B232=""),"",B233/B232-1)</f>
        <v/>
      </c>
      <c r="D233" s="122">
        <f>IF(B233="","",IFERROR(B233/INDEX($B$2:$B$800,MATCH(DATE(YEAR(A233)-1,12,1),$A$2:$A$800,0))-1,""))</f>
        <v/>
      </c>
      <c r="E233" s="122">
        <f>IF(B233="","",IFERROR(B233/INDEX($B$2:$B$800,MATCH(DATE(YEAR(A233)-1,MONTH(A233),1),$A$2:$A$800,0))-1,""))</f>
        <v/>
      </c>
    </row>
    <row r="234">
      <c r="A234" s="121" t="n">
        <v>41609</v>
      </c>
      <c r="B234" s="47" t="n">
        <v>564.765</v>
      </c>
      <c r="C234" s="122">
        <f>IF(OR(B234="",B233=""),"",B234/B233-1)</f>
        <v/>
      </c>
      <c r="D234" s="122">
        <f>IF(B234="","",IFERROR(B234/INDEX($B$2:$B$800,MATCH(DATE(YEAR(A234)-1,12,1),$A$2:$A$800,0))-1,""))</f>
        <v/>
      </c>
      <c r="E234" s="122">
        <f>IF(B234="","",IFERROR(B234/INDEX($B$2:$B$800,MATCH(DATE(YEAR(A234)-1,MONTH(A234),1),$A$2:$A$800,0))-1,""))</f>
        <v/>
      </c>
    </row>
    <row r="235">
      <c r="A235" s="121" t="n">
        <v>41640</v>
      </c>
      <c r="B235" s="47" t="n">
        <v>569.72</v>
      </c>
      <c r="C235" s="122">
        <f>IF(OR(B235="",B234=""),"",B235/B234-1)</f>
        <v/>
      </c>
      <c r="D235" s="122">
        <f>IF(B235="","",IFERROR(B235/INDEX($B$2:$B$800,MATCH(DATE(YEAR(A235)-1,12,1),$A$2:$A$800,0))-1,""))</f>
        <v/>
      </c>
      <c r="E235" s="122">
        <f>IF(B235="","",IFERROR(B235/INDEX($B$2:$B$800,MATCH(DATE(YEAR(A235)-1,MONTH(A235),1),$A$2:$A$800,0))-1,""))</f>
        <v/>
      </c>
    </row>
    <row r="236">
      <c r="A236" s="121" t="n">
        <v>41671</v>
      </c>
      <c r="B236" s="47" t="n">
        <v>571.577</v>
      </c>
      <c r="C236" s="122">
        <f>IF(OR(B236="",B235=""),"",B236/B235-1)</f>
        <v/>
      </c>
      <c r="D236" s="122">
        <f>IF(B236="","",IFERROR(B236/INDEX($B$2:$B$800,MATCH(DATE(YEAR(A236)-1,12,1),$A$2:$A$800,0))-1,""))</f>
        <v/>
      </c>
      <c r="E236" s="122">
        <f>IF(B236="","",IFERROR(B236/INDEX($B$2:$B$800,MATCH(DATE(YEAR(A236)-1,MONTH(A236),1),$A$2:$A$800,0))-1,""))</f>
        <v/>
      </c>
    </row>
    <row r="237">
      <c r="A237" s="121" t="n">
        <v>41699</v>
      </c>
      <c r="B237" s="47" t="n">
        <v>573.1559999999999</v>
      </c>
      <c r="C237" s="122">
        <f>IF(OR(B237="",B236=""),"",B237/B236-1)</f>
        <v/>
      </c>
      <c r="D237" s="122">
        <f>IF(B237="","",IFERROR(B237/INDEX($B$2:$B$800,MATCH(DATE(YEAR(A237)-1,12,1),$A$2:$A$800,0))-1,""))</f>
        <v/>
      </c>
      <c r="E237" s="122">
        <f>IF(B237="","",IFERROR(B237/INDEX($B$2:$B$800,MATCH(DATE(YEAR(A237)-1,MONTH(A237),1),$A$2:$A$800,0))-1,""))</f>
        <v/>
      </c>
    </row>
    <row r="238">
      <c r="A238" s="121" t="n">
        <v>41730</v>
      </c>
      <c r="B238" s="47" t="n">
        <v>578.224</v>
      </c>
      <c r="C238" s="122">
        <f>IF(OR(B238="",B237=""),"",B238/B237-1)</f>
        <v/>
      </c>
      <c r="D238" s="122">
        <f>IF(B238="","",IFERROR(B238/INDEX($B$2:$B$800,MATCH(DATE(YEAR(A238)-1,12,1),$A$2:$A$800,0))-1,""))</f>
        <v/>
      </c>
      <c r="E238" s="122">
        <f>IF(B238="","",IFERROR(B238/INDEX($B$2:$B$800,MATCH(DATE(YEAR(A238)-1,MONTH(A238),1),$A$2:$A$800,0))-1,""))</f>
        <v/>
      </c>
    </row>
    <row r="239">
      <c r="A239" s="121" t="n">
        <v>41760</v>
      </c>
      <c r="B239" s="47" t="n">
        <v>590.099</v>
      </c>
      <c r="C239" s="122">
        <f>IF(OR(B239="",B238=""),"",B239/B238-1)</f>
        <v/>
      </c>
      <c r="D239" s="122">
        <f>IF(B239="","",IFERROR(B239/INDEX($B$2:$B$800,MATCH(DATE(YEAR(A239)-1,12,1),$A$2:$A$800,0))-1,""))</f>
        <v/>
      </c>
      <c r="E239" s="122">
        <f>IF(B239="","",IFERROR(B239/INDEX($B$2:$B$800,MATCH(DATE(YEAR(A239)-1,MONTH(A239),1),$A$2:$A$800,0))-1,""))</f>
        <v/>
      </c>
    </row>
    <row r="240">
      <c r="A240" s="121" t="n">
        <v>41791</v>
      </c>
      <c r="B240" s="47" t="n">
        <v>594.013</v>
      </c>
      <c r="C240" s="122">
        <f>IF(OR(B240="",B239=""),"",B240/B239-1)</f>
        <v/>
      </c>
      <c r="D240" s="122">
        <f>IF(B240="","",IFERROR(B240/INDEX($B$2:$B$800,MATCH(DATE(YEAR(A240)-1,12,1),$A$2:$A$800,0))-1,""))</f>
        <v/>
      </c>
      <c r="E240" s="122">
        <f>IF(B240="","",IFERROR(B240/INDEX($B$2:$B$800,MATCH(DATE(YEAR(A240)-1,MONTH(A240),1),$A$2:$A$800,0))-1,""))</f>
        <v/>
      </c>
    </row>
    <row r="241">
      <c r="A241" s="121" t="n">
        <v>41821</v>
      </c>
      <c r="B241" s="47" t="n">
        <v>598.441</v>
      </c>
      <c r="C241" s="122">
        <f>IF(OR(B241="",B240=""),"",B241/B240-1)</f>
        <v/>
      </c>
      <c r="D241" s="122">
        <f>IF(B241="","",IFERROR(B241/INDEX($B$2:$B$800,MATCH(DATE(YEAR(A241)-1,12,1),$A$2:$A$800,0))-1,""))</f>
        <v/>
      </c>
      <c r="E241" s="122">
        <f>IF(B241="","",IFERROR(B241/INDEX($B$2:$B$800,MATCH(DATE(YEAR(A241)-1,MONTH(A241),1),$A$2:$A$800,0))-1,""))</f>
        <v/>
      </c>
    </row>
    <row r="242">
      <c r="A242" s="121" t="n">
        <v>41852</v>
      </c>
      <c r="B242" s="47" t="n">
        <v>598.898</v>
      </c>
      <c r="C242" s="122">
        <f>IF(OR(B242="",B241=""),"",B242/B241-1)</f>
        <v/>
      </c>
      <c r="D242" s="122">
        <f>IF(B242="","",IFERROR(B242/INDEX($B$2:$B$800,MATCH(DATE(YEAR(A242)-1,12,1),$A$2:$A$800,0))-1,""))</f>
        <v/>
      </c>
      <c r="E242" s="122">
        <f>IF(B242="","",IFERROR(B242/INDEX($B$2:$B$800,MATCH(DATE(YEAR(A242)-1,MONTH(A242),1),$A$2:$A$800,0))-1,""))</f>
        <v/>
      </c>
    </row>
    <row r="243">
      <c r="A243" s="121" t="n">
        <v>41883</v>
      </c>
      <c r="B243" s="47" t="n">
        <v>599.823</v>
      </c>
      <c r="C243" s="122">
        <f>IF(OR(B243="",B242=""),"",B243/B242-1)</f>
        <v/>
      </c>
      <c r="D243" s="122">
        <f>IF(B243="","",IFERROR(B243/INDEX($B$2:$B$800,MATCH(DATE(YEAR(A243)-1,12,1),$A$2:$A$800,0))-1,""))</f>
        <v/>
      </c>
      <c r="E243" s="122">
        <f>IF(B243="","",IFERROR(B243/INDEX($B$2:$B$800,MATCH(DATE(YEAR(A243)-1,MONTH(A243),1),$A$2:$A$800,0))-1,""))</f>
        <v/>
      </c>
    </row>
    <row r="244">
      <c r="A244" s="121" t="n">
        <v>41913</v>
      </c>
      <c r="B244" s="47" t="n">
        <v>600.865</v>
      </c>
      <c r="C244" s="122">
        <f>IF(OR(B244="",B243=""),"",B244/B243-1)</f>
        <v/>
      </c>
      <c r="D244" s="122">
        <f>IF(B244="","",IFERROR(B244/INDEX($B$2:$B$800,MATCH(DATE(YEAR(A244)-1,12,1),$A$2:$A$800,0))-1,""))</f>
        <v/>
      </c>
      <c r="E244" s="122">
        <f>IF(B244="","",IFERROR(B244/INDEX($B$2:$B$800,MATCH(DATE(YEAR(A244)-1,MONTH(A244),1),$A$2:$A$800,0))-1,""))</f>
        <v/>
      </c>
    </row>
    <row r="245">
      <c r="A245" s="121" t="n">
        <v>41944</v>
      </c>
      <c r="B245" s="47" t="n">
        <v>603.524</v>
      </c>
      <c r="C245" s="122">
        <f>IF(OR(B245="",B244=""),"",B245/B244-1)</f>
        <v/>
      </c>
      <c r="D245" s="122">
        <f>IF(B245="","",IFERROR(B245/INDEX($B$2:$B$800,MATCH(DATE(YEAR(A245)-1,12,1),$A$2:$A$800,0))-1,""))</f>
        <v/>
      </c>
      <c r="E245" s="122">
        <f>IF(B245="","",IFERROR(B245/INDEX($B$2:$B$800,MATCH(DATE(YEAR(A245)-1,MONTH(A245),1),$A$2:$A$800,0))-1,""))</f>
        <v/>
      </c>
    </row>
    <row r="246">
      <c r="A246" s="121" t="n">
        <v>41974</v>
      </c>
      <c r="B246" s="47" t="n">
        <v>604.026</v>
      </c>
      <c r="C246" s="122">
        <f>IF(OR(B246="",B245=""),"",B246/B245-1)</f>
        <v/>
      </c>
      <c r="D246" s="122">
        <f>IF(B246="","",IFERROR(B246/INDEX($B$2:$B$800,MATCH(DATE(YEAR(A246)-1,12,1),$A$2:$A$800,0))-1,""))</f>
        <v/>
      </c>
      <c r="E246" s="122">
        <f>IF(B246="","",IFERROR(B246/INDEX($B$2:$B$800,MATCH(DATE(YEAR(A246)-1,MONTH(A246),1),$A$2:$A$800,0))-1,""))</f>
        <v/>
      </c>
    </row>
    <row r="247">
      <c r="A247" s="121" t="n">
        <v>42005</v>
      </c>
      <c r="B247" s="47" t="n">
        <v>609.568</v>
      </c>
      <c r="C247" s="122">
        <f>IF(OR(B247="",B246=""),"",B247/B246-1)</f>
        <v/>
      </c>
      <c r="D247" s="122">
        <f>IF(B247="","",IFERROR(B247/INDEX($B$2:$B$800,MATCH(DATE(YEAR(A247)-1,12,1),$A$2:$A$800,0))-1,""))</f>
        <v/>
      </c>
      <c r="E247" s="122">
        <f>IF(B247="","",IFERROR(B247/INDEX($B$2:$B$800,MATCH(DATE(YEAR(A247)-1,MONTH(A247),1),$A$2:$A$800,0))-1,""))</f>
        <v/>
      </c>
    </row>
    <row r="248">
      <c r="A248" s="121" t="n">
        <v>42036</v>
      </c>
      <c r="B248" s="47" t="n">
        <v>611.447</v>
      </c>
      <c r="C248" s="122">
        <f>IF(OR(B248="",B247=""),"",B248/B247-1)</f>
        <v/>
      </c>
      <c r="D248" s="122">
        <f>IF(B248="","",IFERROR(B248/INDEX($B$2:$B$800,MATCH(DATE(YEAR(A248)-1,12,1),$A$2:$A$800,0))-1,""))</f>
        <v/>
      </c>
      <c r="E248" s="122">
        <f>IF(B248="","",IFERROR(B248/INDEX($B$2:$B$800,MATCH(DATE(YEAR(A248)-1,MONTH(A248),1),$A$2:$A$800,0))-1,""))</f>
        <v/>
      </c>
    </row>
    <row r="249">
      <c r="A249" s="121" t="n">
        <v>42064</v>
      </c>
      <c r="B249" s="47" t="n">
        <v>615.248</v>
      </c>
      <c r="C249" s="122">
        <f>IF(OR(B249="",B248=""),"",B249/B248-1)</f>
        <v/>
      </c>
      <c r="D249" s="122">
        <f>IF(B249="","",IFERROR(B249/INDEX($B$2:$B$800,MATCH(DATE(YEAR(A249)-1,12,1),$A$2:$A$800,0))-1,""))</f>
        <v/>
      </c>
      <c r="E249" s="122">
        <f>IF(B249="","",IFERROR(B249/INDEX($B$2:$B$800,MATCH(DATE(YEAR(A249)-1,MONTH(A249),1),$A$2:$A$800,0))-1,""))</f>
        <v/>
      </c>
    </row>
    <row r="250">
      <c r="A250" s="121" t="n">
        <v>42095</v>
      </c>
      <c r="B250" s="47" t="n">
        <v>618.0599999999999</v>
      </c>
      <c r="C250" s="122">
        <f>IF(OR(B250="",B249=""),"",B250/B249-1)</f>
        <v/>
      </c>
      <c r="D250" s="122">
        <f>IF(B250="","",IFERROR(B250/INDEX($B$2:$B$800,MATCH(DATE(YEAR(A250)-1,12,1),$A$2:$A$800,0))-1,""))</f>
        <v/>
      </c>
      <c r="E250" s="122">
        <f>IF(B250="","",IFERROR(B250/INDEX($B$2:$B$800,MATCH(DATE(YEAR(A250)-1,MONTH(A250),1),$A$2:$A$800,0))-1,""))</f>
        <v/>
      </c>
    </row>
    <row r="251">
      <c r="A251" s="121" t="n">
        <v>42125</v>
      </c>
      <c r="B251" s="47" t="n">
        <v>623.951</v>
      </c>
      <c r="C251" s="122">
        <f>IF(OR(B251="",B250=""),"",B251/B250-1)</f>
        <v/>
      </c>
      <c r="D251" s="122">
        <f>IF(B251="","",IFERROR(B251/INDEX($B$2:$B$800,MATCH(DATE(YEAR(A251)-1,12,1),$A$2:$A$800,0))-1,""))</f>
        <v/>
      </c>
      <c r="E251" s="122">
        <f>IF(B251="","",IFERROR(B251/INDEX($B$2:$B$800,MATCH(DATE(YEAR(A251)-1,MONTH(A251),1),$A$2:$A$800,0))-1,""))</f>
        <v/>
      </c>
    </row>
    <row r="252">
      <c r="A252" s="121" t="n">
        <v>42156</v>
      </c>
      <c r="B252" s="47" t="n">
        <v>635.403</v>
      </c>
      <c r="C252" s="122">
        <f>IF(OR(B252="",B251=""),"",B252/B251-1)</f>
        <v/>
      </c>
      <c r="D252" s="122">
        <f>IF(B252="","",IFERROR(B252/INDEX($B$2:$B$800,MATCH(DATE(YEAR(A252)-1,12,1),$A$2:$A$800,0))-1,""))</f>
        <v/>
      </c>
      <c r="E252" s="122">
        <f>IF(B252="","",IFERROR(B252/INDEX($B$2:$B$800,MATCH(DATE(YEAR(A252)-1,MONTH(A252),1),$A$2:$A$800,0))-1,""))</f>
        <v/>
      </c>
    </row>
    <row r="253">
      <c r="A253" s="121" t="n">
        <v>42186</v>
      </c>
      <c r="B253" s="47" t="n">
        <v>638.88</v>
      </c>
      <c r="C253" s="122">
        <f>IF(OR(B253="",B252=""),"",B253/B252-1)</f>
        <v/>
      </c>
      <c r="D253" s="122">
        <f>IF(B253="","",IFERROR(B253/INDEX($B$2:$B$800,MATCH(DATE(YEAR(A253)-1,12,1),$A$2:$A$800,0))-1,""))</f>
        <v/>
      </c>
      <c r="E253" s="122">
        <f>IF(B253="","",IFERROR(B253/INDEX($B$2:$B$800,MATCH(DATE(YEAR(A253)-1,MONTH(A253),1),$A$2:$A$800,0))-1,""))</f>
        <v/>
      </c>
    </row>
    <row r="254">
      <c r="A254" s="121" t="n">
        <v>42217</v>
      </c>
      <c r="B254" s="47" t="n">
        <v>642.644</v>
      </c>
      <c r="C254" s="122">
        <f>IF(OR(B254="",B253=""),"",B254/B253-1)</f>
        <v/>
      </c>
      <c r="D254" s="122">
        <f>IF(B254="","",IFERROR(B254/INDEX($B$2:$B$800,MATCH(DATE(YEAR(A254)-1,12,1),$A$2:$A$800,0))-1,""))</f>
        <v/>
      </c>
      <c r="E254" s="122">
        <f>IF(B254="","",IFERROR(B254/INDEX($B$2:$B$800,MATCH(DATE(YEAR(A254)-1,MONTH(A254),1),$A$2:$A$800,0))-1,""))</f>
        <v/>
      </c>
    </row>
    <row r="255">
      <c r="A255" s="121" t="n">
        <v>42248</v>
      </c>
      <c r="B255" s="47" t="n">
        <v>644.046</v>
      </c>
      <c r="C255" s="122">
        <f>IF(OR(B255="",B254=""),"",B255/B254-1)</f>
        <v/>
      </c>
      <c r="D255" s="122">
        <f>IF(B255="","",IFERROR(B255/INDEX($B$2:$B$800,MATCH(DATE(YEAR(A255)-1,12,1),$A$2:$A$800,0))-1,""))</f>
        <v/>
      </c>
      <c r="E255" s="122">
        <f>IF(B255="","",IFERROR(B255/INDEX($B$2:$B$800,MATCH(DATE(YEAR(A255)-1,MONTH(A255),1),$A$2:$A$800,0))-1,""))</f>
        <v/>
      </c>
    </row>
    <row r="256">
      <c r="A256" s="121" t="n">
        <v>42278</v>
      </c>
      <c r="B256" s="47" t="n">
        <v>646.355</v>
      </c>
      <c r="C256" s="122">
        <f>IF(OR(B256="",B255=""),"",B256/B255-1)</f>
        <v/>
      </c>
      <c r="D256" s="122">
        <f>IF(B256="","",IFERROR(B256/INDEX($B$2:$B$800,MATCH(DATE(YEAR(A256)-1,12,1),$A$2:$A$800,0))-1,""))</f>
        <v/>
      </c>
      <c r="E256" s="122">
        <f>IF(B256="","",IFERROR(B256/INDEX($B$2:$B$800,MATCH(DATE(YEAR(A256)-1,MONTH(A256),1),$A$2:$A$800,0))-1,""))</f>
        <v/>
      </c>
    </row>
    <row r="257">
      <c r="A257" s="121" t="n">
        <v>42309</v>
      </c>
      <c r="B257" s="47" t="n">
        <v>648.542</v>
      </c>
      <c r="C257" s="122">
        <f>IF(OR(B257="",B256=""),"",B257/B256-1)</f>
        <v/>
      </c>
      <c r="D257" s="122">
        <f>IF(B257="","",IFERROR(B257/INDEX($B$2:$B$800,MATCH(DATE(YEAR(A257)-1,12,1),$A$2:$A$800,0))-1,""))</f>
        <v/>
      </c>
      <c r="E257" s="122">
        <f>IF(B257="","",IFERROR(B257/INDEX($B$2:$B$800,MATCH(DATE(YEAR(A257)-1,MONTH(A257),1),$A$2:$A$800,0))-1,""))</f>
        <v/>
      </c>
    </row>
    <row r="258">
      <c r="A258" s="121" t="n">
        <v>42339</v>
      </c>
      <c r="B258" s="47" t="n">
        <v>649.216</v>
      </c>
      <c r="C258" s="122">
        <f>IF(OR(B258="",B257=""),"",B258/B257-1)</f>
        <v/>
      </c>
      <c r="D258" s="122">
        <f>IF(B258="","",IFERROR(B258/INDEX($B$2:$B$800,MATCH(DATE(YEAR(A258)-1,12,1),$A$2:$A$800,0))-1,""))</f>
        <v/>
      </c>
      <c r="E258" s="122">
        <f>IF(B258="","",IFERROR(B258/INDEX($B$2:$B$800,MATCH(DATE(YEAR(A258)-1,MONTH(A258),1),$A$2:$A$800,0))-1,""))</f>
        <v/>
      </c>
    </row>
    <row r="259">
      <c r="A259" s="121" t="n">
        <v>42370</v>
      </c>
      <c r="B259" s="47" t="n">
        <v>651.759</v>
      </c>
      <c r="C259" s="122">
        <f>IF(OR(B259="",B258=""),"",B259/B258-1)</f>
        <v/>
      </c>
      <c r="D259" s="122">
        <f>IF(B259="","",IFERROR(B259/INDEX($B$2:$B$800,MATCH(DATE(YEAR(A259)-1,12,1),$A$2:$A$800,0))-1,""))</f>
        <v/>
      </c>
      <c r="E259" s="122">
        <f>IF(B259="","",IFERROR(B259/INDEX($B$2:$B$800,MATCH(DATE(YEAR(A259)-1,MONTH(A259),1),$A$2:$A$800,0))-1,""))</f>
        <v/>
      </c>
    </row>
    <row r="260">
      <c r="A260" s="121" t="n">
        <v>42401</v>
      </c>
      <c r="B260" s="47" t="n">
        <v>655.263</v>
      </c>
      <c r="C260" s="122">
        <f>IF(OR(B260="",B259=""),"",B260/B259-1)</f>
        <v/>
      </c>
      <c r="D260" s="122">
        <f>IF(B260="","",IFERROR(B260/INDEX($B$2:$B$800,MATCH(DATE(YEAR(A260)-1,12,1),$A$2:$A$800,0))-1,""))</f>
        <v/>
      </c>
      <c r="E260" s="122">
        <f>IF(B260="","",IFERROR(B260/INDEX($B$2:$B$800,MATCH(DATE(YEAR(A260)-1,MONTH(A260),1),$A$2:$A$800,0))-1,""))</f>
        <v/>
      </c>
    </row>
    <row r="261">
      <c r="A261" s="121" t="n">
        <v>42430</v>
      </c>
      <c r="B261" s="47" t="n">
        <v>659.446</v>
      </c>
      <c r="C261" s="122">
        <f>IF(OR(B261="",B260=""),"",B261/B260-1)</f>
        <v/>
      </c>
      <c r="D261" s="122">
        <f>IF(B261="","",IFERROR(B261/INDEX($B$2:$B$800,MATCH(DATE(YEAR(A261)-1,12,1),$A$2:$A$800,0))-1,""))</f>
        <v/>
      </c>
      <c r="E261" s="122">
        <f>IF(B261="","",IFERROR(B261/INDEX($B$2:$B$800,MATCH(DATE(YEAR(A261)-1,MONTH(A261),1),$A$2:$A$800,0))-1,""))</f>
        <v/>
      </c>
    </row>
    <row r="262">
      <c r="A262" s="121" t="n">
        <v>42461</v>
      </c>
      <c r="B262" s="47" t="n">
        <v>663.057</v>
      </c>
      <c r="C262" s="122">
        <f>IF(OR(B262="",B261=""),"",B262/B261-1)</f>
        <v/>
      </c>
      <c r="D262" s="122">
        <f>IF(B262="","",IFERROR(B262/INDEX($B$2:$B$800,MATCH(DATE(YEAR(A262)-1,12,1),$A$2:$A$800,0))-1,""))</f>
        <v/>
      </c>
      <c r="E262" s="122">
        <f>IF(B262="","",IFERROR(B262/INDEX($B$2:$B$800,MATCH(DATE(YEAR(A262)-1,MONTH(A262),1),$A$2:$A$800,0))-1,""))</f>
        <v/>
      </c>
    </row>
    <row r="263">
      <c r="A263" s="121" t="n">
        <v>42491</v>
      </c>
      <c r="B263" s="47" t="n">
        <v>663.61</v>
      </c>
      <c r="C263" s="122">
        <f>IF(OR(B263="",B262=""),"",B263/B262-1)</f>
        <v/>
      </c>
      <c r="D263" s="122">
        <f>IF(B263="","",IFERROR(B263/INDEX($B$2:$B$800,MATCH(DATE(YEAR(A263)-1,12,1),$A$2:$A$800,0))-1,""))</f>
        <v/>
      </c>
      <c r="E263" s="122">
        <f>IF(B263="","",IFERROR(B263/INDEX($B$2:$B$800,MATCH(DATE(YEAR(A263)-1,MONTH(A263),1),$A$2:$A$800,0))-1,""))</f>
        <v/>
      </c>
    </row>
    <row r="264">
      <c r="A264" s="121" t="n">
        <v>42522</v>
      </c>
      <c r="B264" s="47" t="n">
        <v>676.42</v>
      </c>
      <c r="C264" s="122">
        <f>IF(OR(B264="",B263=""),"",B264/B263-1)</f>
        <v/>
      </c>
      <c r="D264" s="122">
        <f>IF(B264="","",IFERROR(B264/INDEX($B$2:$B$800,MATCH(DATE(YEAR(A264)-1,12,1),$A$2:$A$800,0))-1,""))</f>
        <v/>
      </c>
      <c r="E264" s="122">
        <f>IF(B264="","",IFERROR(B264/INDEX($B$2:$B$800,MATCH(DATE(YEAR(A264)-1,MONTH(A264),1),$A$2:$A$800,0))-1,""))</f>
        <v/>
      </c>
    </row>
    <row r="265">
      <c r="A265" s="121" t="n">
        <v>42552</v>
      </c>
      <c r="B265" s="47" t="n">
        <v>679.751</v>
      </c>
      <c r="C265" s="122">
        <f>IF(OR(B265="",B264=""),"",B265/B264-1)</f>
        <v/>
      </c>
      <c r="D265" s="122">
        <f>IF(B265="","",IFERROR(B265/INDEX($B$2:$B$800,MATCH(DATE(YEAR(A265)-1,12,1),$A$2:$A$800,0))-1,""))</f>
        <v/>
      </c>
      <c r="E265" s="122">
        <f>IF(B265="","",IFERROR(B265/INDEX($B$2:$B$800,MATCH(DATE(YEAR(A265)-1,MONTH(A265),1),$A$2:$A$800,0))-1,""))</f>
        <v/>
      </c>
    </row>
    <row r="266">
      <c r="A266" s="121" t="n">
        <v>42583</v>
      </c>
      <c r="B266" s="47" t="n">
        <v>681.756</v>
      </c>
      <c r="C266" s="122">
        <f>IF(OR(B266="",B265=""),"",B266/B265-1)</f>
        <v/>
      </c>
      <c r="D266" s="122">
        <f>IF(B266="","",IFERROR(B266/INDEX($B$2:$B$800,MATCH(DATE(YEAR(A266)-1,12,1),$A$2:$A$800,0))-1,""))</f>
        <v/>
      </c>
      <c r="E266" s="122">
        <f>IF(B266="","",IFERROR(B266/INDEX($B$2:$B$800,MATCH(DATE(YEAR(A266)-1,MONTH(A266),1),$A$2:$A$800,0))-1,""))</f>
        <v/>
      </c>
    </row>
    <row r="267">
      <c r="A267" s="121" t="n">
        <v>42614</v>
      </c>
      <c r="B267" s="47" t="n">
        <v>684.025</v>
      </c>
      <c r="C267" s="122">
        <f>IF(OR(B267="",B266=""),"",B267/B266-1)</f>
        <v/>
      </c>
      <c r="D267" s="122">
        <f>IF(B267="","",IFERROR(B267/INDEX($B$2:$B$800,MATCH(DATE(YEAR(A267)-1,12,1),$A$2:$A$800,0))-1,""))</f>
        <v/>
      </c>
      <c r="E267" s="122">
        <f>IF(B267="","",IFERROR(B267/INDEX($B$2:$B$800,MATCH(DATE(YEAR(A267)-1,MONTH(A267),1),$A$2:$A$800,0))-1,""))</f>
        <v/>
      </c>
    </row>
    <row r="268">
      <c r="A268" s="121" t="n">
        <v>42644</v>
      </c>
      <c r="B268" s="47" t="n">
        <v>685.489</v>
      </c>
      <c r="C268" s="122">
        <f>IF(OR(B268="",B267=""),"",B268/B267-1)</f>
        <v/>
      </c>
      <c r="D268" s="122">
        <f>IF(B268="","",IFERROR(B268/INDEX($B$2:$B$800,MATCH(DATE(YEAR(A268)-1,12,1),$A$2:$A$800,0))-1,""))</f>
        <v/>
      </c>
      <c r="E268" s="122">
        <f>IF(B268="","",IFERROR(B268/INDEX($B$2:$B$800,MATCH(DATE(YEAR(A268)-1,MONTH(A268),1),$A$2:$A$800,0))-1,""))</f>
        <v/>
      </c>
    </row>
    <row r="269">
      <c r="A269" s="121" t="n">
        <v>42675</v>
      </c>
      <c r="B269" s="47" t="n">
        <v>686.607</v>
      </c>
      <c r="C269" s="122">
        <f>IF(OR(B269="",B268=""),"",B269/B268-1)</f>
        <v/>
      </c>
      <c r="D269" s="122">
        <f>IF(B269="","",IFERROR(B269/INDEX($B$2:$B$800,MATCH(DATE(YEAR(A269)-1,12,1),$A$2:$A$800,0))-1,""))</f>
        <v/>
      </c>
      <c r="E269" s="122">
        <f>IF(B269="","",IFERROR(B269/INDEX($B$2:$B$800,MATCH(DATE(YEAR(A269)-1,MONTH(A269),1),$A$2:$A$800,0))-1,""))</f>
        <v/>
      </c>
    </row>
    <row r="270">
      <c r="A270" s="121" t="n">
        <v>42705</v>
      </c>
      <c r="B270" s="47" t="n">
        <v>688.985</v>
      </c>
      <c r="C270" s="122">
        <f>IF(OR(B270="",B269=""),"",B270/B269-1)</f>
        <v/>
      </c>
      <c r="D270" s="122">
        <f>IF(B270="","",IFERROR(B270/INDEX($B$2:$B$800,MATCH(DATE(YEAR(A270)-1,12,1),$A$2:$A$800,0))-1,""))</f>
        <v/>
      </c>
      <c r="E270" s="122">
        <f>IF(B270="","",IFERROR(B270/INDEX($B$2:$B$800,MATCH(DATE(YEAR(A270)-1,MONTH(A270),1),$A$2:$A$800,0))-1,""))</f>
        <v/>
      </c>
    </row>
    <row r="271">
      <c r="A271" s="121" t="n">
        <v>42736</v>
      </c>
      <c r="B271" s="47" t="n">
        <v>691.792</v>
      </c>
      <c r="C271" s="122">
        <f>IF(OR(B271="",B270=""),"",B271/B270-1)</f>
        <v/>
      </c>
      <c r="D271" s="122">
        <f>IF(B271="","",IFERROR(B271/INDEX($B$2:$B$800,MATCH(DATE(YEAR(A271)-1,12,1),$A$2:$A$800,0))-1,""))</f>
        <v/>
      </c>
      <c r="E271" s="122">
        <f>IF(B271="","",IFERROR(B271/INDEX($B$2:$B$800,MATCH(DATE(YEAR(A271)-1,MONTH(A271),1),$A$2:$A$800,0))-1,""))</f>
        <v/>
      </c>
    </row>
    <row r="272">
      <c r="A272" s="121" t="n">
        <v>42767</v>
      </c>
      <c r="B272" s="47" t="n">
        <v>696.314</v>
      </c>
      <c r="C272" s="122">
        <f>IF(OR(B272="",B271=""),"",B272/B271-1)</f>
        <v/>
      </c>
      <c r="D272" s="122">
        <f>IF(B272="","",IFERROR(B272/INDEX($B$2:$B$800,MATCH(DATE(YEAR(A272)-1,12,1),$A$2:$A$800,0))-1,""))</f>
        <v/>
      </c>
      <c r="E272" s="122">
        <f>IF(B272="","",IFERROR(B272/INDEX($B$2:$B$800,MATCH(DATE(YEAR(A272)-1,MONTH(A272),1),$A$2:$A$800,0))-1,""))</f>
        <v/>
      </c>
    </row>
    <row r="273">
      <c r="A273" s="121" t="n">
        <v>42795</v>
      </c>
      <c r="B273" s="47" t="n">
        <v>697.41</v>
      </c>
      <c r="C273" s="122">
        <f>IF(OR(B273="",B272=""),"",B273/B272-1)</f>
        <v/>
      </c>
      <c r="D273" s="122">
        <f>IF(B273="","",IFERROR(B273/INDEX($B$2:$B$800,MATCH(DATE(YEAR(A273)-1,12,1),$A$2:$A$800,0))-1,""))</f>
        <v/>
      </c>
      <c r="E273" s="122">
        <f>IF(B273="","",IFERROR(B273/INDEX($B$2:$B$800,MATCH(DATE(YEAR(A273)-1,MONTH(A273),1),$A$2:$A$800,0))-1,""))</f>
        <v/>
      </c>
    </row>
    <row r="274">
      <c r="A274" s="121" t="n">
        <v>42826</v>
      </c>
      <c r="B274" s="47" t="n">
        <v>697.244</v>
      </c>
      <c r="C274" s="122">
        <f>IF(OR(B274="",B273=""),"",B274/B273-1)</f>
        <v/>
      </c>
      <c r="D274" s="122">
        <f>IF(B274="","",IFERROR(B274/INDEX($B$2:$B$800,MATCH(DATE(YEAR(A274)-1,12,1),$A$2:$A$800,0))-1,""))</f>
        <v/>
      </c>
      <c r="E274" s="122">
        <f>IF(B274="","",IFERROR(B274/INDEX($B$2:$B$800,MATCH(DATE(YEAR(A274)-1,MONTH(A274),1),$A$2:$A$800,0))-1,""))</f>
        <v/>
      </c>
    </row>
    <row r="275">
      <c r="A275" s="121" t="n">
        <v>42856</v>
      </c>
      <c r="B275" s="47" t="n">
        <v>701.664</v>
      </c>
      <c r="C275" s="122">
        <f>IF(OR(B275="",B274=""),"",B275/B274-1)</f>
        <v/>
      </c>
      <c r="D275" s="122">
        <f>IF(B275="","",IFERROR(B275/INDEX($B$2:$B$800,MATCH(DATE(YEAR(A275)-1,12,1),$A$2:$A$800,0))-1,""))</f>
        <v/>
      </c>
      <c r="E275" s="122">
        <f>IF(B275="","",IFERROR(B275/INDEX($B$2:$B$800,MATCH(DATE(YEAR(A275)-1,MONTH(A275),1),$A$2:$A$800,0))-1,""))</f>
        <v/>
      </c>
    </row>
    <row r="276">
      <c r="A276" s="121" t="n">
        <v>42887</v>
      </c>
      <c r="B276" s="47" t="n">
        <v>708.197</v>
      </c>
      <c r="C276" s="122">
        <f>IF(OR(B276="",B275=""),"",B276/B275-1)</f>
        <v/>
      </c>
      <c r="D276" s="122">
        <f>IF(B276="","",IFERROR(B276/INDEX($B$2:$B$800,MATCH(DATE(YEAR(A276)-1,12,1),$A$2:$A$800,0))-1,""))</f>
        <v/>
      </c>
      <c r="E276" s="122">
        <f>IF(B276="","",IFERROR(B276/INDEX($B$2:$B$800,MATCH(DATE(YEAR(A276)-1,MONTH(A276),1),$A$2:$A$800,0))-1,""))</f>
        <v/>
      </c>
    </row>
    <row r="277">
      <c r="A277" s="121" t="n">
        <v>42917</v>
      </c>
      <c r="B277" s="47" t="n">
        <v>710.355</v>
      </c>
      <c r="C277" s="122">
        <f>IF(OR(B277="",B276=""),"",B277/B276-1)</f>
        <v/>
      </c>
      <c r="D277" s="122">
        <f>IF(B277="","",IFERROR(B277/INDEX($B$2:$B$800,MATCH(DATE(YEAR(A277)-1,12,1),$A$2:$A$800,0))-1,""))</f>
        <v/>
      </c>
      <c r="E277" s="122">
        <f>IF(B277="","",IFERROR(B277/INDEX($B$2:$B$800,MATCH(DATE(YEAR(A277)-1,MONTH(A277),1),$A$2:$A$800,0))-1,""))</f>
        <v/>
      </c>
    </row>
    <row r="278">
      <c r="A278" s="121" t="n">
        <v>42948</v>
      </c>
      <c r="B278" s="47" t="n">
        <v>712.884</v>
      </c>
      <c r="C278" s="122">
        <f>IF(OR(B278="",B277=""),"",B278/B277-1)</f>
        <v/>
      </c>
      <c r="D278" s="122">
        <f>IF(B278="","",IFERROR(B278/INDEX($B$2:$B$800,MATCH(DATE(YEAR(A278)-1,12,1),$A$2:$A$800,0))-1,""))</f>
        <v/>
      </c>
      <c r="E278" s="122">
        <f>IF(B278="","",IFERROR(B278/INDEX($B$2:$B$800,MATCH(DATE(YEAR(A278)-1,MONTH(A278),1),$A$2:$A$800,0))-1,""))</f>
        <v/>
      </c>
    </row>
    <row r="279">
      <c r="A279" s="121" t="n">
        <v>42979</v>
      </c>
      <c r="B279" s="47" t="n">
        <v>713.33</v>
      </c>
      <c r="C279" s="122">
        <f>IF(OR(B279="",B278=""),"",B279/B278-1)</f>
        <v/>
      </c>
      <c r="D279" s="122">
        <f>IF(B279="","",IFERROR(B279/INDEX($B$2:$B$800,MATCH(DATE(YEAR(A279)-1,12,1),$A$2:$A$800,0))-1,""))</f>
        <v/>
      </c>
      <c r="E279" s="122">
        <f>IF(B279="","",IFERROR(B279/INDEX($B$2:$B$800,MATCH(DATE(YEAR(A279)-1,MONTH(A279),1),$A$2:$A$800,0))-1,""))</f>
        <v/>
      </c>
    </row>
    <row r="280">
      <c r="A280" s="121" t="n">
        <v>43009</v>
      </c>
      <c r="B280" s="47" t="n">
        <v>715.527</v>
      </c>
      <c r="C280" s="122">
        <f>IF(OR(B280="",B279=""),"",B280/B279-1)</f>
        <v/>
      </c>
      <c r="D280" s="122">
        <f>IF(B280="","",IFERROR(B280/INDEX($B$2:$B$800,MATCH(DATE(YEAR(A280)-1,12,1),$A$2:$A$800,0))-1,""))</f>
        <v/>
      </c>
      <c r="E280" s="122">
        <f>IF(B280="","",IFERROR(B280/INDEX($B$2:$B$800,MATCH(DATE(YEAR(A280)-1,MONTH(A280),1),$A$2:$A$800,0))-1,""))</f>
        <v/>
      </c>
    </row>
    <row r="281">
      <c r="A281" s="121" t="n">
        <v>43040</v>
      </c>
      <c r="B281" s="47" t="n">
        <v>717.751</v>
      </c>
      <c r="C281" s="122">
        <f>IF(OR(B281="",B280=""),"",B281/B280-1)</f>
        <v/>
      </c>
      <c r="D281" s="122">
        <f>IF(B281="","",IFERROR(B281/INDEX($B$2:$B$800,MATCH(DATE(YEAR(A281)-1,12,1),$A$2:$A$800,0))-1,""))</f>
        <v/>
      </c>
      <c r="E281" s="122">
        <f>IF(B281="","",IFERROR(B281/INDEX($B$2:$B$800,MATCH(DATE(YEAR(A281)-1,MONTH(A281),1),$A$2:$A$800,0))-1,""))</f>
        <v/>
      </c>
    </row>
    <row r="282">
      <c r="A282" s="121" t="n">
        <v>43070</v>
      </c>
      <c r="B282" s="47" t="n">
        <v>718.276</v>
      </c>
      <c r="C282" s="122">
        <f>IF(OR(B282="",B281=""),"",B282/B281-1)</f>
        <v/>
      </c>
      <c r="D282" s="122">
        <f>IF(B282="","",IFERROR(B282/INDEX($B$2:$B$800,MATCH(DATE(YEAR(A282)-1,12,1),$A$2:$A$800,0))-1,""))</f>
        <v/>
      </c>
      <c r="E282" s="122">
        <f>IF(B282="","",IFERROR(B282/INDEX($B$2:$B$800,MATCH(DATE(YEAR(A282)-1,MONTH(A282),1),$A$2:$A$800,0))-1,""))</f>
        <v/>
      </c>
    </row>
    <row r="283">
      <c r="A283" s="121" t="n">
        <v>43101</v>
      </c>
      <c r="B283" s="47" t="n">
        <v>720.495</v>
      </c>
      <c r="C283" s="122">
        <f>IF(OR(B283="",B282=""),"",B283/B282-1)</f>
        <v/>
      </c>
      <c r="D283" s="122">
        <f>IF(B283="","",IFERROR(B283/INDEX($B$2:$B$800,MATCH(DATE(YEAR(A283)-1,12,1),$A$2:$A$800,0))-1,""))</f>
        <v/>
      </c>
      <c r="E283" s="122">
        <f>IF(B283="","",IFERROR(B283/INDEX($B$2:$B$800,MATCH(DATE(YEAR(A283)-1,MONTH(A283),1),$A$2:$A$800,0))-1,""))</f>
        <v/>
      </c>
    </row>
    <row r="284">
      <c r="A284" s="121" t="n">
        <v>43132</v>
      </c>
      <c r="B284" s="47" t="n">
        <v>721.414</v>
      </c>
      <c r="C284" s="122">
        <f>IF(OR(B284="",B283=""),"",B284/B283-1)</f>
        <v/>
      </c>
      <c r="D284" s="122">
        <f>IF(B284="","",IFERROR(B284/INDEX($B$2:$B$800,MATCH(DATE(YEAR(A284)-1,12,1),$A$2:$A$800,0))-1,""))</f>
        <v/>
      </c>
      <c r="E284" s="122">
        <f>IF(B284="","",IFERROR(B284/INDEX($B$2:$B$800,MATCH(DATE(YEAR(A284)-1,MONTH(A284),1),$A$2:$A$800,0))-1,""))</f>
        <v/>
      </c>
    </row>
    <row r="285">
      <c r="A285" s="121" t="n">
        <v>43160</v>
      </c>
      <c r="B285" s="47" t="n">
        <v>723.163</v>
      </c>
      <c r="C285" s="122">
        <f>IF(OR(B285="",B284=""),"",B285/B284-1)</f>
        <v/>
      </c>
      <c r="D285" s="122">
        <f>IF(B285="","",IFERROR(B285/INDEX($B$2:$B$800,MATCH(DATE(YEAR(A285)-1,12,1),$A$2:$A$800,0))-1,""))</f>
        <v/>
      </c>
      <c r="E285" s="122">
        <f>IF(B285="","",IFERROR(B285/INDEX($B$2:$B$800,MATCH(DATE(YEAR(A285)-1,MONTH(A285),1),$A$2:$A$800,0))-1,""))</f>
        <v/>
      </c>
    </row>
    <row r="286">
      <c r="A286" s="121" t="n">
        <v>43191</v>
      </c>
      <c r="B286" s="47" t="n">
        <v>725.245</v>
      </c>
      <c r="C286" s="122">
        <f>IF(OR(B286="",B285=""),"",B286/B285-1)</f>
        <v/>
      </c>
      <c r="D286" s="122">
        <f>IF(B286="","",IFERROR(B286/INDEX($B$2:$B$800,MATCH(DATE(YEAR(A286)-1,12,1),$A$2:$A$800,0))-1,""))</f>
        <v/>
      </c>
      <c r="E286" s="122">
        <f>IF(B286="","",IFERROR(B286/INDEX($B$2:$B$800,MATCH(DATE(YEAR(A286)-1,MONTH(A286),1),$A$2:$A$800,0))-1,""))</f>
        <v/>
      </c>
    </row>
    <row r="287">
      <c r="A287" s="121" t="n">
        <v>43221</v>
      </c>
      <c r="B287" s="47" t="n">
        <v>726.923</v>
      </c>
      <c r="C287" s="122">
        <f>IF(OR(B287="",B286=""),"",B287/B286-1)</f>
        <v/>
      </c>
      <c r="D287" s="122">
        <f>IF(B287="","",IFERROR(B287/INDEX($B$2:$B$800,MATCH(DATE(YEAR(A287)-1,12,1),$A$2:$A$800,0))-1,""))</f>
        <v/>
      </c>
      <c r="E287" s="122">
        <f>IF(B287="","",IFERROR(B287/INDEX($B$2:$B$800,MATCH(DATE(YEAR(A287)-1,MONTH(A287),1),$A$2:$A$800,0))-1,""))</f>
        <v/>
      </c>
    </row>
    <row r="288">
      <c r="A288" s="121" t="n">
        <v>43252</v>
      </c>
      <c r="B288" s="47" t="n">
        <v>733.984</v>
      </c>
      <c r="C288" s="122">
        <f>IF(OR(B288="",B287=""),"",B288/B287-1)</f>
        <v/>
      </c>
      <c r="D288" s="122">
        <f>IF(B288="","",IFERROR(B288/INDEX($B$2:$B$800,MATCH(DATE(YEAR(A288)-1,12,1),$A$2:$A$800,0))-1,""))</f>
        <v/>
      </c>
      <c r="E288" s="122">
        <f>IF(B288="","",IFERROR(B288/INDEX($B$2:$B$800,MATCH(DATE(YEAR(A288)-1,MONTH(A288),1),$A$2:$A$800,0))-1,""))</f>
        <v/>
      </c>
    </row>
    <row r="289">
      <c r="A289" s="121" t="n">
        <v>43282</v>
      </c>
      <c r="B289" s="47" t="n">
        <v>738.487</v>
      </c>
      <c r="C289" s="122">
        <f>IF(OR(B289="",B288=""),"",B289/B288-1)</f>
        <v/>
      </c>
      <c r="D289" s="122">
        <f>IF(B289="","",IFERROR(B289/INDEX($B$2:$B$800,MATCH(DATE(YEAR(A289)-1,12,1),$A$2:$A$800,0))-1,""))</f>
        <v/>
      </c>
      <c r="E289" s="122">
        <f>IF(B289="","",IFERROR(B289/INDEX($B$2:$B$800,MATCH(DATE(YEAR(A289)-1,MONTH(A289),1),$A$2:$A$800,0))-1,""))</f>
        <v/>
      </c>
    </row>
    <row r="290">
      <c r="A290" s="121" t="n">
        <v>43313</v>
      </c>
      <c r="B290" s="47" t="n">
        <v>739.583</v>
      </c>
      <c r="C290" s="122">
        <f>IF(OR(B290="",B289=""),"",B290/B289-1)</f>
        <v/>
      </c>
      <c r="D290" s="122">
        <f>IF(B290="","",IFERROR(B290/INDEX($B$2:$B$800,MATCH(DATE(YEAR(A290)-1,12,1),$A$2:$A$800,0))-1,""))</f>
        <v/>
      </c>
      <c r="E290" s="122">
        <f>IF(B290="","",IFERROR(B290/INDEX($B$2:$B$800,MATCH(DATE(YEAR(A290)-1,MONTH(A290),1),$A$2:$A$800,0))-1,""))</f>
        <v/>
      </c>
    </row>
    <row r="291">
      <c r="A291" s="121" t="n">
        <v>43344</v>
      </c>
      <c r="B291" s="47" t="n">
        <v>741.3049999999999</v>
      </c>
      <c r="C291" s="122">
        <f>IF(OR(B291="",B290=""),"",B291/B290-1)</f>
        <v/>
      </c>
      <c r="D291" s="122">
        <f>IF(B291="","",IFERROR(B291/INDEX($B$2:$B$800,MATCH(DATE(YEAR(A291)-1,12,1),$A$2:$A$800,0))-1,""))</f>
        <v/>
      </c>
      <c r="E291" s="122">
        <f>IF(B291="","",IFERROR(B291/INDEX($B$2:$B$800,MATCH(DATE(YEAR(A291)-1,MONTH(A291),1),$A$2:$A$800,0))-1,""))</f>
        <v/>
      </c>
    </row>
    <row r="292">
      <c r="A292" s="121" t="n">
        <v>43374</v>
      </c>
      <c r="B292" s="47" t="n">
        <v>743.866</v>
      </c>
      <c r="C292" s="122">
        <f>IF(OR(B292="",B291=""),"",B292/B291-1)</f>
        <v/>
      </c>
      <c r="D292" s="122">
        <f>IF(B292="","",IFERROR(B292/INDEX($B$2:$B$800,MATCH(DATE(YEAR(A292)-1,12,1),$A$2:$A$800,0))-1,""))</f>
        <v/>
      </c>
      <c r="E292" s="122">
        <f>IF(B292="","",IFERROR(B292/INDEX($B$2:$B$800,MATCH(DATE(YEAR(A292)-1,MONTH(A292),1),$A$2:$A$800,0))-1,""))</f>
        <v/>
      </c>
    </row>
    <row r="293">
      <c r="A293" s="121" t="n">
        <v>43405</v>
      </c>
      <c r="B293" s="47" t="n">
        <v>744.865</v>
      </c>
      <c r="C293" s="122">
        <f>IF(OR(B293="",B292=""),"",B293/B292-1)</f>
        <v/>
      </c>
      <c r="D293" s="122">
        <f>IF(B293="","",IFERROR(B293/INDEX($B$2:$B$800,MATCH(DATE(YEAR(A293)-1,12,1),$A$2:$A$800,0))-1,""))</f>
        <v/>
      </c>
      <c r="E293" s="122">
        <f>IF(B293="","",IFERROR(B293/INDEX($B$2:$B$800,MATCH(DATE(YEAR(A293)-1,MONTH(A293),1),$A$2:$A$800,0))-1,""))</f>
        <v/>
      </c>
    </row>
    <row r="294">
      <c r="A294" s="121" t="n">
        <v>43435</v>
      </c>
      <c r="B294" s="47" t="n">
        <v>745.856</v>
      </c>
      <c r="C294" s="122">
        <f>IF(OR(B294="",B293=""),"",B294/B293-1)</f>
        <v/>
      </c>
      <c r="D294" s="122">
        <f>IF(B294="","",IFERROR(B294/INDEX($B$2:$B$800,MATCH(DATE(YEAR(A294)-1,12,1),$A$2:$A$800,0))-1,""))</f>
        <v/>
      </c>
      <c r="E294" s="122">
        <f>IF(B294="","",IFERROR(B294/INDEX($B$2:$B$800,MATCH(DATE(YEAR(A294)-1,MONTH(A294),1),$A$2:$A$800,0))-1,""))</f>
        <v/>
      </c>
    </row>
    <row r="295">
      <c r="A295" s="121" t="n">
        <v>43466</v>
      </c>
      <c r="B295" s="47" t="n">
        <v>749.5170000000001</v>
      </c>
      <c r="C295" s="122">
        <f>IF(OR(B295="",B294=""),"",B295/B294-1)</f>
        <v/>
      </c>
      <c r="D295" s="122">
        <f>IF(B295="","",IFERROR(B295/INDEX($B$2:$B$800,MATCH(DATE(YEAR(A295)-1,12,1),$A$2:$A$800,0))-1,""))</f>
        <v/>
      </c>
      <c r="E295" s="122">
        <f>IF(B295="","",IFERROR(B295/INDEX($B$2:$B$800,MATCH(DATE(YEAR(A295)-1,MONTH(A295),1),$A$2:$A$800,0))-1,""))</f>
        <v/>
      </c>
    </row>
    <row r="296">
      <c r="A296" s="121" t="n">
        <v>43497</v>
      </c>
      <c r="B296" s="47" t="n">
        <v>750.1799999999999</v>
      </c>
      <c r="C296" s="122">
        <f>IF(OR(B296="",B295=""),"",B296/B295-1)</f>
        <v/>
      </c>
      <c r="D296" s="122">
        <f>IF(B296="","",IFERROR(B296/INDEX($B$2:$B$800,MATCH(DATE(YEAR(A296)-1,12,1),$A$2:$A$800,0))-1,""))</f>
        <v/>
      </c>
      <c r="E296" s="122">
        <f>IF(B296="","",IFERROR(B296/INDEX($B$2:$B$800,MATCH(DATE(YEAR(A296)-1,MONTH(A296),1),$A$2:$A$800,0))-1,""))</f>
        <v/>
      </c>
    </row>
    <row r="297">
      <c r="A297" s="121" t="n">
        <v>43525</v>
      </c>
      <c r="B297" s="47" t="n">
        <v>752.524</v>
      </c>
      <c r="C297" s="122">
        <f>IF(OR(B297="",B296=""),"",B297/B296-1)</f>
        <v/>
      </c>
      <c r="D297" s="122">
        <f>IF(B297="","",IFERROR(B297/INDEX($B$2:$B$800,MATCH(DATE(YEAR(A297)-1,12,1),$A$2:$A$800,0))-1,""))</f>
        <v/>
      </c>
      <c r="E297" s="122">
        <f>IF(B297="","",IFERROR(B297/INDEX($B$2:$B$800,MATCH(DATE(YEAR(A297)-1,MONTH(A297),1),$A$2:$A$800,0))-1,""))</f>
        <v/>
      </c>
    </row>
    <row r="298">
      <c r="A298" s="121" t="n">
        <v>43556</v>
      </c>
      <c r="B298" s="47" t="n">
        <v>755.373</v>
      </c>
      <c r="C298" s="122">
        <f>IF(OR(B298="",B297=""),"",B298/B297-1)</f>
        <v/>
      </c>
      <c r="D298" s="122">
        <f>IF(B298="","",IFERROR(B298/INDEX($B$2:$B$800,MATCH(DATE(YEAR(A298)-1,12,1),$A$2:$A$800,0))-1,""))</f>
        <v/>
      </c>
      <c r="E298" s="122">
        <f>IF(B298="","",IFERROR(B298/INDEX($B$2:$B$800,MATCH(DATE(YEAR(A298)-1,MONTH(A298),1),$A$2:$A$800,0))-1,""))</f>
        <v/>
      </c>
    </row>
    <row r="299">
      <c r="A299" s="121" t="n">
        <v>43586</v>
      </c>
      <c r="B299" s="47" t="n">
        <v>755.625</v>
      </c>
      <c r="C299" s="122">
        <f>IF(OR(B299="",B298=""),"",B299/B298-1)</f>
        <v/>
      </c>
      <c r="D299" s="122">
        <f>IF(B299="","",IFERROR(B299/INDEX($B$2:$B$800,MATCH(DATE(YEAR(A299)-1,12,1),$A$2:$A$800,0))-1,""))</f>
        <v/>
      </c>
      <c r="E299" s="122">
        <f>IF(B299="","",IFERROR(B299/INDEX($B$2:$B$800,MATCH(DATE(YEAR(A299)-1,MONTH(A299),1),$A$2:$A$800,0))-1,""))</f>
        <v/>
      </c>
    </row>
    <row r="300">
      <c r="A300" s="121" t="n">
        <v>43617</v>
      </c>
      <c r="B300" s="47" t="n">
        <v>762.304</v>
      </c>
      <c r="C300" s="122">
        <f>IF(OR(B300="",B299=""),"",B300/B299-1)</f>
        <v/>
      </c>
      <c r="D300" s="122">
        <f>IF(B300="","",IFERROR(B300/INDEX($B$2:$B$800,MATCH(DATE(YEAR(A300)-1,12,1),$A$2:$A$800,0))-1,""))</f>
        <v/>
      </c>
      <c r="E300" s="122">
        <f>IF(B300="","",IFERROR(B300/INDEX($B$2:$B$800,MATCH(DATE(YEAR(A300)-1,MONTH(A300),1),$A$2:$A$800,0))-1,""))</f>
        <v/>
      </c>
    </row>
    <row r="301">
      <c r="A301" s="121" t="n">
        <v>43647</v>
      </c>
      <c r="B301" s="47" t="n">
        <v>766.699</v>
      </c>
      <c r="C301" s="122">
        <f>IF(OR(B301="",B300=""),"",B301/B300-1)</f>
        <v/>
      </c>
      <c r="D301" s="122">
        <f>IF(B301="","",IFERROR(B301/INDEX($B$2:$B$800,MATCH(DATE(YEAR(A301)-1,12,1),$A$2:$A$800,0))-1,""))</f>
        <v/>
      </c>
      <c r="E301" s="122">
        <f>IF(B301="","",IFERROR(B301/INDEX($B$2:$B$800,MATCH(DATE(YEAR(A301)-1,MONTH(A301),1),$A$2:$A$800,0))-1,""))</f>
        <v/>
      </c>
    </row>
    <row r="302">
      <c r="A302" s="121" t="n">
        <v>43678</v>
      </c>
      <c r="B302" s="47" t="n">
        <v>769.951</v>
      </c>
      <c r="C302" s="122">
        <f>IF(OR(B302="",B301=""),"",B302/B301-1)</f>
        <v/>
      </c>
      <c r="D302" s="122">
        <f>IF(B302="","",IFERROR(B302/INDEX($B$2:$B$800,MATCH(DATE(YEAR(A302)-1,12,1),$A$2:$A$800,0))-1,""))</f>
        <v/>
      </c>
      <c r="E302" s="122">
        <f>IF(B302="","",IFERROR(B302/INDEX($B$2:$B$800,MATCH(DATE(YEAR(A302)-1,MONTH(A302),1),$A$2:$A$800,0))-1,""))</f>
        <v/>
      </c>
    </row>
    <row r="303">
      <c r="A303" s="121" t="n">
        <v>43709</v>
      </c>
      <c r="B303" s="47" t="n">
        <v>773.52</v>
      </c>
      <c r="C303" s="122">
        <f>IF(OR(B303="",B302=""),"",B303/B302-1)</f>
        <v/>
      </c>
      <c r="D303" s="122">
        <f>IF(B303="","",IFERROR(B303/INDEX($B$2:$B$800,MATCH(DATE(YEAR(A303)-1,12,1),$A$2:$A$800,0))-1,""))</f>
        <v/>
      </c>
      <c r="E303" s="122">
        <f>IF(B303="","",IFERROR(B303/INDEX($B$2:$B$800,MATCH(DATE(YEAR(A303)-1,MONTH(A303),1),$A$2:$A$800,0))-1,""))</f>
        <v/>
      </c>
    </row>
    <row r="304">
      <c r="A304" s="121" t="n">
        <v>43739</v>
      </c>
      <c r="B304" s="47" t="n">
        <v>774.939</v>
      </c>
      <c r="C304" s="122">
        <f>IF(OR(B304="",B303=""),"",B304/B303-1)</f>
        <v/>
      </c>
      <c r="D304" s="122">
        <f>IF(B304="","",IFERROR(B304/INDEX($B$2:$B$800,MATCH(DATE(YEAR(A304)-1,12,1),$A$2:$A$800,0))-1,""))</f>
        <v/>
      </c>
      <c r="E304" s="122">
        <f>IF(B304="","",IFERROR(B304/INDEX($B$2:$B$800,MATCH(DATE(YEAR(A304)-1,MONTH(A304),1),$A$2:$A$800,0))-1,""))</f>
        <v/>
      </c>
    </row>
    <row r="305">
      <c r="A305" s="121" t="n">
        <v>43770</v>
      </c>
      <c r="B305" s="47" t="n">
        <v>775.225</v>
      </c>
      <c r="C305" s="122">
        <f>IF(OR(B305="",B304=""),"",B305/B304-1)</f>
        <v/>
      </c>
      <c r="D305" s="122">
        <f>IF(B305="","",IFERROR(B305/INDEX($B$2:$B$800,MATCH(DATE(YEAR(A305)-1,12,1),$A$2:$A$800,0))-1,""))</f>
        <v/>
      </c>
      <c r="E305" s="122">
        <f>IF(B305="","",IFERROR(B305/INDEX($B$2:$B$800,MATCH(DATE(YEAR(A305)-1,MONTH(A305),1),$A$2:$A$800,0))-1,""))</f>
        <v/>
      </c>
    </row>
    <row r="306">
      <c r="A306" s="121" t="n">
        <v>43800</v>
      </c>
      <c r="B306" s="47" t="n">
        <v>776.8390000000001</v>
      </c>
      <c r="C306" s="122">
        <f>IF(OR(B306="",B305=""),"",B306/B305-1)</f>
        <v/>
      </c>
      <c r="D306" s="122">
        <f>IF(B306="","",IFERROR(B306/INDEX($B$2:$B$800,MATCH(DATE(YEAR(A306)-1,12,1),$A$2:$A$800,0))-1,""))</f>
        <v/>
      </c>
      <c r="E306" s="122">
        <f>IF(B306="","",IFERROR(B306/INDEX($B$2:$B$800,MATCH(DATE(YEAR(A306)-1,MONTH(A306),1),$A$2:$A$800,0))-1,""))</f>
        <v/>
      </c>
    </row>
    <row r="307">
      <c r="A307" s="121" t="n">
        <v>43831</v>
      </c>
      <c r="B307" s="47" t="n">
        <v>779.766</v>
      </c>
      <c r="C307" s="122">
        <f>IF(OR(B307="",B306=""),"",B307/B306-1)</f>
        <v/>
      </c>
      <c r="D307" s="122">
        <f>IF(B307="","",IFERROR(B307/INDEX($B$2:$B$800,MATCH(DATE(YEAR(A307)-1,12,1),$A$2:$A$800,0))-1,""))</f>
        <v/>
      </c>
      <c r="E307" s="122">
        <f>IF(B307="","",IFERROR(B307/INDEX($B$2:$B$800,MATCH(DATE(YEAR(A307)-1,MONTH(A307),1),$A$2:$A$800,0))-1,""))</f>
        <v/>
      </c>
    </row>
    <row r="308">
      <c r="A308" s="121" t="n">
        <v>43862</v>
      </c>
      <c r="B308" s="47" t="n">
        <v>782.336</v>
      </c>
      <c r="C308" s="122">
        <f>IF(OR(B308="",B307=""),"",B308/B307-1)</f>
        <v/>
      </c>
      <c r="D308" s="122">
        <f>IF(B308="","",IFERROR(B308/INDEX($B$2:$B$800,MATCH(DATE(YEAR(A308)-1,12,1),$A$2:$A$800,0))-1,""))</f>
        <v/>
      </c>
      <c r="E308" s="122">
        <f>IF(B308="","",IFERROR(B308/INDEX($B$2:$B$800,MATCH(DATE(YEAR(A308)-1,MONTH(A308),1),$A$2:$A$800,0))-1,""))</f>
        <v/>
      </c>
    </row>
    <row r="309">
      <c r="A309" s="121" t="n">
        <v>43891</v>
      </c>
      <c r="B309" s="47" t="n">
        <v>784.338</v>
      </c>
      <c r="C309" s="122">
        <f>IF(OR(B309="",B308=""),"",B309/B308-1)</f>
        <v/>
      </c>
      <c r="D309" s="122">
        <f>IF(B309="","",IFERROR(B309/INDEX($B$2:$B$800,MATCH(DATE(YEAR(A309)-1,12,1),$A$2:$A$800,0))-1,""))</f>
        <v/>
      </c>
      <c r="E309" s="122">
        <f>IF(B309="","",IFERROR(B309/INDEX($B$2:$B$800,MATCH(DATE(YEAR(A309)-1,MONTH(A309),1),$A$2:$A$800,0))-1,""))</f>
        <v/>
      </c>
    </row>
    <row r="310">
      <c r="A310" s="121" t="n">
        <v>43922</v>
      </c>
      <c r="B310" s="47" t="n">
        <v>786.0700000000001</v>
      </c>
      <c r="C310" s="122">
        <f>IF(OR(B310="",B309=""),"",B310/B309-1)</f>
        <v/>
      </c>
      <c r="D310" s="122">
        <f>IF(B310="","",IFERROR(B310/INDEX($B$2:$B$800,MATCH(DATE(YEAR(A310)-1,12,1),$A$2:$A$800,0))-1,""))</f>
        <v/>
      </c>
      <c r="E310" s="122">
        <f>IF(B310="","",IFERROR(B310/INDEX($B$2:$B$800,MATCH(DATE(YEAR(A310)-1,MONTH(A310),1),$A$2:$A$800,0))-1,""))</f>
        <v/>
      </c>
    </row>
    <row r="311">
      <c r="A311" s="121" t="n">
        <v>43952</v>
      </c>
      <c r="B311" s="47" t="n">
        <v>787.6660000000001</v>
      </c>
      <c r="C311" s="122">
        <f>IF(OR(B311="",B310=""),"",B311/B310-1)</f>
        <v/>
      </c>
      <c r="D311" s="122">
        <f>IF(B311="","",IFERROR(B311/INDEX($B$2:$B$800,MATCH(DATE(YEAR(A311)-1,12,1),$A$2:$A$800,0))-1,""))</f>
        <v/>
      </c>
      <c r="E311" s="122">
        <f>IF(B311="","",IFERROR(B311/INDEX($B$2:$B$800,MATCH(DATE(YEAR(A311)-1,MONTH(A311),1),$A$2:$A$800,0))-1,""))</f>
        <v/>
      </c>
    </row>
    <row r="312">
      <c r="A312" s="121" t="n">
        <v>43983</v>
      </c>
      <c r="B312" s="47" t="n">
        <v>790.331</v>
      </c>
      <c r="C312" s="122">
        <f>IF(OR(B312="",B311=""),"",B312/B311-1)</f>
        <v/>
      </c>
      <c r="D312" s="122">
        <f>IF(B312="","",IFERROR(B312/INDEX($B$2:$B$800,MATCH(DATE(YEAR(A312)-1,12,1),$A$2:$A$800,0))-1,""))</f>
        <v/>
      </c>
      <c r="E312" s="122">
        <f>IF(B312="","",IFERROR(B312/INDEX($B$2:$B$800,MATCH(DATE(YEAR(A312)-1,MONTH(A312),1),$A$2:$A$800,0))-1,""))</f>
        <v/>
      </c>
    </row>
    <row r="313">
      <c r="A313" s="121" t="n">
        <v>44013</v>
      </c>
      <c r="B313" s="47" t="n">
        <v>799.5890000000001</v>
      </c>
      <c r="C313" s="122">
        <f>IF(OR(B313="",B312=""),"",B313/B312-1)</f>
        <v/>
      </c>
      <c r="D313" s="122">
        <f>IF(B313="","",IFERROR(B313/INDEX($B$2:$B$800,MATCH(DATE(YEAR(A313)-1,12,1),$A$2:$A$800,0))-1,""))</f>
        <v/>
      </c>
      <c r="E313" s="122">
        <f>IF(B313="","",IFERROR(B313/INDEX($B$2:$B$800,MATCH(DATE(YEAR(A313)-1,MONTH(A313),1),$A$2:$A$800,0))-1,""))</f>
        <v/>
      </c>
    </row>
    <row r="314">
      <c r="A314" s="121" t="n">
        <v>44044</v>
      </c>
      <c r="B314" s="47" t="n">
        <v>805.356</v>
      </c>
      <c r="C314" s="122">
        <f>IF(OR(B314="",B313=""),"",B314/B313-1)</f>
        <v/>
      </c>
      <c r="D314" s="122">
        <f>IF(B314="","",IFERROR(B314/INDEX($B$2:$B$800,MATCH(DATE(YEAR(A314)-1,12,1),$A$2:$A$800,0))-1,""))</f>
        <v/>
      </c>
      <c r="E314" s="122">
        <f>IF(B314="","",IFERROR(B314/INDEX($B$2:$B$800,MATCH(DATE(YEAR(A314)-1,MONTH(A314),1),$A$2:$A$800,0))-1,""))</f>
        <v/>
      </c>
    </row>
    <row r="315">
      <c r="A315" s="121" t="n">
        <v>44075</v>
      </c>
      <c r="B315" s="47" t="n">
        <v>814.701</v>
      </c>
      <c r="C315" s="122">
        <f>IF(OR(B315="",B314=""),"",B315/B314-1)</f>
        <v/>
      </c>
      <c r="D315" s="122">
        <f>IF(B315="","",IFERROR(B315/INDEX($B$2:$B$800,MATCH(DATE(YEAR(A315)-1,12,1),$A$2:$A$800,0))-1,""))</f>
        <v/>
      </c>
      <c r="E315" s="122">
        <f>IF(B315="","",IFERROR(B315/INDEX($B$2:$B$800,MATCH(DATE(YEAR(A315)-1,MONTH(A315),1),$A$2:$A$800,0))-1,""))</f>
        <v/>
      </c>
    </row>
    <row r="316">
      <c r="A316" s="121" t="n">
        <v>44105</v>
      </c>
      <c r="B316" s="47" t="n">
        <v>828.778</v>
      </c>
      <c r="C316" s="122">
        <f>IF(OR(B316="",B315=""),"",B316/B315-1)</f>
        <v/>
      </c>
      <c r="D316" s="122">
        <f>IF(B316="","",IFERROR(B316/INDEX($B$2:$B$800,MATCH(DATE(YEAR(A316)-1,12,1),$A$2:$A$800,0))-1,""))</f>
        <v/>
      </c>
      <c r="E316" s="122">
        <f>IF(B316="","",IFERROR(B316/INDEX($B$2:$B$800,MATCH(DATE(YEAR(A316)-1,MONTH(A316),1),$A$2:$A$800,0))-1,""))</f>
        <v/>
      </c>
    </row>
    <row r="317">
      <c r="A317" s="121" t="n">
        <v>44136</v>
      </c>
      <c r="B317" s="47" t="n">
        <v>839.3819999999999</v>
      </c>
      <c r="C317" s="122">
        <f>IF(OR(B317="",B316=""),"",B317/B316-1)</f>
        <v/>
      </c>
      <c r="D317" s="122">
        <f>IF(B317="","",IFERROR(B317/INDEX($B$2:$B$800,MATCH(DATE(YEAR(A317)-1,12,1),$A$2:$A$800,0))-1,""))</f>
        <v/>
      </c>
      <c r="E317" s="122">
        <f>IF(B317="","",IFERROR(B317/INDEX($B$2:$B$800,MATCH(DATE(YEAR(A317)-1,MONTH(A317),1),$A$2:$A$800,0))-1,""))</f>
        <v/>
      </c>
    </row>
    <row r="318">
      <c r="A318" s="121" t="n">
        <v>44166</v>
      </c>
      <c r="B318" s="47" t="n">
        <v>845.268</v>
      </c>
      <c r="C318" s="122">
        <f>IF(OR(B318="",B317=""),"",B318/B317-1)</f>
        <v/>
      </c>
      <c r="D318" s="122">
        <f>IF(B318="","",IFERROR(B318/INDEX($B$2:$B$800,MATCH(DATE(YEAR(A318)-1,12,1),$A$2:$A$800,0))-1,""))</f>
        <v/>
      </c>
      <c r="E318" s="122">
        <f>IF(B318="","",IFERROR(B318/INDEX($B$2:$B$800,MATCH(DATE(YEAR(A318)-1,MONTH(A318),1),$A$2:$A$800,0))-1,""))</f>
        <v/>
      </c>
    </row>
    <row r="319">
      <c r="A319" s="121" t="n">
        <v>44197</v>
      </c>
      <c r="B319" s="47" t="n">
        <v>852.809</v>
      </c>
      <c r="C319" s="122">
        <f>IF(OR(B319="",B318=""),"",B319/B318-1)</f>
        <v/>
      </c>
      <c r="D319" s="122">
        <f>IF(B319="","",IFERROR(B319/INDEX($B$2:$B$800,MATCH(DATE(YEAR(A319)-1,12,1),$A$2:$A$800,0))-1,""))</f>
        <v/>
      </c>
      <c r="E319" s="122">
        <f>IF(B319="","",IFERROR(B319/INDEX($B$2:$B$800,MATCH(DATE(YEAR(A319)-1,MONTH(A319),1),$A$2:$A$800,0))-1,""))</f>
        <v/>
      </c>
    </row>
    <row r="320">
      <c r="A320" s="121" t="n">
        <v>44228</v>
      </c>
      <c r="B320" s="47" t="n">
        <v>868.929</v>
      </c>
      <c r="C320" s="122">
        <f>IF(OR(B320="",B319=""),"",B320/B319-1)</f>
        <v/>
      </c>
      <c r="D320" s="122">
        <f>IF(B320="","",IFERROR(B320/INDEX($B$2:$B$800,MATCH(DATE(YEAR(A320)-1,12,1),$A$2:$A$800,0))-1,""))</f>
        <v/>
      </c>
      <c r="E320" s="122">
        <f>IF(B320="","",IFERROR(B320/INDEX($B$2:$B$800,MATCH(DATE(YEAR(A320)-1,MONTH(A320),1),$A$2:$A$800,0))-1,""))</f>
        <v/>
      </c>
    </row>
    <row r="321">
      <c r="A321" s="121" t="n">
        <v>44256</v>
      </c>
      <c r="B321" s="47" t="n">
        <v>880.265</v>
      </c>
      <c r="C321" s="122">
        <f>IF(OR(B321="",B320=""),"",B321/B320-1)</f>
        <v/>
      </c>
      <c r="D321" s="122">
        <f>IF(B321="","",IFERROR(B321/INDEX($B$2:$B$800,MATCH(DATE(YEAR(A321)-1,12,1),$A$2:$A$800,0))-1,""))</f>
        <v/>
      </c>
      <c r="E321" s="122">
        <f>IF(B321="","",IFERROR(B321/INDEX($B$2:$B$800,MATCH(DATE(YEAR(A321)-1,MONTH(A321),1),$A$2:$A$800,0))-1,""))</f>
        <v/>
      </c>
    </row>
    <row r="322">
      <c r="A322" s="121" t="n">
        <v>44287</v>
      </c>
      <c r="B322" s="47" t="n">
        <v>888.191</v>
      </c>
      <c r="C322" s="122">
        <f>IF(OR(B322="",B321=""),"",B322/B321-1)</f>
        <v/>
      </c>
      <c r="D322" s="122">
        <f>IF(B322="","",IFERROR(B322/INDEX($B$2:$B$800,MATCH(DATE(YEAR(A322)-1,12,1),$A$2:$A$800,0))-1,""))</f>
        <v/>
      </c>
      <c r="E322" s="122">
        <f>IF(B322="","",IFERROR(B322/INDEX($B$2:$B$800,MATCH(DATE(YEAR(A322)-1,MONTH(A322),1),$A$2:$A$800,0))-1,""))</f>
        <v/>
      </c>
    </row>
    <row r="323">
      <c r="A323" s="121" t="n">
        <v>44317</v>
      </c>
      <c r="B323" s="47" t="n">
        <v>907.899</v>
      </c>
      <c r="C323" s="122">
        <f>IF(OR(B323="",B322=""),"",B323/B322-1)</f>
        <v/>
      </c>
      <c r="D323" s="122">
        <f>IF(B323="","",IFERROR(B323/INDEX($B$2:$B$800,MATCH(DATE(YEAR(A323)-1,12,1),$A$2:$A$800,0))-1,""))</f>
        <v/>
      </c>
      <c r="E323" s="122">
        <f>IF(B323="","",IFERROR(B323/INDEX($B$2:$B$800,MATCH(DATE(YEAR(A323)-1,MONTH(A323),1),$A$2:$A$800,0))-1,""))</f>
        <v/>
      </c>
    </row>
    <row r="324">
      <c r="A324" s="121" t="n">
        <v>44348</v>
      </c>
      <c r="B324" s="47" t="n">
        <v>927.5119999999999</v>
      </c>
      <c r="C324" s="122">
        <f>IF(OR(B324="",B323=""),"",B324/B323-1)</f>
        <v/>
      </c>
      <c r="D324" s="122">
        <f>IF(B324="","",IFERROR(B324/INDEX($B$2:$B$800,MATCH(DATE(YEAR(A324)-1,12,1),$A$2:$A$800,0))-1,""))</f>
        <v/>
      </c>
      <c r="E324" s="122">
        <f>IF(B324="","",IFERROR(B324/INDEX($B$2:$B$800,MATCH(DATE(YEAR(A324)-1,MONTH(A324),1),$A$2:$A$800,0))-1,""))</f>
        <v/>
      </c>
    </row>
    <row r="325">
      <c r="A325" s="121" t="n">
        <v>44378</v>
      </c>
      <c r="B325" s="47" t="n">
        <v>935.359</v>
      </c>
      <c r="C325" s="122">
        <f>IF(OR(B325="",B324=""),"",B325/B324-1)</f>
        <v/>
      </c>
      <c r="D325" s="122">
        <f>IF(B325="","",IFERROR(B325/INDEX($B$2:$B$800,MATCH(DATE(YEAR(A325)-1,12,1),$A$2:$A$800,0))-1,""))</f>
        <v/>
      </c>
      <c r="E325" s="122">
        <f>IF(B325="","",IFERROR(B325/INDEX($B$2:$B$800,MATCH(DATE(YEAR(A325)-1,MONTH(A325),1),$A$2:$A$800,0))-1,""))</f>
        <v/>
      </c>
    </row>
    <row r="326">
      <c r="A326" s="121" t="n">
        <v>44409</v>
      </c>
      <c r="B326" s="47" t="n">
        <v>939.699</v>
      </c>
      <c r="C326" s="122">
        <f>IF(OR(B326="",B325=""),"",B326/B325-1)</f>
        <v/>
      </c>
      <c r="D326" s="122">
        <f>IF(B326="","",IFERROR(B326/INDEX($B$2:$B$800,MATCH(DATE(YEAR(A326)-1,12,1),$A$2:$A$800,0))-1,""))</f>
        <v/>
      </c>
      <c r="E326" s="122">
        <f>IF(B326="","",IFERROR(B326/INDEX($B$2:$B$800,MATCH(DATE(YEAR(A326)-1,MONTH(A326),1),$A$2:$A$800,0))-1,""))</f>
        <v/>
      </c>
    </row>
    <row r="327">
      <c r="A327" s="121" t="n">
        <v>44440</v>
      </c>
      <c r="B327" s="47" t="n">
        <v>944.52</v>
      </c>
      <c r="C327" s="122">
        <f>IF(OR(B327="",B326=""),"",B327/B326-1)</f>
        <v/>
      </c>
      <c r="D327" s="122">
        <f>IF(B327="","",IFERROR(B327/INDEX($B$2:$B$800,MATCH(DATE(YEAR(A327)-1,12,1),$A$2:$A$800,0))-1,""))</f>
        <v/>
      </c>
      <c r="E327" s="122">
        <f>IF(B327="","",IFERROR(B327/INDEX($B$2:$B$800,MATCH(DATE(YEAR(A327)-1,MONTH(A327),1),$A$2:$A$800,0))-1,""))</f>
        <v/>
      </c>
    </row>
    <row r="328">
      <c r="A328" s="121" t="n">
        <v>44470</v>
      </c>
      <c r="B328" s="47" t="n">
        <v>952.596</v>
      </c>
      <c r="C328" s="122">
        <f>IF(OR(B328="",B327=""),"",B328/B327-1)</f>
        <v/>
      </c>
      <c r="D328" s="122">
        <f>IF(B328="","",IFERROR(B328/INDEX($B$2:$B$800,MATCH(DATE(YEAR(A328)-1,12,1),$A$2:$A$800,0))-1,""))</f>
        <v/>
      </c>
      <c r="E328" s="122">
        <f>IF(B328="","",IFERROR(B328/INDEX($B$2:$B$800,MATCH(DATE(YEAR(A328)-1,MONTH(A328),1),$A$2:$A$800,0))-1,""))</f>
        <v/>
      </c>
    </row>
    <row r="329">
      <c r="A329" s="121" t="n">
        <v>44501</v>
      </c>
      <c r="B329" s="47" t="n">
        <v>959.001</v>
      </c>
      <c r="C329" s="122">
        <f>IF(OR(B329="",B328=""),"",B329/B328-1)</f>
        <v/>
      </c>
      <c r="D329" s="122">
        <f>IF(B329="","",IFERROR(B329/INDEX($B$2:$B$800,MATCH(DATE(YEAR(A329)-1,12,1),$A$2:$A$800,0))-1,""))</f>
        <v/>
      </c>
      <c r="E329" s="122">
        <f>IF(B329="","",IFERROR(B329/INDEX($B$2:$B$800,MATCH(DATE(YEAR(A329)-1,MONTH(A329),1),$A$2:$A$800,0))-1,""))</f>
        <v/>
      </c>
    </row>
    <row r="330">
      <c r="A330" s="121" t="n">
        <v>44531</v>
      </c>
      <c r="B330" s="47" t="n">
        <v>962.321</v>
      </c>
      <c r="C330" s="122">
        <f>IF(OR(B330="",B329=""),"",B330/B329-1)</f>
        <v/>
      </c>
      <c r="D330" s="122">
        <f>IF(B330="","",IFERROR(B330/INDEX($B$2:$B$800,MATCH(DATE(YEAR(A330)-1,12,1),$A$2:$A$800,0))-1,""))</f>
        <v/>
      </c>
      <c r="E330" s="122">
        <f>IF(B330="","",IFERROR(B330/INDEX($B$2:$B$800,MATCH(DATE(YEAR(A330)-1,MONTH(A330),1),$A$2:$A$800,0))-1,""))</f>
        <v/>
      </c>
    </row>
    <row r="331">
      <c r="A331" s="121" t="n">
        <v>44562</v>
      </c>
      <c r="B331" s="47" t="n">
        <v>969.184</v>
      </c>
      <c r="C331" s="122">
        <f>IF(OR(B331="",B330=""),"",B331/B330-1)</f>
        <v/>
      </c>
      <c r="D331" s="122">
        <f>IF(B331="","",IFERROR(B331/INDEX($B$2:$B$800,MATCH(DATE(YEAR(A331)-1,12,1),$A$2:$A$800,0))-1,""))</f>
        <v/>
      </c>
      <c r="E331" s="122">
        <f>IF(B331="","",IFERROR(B331/INDEX($B$2:$B$800,MATCH(DATE(YEAR(A331)-1,MONTH(A331),1),$A$2:$A$800,0))-1,""))</f>
        <v/>
      </c>
    </row>
    <row r="332">
      <c r="A332" s="121" t="n">
        <v>44593</v>
      </c>
      <c r="B332" s="47" t="n">
        <v>972.904</v>
      </c>
      <c r="C332" s="122">
        <f>IF(OR(B332="",B331=""),"",B332/B331-1)</f>
        <v/>
      </c>
      <c r="D332" s="122">
        <f>IF(B332="","",IFERROR(B332/INDEX($B$2:$B$800,MATCH(DATE(YEAR(A332)-1,12,1),$A$2:$A$800,0))-1,""))</f>
        <v/>
      </c>
      <c r="E332" s="122">
        <f>IF(B332="","",IFERROR(B332/INDEX($B$2:$B$800,MATCH(DATE(YEAR(A332)-1,MONTH(A332),1),$A$2:$A$800,0))-1,""))</f>
        <v/>
      </c>
    </row>
    <row r="333">
      <c r="A333" s="121" t="n">
        <v>44621</v>
      </c>
      <c r="B333" s="47" t="n">
        <v>981.244</v>
      </c>
      <c r="C333" s="122">
        <f>IF(OR(B333="",B332=""),"",B333/B332-1)</f>
        <v/>
      </c>
      <c r="D333" s="122">
        <f>IF(B333="","",IFERROR(B333/INDEX($B$2:$B$800,MATCH(DATE(YEAR(A333)-1,12,1),$A$2:$A$800,0))-1,""))</f>
        <v/>
      </c>
      <c r="E333" s="122">
        <f>IF(B333="","",IFERROR(B333/INDEX($B$2:$B$800,MATCH(DATE(YEAR(A333)-1,MONTH(A333),1),$A$2:$A$800,0))-1,""))</f>
        <v/>
      </c>
    </row>
    <row r="334">
      <c r="A334" s="121" t="n">
        <v>44652</v>
      </c>
      <c r="B334" s="47" t="n">
        <v>990.543</v>
      </c>
      <c r="C334" s="122">
        <f>IF(OR(B334="",B333=""),"",B334/B333-1)</f>
        <v/>
      </c>
      <c r="D334" s="122">
        <f>IF(B334="","",IFERROR(B334/INDEX($B$2:$B$800,MATCH(DATE(YEAR(A334)-1,12,1),$A$2:$A$800,0))-1,""))</f>
        <v/>
      </c>
      <c r="E334" s="122">
        <f>IF(B334="","",IFERROR(B334/INDEX($B$2:$B$800,MATCH(DATE(YEAR(A334)-1,MONTH(A334),1),$A$2:$A$800,0))-1,""))</f>
        <v/>
      </c>
    </row>
    <row r="335">
      <c r="A335" s="121" t="n">
        <v>44682</v>
      </c>
      <c r="B335" s="47" t="n">
        <v>1013.164</v>
      </c>
      <c r="C335" s="122">
        <f>IF(OR(B335="",B334=""),"",B335/B334-1)</f>
        <v/>
      </c>
      <c r="D335" s="122">
        <f>IF(B335="","",IFERROR(B335/INDEX($B$2:$B$800,MATCH(DATE(YEAR(A335)-1,12,1),$A$2:$A$800,0))-1,""))</f>
        <v/>
      </c>
      <c r="E335" s="122">
        <f>IF(B335="","",IFERROR(B335/INDEX($B$2:$B$800,MATCH(DATE(YEAR(A335)-1,MONTH(A335),1),$A$2:$A$800,0))-1,""))</f>
        <v/>
      </c>
    </row>
    <row r="336">
      <c r="A336" s="121" t="n">
        <v>44713</v>
      </c>
      <c r="B336" s="47" t="n">
        <v>1034.824</v>
      </c>
      <c r="C336" s="122">
        <f>IF(OR(B336="",B335=""),"",B336/B335-1)</f>
        <v/>
      </c>
      <c r="D336" s="122">
        <f>IF(B336="","",IFERROR(B336/INDEX($B$2:$B$800,MATCH(DATE(YEAR(A336)-1,12,1),$A$2:$A$800,0))-1,""))</f>
        <v/>
      </c>
      <c r="E336" s="122">
        <f>IF(B336="","",IFERROR(B336/INDEX($B$2:$B$800,MATCH(DATE(YEAR(A336)-1,MONTH(A336),1),$A$2:$A$800,0))-1,""))</f>
        <v/>
      </c>
    </row>
    <row r="337">
      <c r="A337" s="121" t="n">
        <v>44743</v>
      </c>
      <c r="B337" s="47" t="n">
        <v>1043.76</v>
      </c>
      <c r="C337" s="122">
        <f>IF(OR(B337="",B336=""),"",B337/B336-1)</f>
        <v/>
      </c>
      <c r="D337" s="122">
        <f>IF(B337="","",IFERROR(B337/INDEX($B$2:$B$800,MATCH(DATE(YEAR(A337)-1,12,1),$A$2:$A$800,0))-1,""))</f>
        <v/>
      </c>
      <c r="E337" s="122">
        <f>IF(B337="","",IFERROR(B337/INDEX($B$2:$B$800,MATCH(DATE(YEAR(A337)-1,MONTH(A337),1),$A$2:$A$800,0))-1,""))</f>
        <v/>
      </c>
    </row>
    <row r="338">
      <c r="A338" s="121" t="n">
        <v>44774</v>
      </c>
      <c r="B338" s="47" t="n">
        <v>1044.679</v>
      </c>
      <c r="C338" s="122">
        <f>IF(OR(B338="",B337=""),"",B338/B337-1)</f>
        <v/>
      </c>
      <c r="D338" s="122">
        <f>IF(B338="","",IFERROR(B338/INDEX($B$2:$B$800,MATCH(DATE(YEAR(A338)-1,12,1),$A$2:$A$800,0))-1,""))</f>
        <v/>
      </c>
      <c r="E338" s="122">
        <f>IF(B338="","",IFERROR(B338/INDEX($B$2:$B$800,MATCH(DATE(YEAR(A338)-1,MONTH(A338),1),$A$2:$A$800,0))-1,""))</f>
        <v/>
      </c>
    </row>
    <row r="339">
      <c r="A339" s="121" t="n">
        <v>44805</v>
      </c>
      <c r="B339" s="47" t="n">
        <v>1045.616</v>
      </c>
      <c r="C339" s="122">
        <f>IF(OR(B339="",B338=""),"",B339/B338-1)</f>
        <v/>
      </c>
      <c r="D339" s="122">
        <f>IF(B339="","",IFERROR(B339/INDEX($B$2:$B$800,MATCH(DATE(YEAR(A339)-1,12,1),$A$2:$A$800,0))-1,""))</f>
        <v/>
      </c>
      <c r="E339" s="122">
        <f>IF(B339="","",IFERROR(B339/INDEX($B$2:$B$800,MATCH(DATE(YEAR(A339)-1,MONTH(A339),1),$A$2:$A$800,0))-1,""))</f>
        <v/>
      </c>
    </row>
    <row r="340">
      <c r="A340" s="121" t="n">
        <v>44835</v>
      </c>
      <c r="B340" s="47" t="n">
        <v>1046.896</v>
      </c>
      <c r="C340" s="122">
        <f>IF(OR(B340="",B339=""),"",B340/B339-1)</f>
        <v/>
      </c>
      <c r="D340" s="122">
        <f>IF(B340="","",IFERROR(B340/INDEX($B$2:$B$800,MATCH(DATE(YEAR(A340)-1,12,1),$A$2:$A$800,0))-1,""))</f>
        <v/>
      </c>
      <c r="E340" s="122">
        <f>IF(B340="","",IFERROR(B340/INDEX($B$2:$B$800,MATCH(DATE(YEAR(A340)-1,MONTH(A340),1),$A$2:$A$800,0))-1,""))</f>
        <v/>
      </c>
    </row>
    <row r="341">
      <c r="A341" s="121" t="n">
        <v>44866</v>
      </c>
      <c r="B341" s="47" t="n">
        <v>1050.701</v>
      </c>
      <c r="C341" s="122">
        <f>IF(OR(B341="",B340=""),"",B341/B340-1)</f>
        <v/>
      </c>
      <c r="D341" s="122">
        <f>IF(B341="","",IFERROR(B341/INDEX($B$2:$B$800,MATCH(DATE(YEAR(A341)-1,12,1),$A$2:$A$800,0))-1,""))</f>
        <v/>
      </c>
      <c r="E341" s="122">
        <f>IF(B341="","",IFERROR(B341/INDEX($B$2:$B$800,MATCH(DATE(YEAR(A341)-1,MONTH(A341),1),$A$2:$A$800,0))-1,""))</f>
        <v/>
      </c>
    </row>
    <row r="342">
      <c r="A342" s="121" t="n">
        <v>44896</v>
      </c>
      <c r="B342" s="47" t="n">
        <v>1051.632</v>
      </c>
      <c r="C342" s="122">
        <f>IF(OR(B342="",B341=""),"",B342/B341-1)</f>
        <v/>
      </c>
      <c r="D342" s="122">
        <f>IF(B342="","",IFERROR(B342/INDEX($B$2:$B$800,MATCH(DATE(YEAR(A342)-1,12,1),$A$2:$A$800,0))-1,""))</f>
        <v/>
      </c>
      <c r="E342" s="122">
        <f>IF(B342="","",IFERROR(B342/INDEX($B$2:$B$800,MATCH(DATE(YEAR(A342)-1,MONTH(A342),1),$A$2:$A$800,0))-1,""))</f>
        <v/>
      </c>
    </row>
    <row r="343">
      <c r="A343" s="121" t="n">
        <v>44927</v>
      </c>
      <c r="B343" s="47" t="n">
        <v>1056.418</v>
      </c>
      <c r="C343" s="122">
        <f>IF(OR(B343="",B342=""),"",B343/B342-1)</f>
        <v/>
      </c>
      <c r="D343" s="122">
        <f>IF(B343="","",IFERROR(B343/INDEX($B$2:$B$800,MATCH(DATE(YEAR(A343)-1,12,1),$A$2:$A$800,0))-1,""))</f>
        <v/>
      </c>
      <c r="E343" s="122">
        <f>IF(B343="","",IFERROR(B343/INDEX($B$2:$B$800,MATCH(DATE(YEAR(A343)-1,MONTH(A343),1),$A$2:$A$800,0))-1,""))</f>
        <v/>
      </c>
    </row>
    <row r="344">
      <c r="A344" s="121" t="n">
        <v>44958</v>
      </c>
      <c r="B344" s="47" t="n">
        <v>1056.896</v>
      </c>
      <c r="C344" s="122">
        <f>IF(OR(B344="",B343=""),"",B344/B343-1)</f>
        <v/>
      </c>
      <c r="D344" s="122">
        <f>IF(B344="","",IFERROR(B344/INDEX($B$2:$B$800,MATCH(DATE(YEAR(A344)-1,12,1),$A$2:$A$800,0))-1,""))</f>
        <v/>
      </c>
      <c r="E344" s="122">
        <f>IF(B344="","",IFERROR(B344/INDEX($B$2:$B$800,MATCH(DATE(YEAR(A344)-1,MONTH(A344),1),$A$2:$A$800,0))-1,""))</f>
        <v/>
      </c>
    </row>
    <row r="345">
      <c r="A345" s="121" t="n">
        <v>44986</v>
      </c>
      <c r="B345" s="47" t="n">
        <v>1060.116</v>
      </c>
      <c r="C345" s="122">
        <f>IF(OR(B345="",B344=""),"",B345/B344-1)</f>
        <v/>
      </c>
      <c r="D345" s="122">
        <f>IF(B345="","",IFERROR(B345/INDEX($B$2:$B$800,MATCH(DATE(YEAR(A345)-1,12,1),$A$2:$A$800,0))-1,""))</f>
        <v/>
      </c>
      <c r="E345" s="122">
        <f>IF(B345="","",IFERROR(B345/INDEX($B$2:$B$800,MATCH(DATE(YEAR(A345)-1,MONTH(A345),1),$A$2:$A$800,0))-1,""))</f>
        <v/>
      </c>
    </row>
    <row r="346">
      <c r="A346" s="121" t="n">
        <v>45017</v>
      </c>
      <c r="B346" s="47" t="n">
        <v>1061.635</v>
      </c>
      <c r="C346" s="122">
        <f>IF(OR(B346="",B345=""),"",B346/B345-1)</f>
        <v/>
      </c>
      <c r="D346" s="122">
        <f>IF(B346="","",IFERROR(B346/INDEX($B$2:$B$800,MATCH(DATE(YEAR(A346)-1,12,1),$A$2:$A$800,0))-1,""))</f>
        <v/>
      </c>
      <c r="E346" s="122">
        <f>IF(B346="","",IFERROR(B346/INDEX($B$2:$B$800,MATCH(DATE(YEAR(A346)-1,MONTH(A346),1),$A$2:$A$800,0))-1,""))</f>
        <v/>
      </c>
    </row>
    <row r="347">
      <c r="A347" s="121" t="n">
        <v>45047</v>
      </c>
      <c r="B347" s="47" t="n">
        <v>1067.919</v>
      </c>
      <c r="C347" s="122">
        <f>IF(OR(B347="",B346=""),"",B347/B346-1)</f>
        <v/>
      </c>
      <c r="D347" s="122">
        <f>IF(B347="","",IFERROR(B347/INDEX($B$2:$B$800,MATCH(DATE(YEAR(A347)-1,12,1),$A$2:$A$800,0))-1,""))</f>
        <v/>
      </c>
      <c r="E347" s="122">
        <f>IF(B347="","",IFERROR(B347/INDEX($B$2:$B$800,MATCH(DATE(YEAR(A347)-1,MONTH(A347),1),$A$2:$A$800,0))-1,""))</f>
        <v/>
      </c>
    </row>
    <row r="348">
      <c r="A348" s="121" t="n">
        <v>45078</v>
      </c>
      <c r="B348" s="47" t="n">
        <v>1075.54</v>
      </c>
      <c r="C348" s="122">
        <f>IF(OR(B348="",B347=""),"",B348/B347-1)</f>
        <v/>
      </c>
      <c r="D348" s="122">
        <f>IF(B348="","",IFERROR(B348/INDEX($B$2:$B$800,MATCH(DATE(YEAR(A348)-1,12,1),$A$2:$A$800,0))-1,""))</f>
        <v/>
      </c>
      <c r="E348" s="122">
        <f>IF(B348="","",IFERROR(B348/INDEX($B$2:$B$800,MATCH(DATE(YEAR(A348)-1,MONTH(A348),1),$A$2:$A$800,0))-1,""))</f>
        <v/>
      </c>
    </row>
    <row r="349">
      <c r="A349" s="121" t="n">
        <v>45108</v>
      </c>
      <c r="B349" s="47" t="n">
        <v>1076.626</v>
      </c>
      <c r="C349" s="122">
        <f>IF(OR(B349="",B348=""),"",B349/B348-1)</f>
        <v/>
      </c>
      <c r="D349" s="122">
        <f>IF(B349="","",IFERROR(B349/INDEX($B$2:$B$800,MATCH(DATE(YEAR(A349)-1,12,1),$A$2:$A$800,0))-1,""))</f>
        <v/>
      </c>
      <c r="E349" s="122">
        <f>IF(B349="","",IFERROR(B349/INDEX($B$2:$B$800,MATCH(DATE(YEAR(A349)-1,MONTH(A349),1),$A$2:$A$800,0))-1,""))</f>
        <v/>
      </c>
    </row>
    <row r="350">
      <c r="A350" s="121" t="n">
        <v>45139</v>
      </c>
      <c r="B350" s="47" t="n">
        <v>1078.412</v>
      </c>
      <c r="C350" s="122">
        <f>IF(OR(B350="",B349=""),"",B350/B349-1)</f>
        <v/>
      </c>
      <c r="D350" s="122">
        <f>IF(B350="","",IFERROR(B350/INDEX($B$2:$B$800,MATCH(DATE(YEAR(A350)-1,12,1),$A$2:$A$800,0))-1,""))</f>
        <v/>
      </c>
      <c r="E350" s="122">
        <f>IF(B350="","",IFERROR(B350/INDEX($B$2:$B$800,MATCH(DATE(YEAR(A350)-1,MONTH(A350),1),$A$2:$A$800,0))-1,""))</f>
        <v/>
      </c>
    </row>
    <row r="351">
      <c r="A351" s="121" t="n">
        <v>45170</v>
      </c>
      <c r="B351" s="47" t="n">
        <v>1082.104</v>
      </c>
      <c r="C351" s="122">
        <f>IF(OR(B351="",B350=""),"",B351/B350-1)</f>
        <v/>
      </c>
      <c r="D351" s="122">
        <f>IF(B351="","",IFERROR(B351/INDEX($B$2:$B$800,MATCH(DATE(YEAR(A351)-1,12,1),$A$2:$A$800,0))-1,""))</f>
        <v/>
      </c>
      <c r="E351" s="122">
        <f>IF(B351="","",IFERROR(B351/INDEX($B$2:$B$800,MATCH(DATE(YEAR(A351)-1,MONTH(A351),1),$A$2:$A$800,0))-1,""))</f>
        <v/>
      </c>
    </row>
    <row r="352">
      <c r="A352" s="121" t="n">
        <v>45200</v>
      </c>
      <c r="B352" s="47" t="n">
        <v>1084.242</v>
      </c>
      <c r="C352" s="122">
        <f>IF(OR(B352="",B351=""),"",B352/B351-1)</f>
        <v/>
      </c>
      <c r="D352" s="122">
        <f>IF(B352="","",IFERROR(B352/INDEX($B$2:$B$800,MATCH(DATE(YEAR(A352)-1,12,1),$A$2:$A$800,0))-1,""))</f>
        <v/>
      </c>
      <c r="E352" s="122">
        <f>IF(B352="","",IFERROR(B352/INDEX($B$2:$B$800,MATCH(DATE(YEAR(A352)-1,MONTH(A352),1),$A$2:$A$800,0))-1,""))</f>
        <v/>
      </c>
    </row>
    <row r="353">
      <c r="A353" s="121" t="n">
        <v>45231</v>
      </c>
      <c r="B353" s="47" t="n">
        <v>1084.986</v>
      </c>
      <c r="C353" s="122">
        <f>IF(OR(B353="",B352=""),"",B353/B352-1)</f>
        <v/>
      </c>
      <c r="D353" s="122">
        <f>IF(B353="","",IFERROR(B353/INDEX($B$2:$B$800,MATCH(DATE(YEAR(A353)-1,12,1),$A$2:$A$800,0))-1,""))</f>
        <v/>
      </c>
      <c r="E353" s="122">
        <f>IF(B353="","",IFERROR(B353/INDEX($B$2:$B$800,MATCH(DATE(YEAR(A353)-1,MONTH(A353),1),$A$2:$A$800,0))-1,""))</f>
        <v/>
      </c>
    </row>
    <row r="354">
      <c r="A354" s="121" t="n">
        <v>45261</v>
      </c>
      <c r="B354" s="47" t="n">
        <v>1088.312</v>
      </c>
      <c r="C354" s="122">
        <f>IF(OR(B354="",B353=""),"",B354/B353-1)</f>
        <v/>
      </c>
      <c r="D354" s="122">
        <f>IF(B354="","",IFERROR(B354/INDEX($B$2:$B$800,MATCH(DATE(YEAR(A354)-1,12,1),$A$2:$A$800,0))-1,""))</f>
        <v/>
      </c>
      <c r="E354" s="122">
        <f>IF(B354="","",IFERROR(B354/INDEX($B$2:$B$800,MATCH(DATE(YEAR(A354)-1,MONTH(A354),1),$A$2:$A$800,0))-1,""))</f>
        <v/>
      </c>
    </row>
    <row r="355">
      <c r="A355" s="121" t="n">
        <v>45292</v>
      </c>
      <c r="B355" s="47" t="n">
        <v>1091.25</v>
      </c>
      <c r="C355" s="122">
        <f>IF(OR(B355="",B354=""),"",B355/B354-1)</f>
        <v/>
      </c>
      <c r="D355" s="122">
        <f>IF(B355="","",IFERROR(B355/INDEX($B$2:$B$800,MATCH(DATE(YEAR(A355)-1,12,1),$A$2:$A$800,0))-1,""))</f>
        <v/>
      </c>
      <c r="E355" s="122">
        <f>IF(B355="","",IFERROR(B355/INDEX($B$2:$B$800,MATCH(DATE(YEAR(A355)-1,MONTH(A355),1),$A$2:$A$800,0))-1,""))</f>
        <v/>
      </c>
    </row>
    <row r="356">
      <c r="A356" s="121" t="n">
        <v>45323</v>
      </c>
      <c r="B356" s="47" t="n">
        <v>1092.685</v>
      </c>
      <c r="C356" s="122">
        <f>IF(OR(B356="",B355=""),"",B356/B355-1)</f>
        <v/>
      </c>
      <c r="D356" s="122">
        <f>IF(B356="","",IFERROR(B356/INDEX($B$2:$B$800,MATCH(DATE(YEAR(A356)-1,12,1),$A$2:$A$800,0))-1,""))</f>
        <v/>
      </c>
      <c r="E356" s="122">
        <f>IF(B356="","",IFERROR(B356/INDEX($B$2:$B$800,MATCH(DATE(YEAR(A356)-1,MONTH(A356),1),$A$2:$A$800,0))-1,""))</f>
        <v/>
      </c>
    </row>
    <row r="357">
      <c r="A357" s="121" t="n">
        <v>45352</v>
      </c>
      <c r="B357" s="47" t="n">
        <v>1095.738</v>
      </c>
      <c r="C357" s="122">
        <f>IF(OR(B357="",B356=""),"",B357/B356-1)</f>
        <v/>
      </c>
      <c r="D357" s="122">
        <f>IF(B357="","",IFERROR(B357/INDEX($B$2:$B$800,MATCH(DATE(YEAR(A357)-1,12,1),$A$2:$A$800,0))-1,""))</f>
        <v/>
      </c>
      <c r="E357" s="122">
        <f>IF(B357="","",IFERROR(B357/INDEX($B$2:$B$800,MATCH(DATE(YEAR(A357)-1,MONTH(A357),1),$A$2:$A$800,0))-1,""))</f>
        <v/>
      </c>
    </row>
    <row r="358">
      <c r="A358" s="121" t="n">
        <v>45383</v>
      </c>
      <c r="B358" s="47" t="n">
        <v>1101.389</v>
      </c>
      <c r="C358" s="122">
        <f>IF(OR(B358="",B357=""),"",B358/B357-1)</f>
        <v/>
      </c>
      <c r="D358" s="122">
        <f>IF(B358="","",IFERROR(B358/INDEX($B$2:$B$800,MATCH(DATE(YEAR(A358)-1,12,1),$A$2:$A$800,0))-1,""))</f>
        <v/>
      </c>
      <c r="E358" s="122">
        <f>IF(B358="","",IFERROR(B358/INDEX($B$2:$B$800,MATCH(DATE(YEAR(A358)-1,MONTH(A358),1),$A$2:$A$800,0))-1,""))</f>
        <v/>
      </c>
    </row>
    <row r="359">
      <c r="A359" s="121" t="n">
        <v>45413</v>
      </c>
      <c r="B359" s="47" t="n">
        <v>1110.887</v>
      </c>
      <c r="C359" s="122">
        <f>IF(OR(B359="",B358=""),"",B359/B358-1)</f>
        <v/>
      </c>
      <c r="D359" s="122">
        <f>IF(B359="","",IFERROR(B359/INDEX($B$2:$B$800,MATCH(DATE(YEAR(A359)-1,12,1),$A$2:$A$800,0))-1,""))</f>
        <v/>
      </c>
      <c r="E359" s="122">
        <f>IF(B359="","",IFERROR(B359/INDEX($B$2:$B$800,MATCH(DATE(YEAR(A359)-1,MONTH(A359),1),$A$2:$A$800,0))-1,""))</f>
        <v/>
      </c>
    </row>
    <row r="360">
      <c r="A360" s="121" t="n">
        <v>45444</v>
      </c>
      <c r="B360" s="47" t="n">
        <v>1118.827</v>
      </c>
      <c r="C360" s="122">
        <f>IF(OR(B360="",B359=""),"",B360/B359-1)</f>
        <v/>
      </c>
      <c r="D360" s="122">
        <f>IF(B360="","",IFERROR(B360/INDEX($B$2:$B$800,MATCH(DATE(YEAR(A360)-1,12,1),$A$2:$A$800,0))-1,""))</f>
        <v/>
      </c>
      <c r="E360" s="122">
        <f>IF(B360="","",IFERROR(B360/INDEX($B$2:$B$800,MATCH(DATE(YEAR(A360)-1,MONTH(A360),1),$A$2:$A$800,0))-1,""))</f>
        <v/>
      </c>
    </row>
    <row r="361">
      <c r="A361" s="121" t="n">
        <v>45474</v>
      </c>
      <c r="B361" s="47" t="n">
        <v>1126.916</v>
      </c>
      <c r="C361" s="122">
        <f>IF(OR(B361="",B360=""),"",B361/B360-1)</f>
        <v/>
      </c>
      <c r="D361" s="122">
        <f>IF(B361="","",IFERROR(B361/INDEX($B$2:$B$800,MATCH(DATE(YEAR(A361)-1,12,1),$A$2:$A$800,0))-1,""))</f>
        <v/>
      </c>
      <c r="E361" s="122">
        <f>IF(B361="","",IFERROR(B361/INDEX($B$2:$B$800,MATCH(DATE(YEAR(A361)-1,MONTH(A361),1),$A$2:$A$800,0))-1,""))</f>
        <v/>
      </c>
    </row>
    <row r="362">
      <c r="A362" s="121" t="n">
        <v>45505</v>
      </c>
      <c r="B362" s="47" t="n">
        <v>1134.775</v>
      </c>
      <c r="C362" s="122">
        <f>IF(OR(B362="",B361=""),"",B362/B361-1)</f>
        <v/>
      </c>
      <c r="D362" s="122">
        <f>IF(B362="","",IFERROR(B362/INDEX($B$2:$B$800,MATCH(DATE(YEAR(A362)-1,12,1),$A$2:$A$800,0))-1,""))</f>
        <v/>
      </c>
      <c r="E362" s="122">
        <f>IF(B362="","",IFERROR(B362/INDEX($B$2:$B$800,MATCH(DATE(YEAR(A362)-1,MONTH(A362),1),$A$2:$A$800,0))-1,""))</f>
        <v/>
      </c>
    </row>
    <row r="363">
      <c r="A363" s="121" t="n">
        <v>45536</v>
      </c>
      <c r="B363" s="47" t="n">
        <v>1141.398</v>
      </c>
      <c r="C363" s="122">
        <f>IF(OR(B363="",B362=""),"",B363/B362-1)</f>
        <v/>
      </c>
      <c r="D363" s="122">
        <f>IF(B363="","",IFERROR(B363/INDEX($B$2:$B$800,MATCH(DATE(YEAR(A363)-1,12,1),$A$2:$A$800,0))-1,""))</f>
        <v/>
      </c>
      <c r="E363" s="122">
        <f>IF(B363="","",IFERROR(B363/INDEX($B$2:$B$800,MATCH(DATE(YEAR(A363)-1,MONTH(A363),1),$A$2:$A$800,0))-1,""))</f>
        <v/>
      </c>
    </row>
    <row r="364">
      <c r="A364" s="121" t="n">
        <v>45566</v>
      </c>
      <c r="B364" s="47" t="n">
        <v>1149.17</v>
      </c>
      <c r="C364" s="122">
        <f>IF(OR(B364="",B363=""),"",B364/B363-1)</f>
        <v/>
      </c>
      <c r="D364" s="122">
        <f>IF(B364="","",IFERROR(B364/INDEX($B$2:$B$800,MATCH(DATE(YEAR(A364)-1,12,1),$A$2:$A$800,0))-1,""))</f>
        <v/>
      </c>
      <c r="E364" s="122">
        <f>IF(B364="","",IFERROR(B364/INDEX($B$2:$B$800,MATCH(DATE(YEAR(A364)-1,MONTH(A364),1),$A$2:$A$800,0))-1,""))</f>
        <v/>
      </c>
    </row>
    <row r="365">
      <c r="A365" s="121" t="n">
        <v>45597</v>
      </c>
      <c r="B365" s="47" t="n">
        <v>1153.725</v>
      </c>
      <c r="C365" s="122">
        <f>IF(OR(B365="",B364=""),"",B365/B364-1)</f>
        <v/>
      </c>
      <c r="D365" s="122">
        <f>IF(B365="","",IFERROR(B365/INDEX($B$2:$B$800,MATCH(DATE(YEAR(A365)-1,12,1),$A$2:$A$800,0))-1,""))</f>
        <v/>
      </c>
      <c r="E365" s="122">
        <f>IF(B365="","",IFERROR(B365/INDEX($B$2:$B$800,MATCH(DATE(YEAR(A365)-1,MONTH(A365),1),$A$2:$A$800,0))-1,""))</f>
        <v/>
      </c>
    </row>
    <row r="366">
      <c r="A366" s="121" t="n">
        <v>45627</v>
      </c>
      <c r="B366" s="47" t="n">
        <v>1159.536</v>
      </c>
      <c r="C366" s="122">
        <f>IF(OR(B366="",B365=""),"",B366/B365-1)</f>
        <v/>
      </c>
      <c r="D366" s="122">
        <f>IF(B366="","",IFERROR(B366/INDEX($B$2:$B$800,MATCH(DATE(YEAR(A366)-1,12,1),$A$2:$A$800,0))-1,""))</f>
        <v/>
      </c>
      <c r="E366" s="122">
        <f>IF(B366="","",IFERROR(B366/INDEX($B$2:$B$800,MATCH(DATE(YEAR(A366)-1,MONTH(A366),1),$A$2:$A$800,0))-1,""))</f>
        <v/>
      </c>
    </row>
    <row r="367">
      <c r="A367" s="121" t="n">
        <v>45658</v>
      </c>
      <c r="B367" s="47" t="n">
        <v>1169.116</v>
      </c>
      <c r="C367" s="122">
        <f>IF(OR(B367="",B366=""),"",B367/B366-1)</f>
        <v/>
      </c>
      <c r="D367" s="122">
        <f>IF(B367="","",IFERROR(B367/INDEX($B$2:$B$800,MATCH(DATE(YEAR(A367)-1,12,1),$A$2:$A$800,0))-1,""))</f>
        <v/>
      </c>
      <c r="E367" s="122">
        <f>IF(B367="","",IFERROR(B367/INDEX($B$2:$B$800,MATCH(DATE(YEAR(A367)-1,MONTH(A367),1),$A$2:$A$800,0))-1,""))</f>
        <v/>
      </c>
    </row>
    <row r="368">
      <c r="A368" s="121" t="n">
        <v>45689</v>
      </c>
      <c r="B368" s="47" t="n">
        <v>1173.775</v>
      </c>
      <c r="C368" s="122">
        <f>IF(OR(B368="",B367=""),"",B368/B367-1)</f>
        <v/>
      </c>
      <c r="D368" s="122">
        <f>IF(B368="","",IFERROR(B368/INDEX($B$2:$B$800,MATCH(DATE(YEAR(A368)-1,12,1),$A$2:$A$800,0))-1,""))</f>
        <v/>
      </c>
      <c r="E368" s="122">
        <f>IF(B368="","",IFERROR(B368/INDEX($B$2:$B$800,MATCH(DATE(YEAR(A368)-1,MONTH(A368),1),$A$2:$A$800,0))-1,""))</f>
        <v/>
      </c>
    </row>
    <row r="369">
      <c r="A369" s="121" t="n">
        <v>45717</v>
      </c>
      <c r="B369" s="47" t="n">
        <v>1178.386</v>
      </c>
      <c r="C369" s="122">
        <f>IF(OR(B369="",B368=""),"",B369/B368-1)</f>
        <v/>
      </c>
      <c r="D369" s="122">
        <f>IF(B369="","",IFERROR(B369/INDEX($B$2:$B$800,MATCH(DATE(YEAR(A369)-1,12,1),$A$2:$A$800,0))-1,""))</f>
        <v/>
      </c>
      <c r="E369" s="122">
        <f>IF(B369="","",IFERROR(B369/INDEX($B$2:$B$800,MATCH(DATE(YEAR(A369)-1,MONTH(A369),1),$A$2:$A$800,0))-1,""))</f>
        <v/>
      </c>
    </row>
    <row r="370">
      <c r="A370" s="121" t="n">
        <v>45748</v>
      </c>
      <c r="B370" s="47" t="n">
        <v>1184.462</v>
      </c>
      <c r="C370" s="122">
        <f>IF(OR(B370="",B369=""),"",B370/B369-1)</f>
        <v/>
      </c>
      <c r="D370" s="122">
        <f>IF(B370="","",IFERROR(B370/INDEX($B$2:$B$800,MATCH(DATE(YEAR(A370)-1,12,1),$A$2:$A$800,0))-1,""))</f>
        <v/>
      </c>
      <c r="E370" s="122">
        <f>IF(B370="","",IFERROR(B370/INDEX($B$2:$B$800,MATCH(DATE(YEAR(A370)-1,MONTH(A370),1),$A$2:$A$800,0))-1,""))</f>
        <v/>
      </c>
    </row>
    <row r="371">
      <c r="A371" s="121" t="n">
        <v>45778</v>
      </c>
      <c r="B371" s="47" t="n">
        <v>1191.327</v>
      </c>
      <c r="C371" s="122">
        <f>IF(OR(B371="",B370=""),"",B371/B370-1)</f>
        <v/>
      </c>
      <c r="D371" s="122">
        <f>IF(B371="","",IFERROR(B371/INDEX($B$2:$B$800,MATCH(DATE(YEAR(A371)-1,12,1),$A$2:$A$800,0))-1,""))</f>
        <v/>
      </c>
      <c r="E371" s="122">
        <f>IF(B371="","",IFERROR(B371/INDEX($B$2:$B$800,MATCH(DATE(YEAR(A371)-1,MONTH(A371),1),$A$2:$A$800,0))-1,""))</f>
        <v/>
      </c>
    </row>
    <row r="372">
      <c r="A372" s="121" t="n">
        <v>45809</v>
      </c>
      <c r="B372" s="47" t="n">
        <v>1199.509</v>
      </c>
      <c r="C372" s="122">
        <f>IF(OR(B372="",B371=""),"",B372/B371-1)</f>
        <v/>
      </c>
      <c r="D372" s="122">
        <f>IF(B372="","",IFERROR(B372/INDEX($B$2:$B$800,MATCH(DATE(YEAR(A372)-1,12,1),$A$2:$A$800,0))-1,""))</f>
        <v/>
      </c>
      <c r="E372" s="122">
        <f>IF(B372="","",IFERROR(B372/INDEX($B$2:$B$800,MATCH(DATE(YEAR(A372)-1,MONTH(A372),1),$A$2:$A$800,0))-1,""))</f>
        <v/>
      </c>
    </row>
    <row r="373">
      <c r="A373" s="121" t="n">
        <v>45839</v>
      </c>
      <c r="B373" s="47" t="n">
        <v>1210.471</v>
      </c>
      <c r="C373" s="122">
        <f>IF(OR(B373="",B372=""),"",B373/B372-1)</f>
        <v/>
      </c>
      <c r="D373" s="122">
        <f>IF(B373="","",IFERROR(B373/INDEX($B$2:$B$800,MATCH(DATE(YEAR(A373)-1,12,1),$A$2:$A$800,0))-1,""))</f>
        <v/>
      </c>
      <c r="E373" s="122">
        <f>IF(B373="","",IFERROR(B373/INDEX($B$2:$B$800,MATCH(DATE(YEAR(A373)-1,MONTH(A373),1),$A$2:$A$800,0))-1,""))</f>
        <v/>
      </c>
    </row>
    <row r="374">
      <c r="A374" s="121" t="n">
        <v>45870</v>
      </c>
      <c r="B374" s="47" t="n">
        <v>1216.706</v>
      </c>
      <c r="C374" s="122">
        <f>IF(OR(B374="",B373=""),"",B374/B373-1)</f>
        <v/>
      </c>
      <c r="D374" s="122">
        <f>IF(B374="","",IFERROR(B374/INDEX($B$2:$B$800,MATCH(DATE(YEAR(A374)-1,12,1),$A$2:$A$800,0))-1,""))</f>
        <v/>
      </c>
      <c r="E374" s="122">
        <f>IF(B374="","",IFERROR(B374/INDEX($B$2:$B$800,MATCH(DATE(YEAR(A374)-1,MONTH(A374),1),$A$2:$A$800,0))-1,""))</f>
        <v/>
      </c>
    </row>
    <row r="375">
      <c r="A375" s="121" t="n">
        <v>45901</v>
      </c>
      <c r="B375" s="47" t="n">
        <v>1218.747</v>
      </c>
      <c r="C375" s="122">
        <f>IF(OR(B375="",B374=""),"",B375/B374-1)</f>
        <v/>
      </c>
      <c r="D375" s="122">
        <f>IF(B375="","",IFERROR(B375/INDEX($B$2:$B$800,MATCH(DATE(YEAR(A375)-1,12,1),$A$2:$A$800,0))-1,""))</f>
        <v/>
      </c>
      <c r="E375" s="122">
        <f>IF(B375="","",IFERROR(B375/INDEX($B$2:$B$800,MATCH(DATE(YEAR(A375)-1,MONTH(A375),1),$A$2:$A$800,0))-1,""))</f>
        <v/>
      </c>
    </row>
    <row r="376">
      <c r="A376" s="121" t="n">
        <v>45931</v>
      </c>
      <c r="B376" s="47" t="n">
        <v>1222.356</v>
      </c>
      <c r="C376" s="122">
        <f>IF(OR(B376="",B375=""),"",B376/B375-1)</f>
        <v/>
      </c>
      <c r="D376" s="122">
        <f>IF(B376="","",IFERROR(B376/INDEX($B$2:$B$800,MATCH(DATE(YEAR(A376)-1,12,1),$A$2:$A$800,0))-1,""))</f>
        <v/>
      </c>
      <c r="E376" s="122">
        <f>IF(B376="","",IFERROR(B376/INDEX($B$2:$B$800,MATCH(DATE(YEAR(A376)-1,MONTH(A376),1),$A$2:$A$800,0))-1,""))</f>
        <v/>
      </c>
    </row>
    <row r="377">
      <c r="A377" s="121" t="n">
        <v>45962</v>
      </c>
      <c r="B377" s="47" t="n">
        <v>1225.633</v>
      </c>
      <c r="C377" s="122">
        <f>IF(OR(B377="",B376=""),"",B377/B376-1)</f>
        <v/>
      </c>
      <c r="D377" s="122">
        <f>IF(B377="","",IFERROR(B377/INDEX($B$2:$B$800,MATCH(DATE(YEAR(A377)-1,12,1),$A$2:$A$800,0))-1,""))</f>
        <v/>
      </c>
      <c r="E377" s="122">
        <f>IF(B377="","",IFERROR(B377/INDEX($B$2:$B$800,MATCH(DATE(YEAR(A377)-1,MONTH(A377),1),$A$2:$A$800,0))-1,""))</f>
        <v/>
      </c>
    </row>
    <row r="378">
      <c r="A378" s="121" t="n">
        <v>45992</v>
      </c>
      <c r="B378" s="47" t="n">
        <v>1228.161</v>
      </c>
      <c r="C378" s="122">
        <f>IF(OR(B378="",B377=""),"",B378/B377-1)</f>
        <v/>
      </c>
      <c r="D378" s="122">
        <f>IF(B378="","",IFERROR(B378/INDEX($B$2:$B$800,MATCH(DATE(YEAR(A378)-1,12,1),$A$2:$A$800,0))-1,""))</f>
        <v/>
      </c>
      <c r="E378" s="122">
        <f>IF(B378="","",IFERROR(B378/INDEX($B$2:$B$800,MATCH(DATE(YEAR(A378)-1,MONTH(A378),1),$A$2:$A$800,0))-1,""))</f>
        <v/>
      </c>
    </row>
    <row r="379">
      <c r="A379" s="121" t="n">
        <v>46023</v>
      </c>
      <c r="B379" s="47" t="n">
        <v>1237.036</v>
      </c>
      <c r="C379" s="122">
        <f>IF(OR(B379="",B378=""),"",B379/B378-1)</f>
        <v/>
      </c>
      <c r="D379" s="122">
        <f>IF(B379="","",IFERROR(B379/INDEX($B$2:$B$800,MATCH(DATE(YEAR(A379)-1,12,1),$A$2:$A$800,0))-1,""))</f>
        <v/>
      </c>
      <c r="E379" s="122">
        <f>IF(B379="","",IFERROR(B379/INDEX($B$2:$B$800,MATCH(DATE(YEAR(A379)-1,MONTH(A379),1),$A$2:$A$800,0))-1,""))</f>
        <v/>
      </c>
    </row>
    <row r="380">
      <c r="A380" s="121" t="n">
        <v>46054</v>
      </c>
      <c r="B380" s="47" t="n">
        <v>1240.481</v>
      </c>
      <c r="C380" s="122">
        <f>IF(OR(B380="",B379=""),"",B380/B379-1)</f>
        <v/>
      </c>
      <c r="D380" s="122">
        <f>IF(B380="","",IFERROR(B380/INDEX($B$2:$B$800,MATCH(DATE(YEAR(A380)-1,12,1),$A$2:$A$800,0))-1,""))</f>
        <v/>
      </c>
      <c r="E380" s="122">
        <f>IF(B380="","",IFERROR(B380/INDEX($B$2:$B$800,MATCH(DATE(YEAR(A380)-1,MONTH(A380),1),$A$2:$A$800,0))-1,""))</f>
        <v/>
      </c>
    </row>
    <row r="381">
      <c r="A381" s="121" t="n">
        <v>46082</v>
      </c>
      <c r="B381" s="47" t="n">
        <v>1247.181</v>
      </c>
      <c r="C381" s="122">
        <f>IF(OR(B381="",B380=""),"",B381/B380-1)</f>
        <v/>
      </c>
      <c r="D381" s="122">
        <f>IF(B381="","",IFERROR(B381/INDEX($B$2:$B$800,MATCH(DATE(YEAR(A381)-1,12,1),$A$2:$A$800,0))-1,""))</f>
        <v/>
      </c>
      <c r="E381" s="122">
        <f>IF(B381="","",IFERROR(B381/INDEX($B$2:$B$800,MATCH(DATE(YEAR(A381)-1,MONTH(A381),1),$A$2:$A$800,0))-1,""))</f>
        <v/>
      </c>
    </row>
    <row r="382">
      <c r="A382" s="121" t="n">
        <v>46113</v>
      </c>
      <c r="B382" s="47" t="n">
        <v>1259.652</v>
      </c>
      <c r="C382" s="122">
        <f>IF(OR(B382="",B381=""),"",B382/B381-1)</f>
        <v/>
      </c>
      <c r="D382" s="122">
        <f>IF(B382="","",IFERROR(B382/INDEX($B$2:$B$800,MATCH(DATE(YEAR(A382)-1,12,1),$A$2:$A$800,0))-1,""))</f>
        <v/>
      </c>
      <c r="E382" s="122">
        <f>IF(B382="","",IFERROR(B382/INDEX($B$2:$B$800,MATCH(DATE(YEAR(A382)-1,MONTH(A382),1),$A$2:$A$800,0))-1,""))</f>
        <v/>
      </c>
    </row>
    <row r="383">
      <c r="A383" s="121" t="n">
        <v>46143</v>
      </c>
      <c r="B383" s="47" t="n">
        <v>1270.695</v>
      </c>
      <c r="C383" s="122">
        <f>IF(OR(B383="",B382=""),"",B383/B382-1)</f>
        <v/>
      </c>
      <c r="D383" s="122">
        <f>IF(B383="","",IFERROR(B383/INDEX($B$2:$B$800,MATCH(DATE(YEAR(A383)-1,12,1),$A$2:$A$800,0))-1,""))</f>
        <v/>
      </c>
      <c r="E383" s="122">
        <f>IF(B383="","",IFERROR(B383/INDEX($B$2:$B$800,MATCH(DATE(YEAR(A383)-1,MONTH(A383),1),$A$2:$A$800,0))-1,""))</f>
        <v/>
      </c>
    </row>
    <row r="384">
      <c r="A384" s="121" t="n">
        <v>46174</v>
      </c>
      <c r="B384" s="47" t="n">
        <v>1280.641</v>
      </c>
      <c r="C384" s="122">
        <f>IF(OR(B384="",B383=""),"",B384/B383-1)</f>
        <v/>
      </c>
      <c r="D384" s="122">
        <f>IF(B384="","",IFERROR(B384/INDEX($B$2:$B$800,MATCH(DATE(YEAR(A384)-1,12,1),$A$2:$A$800,0))-1,""))</f>
        <v/>
      </c>
      <c r="E384" s="122">
        <f>IF(B384="","",IFERROR(B384/INDEX($B$2:$B$800,MATCH(DATE(YEAR(A384)-1,MONTH(A384),1),$A$2:$A$800,0))-1,""))</f>
        <v/>
      </c>
    </row>
    <row r="385">
      <c r="A385" s="121" t="n">
        <v>46204</v>
      </c>
      <c r="B385" s="47" t="n">
        <v>1288.431</v>
      </c>
      <c r="C385" s="122">
        <f>IF(OR(B385="",B384=""),"",B385/B384-1)</f>
        <v/>
      </c>
      <c r="D385" s="122">
        <f>IF(B385="","",IFERROR(B385/INDEX($B$2:$B$800,MATCH(DATE(YEAR(A385)-1,12,1),$A$2:$A$800,0))-1,""))</f>
        <v/>
      </c>
      <c r="E385" s="122">
        <f>IF(B385="","",IFERROR(B385/INDEX($B$2:$B$800,MATCH(DATE(YEAR(A385)-1,MONTH(A385),1),$A$2:$A$800,0))-1,""))</f>
        <v/>
      </c>
    </row>
    <row r="386">
      <c r="A386" s="121" t="n">
        <v>46235</v>
      </c>
      <c r="B386" s="47" t="n">
        <v>1296.889</v>
      </c>
      <c r="C386" s="122">
        <f>IF(OR(B386="",B385=""),"",B386/B385-1)</f>
        <v/>
      </c>
      <c r="D386" s="122">
        <f>IF(B386="","",IFERROR(B386/INDEX($B$2:$B$800,MATCH(DATE(YEAR(A386)-1,12,1),$A$2:$A$800,0))-1,""))</f>
        <v/>
      </c>
      <c r="E386" s="122">
        <f>IF(B386="","",IFERROR(B386/INDEX($B$2:$B$800,MATCH(DATE(YEAR(A386)-1,MONTH(A386),1),$A$2:$A$800,0))-1,""))</f>
        <v/>
      </c>
    </row>
    <row r="387">
      <c r="A387" s="124" t="n"/>
      <c r="B387" s="125" t="n"/>
      <c r="C387" s="122">
        <f>IF(OR(B387="",B386=""),"",B387/B386-1)</f>
        <v/>
      </c>
      <c r="D387" s="122">
        <f>IF(B387="","",IFERROR(B387/INDEX($B$2:$B$800,MATCH(DATE(YEAR(A387)-1,12,1),$A$2:$A$800,0))-1,""))</f>
        <v/>
      </c>
      <c r="E387" s="122">
        <f>IF(B387="","",IFERROR(B387/INDEX($B$2:$B$800,MATCH(DATE(YEAR(A387)-1,MONTH(A387),1),$A$2:$A$800,0))-1,""))</f>
        <v/>
      </c>
    </row>
    <row r="388">
      <c r="A388" s="124" t="n"/>
      <c r="B388" s="125" t="n"/>
      <c r="C388" s="122">
        <f>IF(OR(B388="",B387=""),"",B388/B387-1)</f>
        <v/>
      </c>
      <c r="D388" s="122">
        <f>IF(B388="","",IFERROR(B388/INDEX($B$2:$B$800,MATCH(DATE(YEAR(A388)-1,12,1),$A$2:$A$800,0))-1,""))</f>
        <v/>
      </c>
      <c r="E388" s="122">
        <f>IF(B388="","",IFERROR(B388/INDEX($B$2:$B$800,MATCH(DATE(YEAR(A388)-1,MONTH(A388),1),$A$2:$A$800,0))-1,""))</f>
        <v/>
      </c>
    </row>
    <row r="389">
      <c r="A389" s="124" t="n"/>
      <c r="B389" s="125" t="n"/>
      <c r="C389" s="122">
        <f>IF(OR(B389="",B388=""),"",B389/B388-1)</f>
        <v/>
      </c>
      <c r="D389" s="122">
        <f>IF(B389="","",IFERROR(B389/INDEX($B$2:$B$800,MATCH(DATE(YEAR(A389)-1,12,1),$A$2:$A$800,0))-1,""))</f>
        <v/>
      </c>
      <c r="E389" s="122">
        <f>IF(B389="","",IFERROR(B389/INDEX($B$2:$B$800,MATCH(DATE(YEAR(A389)-1,MONTH(A389),1),$A$2:$A$800,0))-1,""))</f>
        <v/>
      </c>
    </row>
    <row r="390">
      <c r="A390" s="124" t="n"/>
      <c r="B390" s="125" t="n"/>
      <c r="C390" s="122">
        <f>IF(OR(B390="",B389=""),"",B390/B389-1)</f>
        <v/>
      </c>
      <c r="D390" s="122">
        <f>IF(B390="","",IFERROR(B390/INDEX($B$2:$B$800,MATCH(DATE(YEAR(A390)-1,12,1),$A$2:$A$800,0))-1,""))</f>
        <v/>
      </c>
      <c r="E390" s="122">
        <f>IF(B390="","",IFERROR(B390/INDEX($B$2:$B$800,MATCH(DATE(YEAR(A390)-1,MONTH(A390),1),$A$2:$A$800,0))-1,""))</f>
        <v/>
      </c>
    </row>
    <row r="391">
      <c r="A391" s="124" t="n"/>
      <c r="B391" s="125" t="n"/>
      <c r="C391" s="122">
        <f>IF(OR(B391="",B390=""),"",B391/B390-1)</f>
        <v/>
      </c>
      <c r="D391" s="122">
        <f>IF(B391="","",IFERROR(B391/INDEX($B$2:$B$800,MATCH(DATE(YEAR(A391)-1,12,1),$A$2:$A$800,0))-1,""))</f>
        <v/>
      </c>
      <c r="E391" s="122">
        <f>IF(B391="","",IFERROR(B391/INDEX($B$2:$B$800,MATCH(DATE(YEAR(A391)-1,MONTH(A391),1),$A$2:$A$800,0))-1,""))</f>
        <v/>
      </c>
    </row>
    <row r="392">
      <c r="A392" s="124" t="n"/>
      <c r="B392" s="125" t="n"/>
      <c r="C392" s="122">
        <f>IF(OR(B392="",B391=""),"",B392/B391-1)</f>
        <v/>
      </c>
      <c r="D392" s="122">
        <f>IF(B392="","",IFERROR(B392/INDEX($B$2:$B$800,MATCH(DATE(YEAR(A392)-1,12,1),$A$2:$A$800,0))-1,""))</f>
        <v/>
      </c>
      <c r="E392" s="122">
        <f>IF(B392="","",IFERROR(B392/INDEX($B$2:$B$800,MATCH(DATE(YEAR(A392)-1,MONTH(A392),1),$A$2:$A$800,0))-1,""))</f>
        <v/>
      </c>
    </row>
    <row r="393">
      <c r="A393" s="124" t="n"/>
      <c r="B393" s="125" t="n"/>
      <c r="C393" s="122">
        <f>IF(OR(B393="",B392=""),"",B393/B392-1)</f>
        <v/>
      </c>
      <c r="D393" s="122">
        <f>IF(B393="","",IFERROR(B393/INDEX($B$2:$B$800,MATCH(DATE(YEAR(A393)-1,12,1),$A$2:$A$800,0))-1,""))</f>
        <v/>
      </c>
      <c r="E393" s="122">
        <f>IF(B393="","",IFERROR(B393/INDEX($B$2:$B$800,MATCH(DATE(YEAR(A393)-1,MONTH(A393),1),$A$2:$A$800,0))-1,""))</f>
        <v/>
      </c>
    </row>
    <row r="394">
      <c r="A394" s="124" t="n"/>
      <c r="B394" s="125" t="n"/>
      <c r="C394" s="122">
        <f>IF(OR(B394="",B393=""),"",B394/B393-1)</f>
        <v/>
      </c>
      <c r="D394" s="122">
        <f>IF(B394="","",IFERROR(B394/INDEX($B$2:$B$800,MATCH(DATE(YEAR(A394)-1,12,1),$A$2:$A$800,0))-1,""))</f>
        <v/>
      </c>
      <c r="E394" s="122">
        <f>IF(B394="","",IFERROR(B394/INDEX($B$2:$B$800,MATCH(DATE(YEAR(A394)-1,MONTH(A394),1),$A$2:$A$800,0))-1,""))</f>
        <v/>
      </c>
    </row>
    <row r="395">
      <c r="A395" s="124" t="n"/>
      <c r="B395" s="125" t="n"/>
      <c r="C395" s="122">
        <f>IF(OR(B395="",B394=""),"",B395/B394-1)</f>
        <v/>
      </c>
      <c r="D395" s="122">
        <f>IF(B395="","",IFERROR(B395/INDEX($B$2:$B$800,MATCH(DATE(YEAR(A395)-1,12,1),$A$2:$A$800,0))-1,""))</f>
        <v/>
      </c>
      <c r="E395" s="122">
        <f>IF(B395="","",IFERROR(B395/INDEX($B$2:$B$800,MATCH(DATE(YEAR(A395)-1,MONTH(A395),1),$A$2:$A$800,0))-1,""))</f>
        <v/>
      </c>
    </row>
    <row r="396">
      <c r="A396" s="124" t="n"/>
      <c r="B396" s="125" t="n"/>
      <c r="C396" s="122">
        <f>IF(OR(B396="",B395=""),"",B396/B395-1)</f>
        <v/>
      </c>
      <c r="D396" s="122">
        <f>IF(B396="","",IFERROR(B396/INDEX($B$2:$B$800,MATCH(DATE(YEAR(A396)-1,12,1),$A$2:$A$800,0))-1,""))</f>
        <v/>
      </c>
      <c r="E396" s="122">
        <f>IF(B396="","",IFERROR(B396/INDEX($B$2:$B$800,MATCH(DATE(YEAR(A396)-1,MONTH(A396),1),$A$2:$A$800,0))-1,""))</f>
        <v/>
      </c>
    </row>
    <row r="397">
      <c r="A397" s="124" t="n"/>
      <c r="B397" s="125" t="n"/>
      <c r="C397" s="122">
        <f>IF(OR(B397="",B396=""),"",B397/B396-1)</f>
        <v/>
      </c>
      <c r="D397" s="122">
        <f>IF(B397="","",IFERROR(B397/INDEX($B$2:$B$800,MATCH(DATE(YEAR(A397)-1,12,1),$A$2:$A$800,0))-1,""))</f>
        <v/>
      </c>
      <c r="E397" s="122">
        <f>IF(B397="","",IFERROR(B397/INDEX($B$2:$B$800,MATCH(DATE(YEAR(A397)-1,MONTH(A397),1),$A$2:$A$800,0))-1,""))</f>
        <v/>
      </c>
    </row>
    <row r="398">
      <c r="A398" s="124" t="n"/>
      <c r="B398" s="125" t="n"/>
      <c r="C398" s="122">
        <f>IF(OR(B398="",B397=""),"",B398/B397-1)</f>
        <v/>
      </c>
      <c r="D398" s="122">
        <f>IF(B398="","",IFERROR(B398/INDEX($B$2:$B$800,MATCH(DATE(YEAR(A398)-1,12,1),$A$2:$A$800,0))-1,""))</f>
        <v/>
      </c>
      <c r="E398" s="122">
        <f>IF(B398="","",IFERROR(B398/INDEX($B$2:$B$800,MATCH(DATE(YEAR(A398)-1,MONTH(A398),1),$A$2:$A$800,0))-1,""))</f>
        <v/>
      </c>
    </row>
    <row r="399">
      <c r="A399" s="124" t="n"/>
      <c r="B399" s="125" t="n"/>
      <c r="C399" s="122">
        <f>IF(OR(B399="",B398=""),"",B399/B398-1)</f>
        <v/>
      </c>
      <c r="D399" s="122">
        <f>IF(B399="","",IFERROR(B399/INDEX($B$2:$B$800,MATCH(DATE(YEAR(A399)-1,12,1),$A$2:$A$800,0))-1,""))</f>
        <v/>
      </c>
      <c r="E399" s="122">
        <f>IF(B399="","",IFERROR(B399/INDEX($B$2:$B$800,MATCH(DATE(YEAR(A399)-1,MONTH(A399),1),$A$2:$A$800,0))-1,""))</f>
        <v/>
      </c>
    </row>
    <row r="400">
      <c r="A400" s="124" t="n"/>
      <c r="B400" s="125" t="n"/>
      <c r="C400" s="122">
        <f>IF(OR(B400="",B399=""),"",B400/B399-1)</f>
        <v/>
      </c>
      <c r="D400" s="122">
        <f>IF(B400="","",IFERROR(B400/INDEX($B$2:$B$800,MATCH(DATE(YEAR(A400)-1,12,1),$A$2:$A$800,0))-1,""))</f>
        <v/>
      </c>
      <c r="E400" s="122">
        <f>IF(B400="","",IFERROR(B400/INDEX($B$2:$B$800,MATCH(DATE(YEAR(A400)-1,MONTH(A400),1),$A$2:$A$800,0))-1,""))</f>
        <v/>
      </c>
    </row>
    <row r="401">
      <c r="A401" s="124" t="n"/>
      <c r="B401" s="125" t="n"/>
      <c r="C401" s="122">
        <f>IF(OR(B401="",B400=""),"",B401/B400-1)</f>
        <v/>
      </c>
      <c r="D401" s="122">
        <f>IF(B401="","",IFERROR(B401/INDEX($B$2:$B$800,MATCH(DATE(YEAR(A401)-1,12,1),$A$2:$A$800,0))-1,""))</f>
        <v/>
      </c>
      <c r="E401" s="122">
        <f>IF(B401="","",IFERROR(B401/INDEX($B$2:$B$800,MATCH(DATE(YEAR(A401)-1,MONTH(A401),1),$A$2:$A$800,0))-1,""))</f>
        <v/>
      </c>
    </row>
    <row r="402">
      <c r="A402" s="124" t="n"/>
      <c r="B402" s="125" t="n"/>
      <c r="C402" s="122">
        <f>IF(OR(B402="",B401=""),"",B402/B401-1)</f>
        <v/>
      </c>
      <c r="D402" s="122">
        <f>IF(B402="","",IFERROR(B402/INDEX($B$2:$B$800,MATCH(DATE(YEAR(A402)-1,12,1),$A$2:$A$800,0))-1,""))</f>
        <v/>
      </c>
      <c r="E402" s="122">
        <f>IF(B402="","",IFERROR(B402/INDEX($B$2:$B$800,MATCH(DATE(YEAR(A402)-1,MONTH(A402),1),$A$2:$A$800,0))-1,""))</f>
        <v/>
      </c>
    </row>
    <row r="403">
      <c r="A403" s="124" t="n"/>
      <c r="B403" s="125" t="n"/>
      <c r="C403" s="122">
        <f>IF(OR(B403="",B402=""),"",B403/B402-1)</f>
        <v/>
      </c>
      <c r="D403" s="122">
        <f>IF(B403="","",IFERROR(B403/INDEX($B$2:$B$800,MATCH(DATE(YEAR(A403)-1,12,1),$A$2:$A$800,0))-1,""))</f>
        <v/>
      </c>
      <c r="E403" s="122">
        <f>IF(B403="","",IFERROR(B403/INDEX($B$2:$B$800,MATCH(DATE(YEAR(A403)-1,MONTH(A403),1),$A$2:$A$800,0))-1,""))</f>
        <v/>
      </c>
    </row>
    <row r="404">
      <c r="A404" s="124" t="n"/>
      <c r="B404" s="125" t="n"/>
      <c r="C404" s="122">
        <f>IF(OR(B404="",B403=""),"",B404/B403-1)</f>
        <v/>
      </c>
      <c r="D404" s="122">
        <f>IF(B404="","",IFERROR(B404/INDEX($B$2:$B$800,MATCH(DATE(YEAR(A404)-1,12,1),$A$2:$A$800,0))-1,""))</f>
        <v/>
      </c>
      <c r="E404" s="122">
        <f>IF(B404="","",IFERROR(B404/INDEX($B$2:$B$800,MATCH(DATE(YEAR(A404)-1,MONTH(A404),1),$A$2:$A$800,0))-1,""))</f>
        <v/>
      </c>
    </row>
    <row r="405">
      <c r="A405" s="124" t="n"/>
      <c r="B405" s="125" t="n"/>
      <c r="C405" s="122">
        <f>IF(OR(B405="",B404=""),"",B405/B404-1)</f>
        <v/>
      </c>
      <c r="D405" s="122">
        <f>IF(B405="","",IFERROR(B405/INDEX($B$2:$B$800,MATCH(DATE(YEAR(A405)-1,12,1),$A$2:$A$800,0))-1,""))</f>
        <v/>
      </c>
      <c r="E405" s="122">
        <f>IF(B405="","",IFERROR(B405/INDEX($B$2:$B$800,MATCH(DATE(YEAR(A405)-1,MONTH(A405),1),$A$2:$A$800,0))-1,""))</f>
        <v/>
      </c>
    </row>
    <row r="406">
      <c r="A406" s="124" t="n"/>
      <c r="B406" s="125" t="n"/>
      <c r="C406" s="122">
        <f>IF(OR(B406="",B405=""),"",B406/B405-1)</f>
        <v/>
      </c>
      <c r="D406" s="122">
        <f>IF(B406="","",IFERROR(B406/INDEX($B$2:$B$800,MATCH(DATE(YEAR(A406)-1,12,1),$A$2:$A$800,0))-1,""))</f>
        <v/>
      </c>
      <c r="E406" s="122">
        <f>IF(B406="","",IFERROR(B406/INDEX($B$2:$B$800,MATCH(DATE(YEAR(A406)-1,MONTH(A406),1),$A$2:$A$800,0))-1,""))</f>
        <v/>
      </c>
    </row>
    <row r="407">
      <c r="A407" s="124" t="n"/>
      <c r="B407" s="125" t="n"/>
      <c r="C407" s="122">
        <f>IF(OR(B407="",B406=""),"",B407/B406-1)</f>
        <v/>
      </c>
      <c r="D407" s="122">
        <f>IF(B407="","",IFERROR(B407/INDEX($B$2:$B$800,MATCH(DATE(YEAR(A407)-1,12,1),$A$2:$A$800,0))-1,""))</f>
        <v/>
      </c>
      <c r="E407" s="122">
        <f>IF(B407="","",IFERROR(B407/INDEX($B$2:$B$800,MATCH(DATE(YEAR(A407)-1,MONTH(A407),1),$A$2:$A$800,0))-1,""))</f>
        <v/>
      </c>
    </row>
    <row r="408">
      <c r="A408" s="124" t="n"/>
      <c r="B408" s="125" t="n"/>
      <c r="C408" s="122">
        <f>IF(OR(B408="",B407=""),"",B408/B407-1)</f>
        <v/>
      </c>
      <c r="D408" s="122">
        <f>IF(B408="","",IFERROR(B408/INDEX($B$2:$B$800,MATCH(DATE(YEAR(A408)-1,12,1),$A$2:$A$800,0))-1,""))</f>
        <v/>
      </c>
      <c r="E408" s="122">
        <f>IF(B408="","",IFERROR(B408/INDEX($B$2:$B$800,MATCH(DATE(YEAR(A408)-1,MONTH(A408),1),$A$2:$A$800,0))-1,""))</f>
        <v/>
      </c>
    </row>
    <row r="409">
      <c r="A409" s="124" t="n"/>
      <c r="B409" s="125" t="n"/>
      <c r="C409" s="122">
        <f>IF(OR(B409="",B408=""),"",B409/B408-1)</f>
        <v/>
      </c>
      <c r="D409" s="122">
        <f>IF(B409="","",IFERROR(B409/INDEX($B$2:$B$800,MATCH(DATE(YEAR(A409)-1,12,1),$A$2:$A$800,0))-1,""))</f>
        <v/>
      </c>
      <c r="E409" s="122">
        <f>IF(B409="","",IFERROR(B409/INDEX($B$2:$B$800,MATCH(DATE(YEAR(A409)-1,MONTH(A409),1),$A$2:$A$800,0))-1,""))</f>
        <v/>
      </c>
    </row>
    <row r="410">
      <c r="A410" s="124" t="n"/>
      <c r="B410" s="125" t="n"/>
      <c r="C410" s="122">
        <f>IF(OR(B410="",B409=""),"",B410/B409-1)</f>
        <v/>
      </c>
      <c r="D410" s="122">
        <f>IF(B410="","",IFERROR(B410/INDEX($B$2:$B$800,MATCH(DATE(YEAR(A410)-1,12,1),$A$2:$A$800,0))-1,""))</f>
        <v/>
      </c>
      <c r="E410" s="122">
        <f>IF(B410="","",IFERROR(B410/INDEX($B$2:$B$800,MATCH(DATE(YEAR(A410)-1,MONTH(A410),1),$A$2:$A$800,0))-1,""))</f>
        <v/>
      </c>
    </row>
    <row r="411">
      <c r="A411" s="124" t="n"/>
      <c r="B411" s="125" t="n"/>
      <c r="C411" s="122">
        <f>IF(OR(B411="",B410=""),"",B411/B410-1)</f>
        <v/>
      </c>
      <c r="D411" s="122">
        <f>IF(B411="","",IFERROR(B411/INDEX($B$2:$B$800,MATCH(DATE(YEAR(A411)-1,12,1),$A$2:$A$800,0))-1,""))</f>
        <v/>
      </c>
      <c r="E411" s="122">
        <f>IF(B411="","",IFERROR(B411/INDEX($B$2:$B$800,MATCH(DATE(YEAR(A411)-1,MONTH(A411),1),$A$2:$A$800,0))-1,""))</f>
        <v/>
      </c>
    </row>
    <row r="412">
      <c r="A412" s="124" t="n"/>
      <c r="B412" s="125" t="n"/>
      <c r="C412" s="122">
        <f>IF(OR(B412="",B411=""),"",B412/B411-1)</f>
        <v/>
      </c>
      <c r="D412" s="122">
        <f>IF(B412="","",IFERROR(B412/INDEX($B$2:$B$800,MATCH(DATE(YEAR(A412)-1,12,1),$A$2:$A$800,0))-1,""))</f>
        <v/>
      </c>
      <c r="E412" s="122">
        <f>IF(B412="","",IFERROR(B412/INDEX($B$2:$B$800,MATCH(DATE(YEAR(A412)-1,MONTH(A412),1),$A$2:$A$800,0))-1,""))</f>
        <v/>
      </c>
    </row>
    <row r="413">
      <c r="A413" s="124" t="n"/>
      <c r="B413" s="125" t="n"/>
      <c r="C413" s="122">
        <f>IF(OR(B413="",B412=""),"",B413/B412-1)</f>
        <v/>
      </c>
      <c r="D413" s="122">
        <f>IF(B413="","",IFERROR(B413/INDEX($B$2:$B$800,MATCH(DATE(YEAR(A413)-1,12,1),$A$2:$A$800,0))-1,""))</f>
        <v/>
      </c>
      <c r="E413" s="122">
        <f>IF(B413="","",IFERROR(B413/INDEX($B$2:$B$800,MATCH(DATE(YEAR(A413)-1,MONTH(A413),1),$A$2:$A$800,0))-1,""))</f>
        <v/>
      </c>
    </row>
    <row r="414">
      <c r="A414" s="124" t="n"/>
      <c r="B414" s="125" t="n"/>
      <c r="C414" s="122">
        <f>IF(OR(B414="",B413=""),"",B414/B413-1)</f>
        <v/>
      </c>
      <c r="D414" s="122">
        <f>IF(B414="","",IFERROR(B414/INDEX($B$2:$B$800,MATCH(DATE(YEAR(A414)-1,12,1),$A$2:$A$800,0))-1,""))</f>
        <v/>
      </c>
      <c r="E414" s="122">
        <f>IF(B414="","",IFERROR(B414/INDEX($B$2:$B$800,MATCH(DATE(YEAR(A414)-1,MONTH(A414),1),$A$2:$A$800,0))-1,""))</f>
        <v/>
      </c>
    </row>
    <row r="415">
      <c r="A415" s="124" t="n"/>
      <c r="B415" s="125" t="n"/>
      <c r="C415" s="122">
        <f>IF(OR(B415="",B414=""),"",B415/B414-1)</f>
        <v/>
      </c>
      <c r="D415" s="122">
        <f>IF(B415="","",IFERROR(B415/INDEX($B$2:$B$800,MATCH(DATE(YEAR(A415)-1,12,1),$A$2:$A$800,0))-1,""))</f>
        <v/>
      </c>
      <c r="E415" s="122">
        <f>IF(B415="","",IFERROR(B415/INDEX($B$2:$B$800,MATCH(DATE(YEAR(A415)-1,MONTH(A415),1),$A$2:$A$800,0))-1,""))</f>
        <v/>
      </c>
    </row>
    <row r="416">
      <c r="A416" s="124" t="n"/>
      <c r="B416" s="125" t="n"/>
      <c r="C416" s="122">
        <f>IF(OR(B416="",B415=""),"",B416/B415-1)</f>
        <v/>
      </c>
      <c r="D416" s="122">
        <f>IF(B416="","",IFERROR(B416/INDEX($B$2:$B$800,MATCH(DATE(YEAR(A416)-1,12,1),$A$2:$A$800,0))-1,""))</f>
        <v/>
      </c>
      <c r="E416" s="122">
        <f>IF(B416="","",IFERROR(B416/INDEX($B$2:$B$800,MATCH(DATE(YEAR(A416)-1,MONTH(A416),1),$A$2:$A$800,0))-1,""))</f>
        <v/>
      </c>
    </row>
    <row r="417">
      <c r="A417" s="124" t="n"/>
      <c r="B417" s="125" t="n"/>
      <c r="C417" s="122">
        <f>IF(OR(B417="",B416=""),"",B417/B416-1)</f>
        <v/>
      </c>
      <c r="D417" s="122">
        <f>IF(B417="","",IFERROR(B417/INDEX($B$2:$B$800,MATCH(DATE(YEAR(A417)-1,12,1),$A$2:$A$800,0))-1,""))</f>
        <v/>
      </c>
      <c r="E417" s="122">
        <f>IF(B417="","",IFERROR(B417/INDEX($B$2:$B$800,MATCH(DATE(YEAR(A417)-1,MONTH(A417),1),$A$2:$A$800,0))-1,""))</f>
        <v/>
      </c>
    </row>
    <row r="418">
      <c r="A418" s="124" t="n"/>
      <c r="B418" s="125" t="n"/>
      <c r="C418" s="122">
        <f>IF(OR(B418="",B417=""),"",B418/B417-1)</f>
        <v/>
      </c>
      <c r="D418" s="122">
        <f>IF(B418="","",IFERROR(B418/INDEX($B$2:$B$800,MATCH(DATE(YEAR(A418)-1,12,1),$A$2:$A$800,0))-1,""))</f>
        <v/>
      </c>
      <c r="E418" s="122">
        <f>IF(B418="","",IFERROR(B418/INDEX($B$2:$B$800,MATCH(DATE(YEAR(A418)-1,MONTH(A418),1),$A$2:$A$800,0))-1,""))</f>
        <v/>
      </c>
    </row>
    <row r="419">
      <c r="A419" s="124" t="n"/>
      <c r="B419" s="125" t="n"/>
      <c r="C419" s="122">
        <f>IF(OR(B419="",B418=""),"",B419/B418-1)</f>
        <v/>
      </c>
      <c r="D419" s="122">
        <f>IF(B419="","",IFERROR(B419/INDEX($B$2:$B$800,MATCH(DATE(YEAR(A419)-1,12,1),$A$2:$A$800,0))-1,""))</f>
        <v/>
      </c>
      <c r="E419" s="122">
        <f>IF(B419="","",IFERROR(B419/INDEX($B$2:$B$800,MATCH(DATE(YEAR(A419)-1,MONTH(A419),1),$A$2:$A$800,0))-1,""))</f>
        <v/>
      </c>
    </row>
    <row r="420">
      <c r="A420" s="124" t="n"/>
      <c r="B420" s="125" t="n"/>
      <c r="C420" s="122">
        <f>IF(OR(B420="",B419=""),"",B420/B419-1)</f>
        <v/>
      </c>
      <c r="D420" s="122">
        <f>IF(B420="","",IFERROR(B420/INDEX($B$2:$B$800,MATCH(DATE(YEAR(A420)-1,12,1),$A$2:$A$800,0))-1,""))</f>
        <v/>
      </c>
      <c r="E420" s="122">
        <f>IF(B420="","",IFERROR(B420/INDEX($B$2:$B$800,MATCH(DATE(YEAR(A420)-1,MONTH(A420),1),$A$2:$A$800,0))-1,""))</f>
        <v/>
      </c>
    </row>
    <row r="421">
      <c r="A421" s="124" t="n"/>
      <c r="B421" s="125" t="n"/>
      <c r="C421" s="122">
        <f>IF(OR(B421="",B420=""),"",B421/B420-1)</f>
        <v/>
      </c>
      <c r="D421" s="122">
        <f>IF(B421="","",IFERROR(B421/INDEX($B$2:$B$800,MATCH(DATE(YEAR(A421)-1,12,1),$A$2:$A$800,0))-1,""))</f>
        <v/>
      </c>
      <c r="E421" s="122">
        <f>IF(B421="","",IFERROR(B421/INDEX($B$2:$B$800,MATCH(DATE(YEAR(A421)-1,MONTH(A421),1),$A$2:$A$800,0))-1,""))</f>
        <v/>
      </c>
    </row>
    <row r="422">
      <c r="A422" s="124" t="n"/>
      <c r="B422" s="125" t="n"/>
      <c r="C422" s="122">
        <f>IF(OR(B422="",B421=""),"",B422/B421-1)</f>
        <v/>
      </c>
      <c r="D422" s="122">
        <f>IF(B422="","",IFERROR(B422/INDEX($B$2:$B$800,MATCH(DATE(YEAR(A422)-1,12,1),$A$2:$A$800,0))-1,""))</f>
        <v/>
      </c>
      <c r="E422" s="122">
        <f>IF(B422="","",IFERROR(B422/INDEX($B$2:$B$800,MATCH(DATE(YEAR(A422)-1,MONTH(A422),1),$A$2:$A$800,0))-1,""))</f>
        <v/>
      </c>
    </row>
    <row r="423">
      <c r="A423" s="124" t="n"/>
      <c r="B423" s="125" t="n"/>
      <c r="C423" s="122">
        <f>IF(OR(B423="",B422=""),"",B423/B422-1)</f>
        <v/>
      </c>
      <c r="D423" s="122">
        <f>IF(B423="","",IFERROR(B423/INDEX($B$2:$B$800,MATCH(DATE(YEAR(A423)-1,12,1),$A$2:$A$800,0))-1,""))</f>
        <v/>
      </c>
      <c r="E423" s="122">
        <f>IF(B423="","",IFERROR(B423/INDEX($B$2:$B$800,MATCH(DATE(YEAR(A423)-1,MONTH(A423),1),$A$2:$A$800,0))-1,""))</f>
        <v/>
      </c>
    </row>
    <row r="424">
      <c r="A424" s="124" t="n"/>
      <c r="B424" s="125" t="n"/>
      <c r="C424" s="122">
        <f>IF(OR(B424="",B423=""),"",B424/B423-1)</f>
        <v/>
      </c>
      <c r="D424" s="122">
        <f>IF(B424="","",IFERROR(B424/INDEX($B$2:$B$800,MATCH(DATE(YEAR(A424)-1,12,1),$A$2:$A$800,0))-1,""))</f>
        <v/>
      </c>
      <c r="E424" s="122">
        <f>IF(B424="","",IFERROR(B424/INDEX($B$2:$B$800,MATCH(DATE(YEAR(A424)-1,MONTH(A424),1),$A$2:$A$800,0))-1,""))</f>
        <v/>
      </c>
    </row>
    <row r="425">
      <c r="A425" s="124" t="n"/>
      <c r="B425" s="125" t="n"/>
      <c r="C425" s="122">
        <f>IF(OR(B425="",B424=""),"",B425/B424-1)</f>
        <v/>
      </c>
      <c r="D425" s="122">
        <f>IF(B425="","",IFERROR(B425/INDEX($B$2:$B$800,MATCH(DATE(YEAR(A425)-1,12,1),$A$2:$A$800,0))-1,""))</f>
        <v/>
      </c>
      <c r="E425" s="122">
        <f>IF(B425="","",IFERROR(B425/INDEX($B$2:$B$800,MATCH(DATE(YEAR(A425)-1,MONTH(A425),1),$A$2:$A$800,0))-1,""))</f>
        <v/>
      </c>
    </row>
    <row r="426">
      <c r="A426" s="124" t="n"/>
      <c r="B426" s="125" t="n"/>
      <c r="C426" s="122">
        <f>IF(OR(B426="",B425=""),"",B426/B425-1)</f>
        <v/>
      </c>
      <c r="D426" s="122">
        <f>IF(B426="","",IFERROR(B426/INDEX($B$2:$B$800,MATCH(DATE(YEAR(A426)-1,12,1),$A$2:$A$800,0))-1,""))</f>
        <v/>
      </c>
      <c r="E426" s="122">
        <f>IF(B426="","",IFERROR(B426/INDEX($B$2:$B$800,MATCH(DATE(YEAR(A426)-1,MONTH(A426),1),$A$2:$A$800,0))-1,""))</f>
        <v/>
      </c>
    </row>
    <row r="427">
      <c r="A427" s="124" t="n"/>
      <c r="B427" s="125" t="n"/>
      <c r="C427" s="122">
        <f>IF(OR(B427="",B426=""),"",B427/B426-1)</f>
        <v/>
      </c>
      <c r="D427" s="122">
        <f>IF(B427="","",IFERROR(B427/INDEX($B$2:$B$800,MATCH(DATE(YEAR(A427)-1,12,1),$A$2:$A$800,0))-1,""))</f>
        <v/>
      </c>
      <c r="E427" s="122">
        <f>IF(B427="","",IFERROR(B427/INDEX($B$2:$B$800,MATCH(DATE(YEAR(A427)-1,MONTH(A427),1),$A$2:$A$800,0))-1,""))</f>
        <v/>
      </c>
    </row>
    <row r="428">
      <c r="A428" s="124" t="n"/>
      <c r="B428" s="125" t="n"/>
      <c r="C428" s="122">
        <f>IF(OR(B428="",B427=""),"",B428/B427-1)</f>
        <v/>
      </c>
      <c r="D428" s="122">
        <f>IF(B428="","",IFERROR(B428/INDEX($B$2:$B$800,MATCH(DATE(YEAR(A428)-1,12,1),$A$2:$A$800,0))-1,""))</f>
        <v/>
      </c>
      <c r="E428" s="122">
        <f>IF(B428="","",IFERROR(B428/INDEX($B$2:$B$800,MATCH(DATE(YEAR(A428)-1,MONTH(A428),1),$A$2:$A$800,0))-1,""))</f>
        <v/>
      </c>
    </row>
    <row r="429">
      <c r="A429" s="124" t="n"/>
      <c r="B429" s="125" t="n"/>
      <c r="C429" s="122">
        <f>IF(OR(B429="",B428=""),"",B429/B428-1)</f>
        <v/>
      </c>
      <c r="D429" s="122">
        <f>IF(B429="","",IFERROR(B429/INDEX($B$2:$B$800,MATCH(DATE(YEAR(A429)-1,12,1),$A$2:$A$800,0))-1,""))</f>
        <v/>
      </c>
      <c r="E429" s="122">
        <f>IF(B429="","",IFERROR(B429/INDEX($B$2:$B$800,MATCH(DATE(YEAR(A429)-1,MONTH(A429),1),$A$2:$A$800,0))-1,""))</f>
        <v/>
      </c>
    </row>
    <row r="430">
      <c r="A430" s="124" t="n"/>
      <c r="B430" s="125" t="n"/>
      <c r="C430" s="122">
        <f>IF(OR(B430="",B429=""),"",B430/B429-1)</f>
        <v/>
      </c>
      <c r="D430" s="122">
        <f>IF(B430="","",IFERROR(B430/INDEX($B$2:$B$800,MATCH(DATE(YEAR(A430)-1,12,1),$A$2:$A$800,0))-1,""))</f>
        <v/>
      </c>
      <c r="E430" s="122">
        <f>IF(B430="","",IFERROR(B430/INDEX($B$2:$B$800,MATCH(DATE(YEAR(A430)-1,MONTH(A430),1),$A$2:$A$800,0))-1,""))</f>
        <v/>
      </c>
    </row>
    <row r="431">
      <c r="A431" s="124" t="n"/>
      <c r="B431" s="125" t="n"/>
      <c r="C431" s="122">
        <f>IF(OR(B431="",B430=""),"",B431/B430-1)</f>
        <v/>
      </c>
      <c r="D431" s="122">
        <f>IF(B431="","",IFERROR(B431/INDEX($B$2:$B$800,MATCH(DATE(YEAR(A431)-1,12,1),$A$2:$A$800,0))-1,""))</f>
        <v/>
      </c>
      <c r="E431" s="122">
        <f>IF(B431="","",IFERROR(B431/INDEX($B$2:$B$800,MATCH(DATE(YEAR(A431)-1,MONTH(A431),1),$A$2:$A$800,0))-1,""))</f>
        <v/>
      </c>
    </row>
    <row r="432">
      <c r="A432" s="124" t="n"/>
      <c r="B432" s="125" t="n"/>
      <c r="C432" s="122">
        <f>IF(OR(B432="",B431=""),"",B432/B431-1)</f>
        <v/>
      </c>
      <c r="D432" s="122">
        <f>IF(B432="","",IFERROR(B432/INDEX($B$2:$B$800,MATCH(DATE(YEAR(A432)-1,12,1),$A$2:$A$800,0))-1,""))</f>
        <v/>
      </c>
      <c r="E432" s="122">
        <f>IF(B432="","",IFERROR(B432/INDEX($B$2:$B$800,MATCH(DATE(YEAR(A432)-1,MONTH(A432),1),$A$2:$A$800,0))-1,""))</f>
        <v/>
      </c>
    </row>
    <row r="433">
      <c r="A433" s="124" t="n"/>
      <c r="B433" s="125" t="n"/>
      <c r="C433" s="122">
        <f>IF(OR(B433="",B432=""),"",B433/B432-1)</f>
        <v/>
      </c>
      <c r="D433" s="122">
        <f>IF(B433="","",IFERROR(B433/INDEX($B$2:$B$800,MATCH(DATE(YEAR(A433)-1,12,1),$A$2:$A$800,0))-1,""))</f>
        <v/>
      </c>
      <c r="E433" s="122">
        <f>IF(B433="","",IFERROR(B433/INDEX($B$2:$B$800,MATCH(DATE(YEAR(A433)-1,MONTH(A433),1),$A$2:$A$800,0))-1,""))</f>
        <v/>
      </c>
    </row>
    <row r="434">
      <c r="A434" s="124" t="n"/>
      <c r="B434" s="125" t="n"/>
      <c r="C434" s="122">
        <f>IF(OR(B434="",B433=""),"",B434/B433-1)</f>
        <v/>
      </c>
      <c r="D434" s="122">
        <f>IF(B434="","",IFERROR(B434/INDEX($B$2:$B$800,MATCH(DATE(YEAR(A434)-1,12,1),$A$2:$A$800,0))-1,""))</f>
        <v/>
      </c>
      <c r="E434" s="122">
        <f>IF(B434="","",IFERROR(B434/INDEX($B$2:$B$800,MATCH(DATE(YEAR(A434)-1,MONTH(A434),1),$A$2:$A$800,0))-1,""))</f>
        <v/>
      </c>
    </row>
    <row r="435">
      <c r="A435" s="124" t="n"/>
      <c r="B435" s="125" t="n"/>
      <c r="C435" s="122">
        <f>IF(OR(B435="",B434=""),"",B435/B434-1)</f>
        <v/>
      </c>
      <c r="D435" s="122">
        <f>IF(B435="","",IFERROR(B435/INDEX($B$2:$B$800,MATCH(DATE(YEAR(A435)-1,12,1),$A$2:$A$800,0))-1,""))</f>
        <v/>
      </c>
      <c r="E435" s="122">
        <f>IF(B435="","",IFERROR(B435/INDEX($B$2:$B$800,MATCH(DATE(YEAR(A435)-1,MONTH(A435),1),$A$2:$A$800,0))-1,""))</f>
        <v/>
      </c>
    </row>
    <row r="436">
      <c r="A436" s="124" t="n"/>
      <c r="B436" s="125" t="n"/>
      <c r="C436" s="122">
        <f>IF(OR(B436="",B435=""),"",B436/B435-1)</f>
        <v/>
      </c>
      <c r="D436" s="122">
        <f>IF(B436="","",IFERROR(B436/INDEX($B$2:$B$800,MATCH(DATE(YEAR(A436)-1,12,1),$A$2:$A$800,0))-1,""))</f>
        <v/>
      </c>
      <c r="E436" s="122">
        <f>IF(B436="","",IFERROR(B436/INDEX($B$2:$B$800,MATCH(DATE(YEAR(A436)-1,MONTH(A436),1),$A$2:$A$800,0))-1,""))</f>
        <v/>
      </c>
    </row>
    <row r="437">
      <c r="A437" s="124" t="n"/>
      <c r="B437" s="125" t="n"/>
      <c r="C437" s="122">
        <f>IF(OR(B437="",B436=""),"",B437/B436-1)</f>
        <v/>
      </c>
      <c r="D437" s="122">
        <f>IF(B437="","",IFERROR(B437/INDEX($B$2:$B$800,MATCH(DATE(YEAR(A437)-1,12,1),$A$2:$A$800,0))-1,""))</f>
        <v/>
      </c>
      <c r="E437" s="122">
        <f>IF(B437="","",IFERROR(B437/INDEX($B$2:$B$800,MATCH(DATE(YEAR(A437)-1,MONTH(A437),1),$A$2:$A$800,0))-1,""))</f>
        <v/>
      </c>
    </row>
    <row r="438">
      <c r="A438" s="124" t="n"/>
      <c r="B438" s="125" t="n"/>
      <c r="C438" s="122">
        <f>IF(OR(B438="",B437=""),"",B438/B437-1)</f>
        <v/>
      </c>
      <c r="D438" s="122">
        <f>IF(B438="","",IFERROR(B438/INDEX($B$2:$B$800,MATCH(DATE(YEAR(A438)-1,12,1),$A$2:$A$800,0))-1,""))</f>
        <v/>
      </c>
      <c r="E438" s="122">
        <f>IF(B438="","",IFERROR(B438/INDEX($B$2:$B$800,MATCH(DATE(YEAR(A438)-1,MONTH(A438),1),$A$2:$A$800,0))-1,""))</f>
        <v/>
      </c>
    </row>
    <row r="439">
      <c r="A439" s="124" t="n"/>
      <c r="B439" s="125" t="n"/>
      <c r="C439" s="122">
        <f>IF(OR(B439="",B438=""),"",B439/B438-1)</f>
        <v/>
      </c>
      <c r="D439" s="122">
        <f>IF(B439="","",IFERROR(B439/INDEX($B$2:$B$800,MATCH(DATE(YEAR(A439)-1,12,1),$A$2:$A$800,0))-1,""))</f>
        <v/>
      </c>
      <c r="E439" s="122">
        <f>IF(B439="","",IFERROR(B439/INDEX($B$2:$B$800,MATCH(DATE(YEAR(A439)-1,MONTH(A439),1),$A$2:$A$800,0))-1,""))</f>
        <v/>
      </c>
    </row>
    <row r="440">
      <c r="A440" s="124" t="n"/>
      <c r="B440" s="125" t="n"/>
      <c r="C440" s="122">
        <f>IF(OR(B440="",B439=""),"",B440/B439-1)</f>
        <v/>
      </c>
      <c r="D440" s="122">
        <f>IF(B440="","",IFERROR(B440/INDEX($B$2:$B$800,MATCH(DATE(YEAR(A440)-1,12,1),$A$2:$A$800,0))-1,""))</f>
        <v/>
      </c>
      <c r="E440" s="122">
        <f>IF(B440="","",IFERROR(B440/INDEX($B$2:$B$800,MATCH(DATE(YEAR(A440)-1,MONTH(A440),1),$A$2:$A$800,0))-1,""))</f>
        <v/>
      </c>
    </row>
    <row r="441">
      <c r="A441" s="124" t="n"/>
      <c r="B441" s="125" t="n"/>
      <c r="C441" s="122">
        <f>IF(OR(B441="",B440=""),"",B441/B440-1)</f>
        <v/>
      </c>
      <c r="D441" s="122">
        <f>IF(B441="","",IFERROR(B441/INDEX($B$2:$B$800,MATCH(DATE(YEAR(A441)-1,12,1),$A$2:$A$800,0))-1,""))</f>
        <v/>
      </c>
      <c r="E441" s="122">
        <f>IF(B441="","",IFERROR(B441/INDEX($B$2:$B$800,MATCH(DATE(YEAR(A441)-1,MONTH(A441),1),$A$2:$A$800,0))-1,""))</f>
        <v/>
      </c>
    </row>
    <row r="442">
      <c r="A442" s="124" t="n"/>
      <c r="B442" s="125" t="n"/>
      <c r="C442" s="122">
        <f>IF(OR(B442="",B441=""),"",B442/B441-1)</f>
        <v/>
      </c>
      <c r="D442" s="122">
        <f>IF(B442="","",IFERROR(B442/INDEX($B$2:$B$800,MATCH(DATE(YEAR(A442)-1,12,1),$A$2:$A$800,0))-1,""))</f>
        <v/>
      </c>
      <c r="E442" s="122">
        <f>IF(B442="","",IFERROR(B442/INDEX($B$2:$B$800,MATCH(DATE(YEAR(A442)-1,MONTH(A442),1),$A$2:$A$800,0))-1,""))</f>
        <v/>
      </c>
    </row>
    <row r="443">
      <c r="A443" s="124" t="n"/>
      <c r="B443" s="125" t="n"/>
      <c r="C443" s="122">
        <f>IF(OR(B443="",B442=""),"",B443/B442-1)</f>
        <v/>
      </c>
      <c r="D443" s="122">
        <f>IF(B443="","",IFERROR(B443/INDEX($B$2:$B$800,MATCH(DATE(YEAR(A443)-1,12,1),$A$2:$A$800,0))-1,""))</f>
        <v/>
      </c>
      <c r="E443" s="122">
        <f>IF(B443="","",IFERROR(B443/INDEX($B$2:$B$800,MATCH(DATE(YEAR(A443)-1,MONTH(A443),1),$A$2:$A$800,0))-1,""))</f>
        <v/>
      </c>
    </row>
    <row r="444">
      <c r="A444" s="124" t="n"/>
      <c r="B444" s="125" t="n"/>
      <c r="C444" s="122">
        <f>IF(OR(B444="",B443=""),"",B444/B443-1)</f>
        <v/>
      </c>
      <c r="D444" s="122">
        <f>IF(B444="","",IFERROR(B444/INDEX($B$2:$B$800,MATCH(DATE(YEAR(A444)-1,12,1),$A$2:$A$800,0))-1,""))</f>
        <v/>
      </c>
      <c r="E444" s="122">
        <f>IF(B444="","",IFERROR(B444/INDEX($B$2:$B$800,MATCH(DATE(YEAR(A444)-1,MONTH(A444),1),$A$2:$A$800,0))-1,""))</f>
        <v/>
      </c>
    </row>
    <row r="445">
      <c r="A445" s="124" t="n"/>
      <c r="B445" s="125" t="n"/>
      <c r="C445" s="122">
        <f>IF(OR(B445="",B444=""),"",B445/B444-1)</f>
        <v/>
      </c>
      <c r="D445" s="122">
        <f>IF(B445="","",IFERROR(B445/INDEX($B$2:$B$800,MATCH(DATE(YEAR(A445)-1,12,1),$A$2:$A$800,0))-1,""))</f>
        <v/>
      </c>
      <c r="E445" s="122">
        <f>IF(B445="","",IFERROR(B445/INDEX($B$2:$B$800,MATCH(DATE(YEAR(A445)-1,MONTH(A445),1),$A$2:$A$800,0))-1,""))</f>
        <v/>
      </c>
    </row>
    <row r="446">
      <c r="A446" s="124" t="n"/>
      <c r="B446" s="125" t="n"/>
      <c r="C446" s="122">
        <f>IF(OR(B446="",B445=""),"",B446/B445-1)</f>
        <v/>
      </c>
      <c r="D446" s="122">
        <f>IF(B446="","",IFERROR(B446/INDEX($B$2:$B$800,MATCH(DATE(YEAR(A446)-1,12,1),$A$2:$A$800,0))-1,""))</f>
        <v/>
      </c>
      <c r="E446" s="122">
        <f>IF(B446="","",IFERROR(B446/INDEX($B$2:$B$800,MATCH(DATE(YEAR(A446)-1,MONTH(A446),1),$A$2:$A$800,0))-1,""))</f>
        <v/>
      </c>
    </row>
    <row r="447">
      <c r="A447" s="124" t="n"/>
      <c r="B447" s="125" t="n"/>
      <c r="C447" s="122">
        <f>IF(OR(B447="",B446=""),"",B447/B446-1)</f>
        <v/>
      </c>
      <c r="D447" s="122">
        <f>IF(B447="","",IFERROR(B447/INDEX($B$2:$B$800,MATCH(DATE(YEAR(A447)-1,12,1),$A$2:$A$800,0))-1,""))</f>
        <v/>
      </c>
      <c r="E447" s="122">
        <f>IF(B447="","",IFERROR(B447/INDEX($B$2:$B$800,MATCH(DATE(YEAR(A447)-1,MONTH(A447),1),$A$2:$A$800,0))-1,""))</f>
        <v/>
      </c>
    </row>
    <row r="448">
      <c r="A448" s="124" t="n"/>
      <c r="B448" s="125" t="n"/>
      <c r="C448" s="122">
        <f>IF(OR(B448="",B447=""),"",B448/B447-1)</f>
        <v/>
      </c>
      <c r="D448" s="122">
        <f>IF(B448="","",IFERROR(B448/INDEX($B$2:$B$800,MATCH(DATE(YEAR(A448)-1,12,1),$A$2:$A$800,0))-1,""))</f>
        <v/>
      </c>
      <c r="E448" s="122">
        <f>IF(B448="","",IFERROR(B448/INDEX($B$2:$B$800,MATCH(DATE(YEAR(A448)-1,MONTH(A448),1),$A$2:$A$800,0))-1,""))</f>
        <v/>
      </c>
    </row>
    <row r="449">
      <c r="A449" s="124" t="n"/>
      <c r="B449" s="125" t="n"/>
      <c r="C449" s="122">
        <f>IF(OR(B449="",B448=""),"",B449/B448-1)</f>
        <v/>
      </c>
      <c r="D449" s="122">
        <f>IF(B449="","",IFERROR(B449/INDEX($B$2:$B$800,MATCH(DATE(YEAR(A449)-1,12,1),$A$2:$A$800,0))-1,""))</f>
        <v/>
      </c>
      <c r="E449" s="122">
        <f>IF(B449="","",IFERROR(B449/INDEX($B$2:$B$800,MATCH(DATE(YEAR(A449)-1,MONTH(A449),1),$A$2:$A$800,0))-1,""))</f>
        <v/>
      </c>
    </row>
    <row r="450">
      <c r="A450" s="124" t="n"/>
      <c r="B450" s="125" t="n"/>
      <c r="C450" s="122">
        <f>IF(OR(B450="",B449=""),"",B450/B449-1)</f>
        <v/>
      </c>
      <c r="D450" s="122">
        <f>IF(B450="","",IFERROR(B450/INDEX($B$2:$B$800,MATCH(DATE(YEAR(A450)-1,12,1),$A$2:$A$800,0))-1,""))</f>
        <v/>
      </c>
      <c r="E450" s="122">
        <f>IF(B450="","",IFERROR(B450/INDEX($B$2:$B$800,MATCH(DATE(YEAR(A450)-1,MONTH(A450),1),$A$2:$A$800,0))-1,""))</f>
        <v/>
      </c>
    </row>
    <row r="451">
      <c r="A451" s="124" t="n"/>
      <c r="B451" s="125" t="n"/>
      <c r="C451" s="122">
        <f>IF(OR(B451="",B450=""),"",B451/B450-1)</f>
        <v/>
      </c>
      <c r="D451" s="122">
        <f>IF(B451="","",IFERROR(B451/INDEX($B$2:$B$800,MATCH(DATE(YEAR(A451)-1,12,1),$A$2:$A$800,0))-1,""))</f>
        <v/>
      </c>
      <c r="E451" s="122">
        <f>IF(B451="","",IFERROR(B451/INDEX($B$2:$B$800,MATCH(DATE(YEAR(A451)-1,MONTH(A451),1),$A$2:$A$800,0))-1,""))</f>
        <v/>
      </c>
    </row>
    <row r="452">
      <c r="A452" s="124" t="n"/>
      <c r="B452" s="125" t="n"/>
      <c r="C452" s="122">
        <f>IF(OR(B452="",B451=""),"",B452/B451-1)</f>
        <v/>
      </c>
      <c r="D452" s="122">
        <f>IF(B452="","",IFERROR(B452/INDEX($B$2:$B$800,MATCH(DATE(YEAR(A452)-1,12,1),$A$2:$A$800,0))-1,""))</f>
        <v/>
      </c>
      <c r="E452" s="122">
        <f>IF(B452="","",IFERROR(B452/INDEX($B$2:$B$800,MATCH(DATE(YEAR(A452)-1,MONTH(A452),1),$A$2:$A$800,0))-1,""))</f>
        <v/>
      </c>
    </row>
    <row r="453">
      <c r="A453" s="124" t="n"/>
      <c r="B453" s="125" t="n"/>
      <c r="C453" s="122">
        <f>IF(OR(B453="",B452=""),"",B453/B452-1)</f>
        <v/>
      </c>
      <c r="D453" s="122">
        <f>IF(B453="","",IFERROR(B453/INDEX($B$2:$B$800,MATCH(DATE(YEAR(A453)-1,12,1),$A$2:$A$800,0))-1,""))</f>
        <v/>
      </c>
      <c r="E453" s="122">
        <f>IF(B453="","",IFERROR(B453/INDEX($B$2:$B$800,MATCH(DATE(YEAR(A453)-1,MONTH(A453),1),$A$2:$A$800,0))-1,""))</f>
        <v/>
      </c>
    </row>
    <row r="454">
      <c r="A454" s="124" t="n"/>
      <c r="B454" s="125" t="n"/>
      <c r="C454" s="122">
        <f>IF(OR(B454="",B453=""),"",B454/B453-1)</f>
        <v/>
      </c>
      <c r="D454" s="122">
        <f>IF(B454="","",IFERROR(B454/INDEX($B$2:$B$800,MATCH(DATE(YEAR(A454)-1,12,1),$A$2:$A$800,0))-1,""))</f>
        <v/>
      </c>
      <c r="E454" s="122">
        <f>IF(B454="","",IFERROR(B454/INDEX($B$2:$B$800,MATCH(DATE(YEAR(A454)-1,MONTH(A454),1),$A$2:$A$800,0))-1,""))</f>
        <v/>
      </c>
    </row>
    <row r="455">
      <c r="A455" s="124" t="n"/>
      <c r="B455" s="125" t="n"/>
      <c r="C455" s="122">
        <f>IF(OR(B455="",B454=""),"",B455/B454-1)</f>
        <v/>
      </c>
      <c r="D455" s="122">
        <f>IF(B455="","",IFERROR(B455/INDEX($B$2:$B$800,MATCH(DATE(YEAR(A455)-1,12,1),$A$2:$A$800,0))-1,""))</f>
        <v/>
      </c>
      <c r="E455" s="122">
        <f>IF(B455="","",IFERROR(B455/INDEX($B$2:$B$800,MATCH(DATE(YEAR(A455)-1,MONTH(A455),1),$A$2:$A$800,0))-1,""))</f>
        <v/>
      </c>
    </row>
    <row r="456">
      <c r="A456" s="124" t="n"/>
      <c r="B456" s="125" t="n"/>
      <c r="C456" s="122">
        <f>IF(OR(B456="",B455=""),"",B456/B455-1)</f>
        <v/>
      </c>
      <c r="D456" s="122">
        <f>IF(B456="","",IFERROR(B456/INDEX($B$2:$B$800,MATCH(DATE(YEAR(A456)-1,12,1),$A$2:$A$800,0))-1,""))</f>
        <v/>
      </c>
      <c r="E456" s="122">
        <f>IF(B456="","",IFERROR(B456/INDEX($B$2:$B$800,MATCH(DATE(YEAR(A456)-1,MONTH(A456),1),$A$2:$A$800,0))-1,""))</f>
        <v/>
      </c>
    </row>
    <row r="457">
      <c r="A457" s="124" t="n"/>
      <c r="B457" s="125" t="n"/>
      <c r="C457" s="122">
        <f>IF(OR(B457="",B456=""),"",B457/B456-1)</f>
        <v/>
      </c>
      <c r="D457" s="122">
        <f>IF(B457="","",IFERROR(B457/INDEX($B$2:$B$800,MATCH(DATE(YEAR(A457)-1,12,1),$A$2:$A$800,0))-1,""))</f>
        <v/>
      </c>
      <c r="E457" s="122">
        <f>IF(B457="","",IFERROR(B457/INDEX($B$2:$B$800,MATCH(DATE(YEAR(A457)-1,MONTH(A457),1),$A$2:$A$800,0))-1,""))</f>
        <v/>
      </c>
    </row>
    <row r="458">
      <c r="A458" s="124" t="n"/>
      <c r="B458" s="125" t="n"/>
      <c r="C458" s="122">
        <f>IF(OR(B458="",B457=""),"",B458/B457-1)</f>
        <v/>
      </c>
      <c r="D458" s="122">
        <f>IF(B458="","",IFERROR(B458/INDEX($B$2:$B$800,MATCH(DATE(YEAR(A458)-1,12,1),$A$2:$A$800,0))-1,""))</f>
        <v/>
      </c>
      <c r="E458" s="122">
        <f>IF(B458="","",IFERROR(B458/INDEX($B$2:$B$800,MATCH(DATE(YEAR(A458)-1,MONTH(A458),1),$A$2:$A$800,0))-1,""))</f>
        <v/>
      </c>
    </row>
    <row r="459">
      <c r="A459" s="124" t="n"/>
      <c r="B459" s="125" t="n"/>
      <c r="C459" s="122">
        <f>IF(OR(B459="",B458=""),"",B459/B458-1)</f>
        <v/>
      </c>
      <c r="D459" s="122">
        <f>IF(B459="","",IFERROR(B459/INDEX($B$2:$B$800,MATCH(DATE(YEAR(A459)-1,12,1),$A$2:$A$800,0))-1,""))</f>
        <v/>
      </c>
      <c r="E459" s="122">
        <f>IF(B459="","",IFERROR(B459/INDEX($B$2:$B$800,MATCH(DATE(YEAR(A459)-1,MONTH(A459),1),$A$2:$A$800,0))-1,""))</f>
        <v/>
      </c>
    </row>
    <row r="460">
      <c r="A460" s="124" t="n"/>
      <c r="B460" s="125" t="n"/>
      <c r="C460" s="122">
        <f>IF(OR(B460="",B459=""),"",B460/B459-1)</f>
        <v/>
      </c>
      <c r="D460" s="122">
        <f>IF(B460="","",IFERROR(B460/INDEX($B$2:$B$800,MATCH(DATE(YEAR(A460)-1,12,1),$A$2:$A$800,0))-1,""))</f>
        <v/>
      </c>
      <c r="E460" s="122">
        <f>IF(B460="","",IFERROR(B460/INDEX($B$2:$B$800,MATCH(DATE(YEAR(A460)-1,MONTH(A460),1),$A$2:$A$800,0))-1,""))</f>
        <v/>
      </c>
    </row>
    <row r="461">
      <c r="A461" s="124" t="n"/>
      <c r="B461" s="125" t="n"/>
      <c r="C461" s="122">
        <f>IF(OR(B461="",B460=""),"",B461/B460-1)</f>
        <v/>
      </c>
      <c r="D461" s="122">
        <f>IF(B461="","",IFERROR(B461/INDEX($B$2:$B$800,MATCH(DATE(YEAR(A461)-1,12,1),$A$2:$A$800,0))-1,""))</f>
        <v/>
      </c>
      <c r="E461" s="122">
        <f>IF(B461="","",IFERROR(B461/INDEX($B$2:$B$800,MATCH(DATE(YEAR(A461)-1,MONTH(A461),1),$A$2:$A$800,0))-1,""))</f>
        <v/>
      </c>
    </row>
    <row r="462">
      <c r="A462" s="124" t="n"/>
      <c r="B462" s="125" t="n"/>
      <c r="C462" s="122">
        <f>IF(OR(B462="",B461=""),"",B462/B461-1)</f>
        <v/>
      </c>
      <c r="D462" s="122">
        <f>IF(B462="","",IFERROR(B462/INDEX($B$2:$B$800,MATCH(DATE(YEAR(A462)-1,12,1),$A$2:$A$800,0))-1,""))</f>
        <v/>
      </c>
      <c r="E462" s="122">
        <f>IF(B462="","",IFERROR(B462/INDEX($B$2:$B$800,MATCH(DATE(YEAR(A462)-1,MONTH(A462),1),$A$2:$A$800,0))-1,""))</f>
        <v/>
      </c>
    </row>
    <row r="463">
      <c r="A463" s="124" t="n"/>
      <c r="B463" s="125" t="n"/>
      <c r="C463" s="122">
        <f>IF(OR(B463="",B462=""),"",B463/B462-1)</f>
        <v/>
      </c>
      <c r="D463" s="122">
        <f>IF(B463="","",IFERROR(B463/INDEX($B$2:$B$800,MATCH(DATE(YEAR(A463)-1,12,1),$A$2:$A$800,0))-1,""))</f>
        <v/>
      </c>
      <c r="E463" s="122">
        <f>IF(B463="","",IFERROR(B463/INDEX($B$2:$B$800,MATCH(DATE(YEAR(A463)-1,MONTH(A463),1),$A$2:$A$800,0))-1,""))</f>
        <v/>
      </c>
    </row>
    <row r="464">
      <c r="A464" s="124" t="n"/>
      <c r="B464" s="125" t="n"/>
      <c r="C464" s="122">
        <f>IF(OR(B464="",B463=""),"",B464/B463-1)</f>
        <v/>
      </c>
      <c r="D464" s="122">
        <f>IF(B464="","",IFERROR(B464/INDEX($B$2:$B$800,MATCH(DATE(YEAR(A464)-1,12,1),$A$2:$A$800,0))-1,""))</f>
        <v/>
      </c>
      <c r="E464" s="122">
        <f>IF(B464="","",IFERROR(B464/INDEX($B$2:$B$800,MATCH(DATE(YEAR(A464)-1,MONTH(A464),1),$A$2:$A$800,0))-1,""))</f>
        <v/>
      </c>
    </row>
    <row r="465">
      <c r="A465" s="124" t="n"/>
      <c r="B465" s="125" t="n"/>
      <c r="C465" s="122">
        <f>IF(OR(B465="",B464=""),"",B465/B464-1)</f>
        <v/>
      </c>
      <c r="D465" s="122">
        <f>IF(B465="","",IFERROR(B465/INDEX($B$2:$B$800,MATCH(DATE(YEAR(A465)-1,12,1),$A$2:$A$800,0))-1,""))</f>
        <v/>
      </c>
      <c r="E465" s="122">
        <f>IF(B465="","",IFERROR(B465/INDEX($B$2:$B$800,MATCH(DATE(YEAR(A465)-1,MONTH(A465),1),$A$2:$A$800,0))-1,""))</f>
        <v/>
      </c>
    </row>
    <row r="466">
      <c r="A466" s="124" t="n"/>
      <c r="B466" s="125" t="n"/>
      <c r="C466" s="122">
        <f>IF(OR(B466="",B465=""),"",B466/B465-1)</f>
        <v/>
      </c>
      <c r="D466" s="122">
        <f>IF(B466="","",IFERROR(B466/INDEX($B$2:$B$800,MATCH(DATE(YEAR(A466)-1,12,1),$A$2:$A$800,0))-1,""))</f>
        <v/>
      </c>
      <c r="E466" s="122">
        <f>IF(B466="","",IFERROR(B466/INDEX($B$2:$B$800,MATCH(DATE(YEAR(A466)-1,MONTH(A466),1),$A$2:$A$800,0))-1,""))</f>
        <v/>
      </c>
    </row>
    <row r="467">
      <c r="A467" s="124" t="n"/>
      <c r="B467" s="125" t="n"/>
      <c r="C467" s="122">
        <f>IF(OR(B467="",B466=""),"",B467/B466-1)</f>
        <v/>
      </c>
      <c r="D467" s="122">
        <f>IF(B467="","",IFERROR(B467/INDEX($B$2:$B$800,MATCH(DATE(YEAR(A467)-1,12,1),$A$2:$A$800,0))-1,""))</f>
        <v/>
      </c>
      <c r="E467" s="122">
        <f>IF(B467="","",IFERROR(B467/INDEX($B$2:$B$800,MATCH(DATE(YEAR(A467)-1,MONTH(A467),1),$A$2:$A$800,0))-1,""))</f>
        <v/>
      </c>
    </row>
    <row r="468">
      <c r="A468" s="124" t="n"/>
      <c r="B468" s="125" t="n"/>
      <c r="C468" s="122">
        <f>IF(OR(B468="",B467=""),"",B468/B467-1)</f>
        <v/>
      </c>
      <c r="D468" s="122">
        <f>IF(B468="","",IFERROR(B468/INDEX($B$2:$B$800,MATCH(DATE(YEAR(A468)-1,12,1),$A$2:$A$800,0))-1,""))</f>
        <v/>
      </c>
      <c r="E468" s="122">
        <f>IF(B468="","",IFERROR(B468/INDEX($B$2:$B$800,MATCH(DATE(YEAR(A468)-1,MONTH(A468),1),$A$2:$A$800,0))-1,""))</f>
        <v/>
      </c>
    </row>
    <row r="469">
      <c r="A469" s="124" t="n"/>
      <c r="B469" s="125" t="n"/>
      <c r="C469" s="122">
        <f>IF(OR(B469="",B468=""),"",B469/B468-1)</f>
        <v/>
      </c>
      <c r="D469" s="122">
        <f>IF(B469="","",IFERROR(B469/INDEX($B$2:$B$800,MATCH(DATE(YEAR(A469)-1,12,1),$A$2:$A$800,0))-1,""))</f>
        <v/>
      </c>
      <c r="E469" s="122">
        <f>IF(B469="","",IFERROR(B469/INDEX($B$2:$B$800,MATCH(DATE(YEAR(A469)-1,MONTH(A469),1),$A$2:$A$800,0))-1,""))</f>
        <v/>
      </c>
    </row>
    <row r="470">
      <c r="A470" s="124" t="n"/>
      <c r="B470" s="125" t="n"/>
      <c r="C470" s="122">
        <f>IF(OR(B470="",B469=""),"",B470/B469-1)</f>
        <v/>
      </c>
      <c r="D470" s="122">
        <f>IF(B470="","",IFERROR(B470/INDEX($B$2:$B$800,MATCH(DATE(YEAR(A470)-1,12,1),$A$2:$A$800,0))-1,""))</f>
        <v/>
      </c>
      <c r="E470" s="122">
        <f>IF(B470="","",IFERROR(B470/INDEX($B$2:$B$800,MATCH(DATE(YEAR(A470)-1,MONTH(A470),1),$A$2:$A$800,0))-1,""))</f>
        <v/>
      </c>
    </row>
    <row r="471">
      <c r="A471" s="124" t="n"/>
      <c r="B471" s="125" t="n"/>
      <c r="C471" s="122">
        <f>IF(OR(B471="",B470=""),"",B471/B470-1)</f>
        <v/>
      </c>
      <c r="D471" s="122">
        <f>IF(B471="","",IFERROR(B471/INDEX($B$2:$B$800,MATCH(DATE(YEAR(A471)-1,12,1),$A$2:$A$800,0))-1,""))</f>
        <v/>
      </c>
      <c r="E471" s="122">
        <f>IF(B471="","",IFERROR(B471/INDEX($B$2:$B$800,MATCH(DATE(YEAR(A471)-1,MONTH(A471),1),$A$2:$A$800,0))-1,""))</f>
        <v/>
      </c>
    </row>
    <row r="472">
      <c r="A472" s="124" t="n"/>
      <c r="B472" s="125" t="n"/>
      <c r="C472" s="122">
        <f>IF(OR(B472="",B471=""),"",B472/B471-1)</f>
        <v/>
      </c>
      <c r="D472" s="122">
        <f>IF(B472="","",IFERROR(B472/INDEX($B$2:$B$800,MATCH(DATE(YEAR(A472)-1,12,1),$A$2:$A$800,0))-1,""))</f>
        <v/>
      </c>
      <c r="E472" s="122">
        <f>IF(B472="","",IFERROR(B472/INDEX($B$2:$B$800,MATCH(DATE(YEAR(A472)-1,MONTH(A472),1),$A$2:$A$800,0))-1,""))</f>
        <v/>
      </c>
    </row>
    <row r="473">
      <c r="A473" s="124" t="n"/>
      <c r="B473" s="125" t="n"/>
      <c r="C473" s="122">
        <f>IF(OR(B473="",B472=""),"",B473/B472-1)</f>
        <v/>
      </c>
      <c r="D473" s="122">
        <f>IF(B473="","",IFERROR(B473/INDEX($B$2:$B$800,MATCH(DATE(YEAR(A473)-1,12,1),$A$2:$A$800,0))-1,""))</f>
        <v/>
      </c>
      <c r="E473" s="122">
        <f>IF(B473="","",IFERROR(B473/INDEX($B$2:$B$800,MATCH(DATE(YEAR(A473)-1,MONTH(A473),1),$A$2:$A$800,0))-1,""))</f>
        <v/>
      </c>
    </row>
    <row r="474">
      <c r="A474" s="124" t="n"/>
      <c r="B474" s="125" t="n"/>
      <c r="C474" s="122">
        <f>IF(OR(B474="",B473=""),"",B474/B473-1)</f>
        <v/>
      </c>
      <c r="D474" s="122">
        <f>IF(B474="","",IFERROR(B474/INDEX($B$2:$B$800,MATCH(DATE(YEAR(A474)-1,12,1),$A$2:$A$800,0))-1,""))</f>
        <v/>
      </c>
      <c r="E474" s="122">
        <f>IF(B474="","",IFERROR(B474/INDEX($B$2:$B$800,MATCH(DATE(YEAR(A474)-1,MONTH(A474),1),$A$2:$A$800,0))-1,""))</f>
        <v/>
      </c>
    </row>
    <row r="475">
      <c r="A475" s="124" t="n"/>
      <c r="B475" s="125" t="n"/>
      <c r="C475" s="122">
        <f>IF(OR(B475="",B474=""),"",B475/B474-1)</f>
        <v/>
      </c>
      <c r="D475" s="122">
        <f>IF(B475="","",IFERROR(B475/INDEX($B$2:$B$800,MATCH(DATE(YEAR(A475)-1,12,1),$A$2:$A$800,0))-1,""))</f>
        <v/>
      </c>
      <c r="E475" s="122">
        <f>IF(B475="","",IFERROR(B475/INDEX($B$2:$B$800,MATCH(DATE(YEAR(A475)-1,MONTH(A475),1),$A$2:$A$800,0))-1,""))</f>
        <v/>
      </c>
    </row>
    <row r="476">
      <c r="A476" s="124" t="n"/>
      <c r="B476" s="125" t="n"/>
      <c r="C476" s="122">
        <f>IF(OR(B476="",B475=""),"",B476/B475-1)</f>
        <v/>
      </c>
      <c r="D476" s="122">
        <f>IF(B476="","",IFERROR(B476/INDEX($B$2:$B$800,MATCH(DATE(YEAR(A476)-1,12,1),$A$2:$A$800,0))-1,""))</f>
        <v/>
      </c>
      <c r="E476" s="122">
        <f>IF(B476="","",IFERROR(B476/INDEX($B$2:$B$800,MATCH(DATE(YEAR(A476)-1,MONTH(A476),1),$A$2:$A$800,0))-1,""))</f>
        <v/>
      </c>
    </row>
    <row r="477">
      <c r="A477" s="124" t="n"/>
      <c r="B477" s="125" t="n"/>
      <c r="C477" s="122">
        <f>IF(OR(B477="",B476=""),"",B477/B476-1)</f>
        <v/>
      </c>
      <c r="D477" s="122">
        <f>IF(B477="","",IFERROR(B477/INDEX($B$2:$B$800,MATCH(DATE(YEAR(A477)-1,12,1),$A$2:$A$800,0))-1,""))</f>
        <v/>
      </c>
      <c r="E477" s="122">
        <f>IF(B477="","",IFERROR(B477/INDEX($B$2:$B$800,MATCH(DATE(YEAR(A477)-1,MONTH(A477),1),$A$2:$A$800,0))-1,""))</f>
        <v/>
      </c>
    </row>
    <row r="478">
      <c r="A478" s="124" t="n"/>
      <c r="B478" s="125" t="n"/>
      <c r="C478" s="122">
        <f>IF(OR(B478="",B477=""),"",B478/B477-1)</f>
        <v/>
      </c>
      <c r="D478" s="122">
        <f>IF(B478="","",IFERROR(B478/INDEX($B$2:$B$800,MATCH(DATE(YEAR(A478)-1,12,1),$A$2:$A$800,0))-1,""))</f>
        <v/>
      </c>
      <c r="E478" s="122">
        <f>IF(B478="","",IFERROR(B478/INDEX($B$2:$B$800,MATCH(DATE(YEAR(A478)-1,MONTH(A478),1),$A$2:$A$800,0))-1,""))</f>
        <v/>
      </c>
    </row>
    <row r="479">
      <c r="A479" s="124" t="n"/>
      <c r="B479" s="125" t="n"/>
      <c r="C479" s="122">
        <f>IF(OR(B479="",B478=""),"",B479/B478-1)</f>
        <v/>
      </c>
      <c r="D479" s="122">
        <f>IF(B479="","",IFERROR(B479/INDEX($B$2:$B$800,MATCH(DATE(YEAR(A479)-1,12,1),$A$2:$A$800,0))-1,""))</f>
        <v/>
      </c>
      <c r="E479" s="122">
        <f>IF(B479="","",IFERROR(B479/INDEX($B$2:$B$800,MATCH(DATE(YEAR(A479)-1,MONTH(A479),1),$A$2:$A$800,0))-1,""))</f>
        <v/>
      </c>
    </row>
    <row r="480">
      <c r="A480" s="124" t="n"/>
      <c r="B480" s="125" t="n"/>
      <c r="C480" s="122">
        <f>IF(OR(B480="",B479=""),"",B480/B479-1)</f>
        <v/>
      </c>
      <c r="D480" s="122">
        <f>IF(B480="","",IFERROR(B480/INDEX($B$2:$B$800,MATCH(DATE(YEAR(A480)-1,12,1),$A$2:$A$800,0))-1,""))</f>
        <v/>
      </c>
      <c r="E480" s="122">
        <f>IF(B480="","",IFERROR(B480/INDEX($B$2:$B$800,MATCH(DATE(YEAR(A480)-1,MONTH(A480),1),$A$2:$A$800,0))-1,""))</f>
        <v/>
      </c>
    </row>
    <row r="481">
      <c r="A481" s="124" t="n"/>
      <c r="B481" s="125" t="n"/>
      <c r="C481" s="122">
        <f>IF(OR(B481="",B480=""),"",B481/B480-1)</f>
        <v/>
      </c>
      <c r="D481" s="122">
        <f>IF(B481="","",IFERROR(B481/INDEX($B$2:$B$800,MATCH(DATE(YEAR(A481)-1,12,1),$A$2:$A$800,0))-1,""))</f>
        <v/>
      </c>
      <c r="E481" s="122">
        <f>IF(B481="","",IFERROR(B481/INDEX($B$2:$B$800,MATCH(DATE(YEAR(A481)-1,MONTH(A481),1),$A$2:$A$800,0))-1,""))</f>
        <v/>
      </c>
    </row>
    <row r="482">
      <c r="A482" s="124" t="n"/>
      <c r="B482" s="125" t="n"/>
      <c r="C482" s="122">
        <f>IF(OR(B482="",B481=""),"",B482/B481-1)</f>
        <v/>
      </c>
      <c r="D482" s="122">
        <f>IF(B482="","",IFERROR(B482/INDEX($B$2:$B$800,MATCH(DATE(YEAR(A482)-1,12,1),$A$2:$A$800,0))-1,""))</f>
        <v/>
      </c>
      <c r="E482" s="122">
        <f>IF(B482="","",IFERROR(B482/INDEX($B$2:$B$800,MATCH(DATE(YEAR(A482)-1,MONTH(A482),1),$A$2:$A$800,0))-1,""))</f>
        <v/>
      </c>
    </row>
    <row r="483">
      <c r="A483" s="124" t="n"/>
      <c r="B483" s="125" t="n"/>
      <c r="C483" s="122">
        <f>IF(OR(B483="",B482=""),"",B483/B482-1)</f>
        <v/>
      </c>
      <c r="D483" s="122">
        <f>IF(B483="","",IFERROR(B483/INDEX($B$2:$B$800,MATCH(DATE(YEAR(A483)-1,12,1),$A$2:$A$800,0))-1,""))</f>
        <v/>
      </c>
      <c r="E483" s="122">
        <f>IF(B483="","",IFERROR(B483/INDEX($B$2:$B$800,MATCH(DATE(YEAR(A483)-1,MONTH(A483),1),$A$2:$A$800,0))-1,""))</f>
        <v/>
      </c>
    </row>
    <row r="484">
      <c r="A484" s="124" t="n"/>
      <c r="B484" s="125" t="n"/>
      <c r="C484" s="122">
        <f>IF(OR(B484="",B483=""),"",B484/B483-1)</f>
        <v/>
      </c>
      <c r="D484" s="122">
        <f>IF(B484="","",IFERROR(B484/INDEX($B$2:$B$800,MATCH(DATE(YEAR(A484)-1,12,1),$A$2:$A$800,0))-1,""))</f>
        <v/>
      </c>
      <c r="E484" s="122">
        <f>IF(B484="","",IFERROR(B484/INDEX($B$2:$B$800,MATCH(DATE(YEAR(A484)-1,MONTH(A484),1),$A$2:$A$800,0))-1,""))</f>
        <v/>
      </c>
    </row>
    <row r="485">
      <c r="A485" s="124" t="n"/>
      <c r="B485" s="125" t="n"/>
      <c r="C485" s="122">
        <f>IF(OR(B485="",B484=""),"",B485/B484-1)</f>
        <v/>
      </c>
      <c r="D485" s="122">
        <f>IF(B485="","",IFERROR(B485/INDEX($B$2:$B$800,MATCH(DATE(YEAR(A485)-1,12,1),$A$2:$A$800,0))-1,""))</f>
        <v/>
      </c>
      <c r="E485" s="122">
        <f>IF(B485="","",IFERROR(B485/INDEX($B$2:$B$800,MATCH(DATE(YEAR(A485)-1,MONTH(A485),1),$A$2:$A$800,0))-1,""))</f>
        <v/>
      </c>
    </row>
    <row r="486">
      <c r="A486" s="124" t="n"/>
      <c r="B486" s="125" t="n"/>
      <c r="C486" s="122">
        <f>IF(OR(B486="",B485=""),"",B486/B485-1)</f>
        <v/>
      </c>
      <c r="D486" s="122">
        <f>IF(B486="","",IFERROR(B486/INDEX($B$2:$B$800,MATCH(DATE(YEAR(A486)-1,12,1),$A$2:$A$800,0))-1,""))</f>
        <v/>
      </c>
      <c r="E486" s="122">
        <f>IF(B486="","",IFERROR(B486/INDEX($B$2:$B$800,MATCH(DATE(YEAR(A486)-1,MONTH(A486),1),$A$2:$A$800,0))-1,""))</f>
        <v/>
      </c>
    </row>
    <row r="487">
      <c r="A487" s="124" t="n"/>
      <c r="B487" s="125" t="n"/>
      <c r="C487" s="122">
        <f>IF(OR(B487="",B486=""),"",B487/B486-1)</f>
        <v/>
      </c>
      <c r="D487" s="122">
        <f>IF(B487="","",IFERROR(B487/INDEX($B$2:$B$800,MATCH(DATE(YEAR(A487)-1,12,1),$A$2:$A$800,0))-1,""))</f>
        <v/>
      </c>
      <c r="E487" s="122">
        <f>IF(B487="","",IFERROR(B487/INDEX($B$2:$B$800,MATCH(DATE(YEAR(A487)-1,MONTH(A487),1),$A$2:$A$800,0))-1,""))</f>
        <v/>
      </c>
    </row>
    <row r="488">
      <c r="A488" s="124" t="n"/>
      <c r="B488" s="125" t="n"/>
      <c r="C488" s="122">
        <f>IF(OR(B488="",B487=""),"",B488/B487-1)</f>
        <v/>
      </c>
      <c r="D488" s="122">
        <f>IF(B488="","",IFERROR(B488/INDEX($B$2:$B$800,MATCH(DATE(YEAR(A488)-1,12,1),$A$2:$A$800,0))-1,""))</f>
        <v/>
      </c>
      <c r="E488" s="122">
        <f>IF(B488="","",IFERROR(B488/INDEX($B$2:$B$800,MATCH(DATE(YEAR(A488)-1,MONTH(A488),1),$A$2:$A$800,0))-1,""))</f>
        <v/>
      </c>
    </row>
    <row r="489">
      <c r="A489" s="124" t="n"/>
      <c r="B489" s="125" t="n"/>
      <c r="C489" s="122">
        <f>IF(OR(B489="",B488=""),"",B489/B488-1)</f>
        <v/>
      </c>
      <c r="D489" s="122">
        <f>IF(B489="","",IFERROR(B489/INDEX($B$2:$B$800,MATCH(DATE(YEAR(A489)-1,12,1),$A$2:$A$800,0))-1,""))</f>
        <v/>
      </c>
      <c r="E489" s="122">
        <f>IF(B489="","",IFERROR(B489/INDEX($B$2:$B$800,MATCH(DATE(YEAR(A489)-1,MONTH(A489),1),$A$2:$A$800,0))-1,""))</f>
        <v/>
      </c>
    </row>
    <row r="490">
      <c r="A490" s="124" t="n"/>
      <c r="B490" s="125" t="n"/>
      <c r="C490" s="122">
        <f>IF(OR(B490="",B489=""),"",B490/B489-1)</f>
        <v/>
      </c>
      <c r="D490" s="122">
        <f>IF(B490="","",IFERROR(B490/INDEX($B$2:$B$800,MATCH(DATE(YEAR(A490)-1,12,1),$A$2:$A$800,0))-1,""))</f>
        <v/>
      </c>
      <c r="E490" s="122">
        <f>IF(B490="","",IFERROR(B490/INDEX($B$2:$B$800,MATCH(DATE(YEAR(A490)-1,MONTH(A490),1),$A$2:$A$800,0))-1,""))</f>
        <v/>
      </c>
    </row>
    <row r="491">
      <c r="A491" s="124" t="n"/>
      <c r="B491" s="125" t="n"/>
      <c r="C491" s="122">
        <f>IF(OR(B491="",B490=""),"",B491/B490-1)</f>
        <v/>
      </c>
      <c r="D491" s="122">
        <f>IF(B491="","",IFERROR(B491/INDEX($B$2:$B$800,MATCH(DATE(YEAR(A491)-1,12,1),$A$2:$A$800,0))-1,""))</f>
        <v/>
      </c>
      <c r="E491" s="122">
        <f>IF(B491="","",IFERROR(B491/INDEX($B$2:$B$800,MATCH(DATE(YEAR(A491)-1,MONTH(A491),1),$A$2:$A$800,0))-1,""))</f>
        <v/>
      </c>
    </row>
    <row r="492">
      <c r="A492" s="124" t="n"/>
      <c r="B492" s="125" t="n"/>
      <c r="C492" s="122">
        <f>IF(OR(B492="",B491=""),"",B492/B491-1)</f>
        <v/>
      </c>
      <c r="D492" s="122">
        <f>IF(B492="","",IFERROR(B492/INDEX($B$2:$B$800,MATCH(DATE(YEAR(A492)-1,12,1),$A$2:$A$800,0))-1,""))</f>
        <v/>
      </c>
      <c r="E492" s="122">
        <f>IF(B492="","",IFERROR(B492/INDEX($B$2:$B$800,MATCH(DATE(YEAR(A492)-1,MONTH(A492),1),$A$2:$A$800,0))-1,""))</f>
        <v/>
      </c>
    </row>
    <row r="493">
      <c r="A493" s="124" t="n"/>
      <c r="B493" s="125" t="n"/>
      <c r="C493" s="122">
        <f>IF(OR(B493="",B492=""),"",B493/B492-1)</f>
        <v/>
      </c>
      <c r="D493" s="122">
        <f>IF(B493="","",IFERROR(B493/INDEX($B$2:$B$800,MATCH(DATE(YEAR(A493)-1,12,1),$A$2:$A$800,0))-1,""))</f>
        <v/>
      </c>
      <c r="E493" s="122">
        <f>IF(B493="","",IFERROR(B493/INDEX($B$2:$B$800,MATCH(DATE(YEAR(A493)-1,MONTH(A493),1),$A$2:$A$800,0))-1,""))</f>
        <v/>
      </c>
    </row>
    <row r="494">
      <c r="A494" s="124" t="n"/>
      <c r="B494" s="125" t="n"/>
      <c r="C494" s="122">
        <f>IF(OR(B494="",B493=""),"",B494/B493-1)</f>
        <v/>
      </c>
      <c r="D494" s="122">
        <f>IF(B494="","",IFERROR(B494/INDEX($B$2:$B$800,MATCH(DATE(YEAR(A494)-1,12,1),$A$2:$A$800,0))-1,""))</f>
        <v/>
      </c>
      <c r="E494" s="122">
        <f>IF(B494="","",IFERROR(B494/INDEX($B$2:$B$800,MATCH(DATE(YEAR(A494)-1,MONTH(A494),1),$A$2:$A$800,0))-1,""))</f>
        <v/>
      </c>
    </row>
    <row r="495">
      <c r="A495" s="124" t="n"/>
      <c r="B495" s="125" t="n"/>
      <c r="C495" s="122">
        <f>IF(OR(B495="",B494=""),"",B495/B494-1)</f>
        <v/>
      </c>
      <c r="D495" s="122">
        <f>IF(B495="","",IFERROR(B495/INDEX($B$2:$B$800,MATCH(DATE(YEAR(A495)-1,12,1),$A$2:$A$800,0))-1,""))</f>
        <v/>
      </c>
      <c r="E495" s="122">
        <f>IF(B495="","",IFERROR(B495/INDEX($B$2:$B$800,MATCH(DATE(YEAR(A495)-1,MONTH(A495),1),$A$2:$A$800,0))-1,""))</f>
        <v/>
      </c>
    </row>
    <row r="496">
      <c r="A496" s="124" t="n"/>
      <c r="B496" s="125" t="n"/>
      <c r="C496" s="122">
        <f>IF(OR(B496="",B495=""),"",B496/B495-1)</f>
        <v/>
      </c>
      <c r="D496" s="122">
        <f>IF(B496="","",IFERROR(B496/INDEX($B$2:$B$800,MATCH(DATE(YEAR(A496)-1,12,1),$A$2:$A$800,0))-1,""))</f>
        <v/>
      </c>
      <c r="E496" s="122">
        <f>IF(B496="","",IFERROR(B496/INDEX($B$2:$B$800,MATCH(DATE(YEAR(A496)-1,MONTH(A496),1),$A$2:$A$800,0))-1,""))</f>
        <v/>
      </c>
    </row>
    <row r="497">
      <c r="A497" s="124" t="n"/>
      <c r="B497" s="125" t="n"/>
      <c r="C497" s="122">
        <f>IF(OR(B497="",B496=""),"",B497/B496-1)</f>
        <v/>
      </c>
      <c r="D497" s="122">
        <f>IF(B497="","",IFERROR(B497/INDEX($B$2:$B$800,MATCH(DATE(YEAR(A497)-1,12,1),$A$2:$A$800,0))-1,""))</f>
        <v/>
      </c>
      <c r="E497" s="122">
        <f>IF(B497="","",IFERROR(B497/INDEX($B$2:$B$800,MATCH(DATE(YEAR(A497)-1,MONTH(A497),1),$A$2:$A$800,0))-1,""))</f>
        <v/>
      </c>
    </row>
    <row r="498">
      <c r="A498" s="124" t="n"/>
      <c r="B498" s="125" t="n"/>
      <c r="C498" s="122">
        <f>IF(OR(B498="",B497=""),"",B498/B497-1)</f>
        <v/>
      </c>
      <c r="D498" s="122">
        <f>IF(B498="","",IFERROR(B498/INDEX($B$2:$B$800,MATCH(DATE(YEAR(A498)-1,12,1),$A$2:$A$800,0))-1,""))</f>
        <v/>
      </c>
      <c r="E498" s="122">
        <f>IF(B498="","",IFERROR(B498/INDEX($B$2:$B$800,MATCH(DATE(YEAR(A498)-1,MONTH(A498),1),$A$2:$A$800,0))-1,""))</f>
        <v/>
      </c>
    </row>
    <row r="499">
      <c r="A499" s="124" t="n"/>
      <c r="B499" s="125" t="n"/>
      <c r="C499" s="122">
        <f>IF(OR(B499="",B498=""),"",B499/B498-1)</f>
        <v/>
      </c>
      <c r="D499" s="122">
        <f>IF(B499="","",IFERROR(B499/INDEX($B$2:$B$800,MATCH(DATE(YEAR(A499)-1,12,1),$A$2:$A$800,0))-1,""))</f>
        <v/>
      </c>
      <c r="E499" s="122">
        <f>IF(B499="","",IFERROR(B499/INDEX($B$2:$B$800,MATCH(DATE(YEAR(A499)-1,MONTH(A499),1),$A$2:$A$800,0))-1,""))</f>
        <v/>
      </c>
    </row>
    <row r="500">
      <c r="A500" s="124" t="n"/>
      <c r="B500" s="125" t="n"/>
      <c r="C500" s="122">
        <f>IF(OR(B500="",B499=""),"",B500/B499-1)</f>
        <v/>
      </c>
      <c r="D500" s="122">
        <f>IF(B500="","",IFERROR(B500/INDEX($B$2:$B$800,MATCH(DATE(YEAR(A500)-1,12,1),$A$2:$A$800,0))-1,""))</f>
        <v/>
      </c>
      <c r="E500" s="122">
        <f>IF(B500="","",IFERROR(B500/INDEX($B$2:$B$800,MATCH(DATE(YEAR(A500)-1,MONTH(A500),1),$A$2:$A$800,0))-1,""))</f>
        <v/>
      </c>
    </row>
    <row r="501">
      <c r="A501" s="124" t="n"/>
      <c r="B501" s="125" t="n"/>
      <c r="C501" s="122">
        <f>IF(OR(B501="",B500=""),"",B501/B500-1)</f>
        <v/>
      </c>
      <c r="D501" s="122">
        <f>IF(B501="","",IFERROR(B501/INDEX($B$2:$B$800,MATCH(DATE(YEAR(A501)-1,12,1),$A$2:$A$800,0))-1,""))</f>
        <v/>
      </c>
      <c r="E501" s="122">
        <f>IF(B501="","",IFERROR(B501/INDEX($B$2:$B$800,MATCH(DATE(YEAR(A501)-1,MONTH(A501),1),$A$2:$A$800,0))-1,""))</f>
        <v/>
      </c>
    </row>
    <row r="502">
      <c r="A502" s="124" t="n"/>
      <c r="B502" s="125" t="n"/>
      <c r="C502" s="122">
        <f>IF(OR(B502="",B501=""),"",B502/B501-1)</f>
        <v/>
      </c>
      <c r="D502" s="122">
        <f>IF(B502="","",IFERROR(B502/INDEX($B$2:$B$800,MATCH(DATE(YEAR(A502)-1,12,1),$A$2:$A$800,0))-1,""))</f>
        <v/>
      </c>
      <c r="E502" s="122">
        <f>IF(B502="","",IFERROR(B502/INDEX($B$2:$B$800,MATCH(DATE(YEAR(A502)-1,MONTH(A502),1),$A$2:$A$800,0))-1,""))</f>
        <v/>
      </c>
    </row>
    <row r="503">
      <c r="A503" s="124" t="n"/>
      <c r="B503" s="125" t="n"/>
      <c r="C503" s="122">
        <f>IF(OR(B503="",B502=""),"",B503/B502-1)</f>
        <v/>
      </c>
      <c r="D503" s="122">
        <f>IF(B503="","",IFERROR(B503/INDEX($B$2:$B$800,MATCH(DATE(YEAR(A503)-1,12,1),$A$2:$A$800,0))-1,""))</f>
        <v/>
      </c>
      <c r="E503" s="122">
        <f>IF(B503="","",IFERROR(B503/INDEX($B$2:$B$800,MATCH(DATE(YEAR(A503)-1,MONTH(A503),1),$A$2:$A$800,0))-1,""))</f>
        <v/>
      </c>
    </row>
    <row r="504">
      <c r="A504" s="124" t="n"/>
      <c r="B504" s="125" t="n"/>
      <c r="C504" s="122">
        <f>IF(OR(B504="",B503=""),"",B504/B503-1)</f>
        <v/>
      </c>
      <c r="D504" s="122">
        <f>IF(B504="","",IFERROR(B504/INDEX($B$2:$B$800,MATCH(DATE(YEAR(A504)-1,12,1),$A$2:$A$800,0))-1,""))</f>
        <v/>
      </c>
      <c r="E504" s="122">
        <f>IF(B504="","",IFERROR(B504/INDEX($B$2:$B$800,MATCH(DATE(YEAR(A504)-1,MONTH(A504),1),$A$2:$A$800,0))-1,""))</f>
        <v/>
      </c>
    </row>
    <row r="505">
      <c r="A505" s="124" t="n"/>
      <c r="B505" s="125" t="n"/>
      <c r="C505" s="122">
        <f>IF(OR(B505="",B504=""),"",B505/B504-1)</f>
        <v/>
      </c>
      <c r="D505" s="122">
        <f>IF(B505="","",IFERROR(B505/INDEX($B$2:$B$800,MATCH(DATE(YEAR(A505)-1,12,1),$A$2:$A$800,0))-1,""))</f>
        <v/>
      </c>
      <c r="E505" s="122">
        <f>IF(B505="","",IFERROR(B505/INDEX($B$2:$B$800,MATCH(DATE(YEAR(A505)-1,MONTH(A505),1),$A$2:$A$800,0))-1,""))</f>
        <v/>
      </c>
    </row>
    <row r="506">
      <c r="A506" s="124" t="n"/>
      <c r="B506" s="125" t="n"/>
      <c r="C506" s="122">
        <f>IF(OR(B506="",B505=""),"",B506/B505-1)</f>
        <v/>
      </c>
      <c r="D506" s="122">
        <f>IF(B506="","",IFERROR(B506/INDEX($B$2:$B$800,MATCH(DATE(YEAR(A506)-1,12,1),$A$2:$A$800,0))-1,""))</f>
        <v/>
      </c>
      <c r="E506" s="122">
        <f>IF(B506="","",IFERROR(B506/INDEX($B$2:$B$800,MATCH(DATE(YEAR(A506)-1,MONTH(A506),1),$A$2:$A$800,0))-1,""))</f>
        <v/>
      </c>
    </row>
    <row r="507">
      <c r="A507" s="124" t="n"/>
      <c r="B507" s="125" t="n"/>
      <c r="C507" s="122">
        <f>IF(OR(B507="",B506=""),"",B507/B506-1)</f>
        <v/>
      </c>
      <c r="D507" s="122">
        <f>IF(B507="","",IFERROR(B507/INDEX($B$2:$B$800,MATCH(DATE(YEAR(A507)-1,12,1),$A$2:$A$800,0))-1,""))</f>
        <v/>
      </c>
      <c r="E507" s="122">
        <f>IF(B507="","",IFERROR(B507/INDEX($B$2:$B$800,MATCH(DATE(YEAR(A507)-1,MONTH(A507),1),$A$2:$A$800,0))-1,""))</f>
        <v/>
      </c>
    </row>
    <row r="508">
      <c r="A508" s="124" t="n"/>
      <c r="B508" s="125" t="n"/>
      <c r="C508" s="122">
        <f>IF(OR(B508="",B507=""),"",B508/B507-1)</f>
        <v/>
      </c>
      <c r="D508" s="122">
        <f>IF(B508="","",IFERROR(B508/INDEX($B$2:$B$800,MATCH(DATE(YEAR(A508)-1,12,1),$A$2:$A$800,0))-1,""))</f>
        <v/>
      </c>
      <c r="E508" s="122">
        <f>IF(B508="","",IFERROR(B508/INDEX($B$2:$B$800,MATCH(DATE(YEAR(A508)-1,MONTH(A508),1),$A$2:$A$800,0))-1,""))</f>
        <v/>
      </c>
    </row>
    <row r="509">
      <c r="A509" s="124" t="n"/>
      <c r="B509" s="125" t="n"/>
      <c r="C509" s="122">
        <f>IF(OR(B509="",B508=""),"",B509/B508-1)</f>
        <v/>
      </c>
      <c r="D509" s="122">
        <f>IF(B509="","",IFERROR(B509/INDEX($B$2:$B$800,MATCH(DATE(YEAR(A509)-1,12,1),$A$2:$A$800,0))-1,""))</f>
        <v/>
      </c>
      <c r="E509" s="122">
        <f>IF(B509="","",IFERROR(B509/INDEX($B$2:$B$800,MATCH(DATE(YEAR(A509)-1,MONTH(A509),1),$A$2:$A$800,0))-1,""))</f>
        <v/>
      </c>
    </row>
    <row r="510">
      <c r="A510" s="124" t="n"/>
      <c r="B510" s="125" t="n"/>
      <c r="C510" s="122">
        <f>IF(OR(B510="",B509=""),"",B510/B509-1)</f>
        <v/>
      </c>
      <c r="D510" s="122">
        <f>IF(B510="","",IFERROR(B510/INDEX($B$2:$B$800,MATCH(DATE(YEAR(A510)-1,12,1),$A$2:$A$800,0))-1,""))</f>
        <v/>
      </c>
      <c r="E510" s="122">
        <f>IF(B510="","",IFERROR(B510/INDEX($B$2:$B$800,MATCH(DATE(YEAR(A510)-1,MONTH(A510),1),$A$2:$A$800,0))-1,""))</f>
        <v/>
      </c>
    </row>
    <row r="511">
      <c r="A511" s="124" t="n"/>
      <c r="B511" s="125" t="n"/>
      <c r="C511" s="122">
        <f>IF(OR(B511="",B510=""),"",B511/B510-1)</f>
        <v/>
      </c>
      <c r="D511" s="122">
        <f>IF(B511="","",IFERROR(B511/INDEX($B$2:$B$800,MATCH(DATE(YEAR(A511)-1,12,1),$A$2:$A$800,0))-1,""))</f>
        <v/>
      </c>
      <c r="E511" s="122">
        <f>IF(B511="","",IFERROR(B511/INDEX($B$2:$B$800,MATCH(DATE(YEAR(A511)-1,MONTH(A511),1),$A$2:$A$800,0))-1,""))</f>
        <v/>
      </c>
    </row>
    <row r="512">
      <c r="A512" s="124" t="n"/>
      <c r="B512" s="125" t="n"/>
      <c r="C512" s="122">
        <f>IF(OR(B512="",B511=""),"",B512/B511-1)</f>
        <v/>
      </c>
      <c r="D512" s="122">
        <f>IF(B512="","",IFERROR(B512/INDEX($B$2:$B$800,MATCH(DATE(YEAR(A512)-1,12,1),$A$2:$A$800,0))-1,""))</f>
        <v/>
      </c>
      <c r="E512" s="122">
        <f>IF(B512="","",IFERROR(B512/INDEX($B$2:$B$800,MATCH(DATE(YEAR(A512)-1,MONTH(A512),1),$A$2:$A$800,0))-1,""))</f>
        <v/>
      </c>
    </row>
    <row r="513">
      <c r="A513" s="124" t="n"/>
      <c r="B513" s="125" t="n"/>
      <c r="C513" s="122">
        <f>IF(OR(B513="",B512=""),"",B513/B512-1)</f>
        <v/>
      </c>
      <c r="D513" s="122">
        <f>IF(B513="","",IFERROR(B513/INDEX($B$2:$B$800,MATCH(DATE(YEAR(A513)-1,12,1),$A$2:$A$800,0))-1,""))</f>
        <v/>
      </c>
      <c r="E513" s="122">
        <f>IF(B513="","",IFERROR(B513/INDEX($B$2:$B$800,MATCH(DATE(YEAR(A513)-1,MONTH(A513),1),$A$2:$A$800,0))-1,""))</f>
        <v/>
      </c>
    </row>
    <row r="514">
      <c r="A514" s="124" t="n"/>
      <c r="B514" s="125" t="n"/>
      <c r="C514" s="122">
        <f>IF(OR(B514="",B513=""),"",B514/B513-1)</f>
        <v/>
      </c>
      <c r="D514" s="122">
        <f>IF(B514="","",IFERROR(B514/INDEX($B$2:$B$800,MATCH(DATE(YEAR(A514)-1,12,1),$A$2:$A$800,0))-1,""))</f>
        <v/>
      </c>
      <c r="E514" s="122">
        <f>IF(B514="","",IFERROR(B514/INDEX($B$2:$B$800,MATCH(DATE(YEAR(A514)-1,MONTH(A514),1),$A$2:$A$800,0))-1,""))</f>
        <v/>
      </c>
    </row>
    <row r="515">
      <c r="A515" s="124" t="n"/>
      <c r="B515" s="125" t="n"/>
      <c r="C515" s="122">
        <f>IF(OR(B515="",B514=""),"",B515/B514-1)</f>
        <v/>
      </c>
      <c r="D515" s="122">
        <f>IF(B515="","",IFERROR(B515/INDEX($B$2:$B$800,MATCH(DATE(YEAR(A515)-1,12,1),$A$2:$A$800,0))-1,""))</f>
        <v/>
      </c>
      <c r="E515" s="122">
        <f>IF(B515="","",IFERROR(B515/INDEX($B$2:$B$800,MATCH(DATE(YEAR(A515)-1,MONTH(A515),1),$A$2:$A$800,0))-1,""))</f>
        <v/>
      </c>
    </row>
    <row r="516">
      <c r="A516" s="124" t="n"/>
      <c r="B516" s="125" t="n"/>
      <c r="C516" s="122">
        <f>IF(OR(B516="",B515=""),"",B516/B515-1)</f>
        <v/>
      </c>
      <c r="D516" s="122">
        <f>IF(B516="","",IFERROR(B516/INDEX($B$2:$B$800,MATCH(DATE(YEAR(A516)-1,12,1),$A$2:$A$800,0))-1,""))</f>
        <v/>
      </c>
      <c r="E516" s="122">
        <f>IF(B516="","",IFERROR(B516/INDEX($B$2:$B$800,MATCH(DATE(YEAR(A516)-1,MONTH(A516),1),$A$2:$A$800,0))-1,""))</f>
        <v/>
      </c>
    </row>
    <row r="517">
      <c r="A517" s="124" t="n"/>
      <c r="B517" s="125" t="n"/>
      <c r="C517" s="122">
        <f>IF(OR(B517="",B516=""),"",B517/B516-1)</f>
        <v/>
      </c>
      <c r="D517" s="122">
        <f>IF(B517="","",IFERROR(B517/INDEX($B$2:$B$800,MATCH(DATE(YEAR(A517)-1,12,1),$A$2:$A$800,0))-1,""))</f>
        <v/>
      </c>
      <c r="E517" s="122">
        <f>IF(B517="","",IFERROR(B517/INDEX($B$2:$B$800,MATCH(DATE(YEAR(A517)-1,MONTH(A517),1),$A$2:$A$800,0))-1,""))</f>
        <v/>
      </c>
    </row>
    <row r="518">
      <c r="A518" s="124" t="n"/>
      <c r="B518" s="125" t="n"/>
      <c r="C518" s="122">
        <f>IF(OR(B518="",B517=""),"",B518/B517-1)</f>
        <v/>
      </c>
      <c r="D518" s="122">
        <f>IF(B518="","",IFERROR(B518/INDEX($B$2:$B$800,MATCH(DATE(YEAR(A518)-1,12,1),$A$2:$A$800,0))-1,""))</f>
        <v/>
      </c>
      <c r="E518" s="122">
        <f>IF(B518="","",IFERROR(B518/INDEX($B$2:$B$800,MATCH(DATE(YEAR(A518)-1,MONTH(A518),1),$A$2:$A$800,0))-1,""))</f>
        <v/>
      </c>
    </row>
    <row r="519">
      <c r="A519" s="124" t="n"/>
      <c r="B519" s="125" t="n"/>
      <c r="C519" s="122">
        <f>IF(OR(B519="",B518=""),"",B519/B518-1)</f>
        <v/>
      </c>
      <c r="D519" s="122">
        <f>IF(B519="","",IFERROR(B519/INDEX($B$2:$B$800,MATCH(DATE(YEAR(A519)-1,12,1),$A$2:$A$800,0))-1,""))</f>
        <v/>
      </c>
      <c r="E519" s="122">
        <f>IF(B519="","",IFERROR(B519/INDEX($B$2:$B$800,MATCH(DATE(YEAR(A519)-1,MONTH(A519),1),$A$2:$A$800,0))-1,""))</f>
        <v/>
      </c>
    </row>
    <row r="520">
      <c r="A520" s="124" t="n"/>
      <c r="B520" s="125" t="n"/>
      <c r="C520" s="122">
        <f>IF(OR(B520="",B519=""),"",B520/B519-1)</f>
        <v/>
      </c>
      <c r="D520" s="122">
        <f>IF(B520="","",IFERROR(B520/INDEX($B$2:$B$800,MATCH(DATE(YEAR(A520)-1,12,1),$A$2:$A$800,0))-1,""))</f>
        <v/>
      </c>
      <c r="E520" s="122">
        <f>IF(B520="","",IFERROR(B520/INDEX($B$2:$B$800,MATCH(DATE(YEAR(A520)-1,MONTH(A520),1),$A$2:$A$800,0))-1,""))</f>
        <v/>
      </c>
    </row>
    <row r="521">
      <c r="A521" s="124" t="n"/>
      <c r="B521" s="125" t="n"/>
      <c r="C521" s="122">
        <f>IF(OR(B521="",B520=""),"",B521/B520-1)</f>
        <v/>
      </c>
      <c r="D521" s="122">
        <f>IF(B521="","",IFERROR(B521/INDEX($B$2:$B$800,MATCH(DATE(YEAR(A521)-1,12,1),$A$2:$A$800,0))-1,""))</f>
        <v/>
      </c>
      <c r="E521" s="122">
        <f>IF(B521="","",IFERROR(B521/INDEX($B$2:$B$800,MATCH(DATE(YEAR(A521)-1,MONTH(A521),1),$A$2:$A$800,0))-1,""))</f>
        <v/>
      </c>
    </row>
    <row r="522">
      <c r="A522" s="124" t="n"/>
      <c r="B522" s="125" t="n"/>
      <c r="C522" s="122">
        <f>IF(OR(B522="",B521=""),"",B522/B521-1)</f>
        <v/>
      </c>
      <c r="D522" s="122">
        <f>IF(B522="","",IFERROR(B522/INDEX($B$2:$B$800,MATCH(DATE(YEAR(A522)-1,12,1),$A$2:$A$800,0))-1,""))</f>
        <v/>
      </c>
      <c r="E522" s="122">
        <f>IF(B522="","",IFERROR(B522/INDEX($B$2:$B$800,MATCH(DATE(YEAR(A522)-1,MONTH(A522),1),$A$2:$A$800,0))-1,""))</f>
        <v/>
      </c>
    </row>
    <row r="523">
      <c r="A523" s="124" t="n"/>
      <c r="B523" s="125" t="n"/>
      <c r="C523" s="122">
        <f>IF(OR(B523="",B522=""),"",B523/B522-1)</f>
        <v/>
      </c>
      <c r="D523" s="122">
        <f>IF(B523="","",IFERROR(B523/INDEX($B$2:$B$800,MATCH(DATE(YEAR(A523)-1,12,1),$A$2:$A$800,0))-1,""))</f>
        <v/>
      </c>
      <c r="E523" s="122">
        <f>IF(B523="","",IFERROR(B523/INDEX($B$2:$B$800,MATCH(DATE(YEAR(A523)-1,MONTH(A523),1),$A$2:$A$800,0))-1,""))</f>
        <v/>
      </c>
    </row>
    <row r="524">
      <c r="A524" s="124" t="n"/>
      <c r="B524" s="125" t="n"/>
      <c r="C524" s="122">
        <f>IF(OR(B524="",B523=""),"",B524/B523-1)</f>
        <v/>
      </c>
      <c r="D524" s="122">
        <f>IF(B524="","",IFERROR(B524/INDEX($B$2:$B$800,MATCH(DATE(YEAR(A524)-1,12,1),$A$2:$A$800,0))-1,""))</f>
        <v/>
      </c>
      <c r="E524" s="122">
        <f>IF(B524="","",IFERROR(B524/INDEX($B$2:$B$800,MATCH(DATE(YEAR(A524)-1,MONTH(A524),1),$A$2:$A$800,0))-1,""))</f>
        <v/>
      </c>
    </row>
    <row r="525">
      <c r="A525" s="124" t="n"/>
      <c r="B525" s="125" t="n"/>
      <c r="C525" s="122">
        <f>IF(OR(B525="",B524=""),"",B525/B524-1)</f>
        <v/>
      </c>
      <c r="D525" s="122">
        <f>IF(B525="","",IFERROR(B525/INDEX($B$2:$B$800,MATCH(DATE(YEAR(A525)-1,12,1),$A$2:$A$800,0))-1,""))</f>
        <v/>
      </c>
      <c r="E525" s="122">
        <f>IF(B525="","",IFERROR(B525/INDEX($B$2:$B$800,MATCH(DATE(YEAR(A525)-1,MONTH(A525),1),$A$2:$A$800,0))-1,""))</f>
        <v/>
      </c>
    </row>
    <row r="526">
      <c r="A526" s="124" t="n"/>
      <c r="B526" s="125" t="n"/>
      <c r="C526" s="122">
        <f>IF(OR(B526="",B525=""),"",B526/B525-1)</f>
        <v/>
      </c>
      <c r="D526" s="122">
        <f>IF(B526="","",IFERROR(B526/INDEX($B$2:$B$800,MATCH(DATE(YEAR(A526)-1,12,1),$A$2:$A$800,0))-1,""))</f>
        <v/>
      </c>
      <c r="E526" s="122">
        <f>IF(B526="","",IFERROR(B526/INDEX($B$2:$B$800,MATCH(DATE(YEAR(A526)-1,MONTH(A526),1),$A$2:$A$800,0))-1,""))</f>
        <v/>
      </c>
    </row>
    <row r="527">
      <c r="A527" s="124" t="n"/>
      <c r="B527" s="125" t="n"/>
      <c r="C527" s="122">
        <f>IF(OR(B527="",B526=""),"",B527/B526-1)</f>
        <v/>
      </c>
      <c r="D527" s="122">
        <f>IF(B527="","",IFERROR(B527/INDEX($B$2:$B$800,MATCH(DATE(YEAR(A527)-1,12,1),$A$2:$A$800,0))-1,""))</f>
        <v/>
      </c>
      <c r="E527" s="122">
        <f>IF(B527="","",IFERROR(B527/INDEX($B$2:$B$800,MATCH(DATE(YEAR(A527)-1,MONTH(A527),1),$A$2:$A$800,0))-1,""))</f>
        <v/>
      </c>
    </row>
    <row r="528">
      <c r="A528" s="124" t="n"/>
      <c r="B528" s="125" t="n"/>
      <c r="C528" s="122">
        <f>IF(OR(B528="",B527=""),"",B528/B527-1)</f>
        <v/>
      </c>
      <c r="D528" s="122">
        <f>IF(B528="","",IFERROR(B528/INDEX($B$2:$B$800,MATCH(DATE(YEAR(A528)-1,12,1),$A$2:$A$800,0))-1,""))</f>
        <v/>
      </c>
      <c r="E528" s="122">
        <f>IF(B528="","",IFERROR(B528/INDEX($B$2:$B$800,MATCH(DATE(YEAR(A528)-1,MONTH(A528),1),$A$2:$A$800,0))-1,""))</f>
        <v/>
      </c>
    </row>
    <row r="529">
      <c r="A529" s="124" t="n"/>
      <c r="B529" s="125" t="n"/>
      <c r="C529" s="122">
        <f>IF(OR(B529="",B528=""),"",B529/B528-1)</f>
        <v/>
      </c>
      <c r="D529" s="122">
        <f>IF(B529="","",IFERROR(B529/INDEX($B$2:$B$800,MATCH(DATE(YEAR(A529)-1,12,1),$A$2:$A$800,0))-1,""))</f>
        <v/>
      </c>
      <c r="E529" s="122">
        <f>IF(B529="","",IFERROR(B529/INDEX($B$2:$B$800,MATCH(DATE(YEAR(A529)-1,MONTH(A529),1),$A$2:$A$800,0))-1,""))</f>
        <v/>
      </c>
    </row>
    <row r="530">
      <c r="A530" s="124" t="n"/>
      <c r="B530" s="125" t="n"/>
      <c r="C530" s="122">
        <f>IF(OR(B530="",B529=""),"",B530/B529-1)</f>
        <v/>
      </c>
      <c r="D530" s="122">
        <f>IF(B530="","",IFERROR(B530/INDEX($B$2:$B$800,MATCH(DATE(YEAR(A530)-1,12,1),$A$2:$A$800,0))-1,""))</f>
        <v/>
      </c>
      <c r="E530" s="122">
        <f>IF(B530="","",IFERROR(B530/INDEX($B$2:$B$800,MATCH(DATE(YEAR(A530)-1,MONTH(A530),1),$A$2:$A$800,0))-1,""))</f>
        <v/>
      </c>
    </row>
    <row r="531">
      <c r="A531" s="124" t="n"/>
      <c r="B531" s="125" t="n"/>
      <c r="C531" s="122">
        <f>IF(OR(B531="",B530=""),"",B531/B530-1)</f>
        <v/>
      </c>
      <c r="D531" s="122">
        <f>IF(B531="","",IFERROR(B531/INDEX($B$2:$B$800,MATCH(DATE(YEAR(A531)-1,12,1),$A$2:$A$800,0))-1,""))</f>
        <v/>
      </c>
      <c r="E531" s="122">
        <f>IF(B531="","",IFERROR(B531/INDEX($B$2:$B$800,MATCH(DATE(YEAR(A531)-1,MONTH(A531),1),$A$2:$A$800,0))-1,""))</f>
        <v/>
      </c>
    </row>
    <row r="532">
      <c r="A532" s="124" t="n"/>
      <c r="B532" s="125" t="n"/>
      <c r="C532" s="122">
        <f>IF(OR(B532="",B531=""),"",B532/B531-1)</f>
        <v/>
      </c>
      <c r="D532" s="122">
        <f>IF(B532="","",IFERROR(B532/INDEX($B$2:$B$800,MATCH(DATE(YEAR(A532)-1,12,1),$A$2:$A$800,0))-1,""))</f>
        <v/>
      </c>
      <c r="E532" s="122">
        <f>IF(B532="","",IFERROR(B532/INDEX($B$2:$B$800,MATCH(DATE(YEAR(A532)-1,MONTH(A532),1),$A$2:$A$800,0))-1,""))</f>
        <v/>
      </c>
    </row>
    <row r="533">
      <c r="A533" s="124" t="n"/>
      <c r="B533" s="125" t="n"/>
      <c r="C533" s="122">
        <f>IF(OR(B533="",B532=""),"",B533/B532-1)</f>
        <v/>
      </c>
      <c r="D533" s="122">
        <f>IF(B533="","",IFERROR(B533/INDEX($B$2:$B$800,MATCH(DATE(YEAR(A533)-1,12,1),$A$2:$A$800,0))-1,""))</f>
        <v/>
      </c>
      <c r="E533" s="122">
        <f>IF(B533="","",IFERROR(B533/INDEX($B$2:$B$800,MATCH(DATE(YEAR(A533)-1,MONTH(A533),1),$A$2:$A$800,0))-1,""))</f>
        <v/>
      </c>
    </row>
    <row r="534">
      <c r="A534" s="124" t="n"/>
      <c r="B534" s="125" t="n"/>
      <c r="C534" s="122">
        <f>IF(OR(B534="",B533=""),"",B534/B533-1)</f>
        <v/>
      </c>
      <c r="D534" s="122">
        <f>IF(B534="","",IFERROR(B534/INDEX($B$2:$B$800,MATCH(DATE(YEAR(A534)-1,12,1),$A$2:$A$800,0))-1,""))</f>
        <v/>
      </c>
      <c r="E534" s="122">
        <f>IF(B534="","",IFERROR(B534/INDEX($B$2:$B$800,MATCH(DATE(YEAR(A534)-1,MONTH(A534),1),$A$2:$A$800,0))-1,""))</f>
        <v/>
      </c>
    </row>
    <row r="535">
      <c r="A535" s="124" t="n"/>
      <c r="B535" s="125" t="n"/>
      <c r="C535" s="122">
        <f>IF(OR(B535="",B534=""),"",B535/B534-1)</f>
        <v/>
      </c>
      <c r="D535" s="122">
        <f>IF(B535="","",IFERROR(B535/INDEX($B$2:$B$800,MATCH(DATE(YEAR(A535)-1,12,1),$A$2:$A$800,0))-1,""))</f>
        <v/>
      </c>
      <c r="E535" s="122">
        <f>IF(B535="","",IFERROR(B535/INDEX($B$2:$B$800,MATCH(DATE(YEAR(A535)-1,MONTH(A535),1),$A$2:$A$800,0))-1,""))</f>
        <v/>
      </c>
    </row>
    <row r="536">
      <c r="A536" s="124" t="n"/>
      <c r="B536" s="125" t="n"/>
      <c r="C536" s="122">
        <f>IF(OR(B536="",B535=""),"",B536/B535-1)</f>
        <v/>
      </c>
      <c r="D536" s="122">
        <f>IF(B536="","",IFERROR(B536/INDEX($B$2:$B$800,MATCH(DATE(YEAR(A536)-1,12,1),$A$2:$A$800,0))-1,""))</f>
        <v/>
      </c>
      <c r="E536" s="122">
        <f>IF(B536="","",IFERROR(B536/INDEX($B$2:$B$800,MATCH(DATE(YEAR(A536)-1,MONTH(A536),1),$A$2:$A$800,0))-1,""))</f>
        <v/>
      </c>
    </row>
    <row r="537">
      <c r="A537" s="124" t="n"/>
      <c r="B537" s="125" t="n"/>
      <c r="C537" s="122">
        <f>IF(OR(B537="",B536=""),"",B537/B536-1)</f>
        <v/>
      </c>
      <c r="D537" s="122">
        <f>IF(B537="","",IFERROR(B537/INDEX($B$2:$B$800,MATCH(DATE(YEAR(A537)-1,12,1),$A$2:$A$800,0))-1,""))</f>
        <v/>
      </c>
      <c r="E537" s="122">
        <f>IF(B537="","",IFERROR(B537/INDEX($B$2:$B$800,MATCH(DATE(YEAR(A537)-1,MONTH(A537),1),$A$2:$A$800,0))-1,""))</f>
        <v/>
      </c>
    </row>
    <row r="538">
      <c r="A538" s="124" t="n"/>
      <c r="B538" s="125" t="n"/>
      <c r="C538" s="122">
        <f>IF(OR(B538="",B537=""),"",B538/B537-1)</f>
        <v/>
      </c>
      <c r="D538" s="122">
        <f>IF(B538="","",IFERROR(B538/INDEX($B$2:$B$800,MATCH(DATE(YEAR(A538)-1,12,1),$A$2:$A$800,0))-1,""))</f>
        <v/>
      </c>
      <c r="E538" s="122">
        <f>IF(B538="","",IFERROR(B538/INDEX($B$2:$B$800,MATCH(DATE(YEAR(A538)-1,MONTH(A538),1),$A$2:$A$800,0))-1,""))</f>
        <v/>
      </c>
    </row>
    <row r="539">
      <c r="A539" s="124" t="n"/>
      <c r="B539" s="125" t="n"/>
      <c r="C539" s="122">
        <f>IF(OR(B539="",B538=""),"",B539/B538-1)</f>
        <v/>
      </c>
      <c r="D539" s="122">
        <f>IF(B539="","",IFERROR(B539/INDEX($B$2:$B$800,MATCH(DATE(YEAR(A539)-1,12,1),$A$2:$A$800,0))-1,""))</f>
        <v/>
      </c>
      <c r="E539" s="122">
        <f>IF(B539="","",IFERROR(B539/INDEX($B$2:$B$800,MATCH(DATE(YEAR(A539)-1,MONTH(A539),1),$A$2:$A$800,0))-1,""))</f>
        <v/>
      </c>
    </row>
    <row r="540">
      <c r="A540" s="124" t="n"/>
      <c r="B540" s="125" t="n"/>
      <c r="C540" s="122">
        <f>IF(OR(B540="",B539=""),"",B540/B539-1)</f>
        <v/>
      </c>
      <c r="D540" s="122">
        <f>IF(B540="","",IFERROR(B540/INDEX($B$2:$B$800,MATCH(DATE(YEAR(A540)-1,12,1),$A$2:$A$800,0))-1,""))</f>
        <v/>
      </c>
      <c r="E540" s="122">
        <f>IF(B540="","",IFERROR(B540/INDEX($B$2:$B$800,MATCH(DATE(YEAR(A540)-1,MONTH(A540),1),$A$2:$A$800,0))-1,""))</f>
        <v/>
      </c>
    </row>
    <row r="541">
      <c r="A541" s="124" t="n"/>
      <c r="B541" s="125" t="n"/>
      <c r="C541" s="122">
        <f>IF(OR(B541="",B540=""),"",B541/B540-1)</f>
        <v/>
      </c>
      <c r="D541" s="122">
        <f>IF(B541="","",IFERROR(B541/INDEX($B$2:$B$800,MATCH(DATE(YEAR(A541)-1,12,1),$A$2:$A$800,0))-1,""))</f>
        <v/>
      </c>
      <c r="E541" s="122">
        <f>IF(B541="","",IFERROR(B541/INDEX($B$2:$B$800,MATCH(DATE(YEAR(A541)-1,MONTH(A541),1),$A$2:$A$800,0))-1,""))</f>
        <v/>
      </c>
    </row>
    <row r="542">
      <c r="A542" s="124" t="n"/>
      <c r="B542" s="125" t="n"/>
      <c r="C542" s="122">
        <f>IF(OR(B542="",B541=""),"",B542/B541-1)</f>
        <v/>
      </c>
      <c r="D542" s="122">
        <f>IF(B542="","",IFERROR(B542/INDEX($B$2:$B$800,MATCH(DATE(YEAR(A542)-1,12,1),$A$2:$A$800,0))-1,""))</f>
        <v/>
      </c>
      <c r="E542" s="122">
        <f>IF(B542="","",IFERROR(B542/INDEX($B$2:$B$800,MATCH(DATE(YEAR(A542)-1,MONTH(A542),1),$A$2:$A$800,0))-1,""))</f>
        <v/>
      </c>
    </row>
    <row r="543">
      <c r="A543" s="124" t="n"/>
      <c r="B543" s="125" t="n"/>
      <c r="C543" s="122">
        <f>IF(OR(B543="",B542=""),"",B543/B542-1)</f>
        <v/>
      </c>
      <c r="D543" s="122">
        <f>IF(B543="","",IFERROR(B543/INDEX($B$2:$B$800,MATCH(DATE(YEAR(A543)-1,12,1),$A$2:$A$800,0))-1,""))</f>
        <v/>
      </c>
      <c r="E543" s="122">
        <f>IF(B543="","",IFERROR(B543/INDEX($B$2:$B$800,MATCH(DATE(YEAR(A543)-1,MONTH(A543),1),$A$2:$A$800,0))-1,""))</f>
        <v/>
      </c>
    </row>
    <row r="544">
      <c r="A544" s="124" t="n"/>
      <c r="B544" s="125" t="n"/>
      <c r="C544" s="122">
        <f>IF(OR(B544="",B543=""),"",B544/B543-1)</f>
        <v/>
      </c>
      <c r="D544" s="122">
        <f>IF(B544="","",IFERROR(B544/INDEX($B$2:$B$800,MATCH(DATE(YEAR(A544)-1,12,1),$A$2:$A$800,0))-1,""))</f>
        <v/>
      </c>
      <c r="E544" s="122">
        <f>IF(B544="","",IFERROR(B544/INDEX($B$2:$B$800,MATCH(DATE(YEAR(A544)-1,MONTH(A544),1),$A$2:$A$800,0))-1,""))</f>
        <v/>
      </c>
    </row>
    <row r="545">
      <c r="A545" s="124" t="n"/>
      <c r="B545" s="125" t="n"/>
      <c r="C545" s="122">
        <f>IF(OR(B545="",B544=""),"",B545/B544-1)</f>
        <v/>
      </c>
      <c r="D545" s="122">
        <f>IF(B545="","",IFERROR(B545/INDEX($B$2:$B$800,MATCH(DATE(YEAR(A545)-1,12,1),$A$2:$A$800,0))-1,""))</f>
        <v/>
      </c>
      <c r="E545" s="122">
        <f>IF(B545="","",IFERROR(B545/INDEX($B$2:$B$800,MATCH(DATE(YEAR(A545)-1,MONTH(A545),1),$A$2:$A$800,0))-1,""))</f>
        <v/>
      </c>
    </row>
    <row r="546">
      <c r="A546" s="124" t="n"/>
      <c r="B546" s="125" t="n"/>
      <c r="C546" s="122">
        <f>IF(OR(B546="",B545=""),"",B546/B545-1)</f>
        <v/>
      </c>
      <c r="D546" s="122">
        <f>IF(B546="","",IFERROR(B546/INDEX($B$2:$B$800,MATCH(DATE(YEAR(A546)-1,12,1),$A$2:$A$800,0))-1,""))</f>
        <v/>
      </c>
      <c r="E546" s="122">
        <f>IF(B546="","",IFERROR(B546/INDEX($B$2:$B$800,MATCH(DATE(YEAR(A546)-1,MONTH(A546),1),$A$2:$A$800,0))-1,""))</f>
        <v/>
      </c>
    </row>
    <row r="547">
      <c r="A547" s="124" t="n"/>
      <c r="B547" s="125" t="n"/>
      <c r="C547" s="122">
        <f>IF(OR(B547="",B546=""),"",B547/B546-1)</f>
        <v/>
      </c>
      <c r="D547" s="122">
        <f>IF(B547="","",IFERROR(B547/INDEX($B$2:$B$800,MATCH(DATE(YEAR(A547)-1,12,1),$A$2:$A$800,0))-1,""))</f>
        <v/>
      </c>
      <c r="E547" s="122">
        <f>IF(B547="","",IFERROR(B547/INDEX($B$2:$B$800,MATCH(DATE(YEAR(A547)-1,MONTH(A547),1),$A$2:$A$800,0))-1,""))</f>
        <v/>
      </c>
    </row>
    <row r="548">
      <c r="A548" s="124" t="n"/>
      <c r="B548" s="125" t="n"/>
      <c r="C548" s="122">
        <f>IF(OR(B548="",B547=""),"",B548/B547-1)</f>
        <v/>
      </c>
      <c r="D548" s="122">
        <f>IF(B548="","",IFERROR(B548/INDEX($B$2:$B$800,MATCH(DATE(YEAR(A548)-1,12,1),$A$2:$A$800,0))-1,""))</f>
        <v/>
      </c>
      <c r="E548" s="122">
        <f>IF(B548="","",IFERROR(B548/INDEX($B$2:$B$800,MATCH(DATE(YEAR(A548)-1,MONTH(A548),1),$A$2:$A$800,0))-1,""))</f>
        <v/>
      </c>
    </row>
    <row r="549">
      <c r="A549" s="124" t="n"/>
      <c r="B549" s="125" t="n"/>
      <c r="C549" s="122">
        <f>IF(OR(B549="",B548=""),"",B549/B548-1)</f>
        <v/>
      </c>
      <c r="D549" s="122">
        <f>IF(B549="","",IFERROR(B549/INDEX($B$2:$B$800,MATCH(DATE(YEAR(A549)-1,12,1),$A$2:$A$800,0))-1,""))</f>
        <v/>
      </c>
      <c r="E549" s="122">
        <f>IF(B549="","",IFERROR(B549/INDEX($B$2:$B$800,MATCH(DATE(YEAR(A549)-1,MONTH(A549),1),$A$2:$A$800,0))-1,""))</f>
        <v/>
      </c>
    </row>
    <row r="550">
      <c r="A550" s="124" t="n"/>
      <c r="B550" s="125" t="n"/>
      <c r="C550" s="122">
        <f>IF(OR(B550="",B549=""),"",B550/B549-1)</f>
        <v/>
      </c>
      <c r="D550" s="122">
        <f>IF(B550="","",IFERROR(B550/INDEX($B$2:$B$800,MATCH(DATE(YEAR(A550)-1,12,1),$A$2:$A$800,0))-1,""))</f>
        <v/>
      </c>
      <c r="E550" s="122">
        <f>IF(B550="","",IFERROR(B550/INDEX($B$2:$B$800,MATCH(DATE(YEAR(A550)-1,MONTH(A550),1),$A$2:$A$800,0))-1,""))</f>
        <v/>
      </c>
    </row>
    <row r="551">
      <c r="A551" s="124" t="n"/>
      <c r="B551" s="125" t="n"/>
      <c r="C551" s="122">
        <f>IF(OR(B551="",B550=""),"",B551/B550-1)</f>
        <v/>
      </c>
      <c r="D551" s="122">
        <f>IF(B551="","",IFERROR(B551/INDEX($B$2:$B$800,MATCH(DATE(YEAR(A551)-1,12,1),$A$2:$A$800,0))-1,""))</f>
        <v/>
      </c>
      <c r="E551" s="122">
        <f>IF(B551="","",IFERROR(B551/INDEX($B$2:$B$800,MATCH(DATE(YEAR(A551)-1,MONTH(A551),1),$A$2:$A$800,0))-1,""))</f>
        <v/>
      </c>
    </row>
    <row r="552">
      <c r="A552" s="124" t="n"/>
      <c r="B552" s="125" t="n"/>
      <c r="C552" s="122">
        <f>IF(OR(B552="",B551=""),"",B552/B551-1)</f>
        <v/>
      </c>
      <c r="D552" s="122">
        <f>IF(B552="","",IFERROR(B552/INDEX($B$2:$B$800,MATCH(DATE(YEAR(A552)-1,12,1),$A$2:$A$800,0))-1,""))</f>
        <v/>
      </c>
      <c r="E552" s="122">
        <f>IF(B552="","",IFERROR(B552/INDEX($B$2:$B$800,MATCH(DATE(YEAR(A552)-1,MONTH(A552),1),$A$2:$A$800,0))-1,""))</f>
        <v/>
      </c>
    </row>
    <row r="553">
      <c r="A553" s="124" t="n"/>
      <c r="B553" s="125" t="n"/>
      <c r="C553" s="122">
        <f>IF(OR(B553="",B552=""),"",B553/B552-1)</f>
        <v/>
      </c>
      <c r="D553" s="122">
        <f>IF(B553="","",IFERROR(B553/INDEX($B$2:$B$800,MATCH(DATE(YEAR(A553)-1,12,1),$A$2:$A$800,0))-1,""))</f>
        <v/>
      </c>
      <c r="E553" s="122">
        <f>IF(B553="","",IFERROR(B553/INDEX($B$2:$B$800,MATCH(DATE(YEAR(A553)-1,MONTH(A553),1),$A$2:$A$800,0))-1,""))</f>
        <v/>
      </c>
    </row>
    <row r="554">
      <c r="A554" s="124" t="n"/>
      <c r="B554" s="125" t="n"/>
      <c r="C554" s="122">
        <f>IF(OR(B554="",B553=""),"",B554/B553-1)</f>
        <v/>
      </c>
      <c r="D554" s="122">
        <f>IF(B554="","",IFERROR(B554/INDEX($B$2:$B$800,MATCH(DATE(YEAR(A554)-1,12,1),$A$2:$A$800,0))-1,""))</f>
        <v/>
      </c>
      <c r="E554" s="122">
        <f>IF(B554="","",IFERROR(B554/INDEX($B$2:$B$800,MATCH(DATE(YEAR(A554)-1,MONTH(A554),1),$A$2:$A$800,0))-1,""))</f>
        <v/>
      </c>
    </row>
    <row r="555">
      <c r="A555" s="124" t="n"/>
      <c r="B555" s="125" t="n"/>
      <c r="C555" s="122">
        <f>IF(OR(B555="",B554=""),"",B555/B554-1)</f>
        <v/>
      </c>
      <c r="D555" s="122">
        <f>IF(B555="","",IFERROR(B555/INDEX($B$2:$B$800,MATCH(DATE(YEAR(A555)-1,12,1),$A$2:$A$800,0))-1,""))</f>
        <v/>
      </c>
      <c r="E555" s="122">
        <f>IF(B555="","",IFERROR(B555/INDEX($B$2:$B$800,MATCH(DATE(YEAR(A555)-1,MONTH(A555),1),$A$2:$A$800,0))-1,""))</f>
        <v/>
      </c>
    </row>
    <row r="556">
      <c r="A556" s="124" t="n"/>
      <c r="B556" s="125" t="n"/>
      <c r="C556" s="122">
        <f>IF(OR(B556="",B555=""),"",B556/B555-1)</f>
        <v/>
      </c>
      <c r="D556" s="122">
        <f>IF(B556="","",IFERROR(B556/INDEX($B$2:$B$800,MATCH(DATE(YEAR(A556)-1,12,1),$A$2:$A$800,0))-1,""))</f>
        <v/>
      </c>
      <c r="E556" s="122">
        <f>IF(B556="","",IFERROR(B556/INDEX($B$2:$B$800,MATCH(DATE(YEAR(A556)-1,MONTH(A556),1),$A$2:$A$800,0))-1,""))</f>
        <v/>
      </c>
    </row>
    <row r="557">
      <c r="A557" s="124" t="n"/>
      <c r="B557" s="125" t="n"/>
      <c r="C557" s="122">
        <f>IF(OR(B557="",B556=""),"",B557/B556-1)</f>
        <v/>
      </c>
      <c r="D557" s="122">
        <f>IF(B557="","",IFERROR(B557/INDEX($B$2:$B$800,MATCH(DATE(YEAR(A557)-1,12,1),$A$2:$A$800,0))-1,""))</f>
        <v/>
      </c>
      <c r="E557" s="122">
        <f>IF(B557="","",IFERROR(B557/INDEX($B$2:$B$800,MATCH(DATE(YEAR(A557)-1,MONTH(A557),1),$A$2:$A$800,0))-1,""))</f>
        <v/>
      </c>
    </row>
    <row r="558">
      <c r="A558" s="124" t="n"/>
      <c r="B558" s="125" t="n"/>
      <c r="C558" s="122">
        <f>IF(OR(B558="",B557=""),"",B558/B557-1)</f>
        <v/>
      </c>
      <c r="D558" s="122">
        <f>IF(B558="","",IFERROR(B558/INDEX($B$2:$B$800,MATCH(DATE(YEAR(A558)-1,12,1),$A$2:$A$800,0))-1,""))</f>
        <v/>
      </c>
      <c r="E558" s="122">
        <f>IF(B558="","",IFERROR(B558/INDEX($B$2:$B$800,MATCH(DATE(YEAR(A558)-1,MONTH(A558),1),$A$2:$A$800,0))-1,""))</f>
        <v/>
      </c>
    </row>
    <row r="559">
      <c r="A559" s="124" t="n"/>
      <c r="B559" s="125" t="n"/>
      <c r="C559" s="122">
        <f>IF(OR(B559="",B558=""),"",B559/B558-1)</f>
        <v/>
      </c>
      <c r="D559" s="122">
        <f>IF(B559="","",IFERROR(B559/INDEX($B$2:$B$800,MATCH(DATE(YEAR(A559)-1,12,1),$A$2:$A$800,0))-1,""))</f>
        <v/>
      </c>
      <c r="E559" s="122">
        <f>IF(B559="","",IFERROR(B559/INDEX($B$2:$B$800,MATCH(DATE(YEAR(A559)-1,MONTH(A559),1),$A$2:$A$800,0))-1,""))</f>
        <v/>
      </c>
    </row>
    <row r="560">
      <c r="A560" s="124" t="n"/>
      <c r="B560" s="125" t="n"/>
      <c r="C560" s="122">
        <f>IF(OR(B560="",B559=""),"",B560/B559-1)</f>
        <v/>
      </c>
      <c r="D560" s="122">
        <f>IF(B560="","",IFERROR(B560/INDEX($B$2:$B$800,MATCH(DATE(YEAR(A560)-1,12,1),$A$2:$A$800,0))-1,""))</f>
        <v/>
      </c>
      <c r="E560" s="122">
        <f>IF(B560="","",IFERROR(B560/INDEX($B$2:$B$800,MATCH(DATE(YEAR(A560)-1,MONTH(A560),1),$A$2:$A$800,0))-1,""))</f>
        <v/>
      </c>
    </row>
    <row r="561">
      <c r="A561" s="124" t="n"/>
      <c r="B561" s="125" t="n"/>
      <c r="C561" s="122">
        <f>IF(OR(B561="",B560=""),"",B561/B560-1)</f>
        <v/>
      </c>
      <c r="D561" s="122">
        <f>IF(B561="","",IFERROR(B561/INDEX($B$2:$B$800,MATCH(DATE(YEAR(A561)-1,12,1),$A$2:$A$800,0))-1,""))</f>
        <v/>
      </c>
      <c r="E561" s="122">
        <f>IF(B561="","",IFERROR(B561/INDEX($B$2:$B$800,MATCH(DATE(YEAR(A561)-1,MONTH(A561),1),$A$2:$A$800,0))-1,""))</f>
        <v/>
      </c>
    </row>
    <row r="562">
      <c r="A562" s="124" t="n"/>
      <c r="B562" s="125" t="n"/>
      <c r="C562" s="122">
        <f>IF(OR(B562="",B561=""),"",B562/B561-1)</f>
        <v/>
      </c>
      <c r="D562" s="122">
        <f>IF(B562="","",IFERROR(B562/INDEX($B$2:$B$800,MATCH(DATE(YEAR(A562)-1,12,1),$A$2:$A$800,0))-1,""))</f>
        <v/>
      </c>
      <c r="E562" s="122">
        <f>IF(B562="","",IFERROR(B562/INDEX($B$2:$B$800,MATCH(DATE(YEAR(A562)-1,MONTH(A562),1),$A$2:$A$800,0))-1,""))</f>
        <v/>
      </c>
    </row>
    <row r="563">
      <c r="A563" s="124" t="n"/>
      <c r="B563" s="125" t="n"/>
      <c r="C563" s="122">
        <f>IF(OR(B563="",B562=""),"",B563/B562-1)</f>
        <v/>
      </c>
      <c r="D563" s="122">
        <f>IF(B563="","",IFERROR(B563/INDEX($B$2:$B$800,MATCH(DATE(YEAR(A563)-1,12,1),$A$2:$A$800,0))-1,""))</f>
        <v/>
      </c>
      <c r="E563" s="122">
        <f>IF(B563="","",IFERROR(B563/INDEX($B$2:$B$800,MATCH(DATE(YEAR(A563)-1,MONTH(A563),1),$A$2:$A$800,0))-1,""))</f>
        <v/>
      </c>
    </row>
    <row r="564">
      <c r="A564" s="124" t="n"/>
      <c r="B564" s="125" t="n"/>
      <c r="C564" s="122">
        <f>IF(OR(B564="",B563=""),"",B564/B563-1)</f>
        <v/>
      </c>
      <c r="D564" s="122">
        <f>IF(B564="","",IFERROR(B564/INDEX($B$2:$B$800,MATCH(DATE(YEAR(A564)-1,12,1),$A$2:$A$800,0))-1,""))</f>
        <v/>
      </c>
      <c r="E564" s="122">
        <f>IF(B564="","",IFERROR(B564/INDEX($B$2:$B$800,MATCH(DATE(YEAR(A564)-1,MONTH(A564),1),$A$2:$A$800,0))-1,""))</f>
        <v/>
      </c>
    </row>
    <row r="565">
      <c r="A565" s="124" t="n"/>
      <c r="B565" s="125" t="n"/>
      <c r="C565" s="122">
        <f>IF(OR(B565="",B564=""),"",B565/B564-1)</f>
        <v/>
      </c>
      <c r="D565" s="122">
        <f>IF(B565="","",IFERROR(B565/INDEX($B$2:$B$800,MATCH(DATE(YEAR(A565)-1,12,1),$A$2:$A$800,0))-1,""))</f>
        <v/>
      </c>
      <c r="E565" s="122">
        <f>IF(B565="","",IFERROR(B565/INDEX($B$2:$B$800,MATCH(DATE(YEAR(A565)-1,MONTH(A565),1),$A$2:$A$800,0))-1,""))</f>
        <v/>
      </c>
    </row>
    <row r="566">
      <c r="A566" s="124" t="n"/>
      <c r="B566" s="125" t="n"/>
      <c r="C566" s="122">
        <f>IF(OR(B566="",B565=""),"",B566/B565-1)</f>
        <v/>
      </c>
      <c r="D566" s="122">
        <f>IF(B566="","",IFERROR(B566/INDEX($B$2:$B$800,MATCH(DATE(YEAR(A566)-1,12,1),$A$2:$A$800,0))-1,""))</f>
        <v/>
      </c>
      <c r="E566" s="122">
        <f>IF(B566="","",IFERROR(B566/INDEX($B$2:$B$800,MATCH(DATE(YEAR(A566)-1,MONTH(A566),1),$A$2:$A$800,0))-1,""))</f>
        <v/>
      </c>
    </row>
    <row r="567">
      <c r="A567" s="124" t="n"/>
      <c r="B567" s="125" t="n"/>
      <c r="C567" s="122">
        <f>IF(OR(B567="",B566=""),"",B567/B566-1)</f>
        <v/>
      </c>
      <c r="D567" s="122">
        <f>IF(B567="","",IFERROR(B567/INDEX($B$2:$B$800,MATCH(DATE(YEAR(A567)-1,12,1),$A$2:$A$800,0))-1,""))</f>
        <v/>
      </c>
      <c r="E567" s="122">
        <f>IF(B567="","",IFERROR(B567/INDEX($B$2:$B$800,MATCH(DATE(YEAR(A567)-1,MONTH(A567),1),$A$2:$A$800,0))-1,""))</f>
        <v/>
      </c>
    </row>
    <row r="568">
      <c r="A568" s="124" t="n"/>
      <c r="B568" s="125" t="n"/>
      <c r="C568" s="122">
        <f>IF(OR(B568="",B567=""),"",B568/B567-1)</f>
        <v/>
      </c>
      <c r="D568" s="122">
        <f>IF(B568="","",IFERROR(B568/INDEX($B$2:$B$800,MATCH(DATE(YEAR(A568)-1,12,1),$A$2:$A$800,0))-1,""))</f>
        <v/>
      </c>
      <c r="E568" s="122">
        <f>IF(B568="","",IFERROR(B568/INDEX($B$2:$B$800,MATCH(DATE(YEAR(A568)-1,MONTH(A568),1),$A$2:$A$800,0))-1,""))</f>
        <v/>
      </c>
    </row>
    <row r="569">
      <c r="A569" s="124" t="n"/>
      <c r="B569" s="125" t="n"/>
      <c r="C569" s="122">
        <f>IF(OR(B569="",B568=""),"",B569/B568-1)</f>
        <v/>
      </c>
      <c r="D569" s="122">
        <f>IF(B569="","",IFERROR(B569/INDEX($B$2:$B$800,MATCH(DATE(YEAR(A569)-1,12,1),$A$2:$A$800,0))-1,""))</f>
        <v/>
      </c>
      <c r="E569" s="122">
        <f>IF(B569="","",IFERROR(B569/INDEX($B$2:$B$800,MATCH(DATE(YEAR(A569)-1,MONTH(A569),1),$A$2:$A$800,0))-1,""))</f>
        <v/>
      </c>
    </row>
    <row r="570">
      <c r="A570" s="124" t="n"/>
      <c r="B570" s="125" t="n"/>
      <c r="C570" s="122">
        <f>IF(OR(B570="",B569=""),"",B570/B569-1)</f>
        <v/>
      </c>
      <c r="D570" s="122">
        <f>IF(B570="","",IFERROR(B570/INDEX($B$2:$B$800,MATCH(DATE(YEAR(A570)-1,12,1),$A$2:$A$800,0))-1,""))</f>
        <v/>
      </c>
      <c r="E570" s="122">
        <f>IF(B570="","",IFERROR(B570/INDEX($B$2:$B$800,MATCH(DATE(YEAR(A570)-1,MONTH(A570),1),$A$2:$A$800,0))-1,""))</f>
        <v/>
      </c>
    </row>
    <row r="571">
      <c r="A571" s="124" t="n"/>
      <c r="B571" s="125" t="n"/>
      <c r="C571" s="122">
        <f>IF(OR(B571="",B570=""),"",B571/B570-1)</f>
        <v/>
      </c>
      <c r="D571" s="122">
        <f>IF(B571="","",IFERROR(B571/INDEX($B$2:$B$800,MATCH(DATE(YEAR(A571)-1,12,1),$A$2:$A$800,0))-1,""))</f>
        <v/>
      </c>
      <c r="E571" s="122">
        <f>IF(B571="","",IFERROR(B571/INDEX($B$2:$B$800,MATCH(DATE(YEAR(A571)-1,MONTH(A571),1),$A$2:$A$800,0))-1,""))</f>
        <v/>
      </c>
    </row>
    <row r="572">
      <c r="A572" s="124" t="n"/>
      <c r="B572" s="125" t="n"/>
      <c r="C572" s="122">
        <f>IF(OR(B572="",B571=""),"",B572/B571-1)</f>
        <v/>
      </c>
      <c r="D572" s="122">
        <f>IF(B572="","",IFERROR(B572/INDEX($B$2:$B$800,MATCH(DATE(YEAR(A572)-1,12,1),$A$2:$A$800,0))-1,""))</f>
        <v/>
      </c>
      <c r="E572" s="122">
        <f>IF(B572="","",IFERROR(B572/INDEX($B$2:$B$800,MATCH(DATE(YEAR(A572)-1,MONTH(A572),1),$A$2:$A$800,0))-1,""))</f>
        <v/>
      </c>
    </row>
    <row r="573">
      <c r="A573" s="124" t="n"/>
      <c r="B573" s="125" t="n"/>
      <c r="C573" s="122">
        <f>IF(OR(B573="",B572=""),"",B573/B572-1)</f>
        <v/>
      </c>
      <c r="D573" s="122">
        <f>IF(B573="","",IFERROR(B573/INDEX($B$2:$B$800,MATCH(DATE(YEAR(A573)-1,12,1),$A$2:$A$800,0))-1,""))</f>
        <v/>
      </c>
      <c r="E573" s="122">
        <f>IF(B573="","",IFERROR(B573/INDEX($B$2:$B$800,MATCH(DATE(YEAR(A573)-1,MONTH(A573),1),$A$2:$A$800,0))-1,""))</f>
        <v/>
      </c>
    </row>
    <row r="574">
      <c r="A574" s="124" t="n"/>
      <c r="B574" s="125" t="n"/>
      <c r="C574" s="122">
        <f>IF(OR(B574="",B573=""),"",B574/B573-1)</f>
        <v/>
      </c>
      <c r="D574" s="122">
        <f>IF(B574="","",IFERROR(B574/INDEX($B$2:$B$800,MATCH(DATE(YEAR(A574)-1,12,1),$A$2:$A$800,0))-1,""))</f>
        <v/>
      </c>
      <c r="E574" s="122">
        <f>IF(B574="","",IFERROR(B574/INDEX($B$2:$B$800,MATCH(DATE(YEAR(A574)-1,MONTH(A574),1),$A$2:$A$800,0))-1,""))</f>
        <v/>
      </c>
    </row>
    <row r="575">
      <c r="A575" s="124" t="n"/>
      <c r="B575" s="125" t="n"/>
      <c r="C575" s="122">
        <f>IF(OR(B575="",B574=""),"",B575/B574-1)</f>
        <v/>
      </c>
      <c r="D575" s="122">
        <f>IF(B575="","",IFERROR(B575/INDEX($B$2:$B$800,MATCH(DATE(YEAR(A575)-1,12,1),$A$2:$A$800,0))-1,""))</f>
        <v/>
      </c>
      <c r="E575" s="122">
        <f>IF(B575="","",IFERROR(B575/INDEX($B$2:$B$800,MATCH(DATE(YEAR(A575)-1,MONTH(A575),1),$A$2:$A$800,0))-1,""))</f>
        <v/>
      </c>
    </row>
    <row r="576">
      <c r="A576" s="124" t="n"/>
      <c r="B576" s="125" t="n"/>
      <c r="C576" s="122">
        <f>IF(OR(B576="",B575=""),"",B576/B575-1)</f>
        <v/>
      </c>
      <c r="D576" s="122">
        <f>IF(B576="","",IFERROR(B576/INDEX($B$2:$B$800,MATCH(DATE(YEAR(A576)-1,12,1),$A$2:$A$800,0))-1,""))</f>
        <v/>
      </c>
      <c r="E576" s="122">
        <f>IF(B576="","",IFERROR(B576/INDEX($B$2:$B$800,MATCH(DATE(YEAR(A576)-1,MONTH(A576),1),$A$2:$A$800,0))-1,""))</f>
        <v/>
      </c>
    </row>
    <row r="577">
      <c r="A577" s="124" t="n"/>
      <c r="B577" s="125" t="n"/>
      <c r="C577" s="122">
        <f>IF(OR(B577="",B576=""),"",B577/B576-1)</f>
        <v/>
      </c>
      <c r="D577" s="122">
        <f>IF(B577="","",IFERROR(B577/INDEX($B$2:$B$800,MATCH(DATE(YEAR(A577)-1,12,1),$A$2:$A$800,0))-1,""))</f>
        <v/>
      </c>
      <c r="E577" s="122">
        <f>IF(B577="","",IFERROR(B577/INDEX($B$2:$B$800,MATCH(DATE(YEAR(A577)-1,MONTH(A577),1),$A$2:$A$800,0))-1,""))</f>
        <v/>
      </c>
    </row>
    <row r="578">
      <c r="A578" s="124" t="n"/>
      <c r="B578" s="125" t="n"/>
      <c r="C578" s="122">
        <f>IF(OR(B578="",B577=""),"",B578/B577-1)</f>
        <v/>
      </c>
      <c r="D578" s="122">
        <f>IF(B578="","",IFERROR(B578/INDEX($B$2:$B$800,MATCH(DATE(YEAR(A578)-1,12,1),$A$2:$A$800,0))-1,""))</f>
        <v/>
      </c>
      <c r="E578" s="122">
        <f>IF(B578="","",IFERROR(B578/INDEX($B$2:$B$800,MATCH(DATE(YEAR(A578)-1,MONTH(A578),1),$A$2:$A$800,0))-1,""))</f>
        <v/>
      </c>
    </row>
    <row r="579">
      <c r="A579" s="124" t="n"/>
      <c r="B579" s="125" t="n"/>
      <c r="C579" s="122">
        <f>IF(OR(B579="",B578=""),"",B579/B578-1)</f>
        <v/>
      </c>
      <c r="D579" s="122">
        <f>IF(B579="","",IFERROR(B579/INDEX($B$2:$B$800,MATCH(DATE(YEAR(A579)-1,12,1),$A$2:$A$800,0))-1,""))</f>
        <v/>
      </c>
      <c r="E579" s="122">
        <f>IF(B579="","",IFERROR(B579/INDEX($B$2:$B$800,MATCH(DATE(YEAR(A579)-1,MONTH(A579),1),$A$2:$A$800,0))-1,""))</f>
        <v/>
      </c>
    </row>
    <row r="580">
      <c r="A580" s="124" t="n"/>
      <c r="B580" s="125" t="n"/>
      <c r="C580" s="122">
        <f>IF(OR(B580="",B579=""),"",B580/B579-1)</f>
        <v/>
      </c>
      <c r="D580" s="122">
        <f>IF(B580="","",IFERROR(B580/INDEX($B$2:$B$800,MATCH(DATE(YEAR(A580)-1,12,1),$A$2:$A$800,0))-1,""))</f>
        <v/>
      </c>
      <c r="E580" s="122">
        <f>IF(B580="","",IFERROR(B580/INDEX($B$2:$B$800,MATCH(DATE(YEAR(A580)-1,MONTH(A580),1),$A$2:$A$800,0))-1,""))</f>
        <v/>
      </c>
    </row>
    <row r="581">
      <c r="A581" s="124" t="n"/>
      <c r="B581" s="125" t="n"/>
      <c r="C581" s="122">
        <f>IF(OR(B581="",B580=""),"",B581/B580-1)</f>
        <v/>
      </c>
      <c r="D581" s="122">
        <f>IF(B581="","",IFERROR(B581/INDEX($B$2:$B$800,MATCH(DATE(YEAR(A581)-1,12,1),$A$2:$A$800,0))-1,""))</f>
        <v/>
      </c>
      <c r="E581" s="122">
        <f>IF(B581="","",IFERROR(B581/INDEX($B$2:$B$800,MATCH(DATE(YEAR(A581)-1,MONTH(A581),1),$A$2:$A$800,0))-1,""))</f>
        <v/>
      </c>
    </row>
    <row r="582">
      <c r="A582" s="124" t="n"/>
      <c r="B582" s="125" t="n"/>
      <c r="C582" s="122">
        <f>IF(OR(B582="",B581=""),"",B582/B581-1)</f>
        <v/>
      </c>
      <c r="D582" s="122">
        <f>IF(B582="","",IFERROR(B582/INDEX($B$2:$B$800,MATCH(DATE(YEAR(A582)-1,12,1),$A$2:$A$800,0))-1,""))</f>
        <v/>
      </c>
      <c r="E582" s="122">
        <f>IF(B582="","",IFERROR(B582/INDEX($B$2:$B$800,MATCH(DATE(YEAR(A582)-1,MONTH(A582),1),$A$2:$A$800,0))-1,""))</f>
        <v/>
      </c>
    </row>
    <row r="583">
      <c r="A583" s="124" t="n"/>
      <c r="B583" s="125" t="n"/>
      <c r="C583" s="122">
        <f>IF(OR(B583="",B582=""),"",B583/B582-1)</f>
        <v/>
      </c>
      <c r="D583" s="122">
        <f>IF(B583="","",IFERROR(B583/INDEX($B$2:$B$800,MATCH(DATE(YEAR(A583)-1,12,1),$A$2:$A$800,0))-1,""))</f>
        <v/>
      </c>
      <c r="E583" s="122">
        <f>IF(B583="","",IFERROR(B583/INDEX($B$2:$B$800,MATCH(DATE(YEAR(A583)-1,MONTH(A583),1),$A$2:$A$800,0))-1,""))</f>
        <v/>
      </c>
    </row>
    <row r="584">
      <c r="A584" s="124" t="n"/>
      <c r="B584" s="125" t="n"/>
      <c r="C584" s="122">
        <f>IF(OR(B584="",B583=""),"",B584/B583-1)</f>
        <v/>
      </c>
      <c r="D584" s="122">
        <f>IF(B584="","",IFERROR(B584/INDEX($B$2:$B$800,MATCH(DATE(YEAR(A584)-1,12,1),$A$2:$A$800,0))-1,""))</f>
        <v/>
      </c>
      <c r="E584" s="122">
        <f>IF(B584="","",IFERROR(B584/INDEX($B$2:$B$800,MATCH(DATE(YEAR(A584)-1,MONTH(A584),1),$A$2:$A$800,0))-1,""))</f>
        <v/>
      </c>
    </row>
    <row r="585">
      <c r="A585" s="124" t="n"/>
      <c r="B585" s="125" t="n"/>
      <c r="C585" s="122">
        <f>IF(OR(B585="",B584=""),"",B585/B584-1)</f>
        <v/>
      </c>
      <c r="D585" s="122">
        <f>IF(B585="","",IFERROR(B585/INDEX($B$2:$B$800,MATCH(DATE(YEAR(A585)-1,12,1),$A$2:$A$800,0))-1,""))</f>
        <v/>
      </c>
      <c r="E585" s="122">
        <f>IF(B585="","",IFERROR(B585/INDEX($B$2:$B$800,MATCH(DATE(YEAR(A585)-1,MONTH(A585),1),$A$2:$A$800,0))-1,""))</f>
        <v/>
      </c>
    </row>
    <row r="586">
      <c r="A586" s="124" t="n"/>
      <c r="B586" s="125" t="n"/>
      <c r="C586" s="122">
        <f>IF(OR(B586="",B585=""),"",B586/B585-1)</f>
        <v/>
      </c>
      <c r="D586" s="122">
        <f>IF(B586="","",IFERROR(B586/INDEX($B$2:$B$800,MATCH(DATE(YEAR(A586)-1,12,1),$A$2:$A$800,0))-1,""))</f>
        <v/>
      </c>
      <c r="E586" s="122">
        <f>IF(B586="","",IFERROR(B586/INDEX($B$2:$B$800,MATCH(DATE(YEAR(A586)-1,MONTH(A586),1),$A$2:$A$800,0))-1,""))</f>
        <v/>
      </c>
    </row>
    <row r="587">
      <c r="A587" s="124" t="n"/>
      <c r="B587" s="125" t="n"/>
      <c r="C587" s="122">
        <f>IF(OR(B587="",B586=""),"",B587/B586-1)</f>
        <v/>
      </c>
      <c r="D587" s="122">
        <f>IF(B587="","",IFERROR(B587/INDEX($B$2:$B$800,MATCH(DATE(YEAR(A587)-1,12,1),$A$2:$A$800,0))-1,""))</f>
        <v/>
      </c>
      <c r="E587" s="122">
        <f>IF(B587="","",IFERROR(B587/INDEX($B$2:$B$800,MATCH(DATE(YEAR(A587)-1,MONTH(A587),1),$A$2:$A$800,0))-1,""))</f>
        <v/>
      </c>
    </row>
    <row r="588">
      <c r="A588" s="124" t="n"/>
      <c r="B588" s="125" t="n"/>
      <c r="C588" s="122">
        <f>IF(OR(B588="",B587=""),"",B588/B587-1)</f>
        <v/>
      </c>
      <c r="D588" s="122">
        <f>IF(B588="","",IFERROR(B588/INDEX($B$2:$B$800,MATCH(DATE(YEAR(A588)-1,12,1),$A$2:$A$800,0))-1,""))</f>
        <v/>
      </c>
      <c r="E588" s="122">
        <f>IF(B588="","",IFERROR(B588/INDEX($B$2:$B$800,MATCH(DATE(YEAR(A588)-1,MONTH(A588),1),$A$2:$A$800,0))-1,""))</f>
        <v/>
      </c>
    </row>
    <row r="589">
      <c r="A589" s="124" t="n"/>
      <c r="B589" s="125" t="n"/>
      <c r="C589" s="122">
        <f>IF(OR(B589="",B588=""),"",B589/B588-1)</f>
        <v/>
      </c>
      <c r="D589" s="122">
        <f>IF(B589="","",IFERROR(B589/INDEX($B$2:$B$800,MATCH(DATE(YEAR(A589)-1,12,1),$A$2:$A$800,0))-1,""))</f>
        <v/>
      </c>
      <c r="E589" s="122">
        <f>IF(B589="","",IFERROR(B589/INDEX($B$2:$B$800,MATCH(DATE(YEAR(A589)-1,MONTH(A589),1),$A$2:$A$800,0))-1,""))</f>
        <v/>
      </c>
    </row>
    <row r="590">
      <c r="A590" s="124" t="n"/>
      <c r="B590" s="125" t="n"/>
      <c r="C590" s="122">
        <f>IF(OR(B590="",B589=""),"",B590/B589-1)</f>
        <v/>
      </c>
      <c r="D590" s="122">
        <f>IF(B590="","",IFERROR(B590/INDEX($B$2:$B$800,MATCH(DATE(YEAR(A590)-1,12,1),$A$2:$A$800,0))-1,""))</f>
        <v/>
      </c>
      <c r="E590" s="122">
        <f>IF(B590="","",IFERROR(B590/INDEX($B$2:$B$800,MATCH(DATE(YEAR(A590)-1,MONTH(A590),1),$A$2:$A$800,0))-1,""))</f>
        <v/>
      </c>
    </row>
    <row r="591">
      <c r="A591" s="124" t="n"/>
      <c r="B591" s="125" t="n"/>
      <c r="C591" s="122">
        <f>IF(OR(B591="",B590=""),"",B591/B590-1)</f>
        <v/>
      </c>
      <c r="D591" s="122">
        <f>IF(B591="","",IFERROR(B591/INDEX($B$2:$B$800,MATCH(DATE(YEAR(A591)-1,12,1),$A$2:$A$800,0))-1,""))</f>
        <v/>
      </c>
      <c r="E591" s="122">
        <f>IF(B591="","",IFERROR(B591/INDEX($B$2:$B$800,MATCH(DATE(YEAR(A591)-1,MONTH(A591),1),$A$2:$A$800,0))-1,""))</f>
        <v/>
      </c>
    </row>
    <row r="592">
      <c r="A592" s="124" t="n"/>
      <c r="B592" s="125" t="n"/>
      <c r="C592" s="122">
        <f>IF(OR(B592="",B591=""),"",B592/B591-1)</f>
        <v/>
      </c>
      <c r="D592" s="122">
        <f>IF(B592="","",IFERROR(B592/INDEX($B$2:$B$800,MATCH(DATE(YEAR(A592)-1,12,1),$A$2:$A$800,0))-1,""))</f>
        <v/>
      </c>
      <c r="E592" s="122">
        <f>IF(B592="","",IFERROR(B592/INDEX($B$2:$B$800,MATCH(DATE(YEAR(A592)-1,MONTH(A592),1),$A$2:$A$800,0))-1,""))</f>
        <v/>
      </c>
    </row>
    <row r="593">
      <c r="A593" s="124" t="n"/>
      <c r="B593" s="125" t="n"/>
      <c r="C593" s="122">
        <f>IF(OR(B593="",B592=""),"",B593/B592-1)</f>
        <v/>
      </c>
      <c r="D593" s="122">
        <f>IF(B593="","",IFERROR(B593/INDEX($B$2:$B$800,MATCH(DATE(YEAR(A593)-1,12,1),$A$2:$A$800,0))-1,""))</f>
        <v/>
      </c>
      <c r="E593" s="122">
        <f>IF(B593="","",IFERROR(B593/INDEX($B$2:$B$800,MATCH(DATE(YEAR(A593)-1,MONTH(A593),1),$A$2:$A$800,0))-1,""))</f>
        <v/>
      </c>
    </row>
    <row r="594">
      <c r="A594" s="124" t="n"/>
      <c r="B594" s="125" t="n"/>
      <c r="C594" s="122">
        <f>IF(OR(B594="",B593=""),"",B594/B593-1)</f>
        <v/>
      </c>
      <c r="D594" s="122">
        <f>IF(B594="","",IFERROR(B594/INDEX($B$2:$B$800,MATCH(DATE(YEAR(A594)-1,12,1),$A$2:$A$800,0))-1,""))</f>
        <v/>
      </c>
      <c r="E594" s="122">
        <f>IF(B594="","",IFERROR(B594/INDEX($B$2:$B$800,MATCH(DATE(YEAR(A594)-1,MONTH(A594),1),$A$2:$A$800,0))-1,""))</f>
        <v/>
      </c>
    </row>
    <row r="595">
      <c r="A595" s="124" t="n"/>
      <c r="B595" s="125" t="n"/>
      <c r="C595" s="122">
        <f>IF(OR(B595="",B594=""),"",B595/B594-1)</f>
        <v/>
      </c>
      <c r="D595" s="122">
        <f>IF(B595="","",IFERROR(B595/INDEX($B$2:$B$800,MATCH(DATE(YEAR(A595)-1,12,1),$A$2:$A$800,0))-1,""))</f>
        <v/>
      </c>
      <c r="E595" s="122">
        <f>IF(B595="","",IFERROR(B595/INDEX($B$2:$B$800,MATCH(DATE(YEAR(A595)-1,MONTH(A595),1),$A$2:$A$800,0))-1,""))</f>
        <v/>
      </c>
    </row>
    <row r="596">
      <c r="A596" s="124" t="n"/>
      <c r="B596" s="125" t="n"/>
      <c r="C596" s="122">
        <f>IF(OR(B596="",B595=""),"",B596/B595-1)</f>
        <v/>
      </c>
      <c r="D596" s="122">
        <f>IF(B596="","",IFERROR(B596/INDEX($B$2:$B$800,MATCH(DATE(YEAR(A596)-1,12,1),$A$2:$A$800,0))-1,""))</f>
        <v/>
      </c>
      <c r="E596" s="122">
        <f>IF(B596="","",IFERROR(B596/INDEX($B$2:$B$800,MATCH(DATE(YEAR(A596)-1,MONTH(A596),1),$A$2:$A$800,0))-1,""))</f>
        <v/>
      </c>
    </row>
    <row r="597">
      <c r="A597" s="124" t="n"/>
      <c r="B597" s="125" t="n"/>
      <c r="C597" s="122">
        <f>IF(OR(B597="",B596=""),"",B597/B596-1)</f>
        <v/>
      </c>
      <c r="D597" s="122">
        <f>IF(B597="","",IFERROR(B597/INDEX($B$2:$B$800,MATCH(DATE(YEAR(A597)-1,12,1),$A$2:$A$800,0))-1,""))</f>
        <v/>
      </c>
      <c r="E597" s="122">
        <f>IF(B597="","",IFERROR(B597/INDEX($B$2:$B$800,MATCH(DATE(YEAR(A597)-1,MONTH(A597),1),$A$2:$A$800,0))-1,""))</f>
        <v/>
      </c>
    </row>
    <row r="598">
      <c r="A598" s="124" t="n"/>
      <c r="B598" s="125" t="n"/>
      <c r="C598" s="122">
        <f>IF(OR(B598="",B597=""),"",B598/B597-1)</f>
        <v/>
      </c>
      <c r="D598" s="122">
        <f>IF(B598="","",IFERROR(B598/INDEX($B$2:$B$800,MATCH(DATE(YEAR(A598)-1,12,1),$A$2:$A$800,0))-1,""))</f>
        <v/>
      </c>
      <c r="E598" s="122">
        <f>IF(B598="","",IFERROR(B598/INDEX($B$2:$B$800,MATCH(DATE(YEAR(A598)-1,MONTH(A598),1),$A$2:$A$800,0))-1,""))</f>
        <v/>
      </c>
    </row>
    <row r="599">
      <c r="A599" s="124" t="n"/>
      <c r="B599" s="125" t="n"/>
      <c r="C599" s="122">
        <f>IF(OR(B599="",B598=""),"",B599/B598-1)</f>
        <v/>
      </c>
      <c r="D599" s="122">
        <f>IF(B599="","",IFERROR(B599/INDEX($B$2:$B$800,MATCH(DATE(YEAR(A599)-1,12,1),$A$2:$A$800,0))-1,""))</f>
        <v/>
      </c>
      <c r="E599" s="122">
        <f>IF(B599="","",IFERROR(B599/INDEX($B$2:$B$800,MATCH(DATE(YEAR(A599)-1,MONTH(A599),1),$A$2:$A$800,0))-1,""))</f>
        <v/>
      </c>
    </row>
    <row r="600">
      <c r="A600" s="124" t="n"/>
      <c r="B600" s="125" t="n"/>
      <c r="C600" s="122">
        <f>IF(OR(B600="",B599=""),"",B600/B599-1)</f>
        <v/>
      </c>
      <c r="D600" s="122">
        <f>IF(B600="","",IFERROR(B600/INDEX($B$2:$B$800,MATCH(DATE(YEAR(A600)-1,12,1),$A$2:$A$800,0))-1,""))</f>
        <v/>
      </c>
      <c r="E600" s="122">
        <f>IF(B600="","",IFERROR(B600/INDEX($B$2:$B$800,MATCH(DATE(YEAR(A600)-1,MONTH(A600),1),$A$2:$A$800,0))-1,""))</f>
        <v/>
      </c>
    </row>
    <row r="601">
      <c r="A601" s="124" t="n"/>
      <c r="B601" s="125" t="n"/>
      <c r="C601" s="122">
        <f>IF(OR(B601="",B600=""),"",B601/B600-1)</f>
        <v/>
      </c>
      <c r="D601" s="122">
        <f>IF(B601="","",IFERROR(B601/INDEX($B$2:$B$800,MATCH(DATE(YEAR(A601)-1,12,1),$A$2:$A$800,0))-1,""))</f>
        <v/>
      </c>
      <c r="E601" s="122">
        <f>IF(B601="","",IFERROR(B601/INDEX($B$2:$B$800,MATCH(DATE(YEAR(A601)-1,MONTH(A601),1),$A$2:$A$800,0))-1,""))</f>
        <v/>
      </c>
    </row>
    <row r="602">
      <c r="A602" s="124" t="n"/>
      <c r="B602" s="125" t="n"/>
      <c r="C602" s="122">
        <f>IF(OR(B602="",B601=""),"",B602/B601-1)</f>
        <v/>
      </c>
      <c r="D602" s="122">
        <f>IF(B602="","",IFERROR(B602/INDEX($B$2:$B$800,MATCH(DATE(YEAR(A602)-1,12,1),$A$2:$A$800,0))-1,""))</f>
        <v/>
      </c>
      <c r="E602" s="122">
        <f>IF(B602="","",IFERROR(B602/INDEX($B$2:$B$800,MATCH(DATE(YEAR(A602)-1,MONTH(A602),1),$A$2:$A$800,0))-1,""))</f>
        <v/>
      </c>
    </row>
    <row r="603">
      <c r="A603" s="124" t="n"/>
      <c r="B603" s="125" t="n"/>
      <c r="C603" s="122">
        <f>IF(OR(B603="",B602=""),"",B603/B602-1)</f>
        <v/>
      </c>
      <c r="D603" s="122">
        <f>IF(B603="","",IFERROR(B603/INDEX($B$2:$B$800,MATCH(DATE(YEAR(A603)-1,12,1),$A$2:$A$800,0))-1,""))</f>
        <v/>
      </c>
      <c r="E603" s="122">
        <f>IF(B603="","",IFERROR(B603/INDEX($B$2:$B$800,MATCH(DATE(YEAR(A603)-1,MONTH(A603),1),$A$2:$A$800,0))-1,""))</f>
        <v/>
      </c>
    </row>
    <row r="604">
      <c r="A604" s="124" t="n"/>
      <c r="B604" s="125" t="n"/>
      <c r="C604" s="122">
        <f>IF(OR(B604="",B603=""),"",B604/B603-1)</f>
        <v/>
      </c>
      <c r="D604" s="122">
        <f>IF(B604="","",IFERROR(B604/INDEX($B$2:$B$800,MATCH(DATE(YEAR(A604)-1,12,1),$A$2:$A$800,0))-1,""))</f>
        <v/>
      </c>
      <c r="E604" s="122">
        <f>IF(B604="","",IFERROR(B604/INDEX($B$2:$B$800,MATCH(DATE(YEAR(A604)-1,MONTH(A604),1),$A$2:$A$800,0))-1,""))</f>
        <v/>
      </c>
    </row>
    <row r="605">
      <c r="A605" s="124" t="n"/>
      <c r="B605" s="125" t="n"/>
      <c r="C605" s="122">
        <f>IF(OR(B605="",B604=""),"",B605/B604-1)</f>
        <v/>
      </c>
      <c r="D605" s="122">
        <f>IF(B605="","",IFERROR(B605/INDEX($B$2:$B$800,MATCH(DATE(YEAR(A605)-1,12,1),$A$2:$A$800,0))-1,""))</f>
        <v/>
      </c>
      <c r="E605" s="122">
        <f>IF(B605="","",IFERROR(B605/INDEX($B$2:$B$800,MATCH(DATE(YEAR(A605)-1,MONTH(A605),1),$A$2:$A$800,0))-1,""))</f>
        <v/>
      </c>
    </row>
    <row r="606">
      <c r="A606" s="124" t="n"/>
      <c r="B606" s="125" t="n"/>
      <c r="C606" s="122">
        <f>IF(OR(B606="",B605=""),"",B606/B605-1)</f>
        <v/>
      </c>
      <c r="D606" s="122">
        <f>IF(B606="","",IFERROR(B606/INDEX($B$2:$B$800,MATCH(DATE(YEAR(A606)-1,12,1),$A$2:$A$800,0))-1,""))</f>
        <v/>
      </c>
      <c r="E606" s="122">
        <f>IF(B606="","",IFERROR(B606/INDEX($B$2:$B$800,MATCH(DATE(YEAR(A606)-1,MONTH(A606),1),$A$2:$A$800,0))-1,""))</f>
        <v/>
      </c>
    </row>
    <row r="607">
      <c r="A607" s="124" t="n"/>
      <c r="B607" s="125" t="n"/>
      <c r="C607" s="122">
        <f>IF(OR(B607="",B606=""),"",B607/B606-1)</f>
        <v/>
      </c>
      <c r="D607" s="122">
        <f>IF(B607="","",IFERROR(B607/INDEX($B$2:$B$800,MATCH(DATE(YEAR(A607)-1,12,1),$A$2:$A$800,0))-1,""))</f>
        <v/>
      </c>
      <c r="E607" s="122">
        <f>IF(B607="","",IFERROR(B607/INDEX($B$2:$B$800,MATCH(DATE(YEAR(A607)-1,MONTH(A607),1),$A$2:$A$800,0))-1,""))</f>
        <v/>
      </c>
    </row>
    <row r="608">
      <c r="A608" s="124" t="n"/>
      <c r="B608" s="125" t="n"/>
      <c r="C608" s="122">
        <f>IF(OR(B608="",B607=""),"",B608/B607-1)</f>
        <v/>
      </c>
      <c r="D608" s="122">
        <f>IF(B608="","",IFERROR(B608/INDEX($B$2:$B$800,MATCH(DATE(YEAR(A608)-1,12,1),$A$2:$A$800,0))-1,""))</f>
        <v/>
      </c>
      <c r="E608" s="122">
        <f>IF(B608="","",IFERROR(B608/INDEX($B$2:$B$800,MATCH(DATE(YEAR(A608)-1,MONTH(A608),1),$A$2:$A$800,0))-1,""))</f>
        <v/>
      </c>
    </row>
    <row r="609">
      <c r="A609" s="124" t="n"/>
      <c r="B609" s="125" t="n"/>
      <c r="C609" s="122">
        <f>IF(OR(B609="",B608=""),"",B609/B608-1)</f>
        <v/>
      </c>
      <c r="D609" s="122">
        <f>IF(B609="","",IFERROR(B609/INDEX($B$2:$B$800,MATCH(DATE(YEAR(A609)-1,12,1),$A$2:$A$800,0))-1,""))</f>
        <v/>
      </c>
      <c r="E609" s="122">
        <f>IF(B609="","",IFERROR(B609/INDEX($B$2:$B$800,MATCH(DATE(YEAR(A609)-1,MONTH(A609),1),$A$2:$A$800,0))-1,""))</f>
        <v/>
      </c>
    </row>
    <row r="610">
      <c r="A610" s="124" t="n"/>
      <c r="B610" s="125" t="n"/>
      <c r="C610" s="122">
        <f>IF(OR(B610="",B609=""),"",B610/B609-1)</f>
        <v/>
      </c>
      <c r="D610" s="122">
        <f>IF(B610="","",IFERROR(B610/INDEX($B$2:$B$800,MATCH(DATE(YEAR(A610)-1,12,1),$A$2:$A$800,0))-1,""))</f>
        <v/>
      </c>
      <c r="E610" s="122">
        <f>IF(B610="","",IFERROR(B610/INDEX($B$2:$B$800,MATCH(DATE(YEAR(A610)-1,MONTH(A610),1),$A$2:$A$800,0))-1,""))</f>
        <v/>
      </c>
    </row>
    <row r="611">
      <c r="A611" s="124" t="n"/>
      <c r="B611" s="125" t="n"/>
      <c r="C611" s="122">
        <f>IF(OR(B611="",B610=""),"",B611/B610-1)</f>
        <v/>
      </c>
      <c r="D611" s="122">
        <f>IF(B611="","",IFERROR(B611/INDEX($B$2:$B$800,MATCH(DATE(YEAR(A611)-1,12,1),$A$2:$A$800,0))-1,""))</f>
        <v/>
      </c>
      <c r="E611" s="122">
        <f>IF(B611="","",IFERROR(B611/INDEX($B$2:$B$800,MATCH(DATE(YEAR(A611)-1,MONTH(A611),1),$A$2:$A$800,0))-1,""))</f>
        <v/>
      </c>
    </row>
    <row r="612">
      <c r="A612" s="124" t="n"/>
      <c r="B612" s="125" t="n"/>
      <c r="C612" s="122">
        <f>IF(OR(B612="",B611=""),"",B612/B611-1)</f>
        <v/>
      </c>
      <c r="D612" s="122">
        <f>IF(B612="","",IFERROR(B612/INDEX($B$2:$B$800,MATCH(DATE(YEAR(A612)-1,12,1),$A$2:$A$800,0))-1,""))</f>
        <v/>
      </c>
      <c r="E612" s="122">
        <f>IF(B612="","",IFERROR(B612/INDEX($B$2:$B$800,MATCH(DATE(YEAR(A612)-1,MONTH(A612),1),$A$2:$A$800,0))-1,""))</f>
        <v/>
      </c>
    </row>
    <row r="613">
      <c r="A613" s="124" t="n"/>
      <c r="B613" s="125" t="n"/>
      <c r="C613" s="122">
        <f>IF(OR(B613="",B612=""),"",B613/B612-1)</f>
        <v/>
      </c>
      <c r="D613" s="122">
        <f>IF(B613="","",IFERROR(B613/INDEX($B$2:$B$800,MATCH(DATE(YEAR(A613)-1,12,1),$A$2:$A$800,0))-1,""))</f>
        <v/>
      </c>
      <c r="E613" s="122">
        <f>IF(B613="","",IFERROR(B613/INDEX($B$2:$B$800,MATCH(DATE(YEAR(A613)-1,MONTH(A613),1),$A$2:$A$800,0))-1,""))</f>
        <v/>
      </c>
    </row>
    <row r="614">
      <c r="A614" s="124" t="n"/>
      <c r="B614" s="125" t="n"/>
      <c r="C614" s="122">
        <f>IF(OR(B614="",B613=""),"",B614/B613-1)</f>
        <v/>
      </c>
      <c r="D614" s="122">
        <f>IF(B614="","",IFERROR(B614/INDEX($B$2:$B$800,MATCH(DATE(YEAR(A614)-1,12,1),$A$2:$A$800,0))-1,""))</f>
        <v/>
      </c>
      <c r="E614" s="122">
        <f>IF(B614="","",IFERROR(B614/INDEX($B$2:$B$800,MATCH(DATE(YEAR(A614)-1,MONTH(A614),1),$A$2:$A$800,0))-1,""))</f>
        <v/>
      </c>
    </row>
    <row r="615">
      <c r="A615" s="124" t="n"/>
      <c r="B615" s="125" t="n"/>
      <c r="C615" s="122">
        <f>IF(OR(B615="",B614=""),"",B615/B614-1)</f>
        <v/>
      </c>
      <c r="D615" s="122">
        <f>IF(B615="","",IFERROR(B615/INDEX($B$2:$B$800,MATCH(DATE(YEAR(A615)-1,12,1),$A$2:$A$800,0))-1,""))</f>
        <v/>
      </c>
      <c r="E615" s="122">
        <f>IF(B615="","",IFERROR(B615/INDEX($B$2:$B$800,MATCH(DATE(YEAR(A615)-1,MONTH(A615),1),$A$2:$A$800,0))-1,""))</f>
        <v/>
      </c>
    </row>
    <row r="616">
      <c r="A616" s="124" t="n"/>
      <c r="B616" s="125" t="n"/>
      <c r="C616" s="122">
        <f>IF(OR(B616="",B615=""),"",B616/B615-1)</f>
        <v/>
      </c>
      <c r="D616" s="122">
        <f>IF(B616="","",IFERROR(B616/INDEX($B$2:$B$800,MATCH(DATE(YEAR(A616)-1,12,1),$A$2:$A$800,0))-1,""))</f>
        <v/>
      </c>
      <c r="E616" s="122">
        <f>IF(B616="","",IFERROR(B616/INDEX($B$2:$B$800,MATCH(DATE(YEAR(A616)-1,MONTH(A616),1),$A$2:$A$800,0))-1,""))</f>
        <v/>
      </c>
    </row>
    <row r="617">
      <c r="A617" s="124" t="n"/>
      <c r="B617" s="125" t="n"/>
      <c r="C617" s="122">
        <f>IF(OR(B617="",B616=""),"",B617/B616-1)</f>
        <v/>
      </c>
      <c r="D617" s="122">
        <f>IF(B617="","",IFERROR(B617/INDEX($B$2:$B$800,MATCH(DATE(YEAR(A617)-1,12,1),$A$2:$A$800,0))-1,""))</f>
        <v/>
      </c>
      <c r="E617" s="122">
        <f>IF(B617="","",IFERROR(B617/INDEX($B$2:$B$800,MATCH(DATE(YEAR(A617)-1,MONTH(A617),1),$A$2:$A$800,0))-1,""))</f>
        <v/>
      </c>
    </row>
    <row r="618">
      <c r="A618" s="124" t="n"/>
      <c r="B618" s="125" t="n"/>
      <c r="C618" s="122">
        <f>IF(OR(B618="",B617=""),"",B618/B617-1)</f>
        <v/>
      </c>
      <c r="D618" s="122">
        <f>IF(B618="","",IFERROR(B618/INDEX($B$2:$B$800,MATCH(DATE(YEAR(A618)-1,12,1),$A$2:$A$800,0))-1,""))</f>
        <v/>
      </c>
      <c r="E618" s="122">
        <f>IF(B618="","",IFERROR(B618/INDEX($B$2:$B$800,MATCH(DATE(YEAR(A618)-1,MONTH(A618),1),$A$2:$A$800,0))-1,""))</f>
        <v/>
      </c>
    </row>
    <row r="619">
      <c r="A619" s="124" t="n"/>
      <c r="B619" s="125" t="n"/>
      <c r="C619" s="122">
        <f>IF(OR(B619="",B618=""),"",B619/B618-1)</f>
        <v/>
      </c>
      <c r="D619" s="122">
        <f>IF(B619="","",IFERROR(B619/INDEX($B$2:$B$800,MATCH(DATE(YEAR(A619)-1,12,1),$A$2:$A$800,0))-1,""))</f>
        <v/>
      </c>
      <c r="E619" s="122">
        <f>IF(B619="","",IFERROR(B619/INDEX($B$2:$B$800,MATCH(DATE(YEAR(A619)-1,MONTH(A619),1),$A$2:$A$800,0))-1,""))</f>
        <v/>
      </c>
    </row>
    <row r="620">
      <c r="A620" s="124" t="n"/>
      <c r="B620" s="125" t="n"/>
      <c r="C620" s="122">
        <f>IF(OR(B620="",B619=""),"",B620/B619-1)</f>
        <v/>
      </c>
      <c r="D620" s="122">
        <f>IF(B620="","",IFERROR(B620/INDEX($B$2:$B$800,MATCH(DATE(YEAR(A620)-1,12,1),$A$2:$A$800,0))-1,""))</f>
        <v/>
      </c>
      <c r="E620" s="122">
        <f>IF(B620="","",IFERROR(B620/INDEX($B$2:$B$800,MATCH(DATE(YEAR(A620)-1,MONTH(A620),1),$A$2:$A$800,0))-1,""))</f>
        <v/>
      </c>
    </row>
    <row r="621">
      <c r="A621" s="124" t="n"/>
      <c r="B621" s="125" t="n"/>
      <c r="C621" s="122">
        <f>IF(OR(B621="",B620=""),"",B621/B620-1)</f>
        <v/>
      </c>
      <c r="D621" s="122">
        <f>IF(B621="","",IFERROR(B621/INDEX($B$2:$B$800,MATCH(DATE(YEAR(A621)-1,12,1),$A$2:$A$800,0))-1,""))</f>
        <v/>
      </c>
      <c r="E621" s="122">
        <f>IF(B621="","",IFERROR(B621/INDEX($B$2:$B$800,MATCH(DATE(YEAR(A621)-1,MONTH(A621),1),$A$2:$A$800,0))-1,""))</f>
        <v/>
      </c>
    </row>
    <row r="622">
      <c r="A622" s="124" t="n"/>
      <c r="B622" s="125" t="n"/>
      <c r="C622" s="122">
        <f>IF(OR(B622="",B621=""),"",B622/B621-1)</f>
        <v/>
      </c>
      <c r="D622" s="122">
        <f>IF(B622="","",IFERROR(B622/INDEX($B$2:$B$800,MATCH(DATE(YEAR(A622)-1,12,1),$A$2:$A$800,0))-1,""))</f>
        <v/>
      </c>
      <c r="E622" s="122">
        <f>IF(B622="","",IFERROR(B622/INDEX($B$2:$B$800,MATCH(DATE(YEAR(A622)-1,MONTH(A622),1),$A$2:$A$800,0))-1,""))</f>
        <v/>
      </c>
    </row>
    <row r="623">
      <c r="A623" s="124" t="n"/>
      <c r="B623" s="125" t="n"/>
      <c r="C623" s="122">
        <f>IF(OR(B623="",B622=""),"",B623/B622-1)</f>
        <v/>
      </c>
      <c r="D623" s="122">
        <f>IF(B623="","",IFERROR(B623/INDEX($B$2:$B$800,MATCH(DATE(YEAR(A623)-1,12,1),$A$2:$A$800,0))-1,""))</f>
        <v/>
      </c>
      <c r="E623" s="122">
        <f>IF(B623="","",IFERROR(B623/INDEX($B$2:$B$800,MATCH(DATE(YEAR(A623)-1,MONTH(A623),1),$A$2:$A$800,0))-1,""))</f>
        <v/>
      </c>
    </row>
    <row r="624">
      <c r="A624" s="124" t="n"/>
      <c r="B624" s="125" t="n"/>
      <c r="C624" s="122">
        <f>IF(OR(B624="",B623=""),"",B624/B623-1)</f>
        <v/>
      </c>
      <c r="D624" s="122">
        <f>IF(B624="","",IFERROR(B624/INDEX($B$2:$B$800,MATCH(DATE(YEAR(A624)-1,12,1),$A$2:$A$800,0))-1,""))</f>
        <v/>
      </c>
      <c r="E624" s="122">
        <f>IF(B624="","",IFERROR(B624/INDEX($B$2:$B$800,MATCH(DATE(YEAR(A624)-1,MONTH(A624),1),$A$2:$A$800,0))-1,""))</f>
        <v/>
      </c>
    </row>
    <row r="625">
      <c r="A625" s="124" t="n"/>
      <c r="B625" s="125" t="n"/>
      <c r="C625" s="122">
        <f>IF(OR(B625="",B624=""),"",B625/B624-1)</f>
        <v/>
      </c>
      <c r="D625" s="122">
        <f>IF(B625="","",IFERROR(B625/INDEX($B$2:$B$800,MATCH(DATE(YEAR(A625)-1,12,1),$A$2:$A$800,0))-1,""))</f>
        <v/>
      </c>
      <c r="E625" s="122">
        <f>IF(B625="","",IFERROR(B625/INDEX($B$2:$B$800,MATCH(DATE(YEAR(A625)-1,MONTH(A625),1),$A$2:$A$800,0))-1,""))</f>
        <v/>
      </c>
    </row>
    <row r="626">
      <c r="A626" s="124" t="n"/>
      <c r="B626" s="125" t="n"/>
      <c r="C626" s="122">
        <f>IF(OR(B626="",B625=""),"",B626/B625-1)</f>
        <v/>
      </c>
      <c r="D626" s="122">
        <f>IF(B626="","",IFERROR(B626/INDEX($B$2:$B$800,MATCH(DATE(YEAR(A626)-1,12,1),$A$2:$A$800,0))-1,""))</f>
        <v/>
      </c>
      <c r="E626" s="122">
        <f>IF(B626="","",IFERROR(B626/INDEX($B$2:$B$800,MATCH(DATE(YEAR(A626)-1,MONTH(A626),1),$A$2:$A$800,0))-1,""))</f>
        <v/>
      </c>
    </row>
    <row r="627">
      <c r="A627" s="124" t="n"/>
      <c r="B627" s="125" t="n"/>
      <c r="C627" s="122">
        <f>IF(OR(B627="",B626=""),"",B627/B626-1)</f>
        <v/>
      </c>
      <c r="D627" s="122">
        <f>IF(B627="","",IFERROR(B627/INDEX($B$2:$B$800,MATCH(DATE(YEAR(A627)-1,12,1),$A$2:$A$800,0))-1,""))</f>
        <v/>
      </c>
      <c r="E627" s="122">
        <f>IF(B627="","",IFERROR(B627/INDEX($B$2:$B$800,MATCH(DATE(YEAR(A627)-1,MONTH(A627),1),$A$2:$A$800,0))-1,""))</f>
        <v/>
      </c>
    </row>
    <row r="628">
      <c r="A628" s="124" t="n"/>
      <c r="B628" s="125" t="n"/>
      <c r="C628" s="122">
        <f>IF(OR(B628="",B627=""),"",B628/B627-1)</f>
        <v/>
      </c>
      <c r="D628" s="122">
        <f>IF(B628="","",IFERROR(B628/INDEX($B$2:$B$800,MATCH(DATE(YEAR(A628)-1,12,1),$A$2:$A$800,0))-1,""))</f>
        <v/>
      </c>
      <c r="E628" s="122">
        <f>IF(B628="","",IFERROR(B628/INDEX($B$2:$B$800,MATCH(DATE(YEAR(A628)-1,MONTH(A628),1),$A$2:$A$800,0))-1,""))</f>
        <v/>
      </c>
    </row>
    <row r="629">
      <c r="A629" s="124" t="n"/>
      <c r="B629" s="125" t="n"/>
      <c r="C629" s="122">
        <f>IF(OR(B629="",B628=""),"",B629/B628-1)</f>
        <v/>
      </c>
      <c r="D629" s="122">
        <f>IF(B629="","",IFERROR(B629/INDEX($B$2:$B$800,MATCH(DATE(YEAR(A629)-1,12,1),$A$2:$A$800,0))-1,""))</f>
        <v/>
      </c>
      <c r="E629" s="122">
        <f>IF(B629="","",IFERROR(B629/INDEX($B$2:$B$800,MATCH(DATE(YEAR(A629)-1,MONTH(A629),1),$A$2:$A$800,0))-1,""))</f>
        <v/>
      </c>
    </row>
    <row r="630">
      <c r="A630" s="124" t="n"/>
      <c r="B630" s="125" t="n"/>
      <c r="C630" s="122">
        <f>IF(OR(B630="",B629=""),"",B630/B629-1)</f>
        <v/>
      </c>
      <c r="D630" s="122">
        <f>IF(B630="","",IFERROR(B630/INDEX($B$2:$B$800,MATCH(DATE(YEAR(A630)-1,12,1),$A$2:$A$800,0))-1,""))</f>
        <v/>
      </c>
      <c r="E630" s="122">
        <f>IF(B630="","",IFERROR(B630/INDEX($B$2:$B$800,MATCH(DATE(YEAR(A630)-1,MONTH(A630),1),$A$2:$A$800,0))-1,""))</f>
        <v/>
      </c>
    </row>
    <row r="631">
      <c r="A631" s="124" t="n"/>
      <c r="B631" s="125" t="n"/>
      <c r="C631" s="122">
        <f>IF(OR(B631="",B630=""),"",B631/B630-1)</f>
        <v/>
      </c>
      <c r="D631" s="122">
        <f>IF(B631="","",IFERROR(B631/INDEX($B$2:$B$800,MATCH(DATE(YEAR(A631)-1,12,1),$A$2:$A$800,0))-1,""))</f>
        <v/>
      </c>
      <c r="E631" s="122">
        <f>IF(B631="","",IFERROR(B631/INDEX($B$2:$B$800,MATCH(DATE(YEAR(A631)-1,MONTH(A631),1),$A$2:$A$800,0))-1,""))</f>
        <v/>
      </c>
    </row>
    <row r="632">
      <c r="A632" s="124" t="n"/>
      <c r="B632" s="125" t="n"/>
      <c r="C632" s="122">
        <f>IF(OR(B632="",B631=""),"",B632/B631-1)</f>
        <v/>
      </c>
      <c r="D632" s="122">
        <f>IF(B632="","",IFERROR(B632/INDEX($B$2:$B$800,MATCH(DATE(YEAR(A632)-1,12,1),$A$2:$A$800,0))-1,""))</f>
        <v/>
      </c>
      <c r="E632" s="122">
        <f>IF(B632="","",IFERROR(B632/INDEX($B$2:$B$800,MATCH(DATE(YEAR(A632)-1,MONTH(A632),1),$A$2:$A$800,0))-1,""))</f>
        <v/>
      </c>
    </row>
    <row r="633">
      <c r="A633" s="124" t="n"/>
      <c r="B633" s="125" t="n"/>
      <c r="C633" s="122">
        <f>IF(OR(B633="",B632=""),"",B633/B632-1)</f>
        <v/>
      </c>
      <c r="D633" s="122">
        <f>IF(B633="","",IFERROR(B633/INDEX($B$2:$B$800,MATCH(DATE(YEAR(A633)-1,12,1),$A$2:$A$800,0))-1,""))</f>
        <v/>
      </c>
      <c r="E633" s="122">
        <f>IF(B633="","",IFERROR(B633/INDEX($B$2:$B$800,MATCH(DATE(YEAR(A633)-1,MONTH(A633),1),$A$2:$A$800,0))-1,""))</f>
        <v/>
      </c>
    </row>
    <row r="634">
      <c r="A634" s="124" t="n"/>
      <c r="B634" s="125" t="n"/>
      <c r="C634" s="122">
        <f>IF(OR(B634="",B633=""),"",B634/B633-1)</f>
        <v/>
      </c>
      <c r="D634" s="122">
        <f>IF(B634="","",IFERROR(B634/INDEX($B$2:$B$800,MATCH(DATE(YEAR(A634)-1,12,1),$A$2:$A$800,0))-1,""))</f>
        <v/>
      </c>
      <c r="E634" s="122">
        <f>IF(B634="","",IFERROR(B634/INDEX($B$2:$B$800,MATCH(DATE(YEAR(A634)-1,MONTH(A634),1),$A$2:$A$800,0))-1,""))</f>
        <v/>
      </c>
    </row>
    <row r="635">
      <c r="A635" s="124" t="n"/>
      <c r="B635" s="125" t="n"/>
      <c r="C635" s="122">
        <f>IF(OR(B635="",B634=""),"",B635/B634-1)</f>
        <v/>
      </c>
      <c r="D635" s="122">
        <f>IF(B635="","",IFERROR(B635/INDEX($B$2:$B$800,MATCH(DATE(YEAR(A635)-1,12,1),$A$2:$A$800,0))-1,""))</f>
        <v/>
      </c>
      <c r="E635" s="122">
        <f>IF(B635="","",IFERROR(B635/INDEX($B$2:$B$800,MATCH(DATE(YEAR(A635)-1,MONTH(A635),1),$A$2:$A$800,0))-1,""))</f>
        <v/>
      </c>
    </row>
    <row r="636">
      <c r="A636" s="124" t="n"/>
      <c r="B636" s="125" t="n"/>
      <c r="C636" s="122">
        <f>IF(OR(B636="",B635=""),"",B636/B635-1)</f>
        <v/>
      </c>
      <c r="D636" s="122">
        <f>IF(B636="","",IFERROR(B636/INDEX($B$2:$B$800,MATCH(DATE(YEAR(A636)-1,12,1),$A$2:$A$800,0))-1,""))</f>
        <v/>
      </c>
      <c r="E636" s="122">
        <f>IF(B636="","",IFERROR(B636/INDEX($B$2:$B$800,MATCH(DATE(YEAR(A636)-1,MONTH(A636),1),$A$2:$A$800,0))-1,""))</f>
        <v/>
      </c>
    </row>
    <row r="637">
      <c r="A637" s="124" t="n"/>
      <c r="B637" s="125" t="n"/>
      <c r="C637" s="122">
        <f>IF(OR(B637="",B636=""),"",B637/B636-1)</f>
        <v/>
      </c>
      <c r="D637" s="122">
        <f>IF(B637="","",IFERROR(B637/INDEX($B$2:$B$800,MATCH(DATE(YEAR(A637)-1,12,1),$A$2:$A$800,0))-1,""))</f>
        <v/>
      </c>
      <c r="E637" s="122">
        <f>IF(B637="","",IFERROR(B637/INDEX($B$2:$B$800,MATCH(DATE(YEAR(A637)-1,MONTH(A637),1),$A$2:$A$800,0))-1,""))</f>
        <v/>
      </c>
    </row>
    <row r="638">
      <c r="A638" s="124" t="n"/>
      <c r="B638" s="125" t="n"/>
      <c r="C638" s="122">
        <f>IF(OR(B638="",B637=""),"",B638/B637-1)</f>
        <v/>
      </c>
      <c r="D638" s="122">
        <f>IF(B638="","",IFERROR(B638/INDEX($B$2:$B$800,MATCH(DATE(YEAR(A638)-1,12,1),$A$2:$A$800,0))-1,""))</f>
        <v/>
      </c>
      <c r="E638" s="122">
        <f>IF(B638="","",IFERROR(B638/INDEX($B$2:$B$800,MATCH(DATE(YEAR(A638)-1,MONTH(A638),1),$A$2:$A$800,0))-1,""))</f>
        <v/>
      </c>
    </row>
    <row r="639">
      <c r="A639" s="124" t="n"/>
      <c r="B639" s="125" t="n"/>
      <c r="C639" s="122">
        <f>IF(OR(B639="",B638=""),"",B639/B638-1)</f>
        <v/>
      </c>
      <c r="D639" s="122">
        <f>IF(B639="","",IFERROR(B639/INDEX($B$2:$B$800,MATCH(DATE(YEAR(A639)-1,12,1),$A$2:$A$800,0))-1,""))</f>
        <v/>
      </c>
      <c r="E639" s="122">
        <f>IF(B639="","",IFERROR(B639/INDEX($B$2:$B$800,MATCH(DATE(YEAR(A639)-1,MONTH(A639),1),$A$2:$A$800,0))-1,""))</f>
        <v/>
      </c>
    </row>
    <row r="640">
      <c r="A640" s="124" t="n"/>
      <c r="B640" s="125" t="n"/>
      <c r="C640" s="122">
        <f>IF(OR(B640="",B639=""),"",B640/B639-1)</f>
        <v/>
      </c>
      <c r="D640" s="122">
        <f>IF(B640="","",IFERROR(B640/INDEX($B$2:$B$800,MATCH(DATE(YEAR(A640)-1,12,1),$A$2:$A$800,0))-1,""))</f>
        <v/>
      </c>
      <c r="E640" s="122">
        <f>IF(B640="","",IFERROR(B640/INDEX($B$2:$B$800,MATCH(DATE(YEAR(A640)-1,MONTH(A640),1),$A$2:$A$800,0))-1,""))</f>
        <v/>
      </c>
    </row>
    <row r="641">
      <c r="A641" s="124" t="n"/>
      <c r="B641" s="125" t="n"/>
      <c r="C641" s="122">
        <f>IF(OR(B641="",B640=""),"",B641/B640-1)</f>
        <v/>
      </c>
      <c r="D641" s="122">
        <f>IF(B641="","",IFERROR(B641/INDEX($B$2:$B$800,MATCH(DATE(YEAR(A641)-1,12,1),$A$2:$A$800,0))-1,""))</f>
        <v/>
      </c>
      <c r="E641" s="122">
        <f>IF(B641="","",IFERROR(B641/INDEX($B$2:$B$800,MATCH(DATE(YEAR(A641)-1,MONTH(A641),1),$A$2:$A$800,0))-1,""))</f>
        <v/>
      </c>
    </row>
    <row r="642">
      <c r="A642" s="124" t="n"/>
      <c r="B642" s="125" t="n"/>
      <c r="C642" s="122">
        <f>IF(OR(B642="",B641=""),"",B642/B641-1)</f>
        <v/>
      </c>
      <c r="D642" s="122">
        <f>IF(B642="","",IFERROR(B642/INDEX($B$2:$B$800,MATCH(DATE(YEAR(A642)-1,12,1),$A$2:$A$800,0))-1,""))</f>
        <v/>
      </c>
      <c r="E642" s="122">
        <f>IF(B642="","",IFERROR(B642/INDEX($B$2:$B$800,MATCH(DATE(YEAR(A642)-1,MONTH(A642),1),$A$2:$A$800,0))-1,""))</f>
        <v/>
      </c>
    </row>
    <row r="643">
      <c r="A643" s="124" t="n"/>
      <c r="B643" s="125" t="n"/>
      <c r="C643" s="122">
        <f>IF(OR(B643="",B642=""),"",B643/B642-1)</f>
        <v/>
      </c>
      <c r="D643" s="122">
        <f>IF(B643="","",IFERROR(B643/INDEX($B$2:$B$800,MATCH(DATE(YEAR(A643)-1,12,1),$A$2:$A$800,0))-1,""))</f>
        <v/>
      </c>
      <c r="E643" s="122">
        <f>IF(B643="","",IFERROR(B643/INDEX($B$2:$B$800,MATCH(DATE(YEAR(A643)-1,MONTH(A643),1),$A$2:$A$800,0))-1,""))</f>
        <v/>
      </c>
    </row>
    <row r="644">
      <c r="A644" s="124" t="n"/>
      <c r="B644" s="125" t="n"/>
      <c r="C644" s="122">
        <f>IF(OR(B644="",B643=""),"",B644/B643-1)</f>
        <v/>
      </c>
      <c r="D644" s="122">
        <f>IF(B644="","",IFERROR(B644/INDEX($B$2:$B$800,MATCH(DATE(YEAR(A644)-1,12,1),$A$2:$A$800,0))-1,""))</f>
        <v/>
      </c>
      <c r="E644" s="122">
        <f>IF(B644="","",IFERROR(B644/INDEX($B$2:$B$800,MATCH(DATE(YEAR(A644)-1,MONTH(A644),1),$A$2:$A$800,0))-1,""))</f>
        <v/>
      </c>
    </row>
    <row r="645">
      <c r="A645" s="124" t="n"/>
      <c r="B645" s="125" t="n"/>
      <c r="C645" s="122">
        <f>IF(OR(B645="",B644=""),"",B645/B644-1)</f>
        <v/>
      </c>
      <c r="D645" s="122">
        <f>IF(B645="","",IFERROR(B645/INDEX($B$2:$B$800,MATCH(DATE(YEAR(A645)-1,12,1),$A$2:$A$800,0))-1,""))</f>
        <v/>
      </c>
      <c r="E645" s="122">
        <f>IF(B645="","",IFERROR(B645/INDEX($B$2:$B$800,MATCH(DATE(YEAR(A645)-1,MONTH(A645),1),$A$2:$A$800,0))-1,""))</f>
        <v/>
      </c>
    </row>
    <row r="646">
      <c r="A646" s="124" t="n"/>
      <c r="B646" s="125" t="n"/>
      <c r="C646" s="122">
        <f>IF(OR(B646="",B645=""),"",B646/B645-1)</f>
        <v/>
      </c>
      <c r="D646" s="122">
        <f>IF(B646="","",IFERROR(B646/INDEX($B$2:$B$800,MATCH(DATE(YEAR(A646)-1,12,1),$A$2:$A$800,0))-1,""))</f>
        <v/>
      </c>
      <c r="E646" s="122">
        <f>IF(B646="","",IFERROR(B646/INDEX($B$2:$B$800,MATCH(DATE(YEAR(A646)-1,MONTH(A646),1),$A$2:$A$800,0))-1,""))</f>
        <v/>
      </c>
    </row>
    <row r="647">
      <c r="A647" s="124" t="n"/>
      <c r="B647" s="125" t="n"/>
      <c r="C647" s="122">
        <f>IF(OR(B647="",B646=""),"",B647/B646-1)</f>
        <v/>
      </c>
      <c r="D647" s="122">
        <f>IF(B647="","",IFERROR(B647/INDEX($B$2:$B$800,MATCH(DATE(YEAR(A647)-1,12,1),$A$2:$A$800,0))-1,""))</f>
        <v/>
      </c>
      <c r="E647" s="122">
        <f>IF(B647="","",IFERROR(B647/INDEX($B$2:$B$800,MATCH(DATE(YEAR(A647)-1,MONTH(A647),1),$A$2:$A$800,0))-1,""))</f>
        <v/>
      </c>
    </row>
    <row r="648">
      <c r="A648" s="124" t="n"/>
      <c r="B648" s="125" t="n"/>
      <c r="C648" s="122">
        <f>IF(OR(B648="",B647=""),"",B648/B647-1)</f>
        <v/>
      </c>
      <c r="D648" s="122">
        <f>IF(B648="","",IFERROR(B648/INDEX($B$2:$B$800,MATCH(DATE(YEAR(A648)-1,12,1),$A$2:$A$800,0))-1,""))</f>
        <v/>
      </c>
      <c r="E648" s="122">
        <f>IF(B648="","",IFERROR(B648/INDEX($B$2:$B$800,MATCH(DATE(YEAR(A648)-1,MONTH(A648),1),$A$2:$A$800,0))-1,""))</f>
        <v/>
      </c>
    </row>
    <row r="649">
      <c r="A649" s="124" t="n"/>
      <c r="B649" s="125" t="n"/>
      <c r="C649" s="122">
        <f>IF(OR(B649="",B648=""),"",B649/B648-1)</f>
        <v/>
      </c>
      <c r="D649" s="122">
        <f>IF(B649="","",IFERROR(B649/INDEX($B$2:$B$800,MATCH(DATE(YEAR(A649)-1,12,1),$A$2:$A$800,0))-1,""))</f>
        <v/>
      </c>
      <c r="E649" s="122">
        <f>IF(B649="","",IFERROR(B649/INDEX($B$2:$B$800,MATCH(DATE(YEAR(A649)-1,MONTH(A649),1),$A$2:$A$800,0))-1,""))</f>
        <v/>
      </c>
    </row>
    <row r="650">
      <c r="A650" s="124" t="n"/>
      <c r="B650" s="125" t="n"/>
      <c r="C650" s="122">
        <f>IF(OR(B650="",B649=""),"",B650/B649-1)</f>
        <v/>
      </c>
      <c r="D650" s="122">
        <f>IF(B650="","",IFERROR(B650/INDEX($B$2:$B$800,MATCH(DATE(YEAR(A650)-1,12,1),$A$2:$A$800,0))-1,""))</f>
        <v/>
      </c>
      <c r="E650" s="122">
        <f>IF(B650="","",IFERROR(B650/INDEX($B$2:$B$800,MATCH(DATE(YEAR(A650)-1,MONTH(A650),1),$A$2:$A$800,0))-1,""))</f>
        <v/>
      </c>
    </row>
    <row r="651">
      <c r="A651" s="124" t="n"/>
      <c r="B651" s="125" t="n"/>
      <c r="C651" s="122">
        <f>IF(OR(B651="",B650=""),"",B651/B650-1)</f>
        <v/>
      </c>
      <c r="D651" s="122">
        <f>IF(B651="","",IFERROR(B651/INDEX($B$2:$B$800,MATCH(DATE(YEAR(A651)-1,12,1),$A$2:$A$800,0))-1,""))</f>
        <v/>
      </c>
      <c r="E651" s="122">
        <f>IF(B651="","",IFERROR(B651/INDEX($B$2:$B$800,MATCH(DATE(YEAR(A651)-1,MONTH(A651),1),$A$2:$A$800,0))-1,""))</f>
        <v/>
      </c>
    </row>
    <row r="652">
      <c r="A652" s="124" t="n"/>
      <c r="B652" s="125" t="n"/>
      <c r="C652" s="122">
        <f>IF(OR(B652="",B651=""),"",B652/B651-1)</f>
        <v/>
      </c>
      <c r="D652" s="122">
        <f>IF(B652="","",IFERROR(B652/INDEX($B$2:$B$800,MATCH(DATE(YEAR(A652)-1,12,1),$A$2:$A$800,0))-1,""))</f>
        <v/>
      </c>
      <c r="E652" s="122">
        <f>IF(B652="","",IFERROR(B652/INDEX($B$2:$B$800,MATCH(DATE(YEAR(A652)-1,MONTH(A652),1),$A$2:$A$800,0))-1,""))</f>
        <v/>
      </c>
    </row>
    <row r="653">
      <c r="A653" s="124" t="n"/>
      <c r="B653" s="125" t="n"/>
      <c r="C653" s="122">
        <f>IF(OR(B653="",B652=""),"",B653/B652-1)</f>
        <v/>
      </c>
      <c r="D653" s="122">
        <f>IF(B653="","",IFERROR(B653/INDEX($B$2:$B$800,MATCH(DATE(YEAR(A653)-1,12,1),$A$2:$A$800,0))-1,""))</f>
        <v/>
      </c>
      <c r="E653" s="122">
        <f>IF(B653="","",IFERROR(B653/INDEX($B$2:$B$800,MATCH(DATE(YEAR(A653)-1,MONTH(A653),1),$A$2:$A$800,0))-1,""))</f>
        <v/>
      </c>
    </row>
    <row r="654">
      <c r="A654" s="124" t="n"/>
      <c r="B654" s="125" t="n"/>
      <c r="C654" s="122">
        <f>IF(OR(B654="",B653=""),"",B654/B653-1)</f>
        <v/>
      </c>
      <c r="D654" s="122">
        <f>IF(B654="","",IFERROR(B654/INDEX($B$2:$B$800,MATCH(DATE(YEAR(A654)-1,12,1),$A$2:$A$800,0))-1,""))</f>
        <v/>
      </c>
      <c r="E654" s="122">
        <f>IF(B654="","",IFERROR(B654/INDEX($B$2:$B$800,MATCH(DATE(YEAR(A654)-1,MONTH(A654),1),$A$2:$A$800,0))-1,""))</f>
        <v/>
      </c>
    </row>
    <row r="655">
      <c r="A655" s="124" t="n"/>
      <c r="B655" s="125" t="n"/>
      <c r="C655" s="122">
        <f>IF(OR(B655="",B654=""),"",B655/B654-1)</f>
        <v/>
      </c>
      <c r="D655" s="122">
        <f>IF(B655="","",IFERROR(B655/INDEX($B$2:$B$800,MATCH(DATE(YEAR(A655)-1,12,1),$A$2:$A$800,0))-1,""))</f>
        <v/>
      </c>
      <c r="E655" s="122">
        <f>IF(B655="","",IFERROR(B655/INDEX($B$2:$B$800,MATCH(DATE(YEAR(A655)-1,MONTH(A655),1),$A$2:$A$800,0))-1,""))</f>
        <v/>
      </c>
    </row>
    <row r="656">
      <c r="A656" s="124" t="n"/>
      <c r="B656" s="125" t="n"/>
      <c r="C656" s="122">
        <f>IF(OR(B656="",B655=""),"",B656/B655-1)</f>
        <v/>
      </c>
      <c r="D656" s="122">
        <f>IF(B656="","",IFERROR(B656/INDEX($B$2:$B$800,MATCH(DATE(YEAR(A656)-1,12,1),$A$2:$A$800,0))-1,""))</f>
        <v/>
      </c>
      <c r="E656" s="122">
        <f>IF(B656="","",IFERROR(B656/INDEX($B$2:$B$800,MATCH(DATE(YEAR(A656)-1,MONTH(A656),1),$A$2:$A$800,0))-1,""))</f>
        <v/>
      </c>
    </row>
    <row r="657">
      <c r="A657" s="124" t="n"/>
      <c r="B657" s="125" t="n"/>
      <c r="C657" s="122">
        <f>IF(OR(B657="",B656=""),"",B657/B656-1)</f>
        <v/>
      </c>
      <c r="D657" s="122">
        <f>IF(B657="","",IFERROR(B657/INDEX($B$2:$B$800,MATCH(DATE(YEAR(A657)-1,12,1),$A$2:$A$800,0))-1,""))</f>
        <v/>
      </c>
      <c r="E657" s="122">
        <f>IF(B657="","",IFERROR(B657/INDEX($B$2:$B$800,MATCH(DATE(YEAR(A657)-1,MONTH(A657),1),$A$2:$A$800,0))-1,""))</f>
        <v/>
      </c>
    </row>
    <row r="658">
      <c r="A658" s="124" t="n"/>
      <c r="B658" s="125" t="n"/>
      <c r="C658" s="122">
        <f>IF(OR(B658="",B657=""),"",B658/B657-1)</f>
        <v/>
      </c>
      <c r="D658" s="122">
        <f>IF(B658="","",IFERROR(B658/INDEX($B$2:$B$800,MATCH(DATE(YEAR(A658)-1,12,1),$A$2:$A$800,0))-1,""))</f>
        <v/>
      </c>
      <c r="E658" s="122">
        <f>IF(B658="","",IFERROR(B658/INDEX($B$2:$B$800,MATCH(DATE(YEAR(A658)-1,MONTH(A658),1),$A$2:$A$800,0))-1,""))</f>
        <v/>
      </c>
    </row>
    <row r="659">
      <c r="A659" s="124" t="n"/>
      <c r="B659" s="125" t="n"/>
      <c r="C659" s="122">
        <f>IF(OR(B659="",B658=""),"",B659/B658-1)</f>
        <v/>
      </c>
      <c r="D659" s="122">
        <f>IF(B659="","",IFERROR(B659/INDEX($B$2:$B$800,MATCH(DATE(YEAR(A659)-1,12,1),$A$2:$A$800,0))-1,""))</f>
        <v/>
      </c>
      <c r="E659" s="122">
        <f>IF(B659="","",IFERROR(B659/INDEX($B$2:$B$800,MATCH(DATE(YEAR(A659)-1,MONTH(A659),1),$A$2:$A$800,0))-1,""))</f>
        <v/>
      </c>
    </row>
    <row r="660">
      <c r="A660" s="124" t="n"/>
      <c r="B660" s="125" t="n"/>
      <c r="C660" s="122">
        <f>IF(OR(B660="",B659=""),"",B660/B659-1)</f>
        <v/>
      </c>
      <c r="D660" s="122">
        <f>IF(B660="","",IFERROR(B660/INDEX($B$2:$B$800,MATCH(DATE(YEAR(A660)-1,12,1),$A$2:$A$800,0))-1,""))</f>
        <v/>
      </c>
      <c r="E660" s="122">
        <f>IF(B660="","",IFERROR(B660/INDEX($B$2:$B$800,MATCH(DATE(YEAR(A660)-1,MONTH(A660),1),$A$2:$A$800,0))-1,""))</f>
        <v/>
      </c>
    </row>
    <row r="661">
      <c r="A661" s="124" t="n"/>
      <c r="B661" s="125" t="n"/>
      <c r="C661" s="122">
        <f>IF(OR(B661="",B660=""),"",B661/B660-1)</f>
        <v/>
      </c>
      <c r="D661" s="122">
        <f>IF(B661="","",IFERROR(B661/INDEX($B$2:$B$800,MATCH(DATE(YEAR(A661)-1,12,1),$A$2:$A$800,0))-1,""))</f>
        <v/>
      </c>
      <c r="E661" s="122">
        <f>IF(B661="","",IFERROR(B661/INDEX($B$2:$B$800,MATCH(DATE(YEAR(A661)-1,MONTH(A661),1),$A$2:$A$800,0))-1,""))</f>
        <v/>
      </c>
    </row>
    <row r="662">
      <c r="A662" s="124" t="n"/>
      <c r="B662" s="125" t="n"/>
      <c r="C662" s="122">
        <f>IF(OR(B662="",B661=""),"",B662/B661-1)</f>
        <v/>
      </c>
      <c r="D662" s="122">
        <f>IF(B662="","",IFERROR(B662/INDEX($B$2:$B$800,MATCH(DATE(YEAR(A662)-1,12,1),$A$2:$A$800,0))-1,""))</f>
        <v/>
      </c>
      <c r="E662" s="122">
        <f>IF(B662="","",IFERROR(B662/INDEX($B$2:$B$800,MATCH(DATE(YEAR(A662)-1,MONTH(A662),1),$A$2:$A$800,0))-1,""))</f>
        <v/>
      </c>
    </row>
    <row r="663">
      <c r="A663" s="124" t="n"/>
      <c r="B663" s="125" t="n"/>
      <c r="C663" s="122">
        <f>IF(OR(B663="",B662=""),"",B663/B662-1)</f>
        <v/>
      </c>
      <c r="D663" s="122">
        <f>IF(B663="","",IFERROR(B663/INDEX($B$2:$B$800,MATCH(DATE(YEAR(A663)-1,12,1),$A$2:$A$800,0))-1,""))</f>
        <v/>
      </c>
      <c r="E663" s="122">
        <f>IF(B663="","",IFERROR(B663/INDEX($B$2:$B$800,MATCH(DATE(YEAR(A663)-1,MONTH(A663),1),$A$2:$A$800,0))-1,""))</f>
        <v/>
      </c>
    </row>
    <row r="664">
      <c r="A664" s="124" t="n"/>
      <c r="B664" s="125" t="n"/>
      <c r="C664" s="122">
        <f>IF(OR(B664="",B663=""),"",B664/B663-1)</f>
        <v/>
      </c>
      <c r="D664" s="122">
        <f>IF(B664="","",IFERROR(B664/INDEX($B$2:$B$800,MATCH(DATE(YEAR(A664)-1,12,1),$A$2:$A$800,0))-1,""))</f>
        <v/>
      </c>
      <c r="E664" s="122">
        <f>IF(B664="","",IFERROR(B664/INDEX($B$2:$B$800,MATCH(DATE(YEAR(A664)-1,MONTH(A664),1),$A$2:$A$800,0))-1,""))</f>
        <v/>
      </c>
    </row>
    <row r="665">
      <c r="A665" s="124" t="n"/>
      <c r="B665" s="125" t="n"/>
      <c r="C665" s="122">
        <f>IF(OR(B665="",B664=""),"",B665/B664-1)</f>
        <v/>
      </c>
      <c r="D665" s="122">
        <f>IF(B665="","",IFERROR(B665/INDEX($B$2:$B$800,MATCH(DATE(YEAR(A665)-1,12,1),$A$2:$A$800,0))-1,""))</f>
        <v/>
      </c>
      <c r="E665" s="122">
        <f>IF(B665="","",IFERROR(B665/INDEX($B$2:$B$800,MATCH(DATE(YEAR(A665)-1,MONTH(A665),1),$A$2:$A$800,0))-1,""))</f>
        <v/>
      </c>
    </row>
    <row r="666">
      <c r="A666" s="124" t="n"/>
      <c r="B666" s="125" t="n"/>
      <c r="C666" s="122">
        <f>IF(OR(B666="",B665=""),"",B666/B665-1)</f>
        <v/>
      </c>
      <c r="D666" s="122">
        <f>IF(B666="","",IFERROR(B666/INDEX($B$2:$B$800,MATCH(DATE(YEAR(A666)-1,12,1),$A$2:$A$800,0))-1,""))</f>
        <v/>
      </c>
      <c r="E666" s="122">
        <f>IF(B666="","",IFERROR(B666/INDEX($B$2:$B$800,MATCH(DATE(YEAR(A666)-1,MONTH(A666),1),$A$2:$A$800,0))-1,""))</f>
        <v/>
      </c>
    </row>
    <row r="667">
      <c r="A667" s="124" t="n"/>
      <c r="B667" s="125" t="n"/>
      <c r="C667" s="122">
        <f>IF(OR(B667="",B666=""),"",B667/B666-1)</f>
        <v/>
      </c>
      <c r="D667" s="122">
        <f>IF(B667="","",IFERROR(B667/INDEX($B$2:$B$800,MATCH(DATE(YEAR(A667)-1,12,1),$A$2:$A$800,0))-1,""))</f>
        <v/>
      </c>
      <c r="E667" s="122">
        <f>IF(B667="","",IFERROR(B667/INDEX($B$2:$B$800,MATCH(DATE(YEAR(A667)-1,MONTH(A667),1),$A$2:$A$800,0))-1,""))</f>
        <v/>
      </c>
    </row>
    <row r="668">
      <c r="A668" s="124" t="n"/>
      <c r="B668" s="125" t="n"/>
      <c r="C668" s="122">
        <f>IF(OR(B668="",B667=""),"",B668/B667-1)</f>
        <v/>
      </c>
      <c r="D668" s="122">
        <f>IF(B668="","",IFERROR(B668/INDEX($B$2:$B$800,MATCH(DATE(YEAR(A668)-1,12,1),$A$2:$A$800,0))-1,""))</f>
        <v/>
      </c>
      <c r="E668" s="122">
        <f>IF(B668="","",IFERROR(B668/INDEX($B$2:$B$800,MATCH(DATE(YEAR(A668)-1,MONTH(A668),1),$A$2:$A$800,0))-1,""))</f>
        <v/>
      </c>
    </row>
    <row r="669">
      <c r="A669" s="124" t="n"/>
      <c r="B669" s="125" t="n"/>
      <c r="C669" s="122">
        <f>IF(OR(B669="",B668=""),"",B669/B668-1)</f>
        <v/>
      </c>
      <c r="D669" s="122">
        <f>IF(B669="","",IFERROR(B669/INDEX($B$2:$B$800,MATCH(DATE(YEAR(A669)-1,12,1),$A$2:$A$800,0))-1,""))</f>
        <v/>
      </c>
      <c r="E669" s="122">
        <f>IF(B669="","",IFERROR(B669/INDEX($B$2:$B$800,MATCH(DATE(YEAR(A669)-1,MONTH(A669),1),$A$2:$A$800,0))-1,""))</f>
        <v/>
      </c>
    </row>
    <row r="670">
      <c r="A670" s="124" t="n"/>
      <c r="B670" s="125" t="n"/>
      <c r="C670" s="122">
        <f>IF(OR(B670="",B669=""),"",B670/B669-1)</f>
        <v/>
      </c>
      <c r="D670" s="122">
        <f>IF(B670="","",IFERROR(B670/INDEX($B$2:$B$800,MATCH(DATE(YEAR(A670)-1,12,1),$A$2:$A$800,0))-1,""))</f>
        <v/>
      </c>
      <c r="E670" s="122">
        <f>IF(B670="","",IFERROR(B670/INDEX($B$2:$B$800,MATCH(DATE(YEAR(A670)-1,MONTH(A670),1),$A$2:$A$800,0))-1,""))</f>
        <v/>
      </c>
    </row>
    <row r="671">
      <c r="A671" s="124" t="n"/>
      <c r="B671" s="125" t="n"/>
      <c r="C671" s="122">
        <f>IF(OR(B671="",B670=""),"",B671/B670-1)</f>
        <v/>
      </c>
      <c r="D671" s="122">
        <f>IF(B671="","",IFERROR(B671/INDEX($B$2:$B$800,MATCH(DATE(YEAR(A671)-1,12,1),$A$2:$A$800,0))-1,""))</f>
        <v/>
      </c>
      <c r="E671" s="122">
        <f>IF(B671="","",IFERROR(B671/INDEX($B$2:$B$800,MATCH(DATE(YEAR(A671)-1,MONTH(A671),1),$A$2:$A$800,0))-1,""))</f>
        <v/>
      </c>
    </row>
    <row r="672">
      <c r="A672" s="124" t="n"/>
      <c r="B672" s="125" t="n"/>
      <c r="C672" s="122">
        <f>IF(OR(B672="",B671=""),"",B672/B671-1)</f>
        <v/>
      </c>
      <c r="D672" s="122">
        <f>IF(B672="","",IFERROR(B672/INDEX($B$2:$B$800,MATCH(DATE(YEAR(A672)-1,12,1),$A$2:$A$800,0))-1,""))</f>
        <v/>
      </c>
      <c r="E672" s="122">
        <f>IF(B672="","",IFERROR(B672/INDEX($B$2:$B$800,MATCH(DATE(YEAR(A672)-1,MONTH(A672),1),$A$2:$A$800,0))-1,""))</f>
        <v/>
      </c>
    </row>
    <row r="673">
      <c r="A673" s="124" t="n"/>
      <c r="B673" s="125" t="n"/>
      <c r="C673" s="122">
        <f>IF(OR(B673="",B672=""),"",B673/B672-1)</f>
        <v/>
      </c>
      <c r="D673" s="122">
        <f>IF(B673="","",IFERROR(B673/INDEX($B$2:$B$800,MATCH(DATE(YEAR(A673)-1,12,1),$A$2:$A$800,0))-1,""))</f>
        <v/>
      </c>
      <c r="E673" s="122">
        <f>IF(B673="","",IFERROR(B673/INDEX($B$2:$B$800,MATCH(DATE(YEAR(A673)-1,MONTH(A673),1),$A$2:$A$800,0))-1,""))</f>
        <v/>
      </c>
    </row>
    <row r="674">
      <c r="A674" s="124" t="n"/>
      <c r="B674" s="125" t="n"/>
      <c r="C674" s="122">
        <f>IF(OR(B674="",B673=""),"",B674/B673-1)</f>
        <v/>
      </c>
      <c r="D674" s="122">
        <f>IF(B674="","",IFERROR(B674/INDEX($B$2:$B$800,MATCH(DATE(YEAR(A674)-1,12,1),$A$2:$A$800,0))-1,""))</f>
        <v/>
      </c>
      <c r="E674" s="122">
        <f>IF(B674="","",IFERROR(B674/INDEX($B$2:$B$800,MATCH(DATE(YEAR(A674)-1,MONTH(A674),1),$A$2:$A$800,0))-1,""))</f>
        <v/>
      </c>
    </row>
    <row r="675">
      <c r="A675" s="124" t="n"/>
      <c r="B675" s="125" t="n"/>
      <c r="C675" s="122">
        <f>IF(OR(B675="",B674=""),"",B675/B674-1)</f>
        <v/>
      </c>
      <c r="D675" s="122">
        <f>IF(B675="","",IFERROR(B675/INDEX($B$2:$B$800,MATCH(DATE(YEAR(A675)-1,12,1),$A$2:$A$800,0))-1,""))</f>
        <v/>
      </c>
      <c r="E675" s="122">
        <f>IF(B675="","",IFERROR(B675/INDEX($B$2:$B$800,MATCH(DATE(YEAR(A675)-1,MONTH(A675),1),$A$2:$A$800,0))-1,""))</f>
        <v/>
      </c>
    </row>
    <row r="676">
      <c r="A676" s="124" t="n"/>
      <c r="B676" s="125" t="n"/>
      <c r="C676" s="122">
        <f>IF(OR(B676="",B675=""),"",B676/B675-1)</f>
        <v/>
      </c>
      <c r="D676" s="122">
        <f>IF(B676="","",IFERROR(B676/INDEX($B$2:$B$800,MATCH(DATE(YEAR(A676)-1,12,1),$A$2:$A$800,0))-1,""))</f>
        <v/>
      </c>
      <c r="E676" s="122">
        <f>IF(B676="","",IFERROR(B676/INDEX($B$2:$B$800,MATCH(DATE(YEAR(A676)-1,MONTH(A676),1),$A$2:$A$800,0))-1,""))</f>
        <v/>
      </c>
    </row>
    <row r="677">
      <c r="A677" s="124" t="n"/>
      <c r="B677" s="125" t="n"/>
      <c r="C677" s="122">
        <f>IF(OR(B677="",B676=""),"",B677/B676-1)</f>
        <v/>
      </c>
      <c r="D677" s="122">
        <f>IF(B677="","",IFERROR(B677/INDEX($B$2:$B$800,MATCH(DATE(YEAR(A677)-1,12,1),$A$2:$A$800,0))-1,""))</f>
        <v/>
      </c>
      <c r="E677" s="122">
        <f>IF(B677="","",IFERROR(B677/INDEX($B$2:$B$800,MATCH(DATE(YEAR(A677)-1,MONTH(A677),1),$A$2:$A$800,0))-1,""))</f>
        <v/>
      </c>
    </row>
    <row r="678">
      <c r="A678" s="124" t="n"/>
      <c r="B678" s="125" t="n"/>
      <c r="C678" s="122">
        <f>IF(OR(B678="",B677=""),"",B678/B677-1)</f>
        <v/>
      </c>
      <c r="D678" s="122">
        <f>IF(B678="","",IFERROR(B678/INDEX($B$2:$B$800,MATCH(DATE(YEAR(A678)-1,12,1),$A$2:$A$800,0))-1,""))</f>
        <v/>
      </c>
      <c r="E678" s="122">
        <f>IF(B678="","",IFERROR(B678/INDEX($B$2:$B$800,MATCH(DATE(YEAR(A678)-1,MONTH(A678),1),$A$2:$A$800,0))-1,""))</f>
        <v/>
      </c>
    </row>
    <row r="679">
      <c r="A679" s="124" t="n"/>
      <c r="B679" s="125" t="n"/>
      <c r="C679" s="122">
        <f>IF(OR(B679="",B678=""),"",B679/B678-1)</f>
        <v/>
      </c>
      <c r="D679" s="122">
        <f>IF(B679="","",IFERROR(B679/INDEX($B$2:$B$800,MATCH(DATE(YEAR(A679)-1,12,1),$A$2:$A$800,0))-1,""))</f>
        <v/>
      </c>
      <c r="E679" s="122">
        <f>IF(B679="","",IFERROR(B679/INDEX($B$2:$B$800,MATCH(DATE(YEAR(A679)-1,MONTH(A679),1),$A$2:$A$800,0))-1,""))</f>
        <v/>
      </c>
    </row>
    <row r="680">
      <c r="A680" s="124" t="n"/>
      <c r="B680" s="125" t="n"/>
      <c r="C680" s="122">
        <f>IF(OR(B680="",B679=""),"",B680/B679-1)</f>
        <v/>
      </c>
      <c r="D680" s="122">
        <f>IF(B680="","",IFERROR(B680/INDEX($B$2:$B$800,MATCH(DATE(YEAR(A680)-1,12,1),$A$2:$A$800,0))-1,""))</f>
        <v/>
      </c>
      <c r="E680" s="122">
        <f>IF(B680="","",IFERROR(B680/INDEX($B$2:$B$800,MATCH(DATE(YEAR(A680)-1,MONTH(A680),1),$A$2:$A$800,0))-1,""))</f>
        <v/>
      </c>
    </row>
    <row r="681">
      <c r="A681" s="124" t="n"/>
      <c r="B681" s="125" t="n"/>
      <c r="C681" s="122">
        <f>IF(OR(B681="",B680=""),"",B681/B680-1)</f>
        <v/>
      </c>
      <c r="D681" s="122">
        <f>IF(B681="","",IFERROR(B681/INDEX($B$2:$B$800,MATCH(DATE(YEAR(A681)-1,12,1),$A$2:$A$800,0))-1,""))</f>
        <v/>
      </c>
      <c r="E681" s="122">
        <f>IF(B681="","",IFERROR(B681/INDEX($B$2:$B$800,MATCH(DATE(YEAR(A681)-1,MONTH(A681),1),$A$2:$A$800,0))-1,""))</f>
        <v/>
      </c>
    </row>
    <row r="682">
      <c r="A682" s="124" t="n"/>
      <c r="B682" s="125" t="n"/>
      <c r="C682" s="122">
        <f>IF(OR(B682="",B681=""),"",B682/B681-1)</f>
        <v/>
      </c>
      <c r="D682" s="122">
        <f>IF(B682="","",IFERROR(B682/INDEX($B$2:$B$800,MATCH(DATE(YEAR(A682)-1,12,1),$A$2:$A$800,0))-1,""))</f>
        <v/>
      </c>
      <c r="E682" s="122">
        <f>IF(B682="","",IFERROR(B682/INDEX($B$2:$B$800,MATCH(DATE(YEAR(A682)-1,MONTH(A682),1),$A$2:$A$800,0))-1,""))</f>
        <v/>
      </c>
    </row>
    <row r="683">
      <c r="A683" s="124" t="n"/>
      <c r="B683" s="125" t="n"/>
      <c r="C683" s="122">
        <f>IF(OR(B683="",B682=""),"",B683/B682-1)</f>
        <v/>
      </c>
      <c r="D683" s="122">
        <f>IF(B683="","",IFERROR(B683/INDEX($B$2:$B$800,MATCH(DATE(YEAR(A683)-1,12,1),$A$2:$A$800,0))-1,""))</f>
        <v/>
      </c>
      <c r="E683" s="122">
        <f>IF(B683="","",IFERROR(B683/INDEX($B$2:$B$800,MATCH(DATE(YEAR(A683)-1,MONTH(A683),1),$A$2:$A$800,0))-1,""))</f>
        <v/>
      </c>
    </row>
    <row r="684">
      <c r="A684" s="124" t="n"/>
      <c r="B684" s="125" t="n"/>
      <c r="C684" s="122">
        <f>IF(OR(B684="",B683=""),"",B684/B683-1)</f>
        <v/>
      </c>
      <c r="D684" s="122">
        <f>IF(B684="","",IFERROR(B684/INDEX($B$2:$B$800,MATCH(DATE(YEAR(A684)-1,12,1),$A$2:$A$800,0))-1,""))</f>
        <v/>
      </c>
      <c r="E684" s="122">
        <f>IF(B684="","",IFERROR(B684/INDEX($B$2:$B$800,MATCH(DATE(YEAR(A684)-1,MONTH(A684),1),$A$2:$A$800,0))-1,""))</f>
        <v/>
      </c>
    </row>
    <row r="685">
      <c r="A685" s="124" t="n"/>
      <c r="B685" s="125" t="n"/>
      <c r="C685" s="122">
        <f>IF(OR(B685="",B684=""),"",B685/B684-1)</f>
        <v/>
      </c>
      <c r="D685" s="122">
        <f>IF(B685="","",IFERROR(B685/INDEX($B$2:$B$800,MATCH(DATE(YEAR(A685)-1,12,1),$A$2:$A$800,0))-1,""))</f>
        <v/>
      </c>
      <c r="E685" s="122">
        <f>IF(B685="","",IFERROR(B685/INDEX($B$2:$B$800,MATCH(DATE(YEAR(A685)-1,MONTH(A685),1),$A$2:$A$800,0))-1,""))</f>
        <v/>
      </c>
    </row>
    <row r="686">
      <c r="A686" s="124" t="n"/>
      <c r="B686" s="125" t="n"/>
      <c r="C686" s="122">
        <f>IF(OR(B686="",B685=""),"",B686/B685-1)</f>
        <v/>
      </c>
      <c r="D686" s="122">
        <f>IF(B686="","",IFERROR(B686/INDEX($B$2:$B$800,MATCH(DATE(YEAR(A686)-1,12,1),$A$2:$A$800,0))-1,""))</f>
        <v/>
      </c>
      <c r="E686" s="122">
        <f>IF(B686="","",IFERROR(B686/INDEX($B$2:$B$800,MATCH(DATE(YEAR(A686)-1,MONTH(A686),1),$A$2:$A$800,0))-1,""))</f>
        <v/>
      </c>
    </row>
    <row r="687">
      <c r="A687" s="124" t="n"/>
      <c r="B687" s="125" t="n"/>
      <c r="C687" s="122">
        <f>IF(OR(B687="",B686=""),"",B687/B686-1)</f>
        <v/>
      </c>
      <c r="D687" s="122">
        <f>IF(B687="","",IFERROR(B687/INDEX($B$2:$B$800,MATCH(DATE(YEAR(A687)-1,12,1),$A$2:$A$800,0))-1,""))</f>
        <v/>
      </c>
      <c r="E687" s="122">
        <f>IF(B687="","",IFERROR(B687/INDEX($B$2:$B$800,MATCH(DATE(YEAR(A687)-1,MONTH(A687),1),$A$2:$A$800,0))-1,""))</f>
        <v/>
      </c>
    </row>
    <row r="688">
      <c r="A688" s="124" t="n"/>
      <c r="B688" s="125" t="n"/>
      <c r="C688" s="122">
        <f>IF(OR(B688="",B687=""),"",B688/B687-1)</f>
        <v/>
      </c>
      <c r="D688" s="122">
        <f>IF(B688="","",IFERROR(B688/INDEX($B$2:$B$800,MATCH(DATE(YEAR(A688)-1,12,1),$A$2:$A$800,0))-1,""))</f>
        <v/>
      </c>
      <c r="E688" s="122">
        <f>IF(B688="","",IFERROR(B688/INDEX($B$2:$B$800,MATCH(DATE(YEAR(A688)-1,MONTH(A688),1),$A$2:$A$800,0))-1,""))</f>
        <v/>
      </c>
    </row>
    <row r="689">
      <c r="A689" s="124" t="n"/>
      <c r="B689" s="125" t="n"/>
      <c r="C689" s="122">
        <f>IF(OR(B689="",B688=""),"",B689/B688-1)</f>
        <v/>
      </c>
      <c r="D689" s="122">
        <f>IF(B689="","",IFERROR(B689/INDEX($B$2:$B$800,MATCH(DATE(YEAR(A689)-1,12,1),$A$2:$A$800,0))-1,""))</f>
        <v/>
      </c>
      <c r="E689" s="122">
        <f>IF(B689="","",IFERROR(B689/INDEX($B$2:$B$800,MATCH(DATE(YEAR(A689)-1,MONTH(A689),1),$A$2:$A$800,0))-1,""))</f>
        <v/>
      </c>
    </row>
    <row r="690">
      <c r="A690" s="124" t="n"/>
      <c r="B690" s="125" t="n"/>
      <c r="C690" s="122">
        <f>IF(OR(B690="",B689=""),"",B690/B689-1)</f>
        <v/>
      </c>
      <c r="D690" s="122">
        <f>IF(B690="","",IFERROR(B690/INDEX($B$2:$B$800,MATCH(DATE(YEAR(A690)-1,12,1),$A$2:$A$800,0))-1,""))</f>
        <v/>
      </c>
      <c r="E690" s="122">
        <f>IF(B690="","",IFERROR(B690/INDEX($B$2:$B$800,MATCH(DATE(YEAR(A690)-1,MONTH(A690),1),$A$2:$A$800,0))-1,""))</f>
        <v/>
      </c>
    </row>
    <row r="691">
      <c r="A691" s="124" t="n"/>
      <c r="B691" s="125" t="n"/>
      <c r="C691" s="122">
        <f>IF(OR(B691="",B690=""),"",B691/B690-1)</f>
        <v/>
      </c>
      <c r="D691" s="122">
        <f>IF(B691="","",IFERROR(B691/INDEX($B$2:$B$800,MATCH(DATE(YEAR(A691)-1,12,1),$A$2:$A$800,0))-1,""))</f>
        <v/>
      </c>
      <c r="E691" s="122">
        <f>IF(B691="","",IFERROR(B691/INDEX($B$2:$B$800,MATCH(DATE(YEAR(A691)-1,MONTH(A691),1),$A$2:$A$800,0))-1,""))</f>
        <v/>
      </c>
    </row>
    <row r="692">
      <c r="A692" s="124" t="n"/>
      <c r="B692" s="125" t="n"/>
      <c r="C692" s="122">
        <f>IF(OR(B692="",B691=""),"",B692/B691-1)</f>
        <v/>
      </c>
      <c r="D692" s="122">
        <f>IF(B692="","",IFERROR(B692/INDEX($B$2:$B$800,MATCH(DATE(YEAR(A692)-1,12,1),$A$2:$A$800,0))-1,""))</f>
        <v/>
      </c>
      <c r="E692" s="122">
        <f>IF(B692="","",IFERROR(B692/INDEX($B$2:$B$800,MATCH(DATE(YEAR(A692)-1,MONTH(A692),1),$A$2:$A$800,0))-1,""))</f>
        <v/>
      </c>
    </row>
    <row r="693">
      <c r="A693" s="124" t="n"/>
      <c r="B693" s="125" t="n"/>
      <c r="C693" s="122">
        <f>IF(OR(B693="",B692=""),"",B693/B692-1)</f>
        <v/>
      </c>
      <c r="D693" s="122">
        <f>IF(B693="","",IFERROR(B693/INDEX($B$2:$B$800,MATCH(DATE(YEAR(A693)-1,12,1),$A$2:$A$800,0))-1,""))</f>
        <v/>
      </c>
      <c r="E693" s="122">
        <f>IF(B693="","",IFERROR(B693/INDEX($B$2:$B$800,MATCH(DATE(YEAR(A693)-1,MONTH(A693),1),$A$2:$A$800,0))-1,""))</f>
        <v/>
      </c>
    </row>
    <row r="694">
      <c r="A694" s="124" t="n"/>
      <c r="B694" s="125" t="n"/>
      <c r="C694" s="122">
        <f>IF(OR(B694="",B693=""),"",B694/B693-1)</f>
        <v/>
      </c>
      <c r="D694" s="122">
        <f>IF(B694="","",IFERROR(B694/INDEX($B$2:$B$800,MATCH(DATE(YEAR(A694)-1,12,1),$A$2:$A$800,0))-1,""))</f>
        <v/>
      </c>
      <c r="E694" s="122">
        <f>IF(B694="","",IFERROR(B694/INDEX($B$2:$B$800,MATCH(DATE(YEAR(A694)-1,MONTH(A694),1),$A$2:$A$800,0))-1,""))</f>
        <v/>
      </c>
    </row>
    <row r="695">
      <c r="A695" s="124" t="n"/>
      <c r="B695" s="125" t="n"/>
      <c r="C695" s="122">
        <f>IF(OR(B695="",B694=""),"",B695/B694-1)</f>
        <v/>
      </c>
      <c r="D695" s="122">
        <f>IF(B695="","",IFERROR(B695/INDEX($B$2:$B$800,MATCH(DATE(YEAR(A695)-1,12,1),$A$2:$A$800,0))-1,""))</f>
        <v/>
      </c>
      <c r="E695" s="122">
        <f>IF(B695="","",IFERROR(B695/INDEX($B$2:$B$800,MATCH(DATE(YEAR(A695)-1,MONTH(A695),1),$A$2:$A$800,0))-1,""))</f>
        <v/>
      </c>
    </row>
    <row r="696">
      <c r="A696" s="124" t="n"/>
      <c r="B696" s="125" t="n"/>
      <c r="C696" s="122">
        <f>IF(OR(B696="",B695=""),"",B696/B695-1)</f>
        <v/>
      </c>
      <c r="D696" s="122">
        <f>IF(B696="","",IFERROR(B696/INDEX($B$2:$B$800,MATCH(DATE(YEAR(A696)-1,12,1),$A$2:$A$800,0))-1,""))</f>
        <v/>
      </c>
      <c r="E696" s="122">
        <f>IF(B696="","",IFERROR(B696/INDEX($B$2:$B$800,MATCH(DATE(YEAR(A696)-1,MONTH(A696),1),$A$2:$A$800,0))-1,""))</f>
        <v/>
      </c>
    </row>
    <row r="697">
      <c r="A697" s="124" t="n"/>
      <c r="B697" s="125" t="n"/>
      <c r="C697" s="122">
        <f>IF(OR(B697="",B696=""),"",B697/B696-1)</f>
        <v/>
      </c>
      <c r="D697" s="122">
        <f>IF(B697="","",IFERROR(B697/INDEX($B$2:$B$800,MATCH(DATE(YEAR(A697)-1,12,1),$A$2:$A$800,0))-1,""))</f>
        <v/>
      </c>
      <c r="E697" s="122">
        <f>IF(B697="","",IFERROR(B697/INDEX($B$2:$B$800,MATCH(DATE(YEAR(A697)-1,MONTH(A697),1),$A$2:$A$800,0))-1,""))</f>
        <v/>
      </c>
    </row>
    <row r="698">
      <c r="A698" s="124" t="n"/>
      <c r="B698" s="125" t="n"/>
      <c r="C698" s="122">
        <f>IF(OR(B698="",B697=""),"",B698/B697-1)</f>
        <v/>
      </c>
      <c r="D698" s="122">
        <f>IF(B698="","",IFERROR(B698/INDEX($B$2:$B$800,MATCH(DATE(YEAR(A698)-1,12,1),$A$2:$A$800,0))-1,""))</f>
        <v/>
      </c>
      <c r="E698" s="122">
        <f>IF(B698="","",IFERROR(B698/INDEX($B$2:$B$800,MATCH(DATE(YEAR(A698)-1,MONTH(A698),1),$A$2:$A$800,0))-1,""))</f>
        <v/>
      </c>
    </row>
    <row r="699">
      <c r="A699" s="124" t="n"/>
      <c r="B699" s="125" t="n"/>
      <c r="C699" s="122">
        <f>IF(OR(B699="",B698=""),"",B699/B698-1)</f>
        <v/>
      </c>
      <c r="D699" s="122">
        <f>IF(B699="","",IFERROR(B699/INDEX($B$2:$B$800,MATCH(DATE(YEAR(A699)-1,12,1),$A$2:$A$800,0))-1,""))</f>
        <v/>
      </c>
      <c r="E699" s="122">
        <f>IF(B699="","",IFERROR(B699/INDEX($B$2:$B$800,MATCH(DATE(YEAR(A699)-1,MONTH(A699),1),$A$2:$A$800,0))-1,""))</f>
        <v/>
      </c>
    </row>
    <row r="700">
      <c r="A700" s="124" t="n"/>
      <c r="B700" s="125" t="n"/>
      <c r="C700" s="122">
        <f>IF(OR(B700="",B699=""),"",B700/B699-1)</f>
        <v/>
      </c>
      <c r="D700" s="122">
        <f>IF(B700="","",IFERROR(B700/INDEX($B$2:$B$800,MATCH(DATE(YEAR(A700)-1,12,1),$A$2:$A$800,0))-1,""))</f>
        <v/>
      </c>
      <c r="E700" s="122">
        <f>IF(B700="","",IFERROR(B700/INDEX($B$2:$B$800,MATCH(DATE(YEAR(A700)-1,MONTH(A700),1),$A$2:$A$800,0))-1,""))</f>
        <v/>
      </c>
    </row>
    <row r="701">
      <c r="A701" s="124" t="n"/>
      <c r="B701" s="125" t="n"/>
      <c r="C701" s="122">
        <f>IF(OR(B701="",B700=""),"",B701/B700-1)</f>
        <v/>
      </c>
      <c r="D701" s="122">
        <f>IF(B701="","",IFERROR(B701/INDEX($B$2:$B$800,MATCH(DATE(YEAR(A701)-1,12,1),$A$2:$A$800,0))-1,""))</f>
        <v/>
      </c>
      <c r="E701" s="122">
        <f>IF(B701="","",IFERROR(B701/INDEX($B$2:$B$800,MATCH(DATE(YEAR(A701)-1,MONTH(A701),1),$A$2:$A$800,0))-1,""))</f>
        <v/>
      </c>
    </row>
    <row r="702">
      <c r="A702" s="124" t="n"/>
      <c r="B702" s="125" t="n"/>
      <c r="C702" s="122">
        <f>IF(OR(B702="",B701=""),"",B702/B701-1)</f>
        <v/>
      </c>
      <c r="D702" s="122">
        <f>IF(B702="","",IFERROR(B702/INDEX($B$2:$B$800,MATCH(DATE(YEAR(A702)-1,12,1),$A$2:$A$800,0))-1,""))</f>
        <v/>
      </c>
      <c r="E702" s="122">
        <f>IF(B702="","",IFERROR(B702/INDEX($B$2:$B$800,MATCH(DATE(YEAR(A702)-1,MONTH(A702),1),$A$2:$A$800,0))-1,""))</f>
        <v/>
      </c>
    </row>
    <row r="703">
      <c r="A703" s="124" t="n"/>
      <c r="B703" s="125" t="n"/>
      <c r="C703" s="122">
        <f>IF(OR(B703="",B702=""),"",B703/B702-1)</f>
        <v/>
      </c>
      <c r="D703" s="122">
        <f>IF(B703="","",IFERROR(B703/INDEX($B$2:$B$800,MATCH(DATE(YEAR(A703)-1,12,1),$A$2:$A$800,0))-1,""))</f>
        <v/>
      </c>
      <c r="E703" s="122">
        <f>IF(B703="","",IFERROR(B703/INDEX($B$2:$B$800,MATCH(DATE(YEAR(A703)-1,MONTH(A703),1),$A$2:$A$800,0))-1,""))</f>
        <v/>
      </c>
    </row>
    <row r="704">
      <c r="A704" s="124" t="n"/>
      <c r="B704" s="125" t="n"/>
      <c r="C704" s="122">
        <f>IF(OR(B704="",B703=""),"",B704/B703-1)</f>
        <v/>
      </c>
      <c r="D704" s="122">
        <f>IF(B704="","",IFERROR(B704/INDEX($B$2:$B$800,MATCH(DATE(YEAR(A704)-1,12,1),$A$2:$A$800,0))-1,""))</f>
        <v/>
      </c>
      <c r="E704" s="122">
        <f>IF(B704="","",IFERROR(B704/INDEX($B$2:$B$800,MATCH(DATE(YEAR(A704)-1,MONTH(A704),1),$A$2:$A$800,0))-1,""))</f>
        <v/>
      </c>
    </row>
    <row r="705">
      <c r="A705" s="124" t="n"/>
      <c r="B705" s="125" t="n"/>
      <c r="C705" s="122">
        <f>IF(OR(B705="",B704=""),"",B705/B704-1)</f>
        <v/>
      </c>
      <c r="D705" s="122">
        <f>IF(B705="","",IFERROR(B705/INDEX($B$2:$B$800,MATCH(DATE(YEAR(A705)-1,12,1),$A$2:$A$800,0))-1,""))</f>
        <v/>
      </c>
      <c r="E705" s="122">
        <f>IF(B705="","",IFERROR(B705/INDEX($B$2:$B$800,MATCH(DATE(YEAR(A705)-1,MONTH(A705),1),$A$2:$A$800,0))-1,""))</f>
        <v/>
      </c>
    </row>
    <row r="706">
      <c r="A706" s="124" t="n"/>
      <c r="B706" s="125" t="n"/>
      <c r="C706" s="122">
        <f>IF(OR(B706="",B705=""),"",B706/B705-1)</f>
        <v/>
      </c>
      <c r="D706" s="122">
        <f>IF(B706="","",IFERROR(B706/INDEX($B$2:$B$800,MATCH(DATE(YEAR(A706)-1,12,1),$A$2:$A$800,0))-1,""))</f>
        <v/>
      </c>
      <c r="E706" s="122">
        <f>IF(B706="","",IFERROR(B706/INDEX($B$2:$B$800,MATCH(DATE(YEAR(A706)-1,MONTH(A706),1),$A$2:$A$800,0))-1,""))</f>
        <v/>
      </c>
    </row>
    <row r="707">
      <c r="A707" s="124" t="n"/>
      <c r="B707" s="125" t="n"/>
      <c r="C707" s="122">
        <f>IF(OR(B707="",B706=""),"",B707/B706-1)</f>
        <v/>
      </c>
      <c r="D707" s="122">
        <f>IF(B707="","",IFERROR(B707/INDEX($B$2:$B$800,MATCH(DATE(YEAR(A707)-1,12,1),$A$2:$A$800,0))-1,""))</f>
        <v/>
      </c>
      <c r="E707" s="122">
        <f>IF(B707="","",IFERROR(B707/INDEX($B$2:$B$800,MATCH(DATE(YEAR(A707)-1,MONTH(A707),1),$A$2:$A$800,0))-1,""))</f>
        <v/>
      </c>
    </row>
    <row r="708">
      <c r="A708" s="124" t="n"/>
      <c r="B708" s="125" t="n"/>
      <c r="C708" s="122">
        <f>IF(OR(B708="",B707=""),"",B708/B707-1)</f>
        <v/>
      </c>
      <c r="D708" s="122">
        <f>IF(B708="","",IFERROR(B708/INDEX($B$2:$B$800,MATCH(DATE(YEAR(A708)-1,12,1),$A$2:$A$800,0))-1,""))</f>
        <v/>
      </c>
      <c r="E708" s="122">
        <f>IF(B708="","",IFERROR(B708/INDEX($B$2:$B$800,MATCH(DATE(YEAR(A708)-1,MONTH(A708),1),$A$2:$A$800,0))-1,""))</f>
        <v/>
      </c>
    </row>
    <row r="709">
      <c r="A709" s="124" t="n"/>
      <c r="B709" s="125" t="n"/>
      <c r="C709" s="122">
        <f>IF(OR(B709="",B708=""),"",B709/B708-1)</f>
        <v/>
      </c>
      <c r="D709" s="122">
        <f>IF(B709="","",IFERROR(B709/INDEX($B$2:$B$800,MATCH(DATE(YEAR(A709)-1,12,1),$A$2:$A$800,0))-1,""))</f>
        <v/>
      </c>
      <c r="E709" s="122">
        <f>IF(B709="","",IFERROR(B709/INDEX($B$2:$B$800,MATCH(DATE(YEAR(A709)-1,MONTH(A709),1),$A$2:$A$800,0))-1,""))</f>
        <v/>
      </c>
    </row>
    <row r="710">
      <c r="A710" s="124" t="n"/>
      <c r="B710" s="125" t="n"/>
      <c r="C710" s="122">
        <f>IF(OR(B710="",B709=""),"",B710/B709-1)</f>
        <v/>
      </c>
      <c r="D710" s="122">
        <f>IF(B710="","",IFERROR(B710/INDEX($B$2:$B$800,MATCH(DATE(YEAR(A710)-1,12,1),$A$2:$A$800,0))-1,""))</f>
        <v/>
      </c>
      <c r="E710" s="122">
        <f>IF(B710="","",IFERROR(B710/INDEX($B$2:$B$800,MATCH(DATE(YEAR(A710)-1,MONTH(A710),1),$A$2:$A$800,0))-1,""))</f>
        <v/>
      </c>
    </row>
    <row r="711">
      <c r="A711" s="124" t="n"/>
      <c r="B711" s="125" t="n"/>
      <c r="C711" s="122">
        <f>IF(OR(B711="",B710=""),"",B711/B710-1)</f>
        <v/>
      </c>
      <c r="D711" s="122">
        <f>IF(B711="","",IFERROR(B711/INDEX($B$2:$B$800,MATCH(DATE(YEAR(A711)-1,12,1),$A$2:$A$800,0))-1,""))</f>
        <v/>
      </c>
      <c r="E711" s="122">
        <f>IF(B711="","",IFERROR(B711/INDEX($B$2:$B$800,MATCH(DATE(YEAR(A711)-1,MONTH(A711),1),$A$2:$A$800,0))-1,""))</f>
        <v/>
      </c>
    </row>
    <row r="712">
      <c r="A712" s="124" t="n"/>
      <c r="B712" s="125" t="n"/>
      <c r="C712" s="122">
        <f>IF(OR(B712="",B711=""),"",B712/B711-1)</f>
        <v/>
      </c>
      <c r="D712" s="122">
        <f>IF(B712="","",IFERROR(B712/INDEX($B$2:$B$800,MATCH(DATE(YEAR(A712)-1,12,1),$A$2:$A$800,0))-1,""))</f>
        <v/>
      </c>
      <c r="E712" s="122">
        <f>IF(B712="","",IFERROR(B712/INDEX($B$2:$B$800,MATCH(DATE(YEAR(A712)-1,MONTH(A712),1),$A$2:$A$800,0))-1,""))</f>
        <v/>
      </c>
    </row>
    <row r="713">
      <c r="A713" s="124" t="n"/>
      <c r="B713" s="125" t="n"/>
      <c r="C713" s="122">
        <f>IF(OR(B713="",B712=""),"",B713/B712-1)</f>
        <v/>
      </c>
      <c r="D713" s="122">
        <f>IF(B713="","",IFERROR(B713/INDEX($B$2:$B$800,MATCH(DATE(YEAR(A713)-1,12,1),$A$2:$A$800,0))-1,""))</f>
        <v/>
      </c>
      <c r="E713" s="122">
        <f>IF(B713="","",IFERROR(B713/INDEX($B$2:$B$800,MATCH(DATE(YEAR(A713)-1,MONTH(A713),1),$A$2:$A$800,0))-1,""))</f>
        <v/>
      </c>
    </row>
    <row r="714">
      <c r="A714" s="124" t="n"/>
      <c r="B714" s="125" t="n"/>
      <c r="C714" s="122">
        <f>IF(OR(B714="",B713=""),"",B714/B713-1)</f>
        <v/>
      </c>
      <c r="D714" s="122">
        <f>IF(B714="","",IFERROR(B714/INDEX($B$2:$B$800,MATCH(DATE(YEAR(A714)-1,12,1),$A$2:$A$800,0))-1,""))</f>
        <v/>
      </c>
      <c r="E714" s="122">
        <f>IF(B714="","",IFERROR(B714/INDEX($B$2:$B$800,MATCH(DATE(YEAR(A714)-1,MONTH(A714),1),$A$2:$A$800,0))-1,""))</f>
        <v/>
      </c>
    </row>
    <row r="715">
      <c r="A715" s="124" t="n"/>
      <c r="B715" s="125" t="n"/>
      <c r="C715" s="122">
        <f>IF(OR(B715="",B714=""),"",B715/B714-1)</f>
        <v/>
      </c>
      <c r="D715" s="122">
        <f>IF(B715="","",IFERROR(B715/INDEX($B$2:$B$800,MATCH(DATE(YEAR(A715)-1,12,1),$A$2:$A$800,0))-1,""))</f>
        <v/>
      </c>
      <c r="E715" s="122">
        <f>IF(B715="","",IFERROR(B715/INDEX($B$2:$B$800,MATCH(DATE(YEAR(A715)-1,MONTH(A715),1),$A$2:$A$800,0))-1,""))</f>
        <v/>
      </c>
    </row>
    <row r="716">
      <c r="A716" s="124" t="n"/>
      <c r="B716" s="125" t="n"/>
      <c r="C716" s="122">
        <f>IF(OR(B716="",B715=""),"",B716/B715-1)</f>
        <v/>
      </c>
      <c r="D716" s="122">
        <f>IF(B716="","",IFERROR(B716/INDEX($B$2:$B$800,MATCH(DATE(YEAR(A716)-1,12,1),$A$2:$A$800,0))-1,""))</f>
        <v/>
      </c>
      <c r="E716" s="122">
        <f>IF(B716="","",IFERROR(B716/INDEX($B$2:$B$800,MATCH(DATE(YEAR(A716)-1,MONTH(A716),1),$A$2:$A$800,0))-1,""))</f>
        <v/>
      </c>
    </row>
    <row r="717">
      <c r="A717" s="124" t="n"/>
      <c r="B717" s="125" t="n"/>
      <c r="C717" s="122">
        <f>IF(OR(B717="",B716=""),"",B717/B716-1)</f>
        <v/>
      </c>
      <c r="D717" s="122">
        <f>IF(B717="","",IFERROR(B717/INDEX($B$2:$B$800,MATCH(DATE(YEAR(A717)-1,12,1),$A$2:$A$800,0))-1,""))</f>
        <v/>
      </c>
      <c r="E717" s="122">
        <f>IF(B717="","",IFERROR(B717/INDEX($B$2:$B$800,MATCH(DATE(YEAR(A717)-1,MONTH(A717),1),$A$2:$A$800,0))-1,""))</f>
        <v/>
      </c>
    </row>
    <row r="718">
      <c r="A718" s="124" t="n"/>
      <c r="B718" s="125" t="n"/>
      <c r="C718" s="122">
        <f>IF(OR(B718="",B717=""),"",B718/B717-1)</f>
        <v/>
      </c>
      <c r="D718" s="122">
        <f>IF(B718="","",IFERROR(B718/INDEX($B$2:$B$800,MATCH(DATE(YEAR(A718)-1,12,1),$A$2:$A$800,0))-1,""))</f>
        <v/>
      </c>
      <c r="E718" s="122">
        <f>IF(B718="","",IFERROR(B718/INDEX($B$2:$B$800,MATCH(DATE(YEAR(A718)-1,MONTH(A718),1),$A$2:$A$800,0))-1,""))</f>
        <v/>
      </c>
    </row>
    <row r="719">
      <c r="A719" s="124" t="n"/>
      <c r="B719" s="125" t="n"/>
      <c r="C719" s="122">
        <f>IF(OR(B719="",B718=""),"",B719/B718-1)</f>
        <v/>
      </c>
      <c r="D719" s="122">
        <f>IF(B719="","",IFERROR(B719/INDEX($B$2:$B$800,MATCH(DATE(YEAR(A719)-1,12,1),$A$2:$A$800,0))-1,""))</f>
        <v/>
      </c>
      <c r="E719" s="122">
        <f>IF(B719="","",IFERROR(B719/INDEX($B$2:$B$800,MATCH(DATE(YEAR(A719)-1,MONTH(A719),1),$A$2:$A$800,0))-1,""))</f>
        <v/>
      </c>
    </row>
    <row r="720">
      <c r="A720" s="124" t="n"/>
      <c r="B720" s="125" t="n"/>
      <c r="C720" s="122">
        <f>IF(OR(B720="",B719=""),"",B720/B719-1)</f>
        <v/>
      </c>
      <c r="D720" s="122">
        <f>IF(B720="","",IFERROR(B720/INDEX($B$2:$B$800,MATCH(DATE(YEAR(A720)-1,12,1),$A$2:$A$800,0))-1,""))</f>
        <v/>
      </c>
      <c r="E720" s="122">
        <f>IF(B720="","",IFERROR(B720/INDEX($B$2:$B$800,MATCH(DATE(YEAR(A720)-1,MONTH(A720),1),$A$2:$A$800,0))-1,""))</f>
        <v/>
      </c>
    </row>
    <row r="721">
      <c r="A721" s="124" t="n"/>
      <c r="B721" s="125" t="n"/>
      <c r="C721" s="122">
        <f>IF(OR(B721="",B720=""),"",B721/B720-1)</f>
        <v/>
      </c>
      <c r="D721" s="122">
        <f>IF(B721="","",IFERROR(B721/INDEX($B$2:$B$800,MATCH(DATE(YEAR(A721)-1,12,1),$A$2:$A$800,0))-1,""))</f>
        <v/>
      </c>
      <c r="E721" s="122">
        <f>IF(B721="","",IFERROR(B721/INDEX($B$2:$B$800,MATCH(DATE(YEAR(A721)-1,MONTH(A721),1),$A$2:$A$800,0))-1,""))</f>
        <v/>
      </c>
    </row>
    <row r="722">
      <c r="A722" s="124" t="n"/>
      <c r="B722" s="125" t="n"/>
      <c r="C722" s="122">
        <f>IF(OR(B722="",B721=""),"",B722/B721-1)</f>
        <v/>
      </c>
      <c r="D722" s="122">
        <f>IF(B722="","",IFERROR(B722/INDEX($B$2:$B$800,MATCH(DATE(YEAR(A722)-1,12,1),$A$2:$A$800,0))-1,""))</f>
        <v/>
      </c>
      <c r="E722" s="122">
        <f>IF(B722="","",IFERROR(B722/INDEX($B$2:$B$800,MATCH(DATE(YEAR(A722)-1,MONTH(A722),1),$A$2:$A$800,0))-1,""))</f>
        <v/>
      </c>
    </row>
    <row r="723">
      <c r="A723" s="124" t="n"/>
      <c r="B723" s="125" t="n"/>
      <c r="C723" s="122">
        <f>IF(OR(B723="",B722=""),"",B723/B722-1)</f>
        <v/>
      </c>
      <c r="D723" s="122">
        <f>IF(B723="","",IFERROR(B723/INDEX($B$2:$B$800,MATCH(DATE(YEAR(A723)-1,12,1),$A$2:$A$800,0))-1,""))</f>
        <v/>
      </c>
      <c r="E723" s="122">
        <f>IF(B723="","",IFERROR(B723/INDEX($B$2:$B$800,MATCH(DATE(YEAR(A723)-1,MONTH(A723),1),$A$2:$A$800,0))-1,""))</f>
        <v/>
      </c>
    </row>
    <row r="724">
      <c r="A724" s="124" t="n"/>
      <c r="B724" s="125" t="n"/>
      <c r="C724" s="122">
        <f>IF(OR(B724="",B723=""),"",B724/B723-1)</f>
        <v/>
      </c>
      <c r="D724" s="122">
        <f>IF(B724="","",IFERROR(B724/INDEX($B$2:$B$800,MATCH(DATE(YEAR(A724)-1,12,1),$A$2:$A$800,0))-1,""))</f>
        <v/>
      </c>
      <c r="E724" s="122">
        <f>IF(B724="","",IFERROR(B724/INDEX($B$2:$B$800,MATCH(DATE(YEAR(A724)-1,MONTH(A724),1),$A$2:$A$800,0))-1,""))</f>
        <v/>
      </c>
    </row>
    <row r="725">
      <c r="A725" s="124" t="n"/>
      <c r="B725" s="125" t="n"/>
      <c r="C725" s="122">
        <f>IF(OR(B725="",B724=""),"",B725/B724-1)</f>
        <v/>
      </c>
      <c r="D725" s="122">
        <f>IF(B725="","",IFERROR(B725/INDEX($B$2:$B$800,MATCH(DATE(YEAR(A725)-1,12,1),$A$2:$A$800,0))-1,""))</f>
        <v/>
      </c>
      <c r="E725" s="122">
        <f>IF(B725="","",IFERROR(B725/INDEX($B$2:$B$800,MATCH(DATE(YEAR(A725)-1,MONTH(A725),1),$A$2:$A$800,0))-1,""))</f>
        <v/>
      </c>
    </row>
    <row r="726">
      <c r="A726" s="124" t="n"/>
      <c r="B726" s="125" t="n"/>
      <c r="C726" s="122">
        <f>IF(OR(B726="",B725=""),"",B726/B725-1)</f>
        <v/>
      </c>
      <c r="D726" s="122">
        <f>IF(B726="","",IFERROR(B726/INDEX($B$2:$B$800,MATCH(DATE(YEAR(A726)-1,12,1),$A$2:$A$800,0))-1,""))</f>
        <v/>
      </c>
      <c r="E726" s="122">
        <f>IF(B726="","",IFERROR(B726/INDEX($B$2:$B$800,MATCH(DATE(YEAR(A726)-1,MONTH(A726),1),$A$2:$A$800,0))-1,""))</f>
        <v/>
      </c>
    </row>
    <row r="727">
      <c r="A727" s="124" t="n"/>
      <c r="B727" s="125" t="n"/>
      <c r="C727" s="122">
        <f>IF(OR(B727="",B726=""),"",B727/B726-1)</f>
        <v/>
      </c>
      <c r="D727" s="122">
        <f>IF(B727="","",IFERROR(B727/INDEX($B$2:$B$800,MATCH(DATE(YEAR(A727)-1,12,1),$A$2:$A$800,0))-1,""))</f>
        <v/>
      </c>
      <c r="E727" s="122">
        <f>IF(B727="","",IFERROR(B727/INDEX($B$2:$B$800,MATCH(DATE(YEAR(A727)-1,MONTH(A727),1),$A$2:$A$800,0))-1,""))</f>
        <v/>
      </c>
    </row>
    <row r="728">
      <c r="A728" s="124" t="n"/>
      <c r="B728" s="125" t="n"/>
      <c r="C728" s="122">
        <f>IF(OR(B728="",B727=""),"",B728/B727-1)</f>
        <v/>
      </c>
      <c r="D728" s="122">
        <f>IF(B728="","",IFERROR(B728/INDEX($B$2:$B$800,MATCH(DATE(YEAR(A728)-1,12,1),$A$2:$A$800,0))-1,""))</f>
        <v/>
      </c>
      <c r="E728" s="122">
        <f>IF(B728="","",IFERROR(B728/INDEX($B$2:$B$800,MATCH(DATE(YEAR(A728)-1,MONTH(A728),1),$A$2:$A$800,0))-1,""))</f>
        <v/>
      </c>
    </row>
    <row r="729">
      <c r="A729" s="124" t="n"/>
      <c r="B729" s="125" t="n"/>
      <c r="C729" s="122">
        <f>IF(OR(B729="",B728=""),"",B729/B728-1)</f>
        <v/>
      </c>
      <c r="D729" s="122">
        <f>IF(B729="","",IFERROR(B729/INDEX($B$2:$B$800,MATCH(DATE(YEAR(A729)-1,12,1),$A$2:$A$800,0))-1,""))</f>
        <v/>
      </c>
      <c r="E729" s="122">
        <f>IF(B729="","",IFERROR(B729/INDEX($B$2:$B$800,MATCH(DATE(YEAR(A729)-1,MONTH(A729),1),$A$2:$A$800,0))-1,""))</f>
        <v/>
      </c>
    </row>
    <row r="730">
      <c r="A730" s="124" t="n"/>
      <c r="B730" s="125" t="n"/>
      <c r="C730" s="122">
        <f>IF(OR(B730="",B729=""),"",B730/B729-1)</f>
        <v/>
      </c>
      <c r="D730" s="122">
        <f>IF(B730="","",IFERROR(B730/INDEX($B$2:$B$800,MATCH(DATE(YEAR(A730)-1,12,1),$A$2:$A$800,0))-1,""))</f>
        <v/>
      </c>
      <c r="E730" s="122">
        <f>IF(B730="","",IFERROR(B730/INDEX($B$2:$B$800,MATCH(DATE(YEAR(A730)-1,MONTH(A730),1),$A$2:$A$800,0))-1,""))</f>
        <v/>
      </c>
    </row>
    <row r="731">
      <c r="A731" s="124" t="n"/>
      <c r="B731" s="125" t="n"/>
      <c r="C731" s="122">
        <f>IF(OR(B731="",B730=""),"",B731/B730-1)</f>
        <v/>
      </c>
      <c r="D731" s="122">
        <f>IF(B731="","",IFERROR(B731/INDEX($B$2:$B$800,MATCH(DATE(YEAR(A731)-1,12,1),$A$2:$A$800,0))-1,""))</f>
        <v/>
      </c>
      <c r="E731" s="122">
        <f>IF(B731="","",IFERROR(B731/INDEX($B$2:$B$800,MATCH(DATE(YEAR(A731)-1,MONTH(A731),1),$A$2:$A$800,0))-1,""))</f>
        <v/>
      </c>
    </row>
    <row r="732">
      <c r="A732" s="124" t="n"/>
      <c r="B732" s="125" t="n"/>
      <c r="C732" s="122">
        <f>IF(OR(B732="",B731=""),"",B732/B731-1)</f>
        <v/>
      </c>
      <c r="D732" s="122">
        <f>IF(B732="","",IFERROR(B732/INDEX($B$2:$B$800,MATCH(DATE(YEAR(A732)-1,12,1),$A$2:$A$800,0))-1,""))</f>
        <v/>
      </c>
      <c r="E732" s="122">
        <f>IF(B732="","",IFERROR(B732/INDEX($B$2:$B$800,MATCH(DATE(YEAR(A732)-1,MONTH(A732),1),$A$2:$A$800,0))-1,""))</f>
        <v/>
      </c>
    </row>
    <row r="733">
      <c r="A733" s="124" t="n"/>
      <c r="B733" s="125" t="n"/>
      <c r="C733" s="122">
        <f>IF(OR(B733="",B732=""),"",B733/B732-1)</f>
        <v/>
      </c>
      <c r="D733" s="122">
        <f>IF(B733="","",IFERROR(B733/INDEX($B$2:$B$800,MATCH(DATE(YEAR(A733)-1,12,1),$A$2:$A$800,0))-1,""))</f>
        <v/>
      </c>
      <c r="E733" s="122">
        <f>IF(B733="","",IFERROR(B733/INDEX($B$2:$B$800,MATCH(DATE(YEAR(A733)-1,MONTH(A733),1),$A$2:$A$800,0))-1,""))</f>
        <v/>
      </c>
    </row>
    <row r="734">
      <c r="A734" s="124" t="n"/>
      <c r="B734" s="125" t="n"/>
      <c r="C734" s="122">
        <f>IF(OR(B734="",B733=""),"",B734/B733-1)</f>
        <v/>
      </c>
      <c r="D734" s="122">
        <f>IF(B734="","",IFERROR(B734/INDEX($B$2:$B$800,MATCH(DATE(YEAR(A734)-1,12,1),$A$2:$A$800,0))-1,""))</f>
        <v/>
      </c>
      <c r="E734" s="122">
        <f>IF(B734="","",IFERROR(B734/INDEX($B$2:$B$800,MATCH(DATE(YEAR(A734)-1,MONTH(A734),1),$A$2:$A$800,0))-1,""))</f>
        <v/>
      </c>
    </row>
    <row r="735">
      <c r="A735" s="124" t="n"/>
      <c r="B735" s="125" t="n"/>
      <c r="C735" s="122">
        <f>IF(OR(B735="",B734=""),"",B735/B734-1)</f>
        <v/>
      </c>
      <c r="D735" s="122">
        <f>IF(B735="","",IFERROR(B735/INDEX($B$2:$B$800,MATCH(DATE(YEAR(A735)-1,12,1),$A$2:$A$800,0))-1,""))</f>
        <v/>
      </c>
      <c r="E735" s="122">
        <f>IF(B735="","",IFERROR(B735/INDEX($B$2:$B$800,MATCH(DATE(YEAR(A735)-1,MONTH(A735),1),$A$2:$A$800,0))-1,""))</f>
        <v/>
      </c>
    </row>
    <row r="736">
      <c r="A736" s="124" t="n"/>
      <c r="B736" s="125" t="n"/>
      <c r="C736" s="122">
        <f>IF(OR(B736="",B735=""),"",B736/B735-1)</f>
        <v/>
      </c>
      <c r="D736" s="122">
        <f>IF(B736="","",IFERROR(B736/INDEX($B$2:$B$800,MATCH(DATE(YEAR(A736)-1,12,1),$A$2:$A$800,0))-1,""))</f>
        <v/>
      </c>
      <c r="E736" s="122">
        <f>IF(B736="","",IFERROR(B736/INDEX($B$2:$B$800,MATCH(DATE(YEAR(A736)-1,MONTH(A736),1),$A$2:$A$800,0))-1,""))</f>
        <v/>
      </c>
    </row>
    <row r="737">
      <c r="A737" s="124" t="n"/>
      <c r="B737" s="125" t="n"/>
      <c r="C737" s="122">
        <f>IF(OR(B737="",B736=""),"",B737/B736-1)</f>
        <v/>
      </c>
      <c r="D737" s="122">
        <f>IF(B737="","",IFERROR(B737/INDEX($B$2:$B$800,MATCH(DATE(YEAR(A737)-1,12,1),$A$2:$A$800,0))-1,""))</f>
        <v/>
      </c>
      <c r="E737" s="122">
        <f>IF(B737="","",IFERROR(B737/INDEX($B$2:$B$800,MATCH(DATE(YEAR(A737)-1,MONTH(A737),1),$A$2:$A$800,0))-1,""))</f>
        <v/>
      </c>
    </row>
    <row r="738">
      <c r="A738" s="124" t="n"/>
      <c r="B738" s="125" t="n"/>
      <c r="C738" s="122">
        <f>IF(OR(B738="",B737=""),"",B738/B737-1)</f>
        <v/>
      </c>
      <c r="D738" s="122">
        <f>IF(B738="","",IFERROR(B738/INDEX($B$2:$B$800,MATCH(DATE(YEAR(A738)-1,12,1),$A$2:$A$800,0))-1,""))</f>
        <v/>
      </c>
      <c r="E738" s="122">
        <f>IF(B738="","",IFERROR(B738/INDEX($B$2:$B$800,MATCH(DATE(YEAR(A738)-1,MONTH(A738),1),$A$2:$A$800,0))-1,""))</f>
        <v/>
      </c>
    </row>
    <row r="739">
      <c r="A739" s="124" t="n"/>
      <c r="B739" s="125" t="n"/>
      <c r="C739" s="122">
        <f>IF(OR(B739="",B738=""),"",B739/B738-1)</f>
        <v/>
      </c>
      <c r="D739" s="122">
        <f>IF(B739="","",IFERROR(B739/INDEX($B$2:$B$800,MATCH(DATE(YEAR(A739)-1,12,1),$A$2:$A$800,0))-1,""))</f>
        <v/>
      </c>
      <c r="E739" s="122">
        <f>IF(B739="","",IFERROR(B739/INDEX($B$2:$B$800,MATCH(DATE(YEAR(A739)-1,MONTH(A739),1),$A$2:$A$800,0))-1,""))</f>
        <v/>
      </c>
    </row>
    <row r="740">
      <c r="A740" s="124" t="n"/>
      <c r="B740" s="125" t="n"/>
      <c r="C740" s="122">
        <f>IF(OR(B740="",B739=""),"",B740/B739-1)</f>
        <v/>
      </c>
      <c r="D740" s="122">
        <f>IF(B740="","",IFERROR(B740/INDEX($B$2:$B$800,MATCH(DATE(YEAR(A740)-1,12,1),$A$2:$A$800,0))-1,""))</f>
        <v/>
      </c>
      <c r="E740" s="122">
        <f>IF(B740="","",IFERROR(B740/INDEX($B$2:$B$800,MATCH(DATE(YEAR(A740)-1,MONTH(A740),1),$A$2:$A$800,0))-1,""))</f>
        <v/>
      </c>
    </row>
    <row r="741">
      <c r="A741" s="124" t="n"/>
      <c r="B741" s="125" t="n"/>
      <c r="C741" s="122">
        <f>IF(OR(B741="",B740=""),"",B741/B740-1)</f>
        <v/>
      </c>
      <c r="D741" s="122">
        <f>IF(B741="","",IFERROR(B741/INDEX($B$2:$B$800,MATCH(DATE(YEAR(A741)-1,12,1),$A$2:$A$800,0))-1,""))</f>
        <v/>
      </c>
      <c r="E741" s="122">
        <f>IF(B741="","",IFERROR(B741/INDEX($B$2:$B$800,MATCH(DATE(YEAR(A741)-1,MONTH(A741),1),$A$2:$A$800,0))-1,""))</f>
        <v/>
      </c>
    </row>
    <row r="742">
      <c r="A742" s="124" t="n"/>
      <c r="B742" s="125" t="n"/>
      <c r="C742" s="122">
        <f>IF(OR(B742="",B741=""),"",B742/B741-1)</f>
        <v/>
      </c>
      <c r="D742" s="122">
        <f>IF(B742="","",IFERROR(B742/INDEX($B$2:$B$800,MATCH(DATE(YEAR(A742)-1,12,1),$A$2:$A$800,0))-1,""))</f>
        <v/>
      </c>
      <c r="E742" s="122">
        <f>IF(B742="","",IFERROR(B742/INDEX($B$2:$B$800,MATCH(DATE(YEAR(A742)-1,MONTH(A742),1),$A$2:$A$800,0))-1,""))</f>
        <v/>
      </c>
    </row>
    <row r="743">
      <c r="A743" s="124" t="n"/>
      <c r="B743" s="125" t="n"/>
      <c r="C743" s="122">
        <f>IF(OR(B743="",B742=""),"",B743/B742-1)</f>
        <v/>
      </c>
      <c r="D743" s="122">
        <f>IF(B743="","",IFERROR(B743/INDEX($B$2:$B$800,MATCH(DATE(YEAR(A743)-1,12,1),$A$2:$A$800,0))-1,""))</f>
        <v/>
      </c>
      <c r="E743" s="122">
        <f>IF(B743="","",IFERROR(B743/INDEX($B$2:$B$800,MATCH(DATE(YEAR(A743)-1,MONTH(A743),1),$A$2:$A$800,0))-1,""))</f>
        <v/>
      </c>
    </row>
    <row r="744">
      <c r="A744" s="124" t="n"/>
      <c r="B744" s="125" t="n"/>
      <c r="C744" s="122">
        <f>IF(OR(B744="",B743=""),"",B744/B743-1)</f>
        <v/>
      </c>
      <c r="D744" s="122">
        <f>IF(B744="","",IFERROR(B744/INDEX($B$2:$B$800,MATCH(DATE(YEAR(A744)-1,12,1),$A$2:$A$800,0))-1,""))</f>
        <v/>
      </c>
      <c r="E744" s="122">
        <f>IF(B744="","",IFERROR(B744/INDEX($B$2:$B$800,MATCH(DATE(YEAR(A744)-1,MONTH(A744),1),$A$2:$A$800,0))-1,""))</f>
        <v/>
      </c>
    </row>
    <row r="745">
      <c r="A745" s="124" t="n"/>
      <c r="B745" s="125" t="n"/>
      <c r="C745" s="122">
        <f>IF(OR(B745="",B744=""),"",B745/B744-1)</f>
        <v/>
      </c>
      <c r="D745" s="122">
        <f>IF(B745="","",IFERROR(B745/INDEX($B$2:$B$800,MATCH(DATE(YEAR(A745)-1,12,1),$A$2:$A$800,0))-1,""))</f>
        <v/>
      </c>
      <c r="E745" s="122">
        <f>IF(B745="","",IFERROR(B745/INDEX($B$2:$B$800,MATCH(DATE(YEAR(A745)-1,MONTH(A745),1),$A$2:$A$800,0))-1,""))</f>
        <v/>
      </c>
    </row>
    <row r="746">
      <c r="A746" s="124" t="n"/>
      <c r="B746" s="125" t="n"/>
      <c r="C746" s="122">
        <f>IF(OR(B746="",B745=""),"",B746/B745-1)</f>
        <v/>
      </c>
      <c r="D746" s="122">
        <f>IF(B746="","",IFERROR(B746/INDEX($B$2:$B$800,MATCH(DATE(YEAR(A746)-1,12,1),$A$2:$A$800,0))-1,""))</f>
        <v/>
      </c>
      <c r="E746" s="122">
        <f>IF(B746="","",IFERROR(B746/INDEX($B$2:$B$800,MATCH(DATE(YEAR(A746)-1,MONTH(A746),1),$A$2:$A$800,0))-1,""))</f>
        <v/>
      </c>
    </row>
    <row r="747">
      <c r="A747" s="124" t="n"/>
      <c r="B747" s="125" t="n"/>
      <c r="C747" s="122">
        <f>IF(OR(B747="",B746=""),"",B747/B746-1)</f>
        <v/>
      </c>
      <c r="D747" s="122">
        <f>IF(B747="","",IFERROR(B747/INDEX($B$2:$B$800,MATCH(DATE(YEAR(A747)-1,12,1),$A$2:$A$800,0))-1,""))</f>
        <v/>
      </c>
      <c r="E747" s="122">
        <f>IF(B747="","",IFERROR(B747/INDEX($B$2:$B$800,MATCH(DATE(YEAR(A747)-1,MONTH(A747),1),$A$2:$A$800,0))-1,""))</f>
        <v/>
      </c>
    </row>
    <row r="748">
      <c r="A748" s="124" t="n"/>
      <c r="B748" s="125" t="n"/>
      <c r="C748" s="122">
        <f>IF(OR(B748="",B747=""),"",B748/B747-1)</f>
        <v/>
      </c>
      <c r="D748" s="122">
        <f>IF(B748="","",IFERROR(B748/INDEX($B$2:$B$800,MATCH(DATE(YEAR(A748)-1,12,1),$A$2:$A$800,0))-1,""))</f>
        <v/>
      </c>
      <c r="E748" s="122">
        <f>IF(B748="","",IFERROR(B748/INDEX($B$2:$B$800,MATCH(DATE(YEAR(A748)-1,MONTH(A748),1),$A$2:$A$800,0))-1,""))</f>
        <v/>
      </c>
    </row>
    <row r="749">
      <c r="A749" s="124" t="n"/>
      <c r="B749" s="125" t="n"/>
      <c r="C749" s="122">
        <f>IF(OR(B749="",B748=""),"",B749/B748-1)</f>
        <v/>
      </c>
      <c r="D749" s="122">
        <f>IF(B749="","",IFERROR(B749/INDEX($B$2:$B$800,MATCH(DATE(YEAR(A749)-1,12,1),$A$2:$A$800,0))-1,""))</f>
        <v/>
      </c>
      <c r="E749" s="122">
        <f>IF(B749="","",IFERROR(B749/INDEX($B$2:$B$800,MATCH(DATE(YEAR(A749)-1,MONTH(A749),1),$A$2:$A$800,0))-1,""))</f>
        <v/>
      </c>
    </row>
    <row r="750">
      <c r="A750" s="124" t="n"/>
      <c r="B750" s="125" t="n"/>
      <c r="C750" s="122">
        <f>IF(OR(B750="",B749=""),"",B750/B749-1)</f>
        <v/>
      </c>
      <c r="D750" s="122">
        <f>IF(B750="","",IFERROR(B750/INDEX($B$2:$B$800,MATCH(DATE(YEAR(A750)-1,12,1),$A$2:$A$800,0))-1,""))</f>
        <v/>
      </c>
      <c r="E750" s="122">
        <f>IF(B750="","",IFERROR(B750/INDEX($B$2:$B$800,MATCH(DATE(YEAR(A750)-1,MONTH(A750),1),$A$2:$A$800,0))-1,""))</f>
        <v/>
      </c>
    </row>
    <row r="751">
      <c r="A751" s="124" t="n"/>
      <c r="B751" s="125" t="n"/>
      <c r="C751" s="122">
        <f>IF(OR(B751="",B750=""),"",B751/B750-1)</f>
        <v/>
      </c>
      <c r="D751" s="122">
        <f>IF(B751="","",IFERROR(B751/INDEX($B$2:$B$800,MATCH(DATE(YEAR(A751)-1,12,1),$A$2:$A$800,0))-1,""))</f>
        <v/>
      </c>
      <c r="E751" s="122">
        <f>IF(B751="","",IFERROR(B751/INDEX($B$2:$B$800,MATCH(DATE(YEAR(A751)-1,MONTH(A751),1),$A$2:$A$800,0))-1,""))</f>
        <v/>
      </c>
    </row>
    <row r="752">
      <c r="A752" s="124" t="n"/>
      <c r="B752" s="125" t="n"/>
      <c r="C752" s="122">
        <f>IF(OR(B752="",B751=""),"",B752/B751-1)</f>
        <v/>
      </c>
      <c r="D752" s="122">
        <f>IF(B752="","",IFERROR(B752/INDEX($B$2:$B$800,MATCH(DATE(YEAR(A752)-1,12,1),$A$2:$A$800,0))-1,""))</f>
        <v/>
      </c>
      <c r="E752" s="122">
        <f>IF(B752="","",IFERROR(B752/INDEX($B$2:$B$800,MATCH(DATE(YEAR(A752)-1,MONTH(A752),1),$A$2:$A$800,0))-1,""))</f>
        <v/>
      </c>
    </row>
    <row r="753">
      <c r="A753" s="124" t="n"/>
      <c r="B753" s="125" t="n"/>
      <c r="C753" s="122">
        <f>IF(OR(B753="",B752=""),"",B753/B752-1)</f>
        <v/>
      </c>
      <c r="D753" s="122">
        <f>IF(B753="","",IFERROR(B753/INDEX($B$2:$B$800,MATCH(DATE(YEAR(A753)-1,12,1),$A$2:$A$800,0))-1,""))</f>
        <v/>
      </c>
      <c r="E753" s="122">
        <f>IF(B753="","",IFERROR(B753/INDEX($B$2:$B$800,MATCH(DATE(YEAR(A753)-1,MONTH(A753),1),$A$2:$A$800,0))-1,""))</f>
        <v/>
      </c>
    </row>
    <row r="754">
      <c r="A754" s="124" t="n"/>
      <c r="B754" s="125" t="n"/>
      <c r="C754" s="122">
        <f>IF(OR(B754="",B753=""),"",B754/B753-1)</f>
        <v/>
      </c>
      <c r="D754" s="122">
        <f>IF(B754="","",IFERROR(B754/INDEX($B$2:$B$800,MATCH(DATE(YEAR(A754)-1,12,1),$A$2:$A$800,0))-1,""))</f>
        <v/>
      </c>
      <c r="E754" s="122">
        <f>IF(B754="","",IFERROR(B754/INDEX($B$2:$B$800,MATCH(DATE(YEAR(A754)-1,MONTH(A754),1),$A$2:$A$800,0))-1,""))</f>
        <v/>
      </c>
    </row>
    <row r="755">
      <c r="A755" s="124" t="n"/>
      <c r="B755" s="125" t="n"/>
      <c r="C755" s="122">
        <f>IF(OR(B755="",B754=""),"",B755/B754-1)</f>
        <v/>
      </c>
      <c r="D755" s="122">
        <f>IF(B755="","",IFERROR(B755/INDEX($B$2:$B$800,MATCH(DATE(YEAR(A755)-1,12,1),$A$2:$A$800,0))-1,""))</f>
        <v/>
      </c>
      <c r="E755" s="122">
        <f>IF(B755="","",IFERROR(B755/INDEX($B$2:$B$800,MATCH(DATE(YEAR(A755)-1,MONTH(A755),1),$A$2:$A$800,0))-1,""))</f>
        <v/>
      </c>
    </row>
    <row r="756">
      <c r="A756" s="124" t="n"/>
      <c r="B756" s="125" t="n"/>
      <c r="C756" s="122">
        <f>IF(OR(B756="",B755=""),"",B756/B755-1)</f>
        <v/>
      </c>
      <c r="D756" s="122">
        <f>IF(B756="","",IFERROR(B756/INDEX($B$2:$B$800,MATCH(DATE(YEAR(A756)-1,12,1),$A$2:$A$800,0))-1,""))</f>
        <v/>
      </c>
      <c r="E756" s="122">
        <f>IF(B756="","",IFERROR(B756/INDEX($B$2:$B$800,MATCH(DATE(YEAR(A756)-1,MONTH(A756),1),$A$2:$A$800,0))-1,""))</f>
        <v/>
      </c>
    </row>
    <row r="757">
      <c r="A757" s="124" t="n"/>
      <c r="B757" s="125" t="n"/>
      <c r="C757" s="122">
        <f>IF(OR(B757="",B756=""),"",B757/B756-1)</f>
        <v/>
      </c>
      <c r="D757" s="122">
        <f>IF(B757="","",IFERROR(B757/INDEX($B$2:$B$800,MATCH(DATE(YEAR(A757)-1,12,1),$A$2:$A$800,0))-1,""))</f>
        <v/>
      </c>
      <c r="E757" s="122">
        <f>IF(B757="","",IFERROR(B757/INDEX($B$2:$B$800,MATCH(DATE(YEAR(A757)-1,MONTH(A757),1),$A$2:$A$800,0))-1,""))</f>
        <v/>
      </c>
    </row>
    <row r="758">
      <c r="A758" s="124" t="n"/>
      <c r="B758" s="125" t="n"/>
      <c r="C758" s="122">
        <f>IF(OR(B758="",B757=""),"",B758/B757-1)</f>
        <v/>
      </c>
      <c r="D758" s="122">
        <f>IF(B758="","",IFERROR(B758/INDEX($B$2:$B$800,MATCH(DATE(YEAR(A758)-1,12,1),$A$2:$A$800,0))-1,""))</f>
        <v/>
      </c>
      <c r="E758" s="122">
        <f>IF(B758="","",IFERROR(B758/INDEX($B$2:$B$800,MATCH(DATE(YEAR(A758)-1,MONTH(A758),1),$A$2:$A$800,0))-1,""))</f>
        <v/>
      </c>
    </row>
    <row r="759">
      <c r="A759" s="124" t="n"/>
      <c r="B759" s="125" t="n"/>
      <c r="C759" s="122">
        <f>IF(OR(B759="",B758=""),"",B759/B758-1)</f>
        <v/>
      </c>
      <c r="D759" s="122">
        <f>IF(B759="","",IFERROR(B759/INDEX($B$2:$B$800,MATCH(DATE(YEAR(A759)-1,12,1),$A$2:$A$800,0))-1,""))</f>
        <v/>
      </c>
      <c r="E759" s="122">
        <f>IF(B759="","",IFERROR(B759/INDEX($B$2:$B$800,MATCH(DATE(YEAR(A759)-1,MONTH(A759),1),$A$2:$A$800,0))-1,""))</f>
        <v/>
      </c>
    </row>
    <row r="760">
      <c r="A760" s="124" t="n"/>
      <c r="B760" s="125" t="n"/>
      <c r="C760" s="122">
        <f>IF(OR(B760="",B759=""),"",B760/B759-1)</f>
        <v/>
      </c>
      <c r="D760" s="122">
        <f>IF(B760="","",IFERROR(B760/INDEX($B$2:$B$800,MATCH(DATE(YEAR(A760)-1,12,1),$A$2:$A$800,0))-1,""))</f>
        <v/>
      </c>
      <c r="E760" s="122">
        <f>IF(B760="","",IFERROR(B760/INDEX($B$2:$B$800,MATCH(DATE(YEAR(A760)-1,MONTH(A760),1),$A$2:$A$800,0))-1,""))</f>
        <v/>
      </c>
    </row>
    <row r="761">
      <c r="A761" s="124" t="n"/>
      <c r="B761" s="125" t="n"/>
      <c r="C761" s="122">
        <f>IF(OR(B761="",B760=""),"",B761/B760-1)</f>
        <v/>
      </c>
      <c r="D761" s="122">
        <f>IF(B761="","",IFERROR(B761/INDEX($B$2:$B$800,MATCH(DATE(YEAR(A761)-1,12,1),$A$2:$A$800,0))-1,""))</f>
        <v/>
      </c>
      <c r="E761" s="122">
        <f>IF(B761="","",IFERROR(B761/INDEX($B$2:$B$800,MATCH(DATE(YEAR(A761)-1,MONTH(A761),1),$A$2:$A$800,0))-1,""))</f>
        <v/>
      </c>
    </row>
    <row r="762">
      <c r="A762" s="124" t="n"/>
      <c r="B762" s="125" t="n"/>
      <c r="C762" s="122">
        <f>IF(OR(B762="",B761=""),"",B762/B761-1)</f>
        <v/>
      </c>
      <c r="D762" s="122">
        <f>IF(B762="","",IFERROR(B762/INDEX($B$2:$B$800,MATCH(DATE(YEAR(A762)-1,12,1),$A$2:$A$800,0))-1,""))</f>
        <v/>
      </c>
      <c r="E762" s="122">
        <f>IF(B762="","",IFERROR(B762/INDEX($B$2:$B$800,MATCH(DATE(YEAR(A762)-1,MONTH(A762),1),$A$2:$A$800,0))-1,""))</f>
        <v/>
      </c>
    </row>
    <row r="763">
      <c r="A763" s="124" t="n"/>
      <c r="B763" s="125" t="n"/>
      <c r="C763" s="122">
        <f>IF(OR(B763="",B762=""),"",B763/B762-1)</f>
        <v/>
      </c>
      <c r="D763" s="122">
        <f>IF(B763="","",IFERROR(B763/INDEX($B$2:$B$800,MATCH(DATE(YEAR(A763)-1,12,1),$A$2:$A$800,0))-1,""))</f>
        <v/>
      </c>
      <c r="E763" s="122">
        <f>IF(B763="","",IFERROR(B763/INDEX($B$2:$B$800,MATCH(DATE(YEAR(A763)-1,MONTH(A763),1),$A$2:$A$800,0))-1,""))</f>
        <v/>
      </c>
    </row>
    <row r="764">
      <c r="A764" s="124" t="n"/>
      <c r="B764" s="125" t="n"/>
      <c r="C764" s="122">
        <f>IF(OR(B764="",B763=""),"",B764/B763-1)</f>
        <v/>
      </c>
      <c r="D764" s="122">
        <f>IF(B764="","",IFERROR(B764/INDEX($B$2:$B$800,MATCH(DATE(YEAR(A764)-1,12,1),$A$2:$A$800,0))-1,""))</f>
        <v/>
      </c>
      <c r="E764" s="122">
        <f>IF(B764="","",IFERROR(B764/INDEX($B$2:$B$800,MATCH(DATE(YEAR(A764)-1,MONTH(A764),1),$A$2:$A$800,0))-1,""))</f>
        <v/>
      </c>
    </row>
    <row r="765">
      <c r="A765" s="124" t="n"/>
      <c r="B765" s="125" t="n"/>
      <c r="C765" s="122">
        <f>IF(OR(B765="",B764=""),"",B765/B764-1)</f>
        <v/>
      </c>
      <c r="D765" s="122">
        <f>IF(B765="","",IFERROR(B765/INDEX($B$2:$B$800,MATCH(DATE(YEAR(A765)-1,12,1),$A$2:$A$800,0))-1,""))</f>
        <v/>
      </c>
      <c r="E765" s="122">
        <f>IF(B765="","",IFERROR(B765/INDEX($B$2:$B$800,MATCH(DATE(YEAR(A765)-1,MONTH(A765),1),$A$2:$A$800,0))-1,""))</f>
        <v/>
      </c>
    </row>
    <row r="766">
      <c r="A766" s="124" t="n"/>
      <c r="B766" s="125" t="n"/>
      <c r="C766" s="122">
        <f>IF(OR(B766="",B765=""),"",B766/B765-1)</f>
        <v/>
      </c>
      <c r="D766" s="122">
        <f>IF(B766="","",IFERROR(B766/INDEX($B$2:$B$800,MATCH(DATE(YEAR(A766)-1,12,1),$A$2:$A$800,0))-1,""))</f>
        <v/>
      </c>
      <c r="E766" s="122">
        <f>IF(B766="","",IFERROR(B766/INDEX($B$2:$B$800,MATCH(DATE(YEAR(A766)-1,MONTH(A766),1),$A$2:$A$800,0))-1,""))</f>
        <v/>
      </c>
    </row>
    <row r="767">
      <c r="A767" s="124" t="n"/>
      <c r="B767" s="125" t="n"/>
      <c r="C767" s="122">
        <f>IF(OR(B767="",B766=""),"",B767/B766-1)</f>
        <v/>
      </c>
      <c r="D767" s="122">
        <f>IF(B767="","",IFERROR(B767/INDEX($B$2:$B$800,MATCH(DATE(YEAR(A767)-1,12,1),$A$2:$A$800,0))-1,""))</f>
        <v/>
      </c>
      <c r="E767" s="122">
        <f>IF(B767="","",IFERROR(B767/INDEX($B$2:$B$800,MATCH(DATE(YEAR(A767)-1,MONTH(A767),1),$A$2:$A$800,0))-1,""))</f>
        <v/>
      </c>
    </row>
    <row r="768">
      <c r="A768" s="124" t="n"/>
      <c r="B768" s="125" t="n"/>
      <c r="C768" s="122">
        <f>IF(OR(B768="",B767=""),"",B768/B767-1)</f>
        <v/>
      </c>
      <c r="D768" s="122">
        <f>IF(B768="","",IFERROR(B768/INDEX($B$2:$B$800,MATCH(DATE(YEAR(A768)-1,12,1),$A$2:$A$800,0))-1,""))</f>
        <v/>
      </c>
      <c r="E768" s="122">
        <f>IF(B768="","",IFERROR(B768/INDEX($B$2:$B$800,MATCH(DATE(YEAR(A768)-1,MONTH(A768),1),$A$2:$A$800,0))-1,""))</f>
        <v/>
      </c>
    </row>
    <row r="769">
      <c r="A769" s="124" t="n"/>
      <c r="B769" s="125" t="n"/>
      <c r="C769" s="122">
        <f>IF(OR(B769="",B768=""),"",B769/B768-1)</f>
        <v/>
      </c>
      <c r="D769" s="122">
        <f>IF(B769="","",IFERROR(B769/INDEX($B$2:$B$800,MATCH(DATE(YEAR(A769)-1,12,1),$A$2:$A$800,0))-1,""))</f>
        <v/>
      </c>
      <c r="E769" s="122">
        <f>IF(B769="","",IFERROR(B769/INDEX($B$2:$B$800,MATCH(DATE(YEAR(A769)-1,MONTH(A769),1),$A$2:$A$800,0))-1,""))</f>
        <v/>
      </c>
    </row>
    <row r="770">
      <c r="A770" s="124" t="n"/>
      <c r="B770" s="125" t="n"/>
      <c r="C770" s="122">
        <f>IF(OR(B770="",B769=""),"",B770/B769-1)</f>
        <v/>
      </c>
      <c r="D770" s="122">
        <f>IF(B770="","",IFERROR(B770/INDEX($B$2:$B$800,MATCH(DATE(YEAR(A770)-1,12,1),$A$2:$A$800,0))-1,""))</f>
        <v/>
      </c>
      <c r="E770" s="122">
        <f>IF(B770="","",IFERROR(B770/INDEX($B$2:$B$800,MATCH(DATE(YEAR(A770)-1,MONTH(A770),1),$A$2:$A$800,0))-1,""))</f>
        <v/>
      </c>
    </row>
    <row r="771">
      <c r="A771" s="124" t="n"/>
      <c r="B771" s="125" t="n"/>
      <c r="C771" s="122">
        <f>IF(OR(B771="",B770=""),"",B771/B770-1)</f>
        <v/>
      </c>
      <c r="D771" s="122">
        <f>IF(B771="","",IFERROR(B771/INDEX($B$2:$B$800,MATCH(DATE(YEAR(A771)-1,12,1),$A$2:$A$800,0))-1,""))</f>
        <v/>
      </c>
      <c r="E771" s="122">
        <f>IF(B771="","",IFERROR(B771/INDEX($B$2:$B$800,MATCH(DATE(YEAR(A771)-1,MONTH(A771),1),$A$2:$A$800,0))-1,""))</f>
        <v/>
      </c>
    </row>
    <row r="772">
      <c r="A772" s="124" t="n"/>
      <c r="B772" s="125" t="n"/>
      <c r="C772" s="122">
        <f>IF(OR(B772="",B771=""),"",B772/B771-1)</f>
        <v/>
      </c>
      <c r="D772" s="122">
        <f>IF(B772="","",IFERROR(B772/INDEX($B$2:$B$800,MATCH(DATE(YEAR(A772)-1,12,1),$A$2:$A$800,0))-1,""))</f>
        <v/>
      </c>
      <c r="E772" s="122">
        <f>IF(B772="","",IFERROR(B772/INDEX($B$2:$B$800,MATCH(DATE(YEAR(A772)-1,MONTH(A772),1),$A$2:$A$800,0))-1,""))</f>
        <v/>
      </c>
    </row>
    <row r="773">
      <c r="A773" s="124" t="n"/>
      <c r="B773" s="125" t="n"/>
      <c r="C773" s="122">
        <f>IF(OR(B773="",B772=""),"",B773/B772-1)</f>
        <v/>
      </c>
      <c r="D773" s="122">
        <f>IF(B773="","",IFERROR(B773/INDEX($B$2:$B$800,MATCH(DATE(YEAR(A773)-1,12,1),$A$2:$A$800,0))-1,""))</f>
        <v/>
      </c>
      <c r="E773" s="122">
        <f>IF(B773="","",IFERROR(B773/INDEX($B$2:$B$800,MATCH(DATE(YEAR(A773)-1,MONTH(A773),1),$A$2:$A$800,0))-1,""))</f>
        <v/>
      </c>
    </row>
    <row r="774">
      <c r="A774" s="124" t="n"/>
      <c r="B774" s="125" t="n"/>
      <c r="C774" s="122">
        <f>IF(OR(B774="",B773=""),"",B774/B773-1)</f>
        <v/>
      </c>
      <c r="D774" s="122">
        <f>IF(B774="","",IFERROR(B774/INDEX($B$2:$B$800,MATCH(DATE(YEAR(A774)-1,12,1),$A$2:$A$800,0))-1,""))</f>
        <v/>
      </c>
      <c r="E774" s="122">
        <f>IF(B774="","",IFERROR(B774/INDEX($B$2:$B$800,MATCH(DATE(YEAR(A774)-1,MONTH(A774),1),$A$2:$A$800,0))-1,""))</f>
        <v/>
      </c>
    </row>
    <row r="775">
      <c r="A775" s="124" t="n"/>
      <c r="B775" s="125" t="n"/>
      <c r="C775" s="122">
        <f>IF(OR(B775="",B774=""),"",B775/B774-1)</f>
        <v/>
      </c>
      <c r="D775" s="122">
        <f>IF(B775="","",IFERROR(B775/INDEX($B$2:$B$800,MATCH(DATE(YEAR(A775)-1,12,1),$A$2:$A$800,0))-1,""))</f>
        <v/>
      </c>
      <c r="E775" s="122">
        <f>IF(B775="","",IFERROR(B775/INDEX($B$2:$B$800,MATCH(DATE(YEAR(A775)-1,MONTH(A775),1),$A$2:$A$800,0))-1,""))</f>
        <v/>
      </c>
    </row>
    <row r="776">
      <c r="A776" s="124" t="n"/>
      <c r="B776" s="125" t="n"/>
      <c r="C776" s="122">
        <f>IF(OR(B776="",B775=""),"",B776/B775-1)</f>
        <v/>
      </c>
      <c r="D776" s="122">
        <f>IF(B776="","",IFERROR(B776/INDEX($B$2:$B$800,MATCH(DATE(YEAR(A776)-1,12,1),$A$2:$A$800,0))-1,""))</f>
        <v/>
      </c>
      <c r="E776" s="122">
        <f>IF(B776="","",IFERROR(B776/INDEX($B$2:$B$800,MATCH(DATE(YEAR(A776)-1,MONTH(A776),1),$A$2:$A$800,0))-1,""))</f>
        <v/>
      </c>
    </row>
    <row r="777">
      <c r="A777" s="124" t="n"/>
      <c r="B777" s="125" t="n"/>
      <c r="C777" s="122">
        <f>IF(OR(B777="",B776=""),"",B777/B776-1)</f>
        <v/>
      </c>
      <c r="D777" s="122">
        <f>IF(B777="","",IFERROR(B777/INDEX($B$2:$B$800,MATCH(DATE(YEAR(A777)-1,12,1),$A$2:$A$800,0))-1,""))</f>
        <v/>
      </c>
      <c r="E777" s="122">
        <f>IF(B777="","",IFERROR(B777/INDEX($B$2:$B$800,MATCH(DATE(YEAR(A777)-1,MONTH(A777),1),$A$2:$A$800,0))-1,""))</f>
        <v/>
      </c>
    </row>
    <row r="778">
      <c r="A778" s="124" t="n"/>
      <c r="B778" s="125" t="n"/>
      <c r="C778" s="122">
        <f>IF(OR(B778="",B777=""),"",B778/B777-1)</f>
        <v/>
      </c>
      <c r="D778" s="122">
        <f>IF(B778="","",IFERROR(B778/INDEX($B$2:$B$800,MATCH(DATE(YEAR(A778)-1,12,1),$A$2:$A$800,0))-1,""))</f>
        <v/>
      </c>
      <c r="E778" s="122">
        <f>IF(B778="","",IFERROR(B778/INDEX($B$2:$B$800,MATCH(DATE(YEAR(A778)-1,MONTH(A778),1),$A$2:$A$800,0))-1,""))</f>
        <v/>
      </c>
    </row>
    <row r="779">
      <c r="A779" s="124" t="n"/>
      <c r="B779" s="125" t="n"/>
      <c r="C779" s="122">
        <f>IF(OR(B779="",B778=""),"",B779/B778-1)</f>
        <v/>
      </c>
      <c r="D779" s="122">
        <f>IF(B779="","",IFERROR(B779/INDEX($B$2:$B$800,MATCH(DATE(YEAR(A779)-1,12,1),$A$2:$A$800,0))-1,""))</f>
        <v/>
      </c>
      <c r="E779" s="122">
        <f>IF(B779="","",IFERROR(B779/INDEX($B$2:$B$800,MATCH(DATE(YEAR(A779)-1,MONTH(A779),1),$A$2:$A$800,0))-1,""))</f>
        <v/>
      </c>
    </row>
    <row r="780">
      <c r="A780" s="124" t="n"/>
      <c r="B780" s="125" t="n"/>
      <c r="C780" s="122">
        <f>IF(OR(B780="",B779=""),"",B780/B779-1)</f>
        <v/>
      </c>
      <c r="D780" s="122">
        <f>IF(B780="","",IFERROR(B780/INDEX($B$2:$B$800,MATCH(DATE(YEAR(A780)-1,12,1),$A$2:$A$800,0))-1,""))</f>
        <v/>
      </c>
      <c r="E780" s="122">
        <f>IF(B780="","",IFERROR(B780/INDEX($B$2:$B$800,MATCH(DATE(YEAR(A780)-1,MONTH(A780),1),$A$2:$A$800,0))-1,""))</f>
        <v/>
      </c>
    </row>
    <row r="781">
      <c r="A781" s="124" t="n"/>
      <c r="B781" s="125" t="n"/>
      <c r="C781" s="122">
        <f>IF(OR(B781="",B780=""),"",B781/B780-1)</f>
        <v/>
      </c>
      <c r="D781" s="122">
        <f>IF(B781="","",IFERROR(B781/INDEX($B$2:$B$800,MATCH(DATE(YEAR(A781)-1,12,1),$A$2:$A$800,0))-1,""))</f>
        <v/>
      </c>
      <c r="E781" s="122">
        <f>IF(B781="","",IFERROR(B781/INDEX($B$2:$B$800,MATCH(DATE(YEAR(A781)-1,MONTH(A781),1),$A$2:$A$800,0))-1,""))</f>
        <v/>
      </c>
    </row>
    <row r="782">
      <c r="A782" s="124" t="n"/>
      <c r="B782" s="125" t="n"/>
      <c r="C782" s="122">
        <f>IF(OR(B782="",B781=""),"",B782/B781-1)</f>
        <v/>
      </c>
      <c r="D782" s="122">
        <f>IF(B782="","",IFERROR(B782/INDEX($B$2:$B$800,MATCH(DATE(YEAR(A782)-1,12,1),$A$2:$A$800,0))-1,""))</f>
        <v/>
      </c>
      <c r="E782" s="122">
        <f>IF(B782="","",IFERROR(B782/INDEX($B$2:$B$800,MATCH(DATE(YEAR(A782)-1,MONTH(A782),1),$A$2:$A$800,0))-1,""))</f>
        <v/>
      </c>
    </row>
    <row r="783">
      <c r="A783" s="124" t="n"/>
      <c r="B783" s="125" t="n"/>
      <c r="C783" s="122">
        <f>IF(OR(B783="",B782=""),"",B783/B782-1)</f>
        <v/>
      </c>
      <c r="D783" s="122">
        <f>IF(B783="","",IFERROR(B783/INDEX($B$2:$B$800,MATCH(DATE(YEAR(A783)-1,12,1),$A$2:$A$800,0))-1,""))</f>
        <v/>
      </c>
      <c r="E783" s="122">
        <f>IF(B783="","",IFERROR(B783/INDEX($B$2:$B$800,MATCH(DATE(YEAR(A783)-1,MONTH(A783),1),$A$2:$A$800,0))-1,""))</f>
        <v/>
      </c>
    </row>
    <row r="784">
      <c r="A784" s="124" t="n"/>
      <c r="B784" s="125" t="n"/>
      <c r="C784" s="122">
        <f>IF(OR(B784="",B783=""),"",B784/B783-1)</f>
        <v/>
      </c>
      <c r="D784" s="122">
        <f>IF(B784="","",IFERROR(B784/INDEX($B$2:$B$800,MATCH(DATE(YEAR(A784)-1,12,1),$A$2:$A$800,0))-1,""))</f>
        <v/>
      </c>
      <c r="E784" s="122">
        <f>IF(B784="","",IFERROR(B784/INDEX($B$2:$B$800,MATCH(DATE(YEAR(A784)-1,MONTH(A784),1),$A$2:$A$800,0))-1,""))</f>
        <v/>
      </c>
    </row>
    <row r="785">
      <c r="A785" s="124" t="n"/>
      <c r="B785" s="125" t="n"/>
      <c r="C785" s="122">
        <f>IF(OR(B785="",B784=""),"",B785/B784-1)</f>
        <v/>
      </c>
      <c r="D785" s="122">
        <f>IF(B785="","",IFERROR(B785/INDEX($B$2:$B$800,MATCH(DATE(YEAR(A785)-1,12,1),$A$2:$A$800,0))-1,""))</f>
        <v/>
      </c>
      <c r="E785" s="122">
        <f>IF(B785="","",IFERROR(B785/INDEX($B$2:$B$800,MATCH(DATE(YEAR(A785)-1,MONTH(A785),1),$A$2:$A$800,0))-1,""))</f>
        <v/>
      </c>
    </row>
    <row r="786">
      <c r="A786" s="124" t="n"/>
      <c r="B786" s="125" t="n"/>
      <c r="C786" s="122">
        <f>IF(OR(B786="",B785=""),"",B786/B785-1)</f>
        <v/>
      </c>
      <c r="D786" s="122">
        <f>IF(B786="","",IFERROR(B786/INDEX($B$2:$B$800,MATCH(DATE(YEAR(A786)-1,12,1),$A$2:$A$800,0))-1,""))</f>
        <v/>
      </c>
      <c r="E786" s="122">
        <f>IF(B786="","",IFERROR(B786/INDEX($B$2:$B$800,MATCH(DATE(YEAR(A786)-1,MONTH(A786),1),$A$2:$A$800,0))-1,""))</f>
        <v/>
      </c>
    </row>
    <row r="787">
      <c r="A787" s="124" t="n"/>
      <c r="B787" s="125" t="n"/>
      <c r="C787" s="122">
        <f>IF(OR(B787="",B786=""),"",B787/B786-1)</f>
        <v/>
      </c>
      <c r="D787" s="122">
        <f>IF(B787="","",IFERROR(B787/INDEX($B$2:$B$800,MATCH(DATE(YEAR(A787)-1,12,1),$A$2:$A$800,0))-1,""))</f>
        <v/>
      </c>
      <c r="E787" s="122">
        <f>IF(B787="","",IFERROR(B787/INDEX($B$2:$B$800,MATCH(DATE(YEAR(A787)-1,MONTH(A787),1),$A$2:$A$800,0))-1,""))</f>
        <v/>
      </c>
    </row>
    <row r="788">
      <c r="A788" s="124" t="n"/>
      <c r="B788" s="125" t="n"/>
      <c r="C788" s="122">
        <f>IF(OR(B788="",B787=""),"",B788/B787-1)</f>
        <v/>
      </c>
      <c r="D788" s="122">
        <f>IF(B788="","",IFERROR(B788/INDEX($B$2:$B$800,MATCH(DATE(YEAR(A788)-1,12,1),$A$2:$A$800,0))-1,""))</f>
        <v/>
      </c>
      <c r="E788" s="122">
        <f>IF(B788="","",IFERROR(B788/INDEX($B$2:$B$800,MATCH(DATE(YEAR(A788)-1,MONTH(A788),1),$A$2:$A$800,0))-1,""))</f>
        <v/>
      </c>
    </row>
    <row r="789">
      <c r="A789" s="124" t="n"/>
      <c r="B789" s="125" t="n"/>
      <c r="C789" s="122">
        <f>IF(OR(B789="",B788=""),"",B789/B788-1)</f>
        <v/>
      </c>
      <c r="D789" s="122">
        <f>IF(B789="","",IFERROR(B789/INDEX($B$2:$B$800,MATCH(DATE(YEAR(A789)-1,12,1),$A$2:$A$800,0))-1,""))</f>
        <v/>
      </c>
      <c r="E789" s="122">
        <f>IF(B789="","",IFERROR(B789/INDEX($B$2:$B$800,MATCH(DATE(YEAR(A789)-1,MONTH(A789),1),$A$2:$A$800,0))-1,""))</f>
        <v/>
      </c>
    </row>
    <row r="790">
      <c r="A790" s="124" t="n"/>
      <c r="B790" s="125" t="n"/>
      <c r="C790" s="122">
        <f>IF(OR(B790="",B789=""),"",B790/B789-1)</f>
        <v/>
      </c>
      <c r="D790" s="122">
        <f>IF(B790="","",IFERROR(B790/INDEX($B$2:$B$800,MATCH(DATE(YEAR(A790)-1,12,1),$A$2:$A$800,0))-1,""))</f>
        <v/>
      </c>
      <c r="E790" s="122">
        <f>IF(B790="","",IFERROR(B790/INDEX($B$2:$B$800,MATCH(DATE(YEAR(A790)-1,MONTH(A790),1),$A$2:$A$800,0))-1,""))</f>
        <v/>
      </c>
    </row>
    <row r="791">
      <c r="A791" s="124" t="n"/>
      <c r="B791" s="125" t="n"/>
      <c r="C791" s="122">
        <f>IF(OR(B791="",B790=""),"",B791/B790-1)</f>
        <v/>
      </c>
      <c r="D791" s="122">
        <f>IF(B791="","",IFERROR(B791/INDEX($B$2:$B$800,MATCH(DATE(YEAR(A791)-1,12,1),$A$2:$A$800,0))-1,""))</f>
        <v/>
      </c>
      <c r="E791" s="122">
        <f>IF(B791="","",IFERROR(B791/INDEX($B$2:$B$800,MATCH(DATE(YEAR(A791)-1,MONTH(A791),1),$A$2:$A$800,0))-1,""))</f>
        <v/>
      </c>
    </row>
    <row r="792">
      <c r="A792" s="124" t="n"/>
      <c r="B792" s="125" t="n"/>
      <c r="C792" s="122">
        <f>IF(OR(B792="",B791=""),"",B792/B791-1)</f>
        <v/>
      </c>
      <c r="D792" s="122">
        <f>IF(B792="","",IFERROR(B792/INDEX($B$2:$B$800,MATCH(DATE(YEAR(A792)-1,12,1),$A$2:$A$800,0))-1,""))</f>
        <v/>
      </c>
      <c r="E792" s="122">
        <f>IF(B792="","",IFERROR(B792/INDEX($B$2:$B$800,MATCH(DATE(YEAR(A792)-1,MONTH(A792),1),$A$2:$A$800,0))-1,""))</f>
        <v/>
      </c>
    </row>
    <row r="793">
      <c r="A793" s="124" t="n"/>
      <c r="B793" s="125" t="n"/>
      <c r="C793" s="122">
        <f>IF(OR(B793="",B792=""),"",B793/B792-1)</f>
        <v/>
      </c>
      <c r="D793" s="122">
        <f>IF(B793="","",IFERROR(B793/INDEX($B$2:$B$800,MATCH(DATE(YEAR(A793)-1,12,1),$A$2:$A$800,0))-1,""))</f>
        <v/>
      </c>
      <c r="E793" s="122">
        <f>IF(B793="","",IFERROR(B793/INDEX($B$2:$B$800,MATCH(DATE(YEAR(A793)-1,MONTH(A793),1),$A$2:$A$800,0))-1,""))</f>
        <v/>
      </c>
    </row>
    <row r="794">
      <c r="A794" s="124" t="n"/>
      <c r="B794" s="125" t="n"/>
      <c r="C794" s="122">
        <f>IF(OR(B794="",B793=""),"",B794/B793-1)</f>
        <v/>
      </c>
      <c r="D794" s="122">
        <f>IF(B794="","",IFERROR(B794/INDEX($B$2:$B$800,MATCH(DATE(YEAR(A794)-1,12,1),$A$2:$A$800,0))-1,""))</f>
        <v/>
      </c>
      <c r="E794" s="122">
        <f>IF(B794="","",IFERROR(B794/INDEX($B$2:$B$800,MATCH(DATE(YEAR(A794)-1,MONTH(A794),1),$A$2:$A$800,0))-1,""))</f>
        <v/>
      </c>
    </row>
    <row r="795">
      <c r="A795" s="124" t="n"/>
      <c r="B795" s="125" t="n"/>
      <c r="C795" s="122">
        <f>IF(OR(B795="",B794=""),"",B795/B794-1)</f>
        <v/>
      </c>
      <c r="D795" s="122">
        <f>IF(B795="","",IFERROR(B795/INDEX($B$2:$B$800,MATCH(DATE(YEAR(A795)-1,12,1),$A$2:$A$800,0))-1,""))</f>
        <v/>
      </c>
      <c r="E795" s="122">
        <f>IF(B795="","",IFERROR(B795/INDEX($B$2:$B$800,MATCH(DATE(YEAR(A795)-1,MONTH(A795),1),$A$2:$A$800,0))-1,""))</f>
        <v/>
      </c>
    </row>
    <row r="796">
      <c r="A796" s="124" t="n"/>
      <c r="B796" s="125" t="n"/>
      <c r="C796" s="122">
        <f>IF(OR(B796="",B795=""),"",B796/B795-1)</f>
        <v/>
      </c>
      <c r="D796" s="122">
        <f>IF(B796="","",IFERROR(B796/INDEX($B$2:$B$800,MATCH(DATE(YEAR(A796)-1,12,1),$A$2:$A$800,0))-1,""))</f>
        <v/>
      </c>
      <c r="E796" s="122">
        <f>IF(B796="","",IFERROR(B796/INDEX($B$2:$B$800,MATCH(DATE(YEAR(A796)-1,MONTH(A796),1),$A$2:$A$800,0))-1,""))</f>
        <v/>
      </c>
    </row>
    <row r="797">
      <c r="A797" s="124" t="n"/>
      <c r="B797" s="125" t="n"/>
      <c r="C797" s="122">
        <f>IF(OR(B797="",B796=""),"",B797/B796-1)</f>
        <v/>
      </c>
      <c r="D797" s="122">
        <f>IF(B797="","",IFERROR(B797/INDEX($B$2:$B$800,MATCH(DATE(YEAR(A797)-1,12,1),$A$2:$A$800,0))-1,""))</f>
        <v/>
      </c>
      <c r="E797" s="122">
        <f>IF(B797="","",IFERROR(B797/INDEX($B$2:$B$800,MATCH(DATE(YEAR(A797)-1,MONTH(A797),1),$A$2:$A$800,0))-1,""))</f>
        <v/>
      </c>
    </row>
    <row r="798">
      <c r="A798" s="124" t="n"/>
      <c r="B798" s="125" t="n"/>
      <c r="C798" s="122">
        <f>IF(OR(B798="",B797=""),"",B798/B797-1)</f>
        <v/>
      </c>
      <c r="D798" s="122">
        <f>IF(B798="","",IFERROR(B798/INDEX($B$2:$B$800,MATCH(DATE(YEAR(A798)-1,12,1),$A$2:$A$800,0))-1,""))</f>
        <v/>
      </c>
      <c r="E798" s="122">
        <f>IF(B798="","",IFERROR(B798/INDEX($B$2:$B$800,MATCH(DATE(YEAR(A798)-1,MONTH(A798),1),$A$2:$A$800,0))-1,""))</f>
        <v/>
      </c>
    </row>
    <row r="799">
      <c r="A799" s="124" t="n"/>
      <c r="B799" s="125" t="n"/>
      <c r="C799" s="122">
        <f>IF(OR(B799="",B798=""),"",B799/B798-1)</f>
        <v/>
      </c>
      <c r="D799" s="122">
        <f>IF(B799="","",IFERROR(B799/INDEX($B$2:$B$800,MATCH(DATE(YEAR(A799)-1,12,1),$A$2:$A$800,0))-1,""))</f>
        <v/>
      </c>
      <c r="E799" s="122">
        <f>IF(B799="","",IFERROR(B799/INDEX($B$2:$B$800,MATCH(DATE(YEAR(A799)-1,MONTH(A799),1),$A$2:$A$800,0))-1,""))</f>
        <v/>
      </c>
    </row>
    <row r="800">
      <c r="A800" s="124" t="n"/>
      <c r="B800" s="125" t="n"/>
      <c r="C800" s="122">
        <f>IF(OR(B800="",B799=""),"",B800/B799-1)</f>
        <v/>
      </c>
      <c r="D800" s="122">
        <f>IF(B800="","",IFERROR(B800/INDEX($B$2:$B$800,MATCH(DATE(YEAR(A800)-1,12,1),$A$2:$A$800,0))-1,""))</f>
        <v/>
      </c>
      <c r="E800" s="122">
        <f>IF(B800="","",IFERROR(B800/INDEX($B$2:$B$800,MATCH(DATE(YEAR(A800)-1,MONTH(A800),1),$A$2:$A$800,0))-1,""))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6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23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9">
        <f>COUNTIF(M5:M6004,"?")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26" t="n">
        <v>45505</v>
      </c>
      <c r="G5" s="126" t="n">
        <v>45560</v>
      </c>
      <c r="H5" s="126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IF(E5="","",IF(ISNUMBER(SEARCH("SUBSOLO",E5)),IFERROR(-VALUE(LEFT(E5,FIND("º",SUBSTITUTE(E5,"°","º"))-1)),-1),IF(LEFT(E5,6)="TÉRREO",0,IFERROR(VALUE(LEFT(E5,FIND("º",SUBSTITUTE(E5,"°","º"))-1)),""))))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IF(R5="","",COUNTIF($C$5:$C$6004,R5))</f>
        <v/>
      </c>
      <c r="W5" s="2">
        <f>IF(R5="","",COUNTIFS($C$5:$C$6004,R5,$O$5:$O$6004,"CONCLUÍDA"))</f>
        <v/>
      </c>
      <c r="X5" s="2">
        <f>IF(R5="","",COUNTIFS($C$5:$C$6004,R5,$O$5:$O$6004,"EM ANDAMENTO"))</f>
        <v/>
      </c>
      <c r="Y5" s="2">
        <f>IF(R5="","",IF(COUNTIFS($C$5:$C$6004,R5,$O$5:$O$6004,"CONCLUÍDA",$N$5:$N$6004,"&gt;=-99")=0,"",_xlfn.MAXIFS($N$5:$N$6004,$C$5:$C$6004,R5,$O$5:$O$6004,"CONCLUÍDA")))</f>
        <v/>
      </c>
      <c r="Z5" s="2">
        <f>IF(R5="","",IF(COUNTIFS($C$5:$C$6004,R5,$O$5:$O$6004,"EM ANDAMENTO",$N$5:$N$6004,"&gt;=-99")=0,"",_xlfn.MAXIFS($N$5:$N$6004,$C$5:$C$6004,R5,$O$5:$O$6004,"EM ANDAMENTO")))</f>
        <v/>
      </c>
      <c r="AA5" s="2">
        <f>IF(OR(R5="",S5="",U5&lt;&gt;"SIM",V5=0),"",IF(W5+X5=0,"",T5&amp;": "&amp;IF(W5=V5,"concluído",IF(W5=0,"em execução"&amp;IF(Z5&lt;&gt;""," ("&amp;IF(Z5&lt;0,IF(COUNTIF($E$5:$E$6004,"SUBSOLO*")&gt;0,"subsolo",-Z5&amp;"º subsolo"),IF(Z5=0,"térreo",Z5&amp;"º pav."))&amp;")",""),IF(Y5&lt;&gt;"","até "&amp;IF(Y5&lt;0,IF(COUNTIF($E$5:$E$6004,"SUBSOLO*")&gt;0,"subsolo",-Y5&amp;"º subsolo"),IF(Y5=0,"térreo",Y5&amp;"º pav.")),W5&amp;" de "&amp;V5&amp;" concluídas")&amp;IF(Z5="","",IF(OR(Y5="",Z5&gt;Y5),", executando "&amp;IF(Z5&lt;0,IF(COUNTIF($E$5:$E$6004,"SUBSOLO*")&gt;0,"subsolo",-Z5&amp;"º subsolo"),IF(Z5=0,"térreo",Z5&amp;"º pav."))," (restam serviços no "&amp;IF(Z5&lt;0,IF(COUNTIF($E$5:$E$6004,"SUBSOLO*")&gt;0,"subsolo",-Z5&amp;"º subsolo"),IF(Z5=0,"térreo",Z5&amp;"º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26" t="n">
        <v>45516</v>
      </c>
      <c r="G6" s="126" t="n">
        <v>46499</v>
      </c>
      <c r="H6" s="126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IF(E6="","",IF(ISNUMBER(SEARCH("SUBSOLO",E6)),IFERROR(-VALUE(LEFT(E6,FIND("º",SUBSTITUTE(E6,"°","º"))-1)),-1),IF(LEFT(E6,6)="TÉRREO",0,IFERROR(VALUE(LEFT(E6,FIND("º",SUBSTITUTE(E6,"°","º"))-1)),""))))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IF(R6="","",COUNTIF($C$5:$C$6004,R6))</f>
        <v/>
      </c>
      <c r="W6" s="2">
        <f>IF(R6="","",COUNTIFS($C$5:$C$6004,R6,$O$5:$O$6004,"CONCLUÍDA"))</f>
        <v/>
      </c>
      <c r="X6" s="2">
        <f>IF(R6="","",COUNTIFS($C$5:$C$6004,R6,$O$5:$O$6004,"EM ANDAMENTO"))</f>
        <v/>
      </c>
      <c r="Y6" s="2">
        <f>IF(R6="","",IF(COUNTIFS($C$5:$C$6004,R6,$O$5:$O$6004,"CONCLUÍDA",$N$5:$N$6004,"&gt;=-99")=0,"",_xlfn.MAXIFS($N$5:$N$6004,$C$5:$C$6004,R6,$O$5:$O$6004,"CONCLUÍDA")))</f>
        <v/>
      </c>
      <c r="Z6" s="2">
        <f>IF(R6="","",IF(COUNTIFS($C$5:$C$6004,R6,$O$5:$O$6004,"EM ANDAMENTO",$N$5:$N$6004,"&gt;=-99")=0,"",_xlfn.MAXIFS($N$5:$N$6004,$C$5:$C$6004,R6,$O$5:$O$6004,"EM ANDAMENTO")))</f>
        <v/>
      </c>
      <c r="AA6" s="2">
        <f>IF(OR(R6="",S6="",U6&lt;&gt;"SIM",V6=0),"",IF(W6+X6=0,"",T6&amp;": "&amp;IF(W6=V6,"concluído",IF(W6=0,"em execução"&amp;IF(Z6&lt;&gt;""," ("&amp;IF(Z6&lt;0,IF(COUNTIF($E$5:$E$6004,"SUBSOLO*")&gt;0,"subsolo",-Z6&amp;"º subsolo"),IF(Z6=0,"térreo",Z6&amp;"º pav."))&amp;")",""),IF(Y6&lt;&gt;"","até "&amp;IF(Y6&lt;0,IF(COUNTIF($E$5:$E$6004,"SUBSOLO*")&gt;0,"subsolo",-Y6&amp;"º subsolo"),IF(Y6=0,"térreo",Y6&amp;"º pav.")),W6&amp;" de "&amp;V6&amp;" concluídas")&amp;IF(Z6="","",IF(OR(Y6="",Z6&gt;Y6),", executando "&amp;IF(Z6&lt;0,IF(COUNTIF($E$5:$E$6004,"SUBSOLO*")&gt;0,"subsolo",-Z6&amp;"º subsolo"),IF(Z6=0,"térreo",Z6&amp;"º pav."))," (restam serviços no "&amp;IF(Z6&lt;0,IF(COUNTIF($E$5:$E$6004,"SUBSOLO*")&gt;0,"subsolo",-Z6&amp;"º subsolo"),IF(Z6=0,"térreo",Z6&amp;"º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26" t="n">
        <v>45516</v>
      </c>
      <c r="G7" s="126" t="n">
        <v>45593</v>
      </c>
      <c r="H7" s="126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IF(E7="","",IF(ISNUMBER(SEARCH("SUBSOLO",E7)),IFERROR(-VALUE(LEFT(E7,FIND("º",SUBSTITUTE(E7,"°","º"))-1)),-1),IF(LEFT(E7,6)="TÉRREO",0,IFERROR(VALUE(LEFT(E7,FIND("º",SUBSTITUTE(E7,"°","º"))-1)),""))))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IF(R7="","",COUNTIF($C$5:$C$6004,R7))</f>
        <v/>
      </c>
      <c r="W7" s="2">
        <f>IF(R7="","",COUNTIFS($C$5:$C$6004,R7,$O$5:$O$6004,"CONCLUÍDA"))</f>
        <v/>
      </c>
      <c r="X7" s="2">
        <f>IF(R7="","",COUNTIFS($C$5:$C$6004,R7,$O$5:$O$6004,"EM ANDAMENTO"))</f>
        <v/>
      </c>
      <c r="Y7" s="2">
        <f>IF(R7="","",IF(COUNTIFS($C$5:$C$6004,R7,$O$5:$O$6004,"CONCLUÍDA",$N$5:$N$6004,"&gt;=-99")=0,"",_xlfn.MAXIFS($N$5:$N$6004,$C$5:$C$6004,R7,$O$5:$O$6004,"CONCLUÍDA")))</f>
        <v/>
      </c>
      <c r="Z7" s="2">
        <f>IF(R7="","",IF(COUNTIFS($C$5:$C$6004,R7,$O$5:$O$6004,"EM ANDAMENTO",$N$5:$N$6004,"&gt;=-99")=0,"",_xlfn.MAXIFS($N$5:$N$6004,$C$5:$C$6004,R7,$O$5:$O$6004,"EM ANDAMENTO")))</f>
        <v/>
      </c>
      <c r="AA7" s="2">
        <f>IF(OR(R7="",S7="",U7&lt;&gt;"SIM",V7=0),"",IF(W7+X7=0,"",T7&amp;": "&amp;IF(W7=V7,"concluído",IF(W7=0,"em execução"&amp;IF(Z7&lt;&gt;""," ("&amp;IF(Z7&lt;0,IF(COUNTIF($E$5:$E$6004,"SUBSOLO*")&gt;0,"subsolo",-Z7&amp;"º subsolo"),IF(Z7=0,"térreo",Z7&amp;"º pav."))&amp;")",""),IF(Y7&lt;&gt;"","até "&amp;IF(Y7&lt;0,IF(COUNTIF($E$5:$E$6004,"SUBSOLO*")&gt;0,"subsolo",-Y7&amp;"º subsolo"),IF(Y7=0,"térreo",Y7&amp;"º pav.")),W7&amp;" de "&amp;V7&amp;" concluídas")&amp;IF(Z7="","",IF(OR(Y7="",Z7&gt;Y7),", executando "&amp;IF(Z7&lt;0,IF(COUNTIF($E$5:$E$6004,"SUBSOLO*")&gt;0,"subsolo",-Z7&amp;"º subsolo"),IF(Z7=0,"térreo",Z7&amp;"º pav."))," (restam serviços no "&amp;IF(Z7&lt;0,IF(COUNTIF($E$5:$E$6004,"SUBSOLO*")&gt;0,"subsolo",-Z7&amp;"º subsolo"),IF(Z7=0,"térreo",Z7&amp;"º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26" t="n">
        <v>45666</v>
      </c>
      <c r="G8" s="126" t="n">
        <v>45735</v>
      </c>
      <c r="H8" s="126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IF(E8="","",IF(ISNUMBER(SEARCH("SUBSOLO",E8)),IFERROR(-VALUE(LEFT(E8,FIND("º",SUBSTITUTE(E8,"°","º"))-1)),-1),IF(LEFT(E8,6)="TÉRREO",0,IFERROR(VALUE(LEFT(E8,FIND("º",SUBSTITUTE(E8,"°","º"))-1)),""))))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IF(R8="","",COUNTIF($C$5:$C$6004,R8))</f>
        <v/>
      </c>
      <c r="W8" s="2">
        <f>IF(R8="","",COUNTIFS($C$5:$C$6004,R8,$O$5:$O$6004,"CONCLUÍDA"))</f>
        <v/>
      </c>
      <c r="X8" s="2">
        <f>IF(R8="","",COUNTIFS($C$5:$C$6004,R8,$O$5:$O$6004,"EM ANDAMENTO"))</f>
        <v/>
      </c>
      <c r="Y8" s="2">
        <f>IF(R8="","",IF(COUNTIFS($C$5:$C$6004,R8,$O$5:$O$6004,"CONCLUÍDA",$N$5:$N$6004,"&gt;=-99")=0,"",_xlfn.MAXIFS($N$5:$N$6004,$C$5:$C$6004,R8,$O$5:$O$6004,"CONCLUÍDA")))</f>
        <v/>
      </c>
      <c r="Z8" s="2">
        <f>IF(R8="","",IF(COUNTIFS($C$5:$C$6004,R8,$O$5:$O$6004,"EM ANDAMENTO",$N$5:$N$6004,"&gt;=-99")=0,"",_xlfn.MAXIFS($N$5:$N$6004,$C$5:$C$6004,R8,$O$5:$O$6004,"EM ANDAMENTO")))</f>
        <v/>
      </c>
      <c r="AA8" s="2">
        <f>IF(OR(R8="",S8="",U8&lt;&gt;"SIM",V8=0),"",IF(W8+X8=0,"",T8&amp;": "&amp;IF(W8=V8,"concluído",IF(W8=0,"em execução"&amp;IF(Z8&lt;&gt;""," ("&amp;IF(Z8&lt;0,IF(COUNTIF($E$5:$E$6004,"SUBSOLO*")&gt;0,"subsolo",-Z8&amp;"º subsolo"),IF(Z8=0,"térreo",Z8&amp;"º pav."))&amp;")",""),IF(Y8&lt;&gt;"","até "&amp;IF(Y8&lt;0,IF(COUNTIF($E$5:$E$6004,"SUBSOLO*")&gt;0,"subsolo",-Y8&amp;"º subsolo"),IF(Y8=0,"térreo",Y8&amp;"º pav.")),W8&amp;" de "&amp;V8&amp;" concluídas")&amp;IF(Z8="","",IF(OR(Y8="",Z8&gt;Y8),", executando "&amp;IF(Z8&lt;0,IF(COUNTIF($E$5:$E$6004,"SUBSOLO*")&gt;0,"subsolo",-Z8&amp;"º subsolo"),IF(Z8=0,"térreo",Z8&amp;"º pav."))," (restam serviços no "&amp;IF(Z8&lt;0,IF(COUNTIF($E$5:$E$6004,"SUBSOLO*")&gt;0,"subsolo",-Z8&amp;"º subsolo"),IF(Z8=0,"térreo",Z8&amp;"º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26" t="n">
        <v>46444</v>
      </c>
      <c r="G9" s="126" t="n">
        <v>46499</v>
      </c>
      <c r="H9" s="126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IF(E9="","",IF(ISNUMBER(SEARCH("SUBSOLO",E9)),IFERROR(-VALUE(LEFT(E9,FIND("º",SUBSTITUTE(E9,"°","º"))-1)),-1),IF(LEFT(E9,6)="TÉRREO",0,IFERROR(VALUE(LEFT(E9,FIND("º",SUBSTITUTE(E9,"°","º"))-1)),""))))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IF(R9="","",COUNTIF($C$5:$C$6004,R9))</f>
        <v/>
      </c>
      <c r="W9" s="2">
        <f>IF(R9="","",COUNTIFS($C$5:$C$6004,R9,$O$5:$O$6004,"CONCLUÍDA"))</f>
        <v/>
      </c>
      <c r="X9" s="2">
        <f>IF(R9="","",COUNTIFS($C$5:$C$6004,R9,$O$5:$O$6004,"EM ANDAMENTO"))</f>
        <v/>
      </c>
      <c r="Y9" s="2">
        <f>IF(R9="","",IF(COUNTIFS($C$5:$C$6004,R9,$O$5:$O$6004,"CONCLUÍDA",$N$5:$N$6004,"&gt;=-99")=0,"",_xlfn.MAXIFS($N$5:$N$6004,$C$5:$C$6004,R9,$O$5:$O$6004,"CONCLUÍDA")))</f>
        <v/>
      </c>
      <c r="Z9" s="2">
        <f>IF(R9="","",IF(COUNTIFS($C$5:$C$6004,R9,$O$5:$O$6004,"EM ANDAMENTO",$N$5:$N$6004,"&gt;=-99")=0,"",_xlfn.MAXIFS($N$5:$N$6004,$C$5:$C$6004,R9,$O$5:$O$6004,"EM ANDAMENTO")))</f>
        <v/>
      </c>
      <c r="AA9" s="2">
        <f>IF(OR(R9="",S9="",U9&lt;&gt;"SIM",V9=0),"",IF(W9+X9=0,"",T9&amp;": "&amp;IF(W9=V9,"concluído",IF(W9=0,"em execução"&amp;IF(Z9&lt;&gt;""," ("&amp;IF(Z9&lt;0,IF(COUNTIF($E$5:$E$6004,"SUBSOLO*")&gt;0,"subsolo",-Z9&amp;"º subsolo"),IF(Z9=0,"térreo",Z9&amp;"º pav."))&amp;")",""),IF(Y9&lt;&gt;"","até "&amp;IF(Y9&lt;0,IF(COUNTIF($E$5:$E$6004,"SUBSOLO*")&gt;0,"subsolo",-Y9&amp;"º subsolo"),IF(Y9=0,"térreo",Y9&amp;"º pav.")),W9&amp;" de "&amp;V9&amp;" concluídas")&amp;IF(Z9="","",IF(OR(Y9="",Z9&gt;Y9),", executando "&amp;IF(Z9&lt;0,IF(COUNTIF($E$5:$E$6004,"SUBSOLO*")&gt;0,"subsolo",-Z9&amp;"º subsolo"),IF(Z9=0,"térreo",Z9&amp;"º pav."))," (restam serviços no "&amp;IF(Z9&lt;0,IF(COUNTIF($E$5:$E$6004,"SUBSOLO*")&gt;0,"subsolo",-Z9&amp;"º subsolo"),IF(Z9=0,"térreo",Z9&amp;"º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26" t="n">
        <v>45586</v>
      </c>
      <c r="G10" s="126" t="n">
        <v>45665</v>
      </c>
      <c r="H10" s="126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IF(E10="","",IF(ISNUMBER(SEARCH("SUBSOLO",E10)),IFERROR(-VALUE(LEFT(E10,FIND("º",SUBSTITUTE(E10,"°","º"))-1)),-1),IF(LEFT(E10,6)="TÉRREO",0,IFERROR(VALUE(LEFT(E10,FIND("º",SUBSTITUTE(E10,"°","º"))-1)),""))))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IF(R10="","",COUNTIF($C$5:$C$6004,R10))</f>
        <v/>
      </c>
      <c r="W10" s="2">
        <f>IF(R10="","",COUNTIFS($C$5:$C$6004,R10,$O$5:$O$6004,"CONCLUÍDA"))</f>
        <v/>
      </c>
      <c r="X10" s="2">
        <f>IF(R10="","",COUNTIFS($C$5:$C$6004,R10,$O$5:$O$6004,"EM ANDAMENTO"))</f>
        <v/>
      </c>
      <c r="Y10" s="2">
        <f>IF(R10="","",IF(COUNTIFS($C$5:$C$6004,R10,$O$5:$O$6004,"CONCLUÍDA",$N$5:$N$6004,"&gt;=-99")=0,"",_xlfn.MAXIFS($N$5:$N$6004,$C$5:$C$6004,R10,$O$5:$O$6004,"CONCLUÍDA")))</f>
        <v/>
      </c>
      <c r="Z10" s="2">
        <f>IF(R10="","",IF(COUNTIFS($C$5:$C$6004,R10,$O$5:$O$6004,"EM ANDAMENTO",$N$5:$N$6004,"&gt;=-99")=0,"",_xlfn.MAXIFS($N$5:$N$6004,$C$5:$C$6004,R10,$O$5:$O$6004,"EM ANDAMENTO")))</f>
        <v/>
      </c>
      <c r="AA10" s="2">
        <f>IF(OR(R10="",S10="",U10&lt;&gt;"SIM",V10=0),"",IF(W10+X10=0,"",T10&amp;": "&amp;IF(W10=V10,"concluído",IF(W10=0,"em execução"&amp;IF(Z10&lt;&gt;""," ("&amp;IF(Z10&lt;0,IF(COUNTIF($E$5:$E$6004,"SUBSOLO*")&gt;0,"subsolo",-Z10&amp;"º subsolo"),IF(Z10=0,"térreo",Z10&amp;"º pav."))&amp;")",""),IF(Y10&lt;&gt;"","até "&amp;IF(Y10&lt;0,IF(COUNTIF($E$5:$E$6004,"SUBSOLO*")&gt;0,"subsolo",-Y10&amp;"º subsolo"),IF(Y10=0,"térreo",Y10&amp;"º pav.")),W10&amp;" de "&amp;V10&amp;" concluídas")&amp;IF(Z10="","",IF(OR(Y10="",Z10&gt;Y10),", executando "&amp;IF(Z10&lt;0,IF(COUNTIF($E$5:$E$6004,"SUBSOLO*")&gt;0,"subsolo",-Z10&amp;"º subsolo"),IF(Z10=0,"térreo",Z10&amp;"º pav."))," (restam serviços no "&amp;IF(Z10&lt;0,IF(COUNTIF($E$5:$E$6004,"SUBSOLO*")&gt;0,"subsolo",-Z10&amp;"º subsolo"),IF(Z10=0,"térreo",Z10&amp;"º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26" t="n">
        <v>45586</v>
      </c>
      <c r="G11" s="126" t="n">
        <v>45614</v>
      </c>
      <c r="H11" s="126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IF(E11="","",IF(ISNUMBER(SEARCH("SUBSOLO",E11)),IFERROR(-VALUE(LEFT(E11,FIND("º",SUBSTITUTE(E11,"°","º"))-1)),-1),IF(LEFT(E11,6)="TÉRREO",0,IFERROR(VALUE(LEFT(E11,FIND("º",SUBSTITUTE(E11,"°","º"))-1)),""))))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IF(R11="","",COUNTIF($C$5:$C$6004,R11))</f>
        <v/>
      </c>
      <c r="W11" s="2">
        <f>IF(R11="","",COUNTIFS($C$5:$C$6004,R11,$O$5:$O$6004,"CONCLUÍDA"))</f>
        <v/>
      </c>
      <c r="X11" s="2">
        <f>IF(R11="","",COUNTIFS($C$5:$C$6004,R11,$O$5:$O$6004,"EM ANDAMENTO"))</f>
        <v/>
      </c>
      <c r="Y11" s="2">
        <f>IF(R11="","",IF(COUNTIFS($C$5:$C$6004,R11,$O$5:$O$6004,"CONCLUÍDA",$N$5:$N$6004,"&gt;=-99")=0,"",_xlfn.MAXIFS($N$5:$N$6004,$C$5:$C$6004,R11,$O$5:$O$6004,"CONCLUÍDA")))</f>
        <v/>
      </c>
      <c r="Z11" s="2">
        <f>IF(R11="","",IF(COUNTIFS($C$5:$C$6004,R11,$O$5:$O$6004,"EM ANDAMENTO",$N$5:$N$6004,"&gt;=-99")=0,"",_xlfn.MAXIFS($N$5:$N$6004,$C$5:$C$6004,R11,$O$5:$O$6004,"EM ANDAMENTO")))</f>
        <v/>
      </c>
      <c r="AA11" s="2">
        <f>IF(OR(R11="",S11="",U11&lt;&gt;"SIM",V11=0),"",IF(W11+X11=0,"",T11&amp;": "&amp;IF(W11=V11,"concluído",IF(W11=0,"em execução"&amp;IF(Z11&lt;&gt;""," ("&amp;IF(Z11&lt;0,IF(COUNTIF($E$5:$E$6004,"SUBSOLO*")&gt;0,"subsolo",-Z11&amp;"º subsolo"),IF(Z11=0,"térreo",Z11&amp;"º pav."))&amp;")",""),IF(Y11&lt;&gt;"","até "&amp;IF(Y11&lt;0,IF(COUNTIF($E$5:$E$6004,"SUBSOLO*")&gt;0,"subsolo",-Y11&amp;"º subsolo"),IF(Y11=0,"térreo",Y11&amp;"º pav.")),W11&amp;" de "&amp;V11&amp;" concluídas")&amp;IF(Z11="","",IF(OR(Y11="",Z11&gt;Y11),", executando "&amp;IF(Z11&lt;0,IF(COUNTIF($E$5:$E$6004,"SUBSOLO*")&gt;0,"subsolo",-Z11&amp;"º subsolo"),IF(Z11=0,"térreo",Z11&amp;"º pav."))," (restam serviços no "&amp;IF(Z11&lt;0,IF(COUNTIF($E$5:$E$6004,"SUBSOLO*")&gt;0,"subsolo",-Z11&amp;"º subsolo"),IF(Z11=0,"térreo",Z11&amp;"º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26" t="n">
        <v>45596</v>
      </c>
      <c r="G12" s="126" t="n">
        <v>45624</v>
      </c>
      <c r="H12" s="126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IF(E12="","",IF(ISNUMBER(SEARCH("SUBSOLO",E12)),IFERROR(-VALUE(LEFT(E12,FIND("º",SUBSTITUTE(E12,"°","º"))-1)),-1),IF(LEFT(E12,6)="TÉRREO",0,IFERROR(VALUE(LEFT(E12,FIND("º",SUBSTITUTE(E12,"°","º"))-1)),""))))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IF(R12="","",COUNTIF($C$5:$C$6004,R12))</f>
        <v/>
      </c>
      <c r="W12" s="2">
        <f>IF(R12="","",COUNTIFS($C$5:$C$6004,R12,$O$5:$O$6004,"CONCLUÍDA"))</f>
        <v/>
      </c>
      <c r="X12" s="2">
        <f>IF(R12="","",COUNTIFS($C$5:$C$6004,R12,$O$5:$O$6004,"EM ANDAMENTO"))</f>
        <v/>
      </c>
      <c r="Y12" s="2">
        <f>IF(R12="","",IF(COUNTIFS($C$5:$C$6004,R12,$O$5:$O$6004,"CONCLUÍDA",$N$5:$N$6004,"&gt;=-99")=0,"",_xlfn.MAXIFS($N$5:$N$6004,$C$5:$C$6004,R12,$O$5:$O$6004,"CONCLUÍDA")))</f>
        <v/>
      </c>
      <c r="Z12" s="2">
        <f>IF(R12="","",IF(COUNTIFS($C$5:$C$6004,R12,$O$5:$O$6004,"EM ANDAMENTO",$N$5:$N$6004,"&gt;=-99")=0,"",_xlfn.MAXIFS($N$5:$N$6004,$C$5:$C$6004,R12,$O$5:$O$6004,"EM ANDAMENTO")))</f>
        <v/>
      </c>
      <c r="AA12" s="2">
        <f>IF(OR(R12="",S12="",U12&lt;&gt;"SIM",V12=0),"",IF(W12+X12=0,"",T12&amp;": "&amp;IF(W12=V12,"concluído",IF(W12=0,"em execução"&amp;IF(Z12&lt;&gt;""," ("&amp;IF(Z12&lt;0,IF(COUNTIF($E$5:$E$6004,"SUBSOLO*")&gt;0,"subsolo",-Z12&amp;"º subsolo"),IF(Z12=0,"térreo",Z12&amp;"º pav."))&amp;")",""),IF(Y12&lt;&gt;"","até "&amp;IF(Y12&lt;0,IF(COUNTIF($E$5:$E$6004,"SUBSOLO*")&gt;0,"subsolo",-Y12&amp;"º subsolo"),IF(Y12=0,"térreo",Y12&amp;"º pav.")),W12&amp;" de "&amp;V12&amp;" concluídas")&amp;IF(Z12="","",IF(OR(Y12="",Z12&gt;Y12),", executando "&amp;IF(Z12&lt;0,IF(COUNTIF($E$5:$E$6004,"SUBSOLO*")&gt;0,"subsolo",-Z12&amp;"º subsolo"),IF(Z12=0,"térreo",Z12&amp;"º pav."))," (restam serviços no "&amp;IF(Z12&lt;0,IF(COUNTIF($E$5:$E$6004,"SUBSOLO*")&gt;0,"subsolo",-Z12&amp;"º subsolo"),IF(Z12=0,"térreo",Z12&amp;"º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26" t="n">
        <v>45639</v>
      </c>
      <c r="G13" s="126" t="n">
        <v>45665</v>
      </c>
      <c r="H13" s="126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IF(E13="","",IF(ISNUMBER(SEARCH("SUBSOLO",E13)),IFERROR(-VALUE(LEFT(E13,FIND("º",SUBSTITUTE(E13,"°","º"))-1)),-1),IF(LEFT(E13,6)="TÉRREO",0,IFERROR(VALUE(LEFT(E13,FIND("º",SUBSTITUTE(E13,"°","º"))-1)),""))))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IF(R13="","",COUNTIF($C$5:$C$6004,R13))</f>
        <v/>
      </c>
      <c r="W13" s="2">
        <f>IF(R13="","",COUNTIFS($C$5:$C$6004,R13,$O$5:$O$6004,"CONCLUÍDA"))</f>
        <v/>
      </c>
      <c r="X13" s="2">
        <f>IF(R13="","",COUNTIFS($C$5:$C$6004,R13,$O$5:$O$6004,"EM ANDAMENTO"))</f>
        <v/>
      </c>
      <c r="Y13" s="2">
        <f>IF(R13="","",IF(COUNTIFS($C$5:$C$6004,R13,$O$5:$O$6004,"CONCLUÍDA",$N$5:$N$6004,"&gt;=-99")=0,"",_xlfn.MAXIFS($N$5:$N$6004,$C$5:$C$6004,R13,$O$5:$O$6004,"CONCLUÍDA")))</f>
        <v/>
      </c>
      <c r="Z13" s="2">
        <f>IF(R13="","",IF(COUNTIFS($C$5:$C$6004,R13,$O$5:$O$6004,"EM ANDAMENTO",$N$5:$N$6004,"&gt;=-99")=0,"",_xlfn.MAXIFS($N$5:$N$6004,$C$5:$C$6004,R13,$O$5:$O$6004,"EM ANDAMENTO")))</f>
        <v/>
      </c>
      <c r="AA13" s="2">
        <f>IF(OR(R13="",S13="",U13&lt;&gt;"SIM",V13=0),"",IF(W13+X13=0,"",T13&amp;": "&amp;IF(W13=V13,"concluído",IF(W13=0,"em execução"&amp;IF(Z13&lt;&gt;""," ("&amp;IF(Z13&lt;0,IF(COUNTIF($E$5:$E$6004,"SUBSOLO*")&gt;0,"subsolo",-Z13&amp;"º subsolo"),IF(Z13=0,"térreo",Z13&amp;"º pav."))&amp;")",""),IF(Y13&lt;&gt;"","até "&amp;IF(Y13&lt;0,IF(COUNTIF($E$5:$E$6004,"SUBSOLO*")&gt;0,"subsolo",-Y13&amp;"º subsolo"),IF(Y13=0,"térreo",Y13&amp;"º pav.")),W13&amp;" de "&amp;V13&amp;" concluídas")&amp;IF(Z13="","",IF(OR(Y13="",Z13&gt;Y13),", executando "&amp;IF(Z13&lt;0,IF(COUNTIF($E$5:$E$6004,"SUBSOLO*")&gt;0,"subsolo",-Z13&amp;"º subsolo"),IF(Z13=0,"térreo",Z13&amp;"º pav."))," (restam serviços no "&amp;IF(Z13&lt;0,IF(COUNTIF($E$5:$E$6004,"SUBSOLO*")&gt;0,"subsolo",-Z13&amp;"º subsolo"),IF(Z13=0,"térreo",Z13&amp;"º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26" t="n">
        <v>45629</v>
      </c>
      <c r="G14" s="126" t="n">
        <v>45720</v>
      </c>
      <c r="H14" s="126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IF(E14="","",IF(ISNUMBER(SEARCH("SUBSOLO",E14)),IFERROR(-VALUE(LEFT(E14,FIND("º",SUBSTITUTE(E14,"°","º"))-1)),-1),IF(LEFT(E14,6)="TÉRREO",0,IFERROR(VALUE(LEFT(E14,FIND("º",SUBSTITUTE(E14,"°","º"))-1)),""))))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IF(R14="","",COUNTIF($C$5:$C$6004,R14))</f>
        <v/>
      </c>
      <c r="W14" s="2">
        <f>IF(R14="","",COUNTIFS($C$5:$C$6004,R14,$O$5:$O$6004,"CONCLUÍDA"))</f>
        <v/>
      </c>
      <c r="X14" s="2">
        <f>IF(R14="","",COUNTIFS($C$5:$C$6004,R14,$O$5:$O$6004,"EM ANDAMENTO"))</f>
        <v/>
      </c>
      <c r="Y14" s="2">
        <f>IF(R14="","",IF(COUNTIFS($C$5:$C$6004,R14,$O$5:$O$6004,"CONCLUÍDA",$N$5:$N$6004,"&gt;=-99")=0,"",_xlfn.MAXIFS($N$5:$N$6004,$C$5:$C$6004,R14,$O$5:$O$6004,"CONCLUÍDA")))</f>
        <v/>
      </c>
      <c r="Z14" s="2">
        <f>IF(R14="","",IF(COUNTIFS($C$5:$C$6004,R14,$O$5:$O$6004,"EM ANDAMENTO",$N$5:$N$6004,"&gt;=-99")=0,"",_xlfn.MAXIFS($N$5:$N$6004,$C$5:$C$6004,R14,$O$5:$O$6004,"EM ANDAMENTO")))</f>
        <v/>
      </c>
      <c r="AA14" s="2">
        <f>IF(OR(R14="",S14="",U14&lt;&gt;"SIM",V14=0),"",IF(W14+X14=0,"",T14&amp;": "&amp;IF(W14=V14,"concluído",IF(W14=0,"em execução"&amp;IF(Z14&lt;&gt;""," ("&amp;IF(Z14&lt;0,IF(COUNTIF($E$5:$E$6004,"SUBSOLO*")&gt;0,"subsolo",-Z14&amp;"º subsolo"),IF(Z14=0,"térreo",Z14&amp;"º pav."))&amp;")",""),IF(Y14&lt;&gt;"","até "&amp;IF(Y14&lt;0,IF(COUNTIF($E$5:$E$6004,"SUBSOLO*")&gt;0,"subsolo",-Y14&amp;"º subsolo"),IF(Y14=0,"térreo",Y14&amp;"º pav.")),W14&amp;" de "&amp;V14&amp;" concluídas")&amp;IF(Z14="","",IF(OR(Y14="",Z14&gt;Y14),", executando "&amp;IF(Z14&lt;0,IF(COUNTIF($E$5:$E$6004,"SUBSOLO*")&gt;0,"subsolo",-Z14&amp;"º subsolo"),IF(Z14=0,"térreo",Z14&amp;"º pav."))," (restam serviços no "&amp;IF(Z14&lt;0,IF(COUNTIF($E$5:$E$6004,"SUBSOLO*")&gt;0,"subsolo",-Z14&amp;"º subsolo"),IF(Z14=0,"térreo",Z14&amp;"º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26" t="n">
        <v>45629</v>
      </c>
      <c r="G15" s="126" t="n">
        <v>45642</v>
      </c>
      <c r="H15" s="126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IF(E15="","",IF(ISNUMBER(SEARCH("SUBSOLO",E15)),IFERROR(-VALUE(LEFT(E15,FIND("º",SUBSTITUTE(E15,"°","º"))-1)),-1),IF(LEFT(E15,6)="TÉRREO",0,IFERROR(VALUE(LEFT(E15,FIND("º",SUBSTITUTE(E15,"°","º"))-1)),""))))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IF(R15="","",COUNTIF($C$5:$C$6004,R15))</f>
        <v/>
      </c>
      <c r="W15" s="2">
        <f>IF(R15="","",COUNTIFS($C$5:$C$6004,R15,$O$5:$O$6004,"CONCLUÍDA"))</f>
        <v/>
      </c>
      <c r="X15" s="2">
        <f>IF(R15="","",COUNTIFS($C$5:$C$6004,R15,$O$5:$O$6004,"EM ANDAMENTO"))</f>
        <v/>
      </c>
      <c r="Y15" s="2">
        <f>IF(R15="","",IF(COUNTIFS($C$5:$C$6004,R15,$O$5:$O$6004,"CONCLUÍDA",$N$5:$N$6004,"&gt;=-99")=0,"",_xlfn.MAXIFS($N$5:$N$6004,$C$5:$C$6004,R15,$O$5:$O$6004,"CONCLUÍDA")))</f>
        <v/>
      </c>
      <c r="Z15" s="2">
        <f>IF(R15="","",IF(COUNTIFS($C$5:$C$6004,R15,$O$5:$O$6004,"EM ANDAMENTO",$N$5:$N$6004,"&gt;=-99")=0,"",_xlfn.MAXIFS($N$5:$N$6004,$C$5:$C$6004,R15,$O$5:$O$6004,"EM ANDAMENTO")))</f>
        <v/>
      </c>
      <c r="AA15" s="2">
        <f>IF(OR(R15="",S15="",U15&lt;&gt;"SIM",V15=0),"",IF(W15+X15=0,"",T15&amp;": "&amp;IF(W15=V15,"concluído",IF(W15=0,"em execução"&amp;IF(Z15&lt;&gt;""," ("&amp;IF(Z15&lt;0,IF(COUNTIF($E$5:$E$6004,"SUBSOLO*")&gt;0,"subsolo",-Z15&amp;"º subsolo"),IF(Z15=0,"térreo",Z15&amp;"º pav."))&amp;")",""),IF(Y15&lt;&gt;"","até "&amp;IF(Y15&lt;0,IF(COUNTIF($E$5:$E$6004,"SUBSOLO*")&gt;0,"subsolo",-Y15&amp;"º subsolo"),IF(Y15=0,"térreo",Y15&amp;"º pav.")),W15&amp;" de "&amp;V15&amp;" concluídas")&amp;IF(Z15="","",IF(OR(Y15="",Z15&gt;Y15),", executando "&amp;IF(Z15&lt;0,IF(COUNTIF($E$5:$E$6004,"SUBSOLO*")&gt;0,"subsolo",-Z15&amp;"º subsolo"),IF(Z15=0,"térreo",Z15&amp;"º pav."))," (restam serviços no "&amp;IF(Z15&lt;0,IF(COUNTIF($E$5:$E$6004,"SUBSOLO*")&gt;0,"subsolo",-Z15&amp;"º subsolo"),IF(Z15=0,"térreo",Z15&amp;"º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26" t="n">
        <v>45643</v>
      </c>
      <c r="G16" s="126" t="n">
        <v>45657</v>
      </c>
      <c r="H16" s="126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IF(E16="","",IF(ISNUMBER(SEARCH("SUBSOLO",E16)),IFERROR(-VALUE(LEFT(E16,FIND("º",SUBSTITUTE(E16,"°","º"))-1)),-1),IF(LEFT(E16,6)="TÉRREO",0,IFERROR(VALUE(LEFT(E16,FIND("º",SUBSTITUTE(E16,"°","º"))-1)),""))))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IF(R16="","",COUNTIF($C$5:$C$6004,R16))</f>
        <v/>
      </c>
      <c r="W16" s="2">
        <f>IF(R16="","",COUNTIFS($C$5:$C$6004,R16,$O$5:$O$6004,"CONCLUÍDA"))</f>
        <v/>
      </c>
      <c r="X16" s="2">
        <f>IF(R16="","",COUNTIFS($C$5:$C$6004,R16,$O$5:$O$6004,"EM ANDAMENTO"))</f>
        <v/>
      </c>
      <c r="Y16" s="2">
        <f>IF(R16="","",IF(COUNTIFS($C$5:$C$6004,R16,$O$5:$O$6004,"CONCLUÍDA",$N$5:$N$6004,"&gt;=-99")=0,"",_xlfn.MAXIFS($N$5:$N$6004,$C$5:$C$6004,R16,$O$5:$O$6004,"CONCLUÍDA")))</f>
        <v/>
      </c>
      <c r="Z16" s="2">
        <f>IF(R16="","",IF(COUNTIFS($C$5:$C$6004,R16,$O$5:$O$6004,"EM ANDAMENTO",$N$5:$N$6004,"&gt;=-99")=0,"",_xlfn.MAXIFS($N$5:$N$6004,$C$5:$C$6004,R16,$O$5:$O$6004,"EM ANDAMENTO")))</f>
        <v/>
      </c>
      <c r="AA16" s="2">
        <f>IF(OR(R16="",S16="",U16&lt;&gt;"SIM",V16=0),"",IF(W16+X16=0,"",T16&amp;": "&amp;IF(W16=V16,"concluído",IF(W16=0,"em execução"&amp;IF(Z16&lt;&gt;""," ("&amp;IF(Z16&lt;0,IF(COUNTIF($E$5:$E$6004,"SUBSOLO*")&gt;0,"subsolo",-Z16&amp;"º subsolo"),IF(Z16=0,"térreo",Z16&amp;"º pav."))&amp;")",""),IF(Y16&lt;&gt;"","até "&amp;IF(Y16&lt;0,IF(COUNTIF($E$5:$E$6004,"SUBSOLO*")&gt;0,"subsolo",-Y16&amp;"º subsolo"),IF(Y16=0,"térreo",Y16&amp;"º pav.")),W16&amp;" de "&amp;V16&amp;" concluídas")&amp;IF(Z16="","",IF(OR(Y16="",Z16&gt;Y16),", executando "&amp;IF(Z16&lt;0,IF(COUNTIF($E$5:$E$6004,"SUBSOLO*")&gt;0,"subsolo",-Z16&amp;"º subsolo"),IF(Z16=0,"térreo",Z16&amp;"º pav."))," (restam serviços no "&amp;IF(Z16&lt;0,IF(COUNTIF($E$5:$E$6004,"SUBSOLO*")&gt;0,"subsolo",-Z16&amp;"º subsolo"),IF(Z16=0,"térreo",Z16&amp;"º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26" t="n">
        <v>45659</v>
      </c>
      <c r="G17" s="126" t="n">
        <v>45720</v>
      </c>
      <c r="H17" s="126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IF(E17="","",IF(ISNUMBER(SEARCH("SUBSOLO",E17)),IFERROR(-VALUE(LEFT(E17,FIND("º",SUBSTITUTE(E17,"°","º"))-1)),-1),IF(LEFT(E17,6)="TÉRREO",0,IFERROR(VALUE(LEFT(E17,FIND("º",SUBSTITUTE(E17,"°","º"))-1)),""))))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IF(R17="","",COUNTIF($C$5:$C$6004,R17))</f>
        <v/>
      </c>
      <c r="W17" s="2">
        <f>IF(R17="","",COUNTIFS($C$5:$C$6004,R17,$O$5:$O$6004,"CONCLUÍDA"))</f>
        <v/>
      </c>
      <c r="X17" s="2">
        <f>IF(R17="","",COUNTIFS($C$5:$C$6004,R17,$O$5:$O$6004,"EM ANDAMENTO"))</f>
        <v/>
      </c>
      <c r="Y17" s="2">
        <f>IF(R17="","",IF(COUNTIFS($C$5:$C$6004,R17,$O$5:$O$6004,"CONCLUÍDA",$N$5:$N$6004,"&gt;=-99")=0,"",_xlfn.MAXIFS($N$5:$N$6004,$C$5:$C$6004,R17,$O$5:$O$6004,"CONCLUÍDA")))</f>
        <v/>
      </c>
      <c r="Z17" s="2">
        <f>IF(R17="","",IF(COUNTIFS($C$5:$C$6004,R17,$O$5:$O$6004,"EM ANDAMENTO",$N$5:$N$6004,"&gt;=-99")=0,"",_xlfn.MAXIFS($N$5:$N$6004,$C$5:$C$6004,R17,$O$5:$O$6004,"EM ANDAMENTO")))</f>
        <v/>
      </c>
      <c r="AA17" s="2">
        <f>IF(OR(R17="",S17="",U17&lt;&gt;"SIM",V17=0),"",IF(W17+X17=0,"",T17&amp;": "&amp;IF(W17=V17,"concluído",IF(W17=0,"em execução"&amp;IF(Z17&lt;&gt;""," ("&amp;IF(Z17&lt;0,IF(COUNTIF($E$5:$E$6004,"SUBSOLO*")&gt;0,"subsolo",-Z17&amp;"º subsolo"),IF(Z17=0,"térreo",Z17&amp;"º pav."))&amp;")",""),IF(Y17&lt;&gt;"","até "&amp;IF(Y17&lt;0,IF(COUNTIF($E$5:$E$6004,"SUBSOLO*")&gt;0,"subsolo",-Y17&amp;"º subsolo"),IF(Y17=0,"térreo",Y17&amp;"º pav.")),W17&amp;" de "&amp;V17&amp;" concluídas")&amp;IF(Z17="","",IF(OR(Y17="",Z17&gt;Y17),", executando "&amp;IF(Z17&lt;0,IF(COUNTIF($E$5:$E$6004,"SUBSOLO*")&gt;0,"subsolo",-Z17&amp;"º subsolo"),IF(Z17=0,"térreo",Z17&amp;"º pav."))," (restam serviços no "&amp;IF(Z17&lt;0,IF(COUNTIF($E$5:$E$6004,"SUBSOLO*")&gt;0,"subsolo",-Z17&amp;"º subsolo"),IF(Z17=0,"térreo",Z17&amp;"º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26" t="n">
        <v>45707</v>
      </c>
      <c r="G18" s="126" t="n">
        <v>45793</v>
      </c>
      <c r="H18" s="126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IF(E18="","",IF(ISNUMBER(SEARCH("SUBSOLO",E18)),IFERROR(-VALUE(LEFT(E18,FIND("º",SUBSTITUTE(E18,"°","º"))-1)),-1),IF(LEFT(E18,6)="TÉRREO",0,IFERROR(VALUE(LEFT(E18,FIND("º",SUBSTITUTE(E18,"°","º"))-1)),""))))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IF(R18="","",COUNTIF($C$5:$C$6004,R18))</f>
        <v/>
      </c>
      <c r="W18" s="2">
        <f>IF(R18="","",COUNTIFS($C$5:$C$6004,R18,$O$5:$O$6004,"CONCLUÍDA"))</f>
        <v/>
      </c>
      <c r="X18" s="2">
        <f>IF(R18="","",COUNTIFS($C$5:$C$6004,R18,$O$5:$O$6004,"EM ANDAMENTO"))</f>
        <v/>
      </c>
      <c r="Y18" s="2">
        <f>IF(R18="","",IF(COUNTIFS($C$5:$C$6004,R18,$O$5:$O$6004,"CONCLUÍDA",$N$5:$N$6004,"&gt;=-99")=0,"",_xlfn.MAXIFS($N$5:$N$6004,$C$5:$C$6004,R18,$O$5:$O$6004,"CONCLUÍDA")))</f>
        <v/>
      </c>
      <c r="Z18" s="2">
        <f>IF(R18="","",IF(COUNTIFS($C$5:$C$6004,R18,$O$5:$O$6004,"EM ANDAMENTO",$N$5:$N$6004,"&gt;=-99")=0,"",_xlfn.MAXIFS($N$5:$N$6004,$C$5:$C$6004,R18,$O$5:$O$6004,"EM ANDAMENTO")))</f>
        <v/>
      </c>
      <c r="AA18" s="2">
        <f>IF(OR(R18="",S18="",U18&lt;&gt;"SIM",V18=0),"",IF(W18+X18=0,"",T18&amp;": "&amp;IF(W18=V18,"concluído",IF(W18=0,"em execução"&amp;IF(Z18&lt;&gt;""," ("&amp;IF(Z18&lt;0,IF(COUNTIF($E$5:$E$6004,"SUBSOLO*")&gt;0,"subsolo",-Z18&amp;"º subsolo"),IF(Z18=0,"térreo",Z18&amp;"º pav."))&amp;")",""),IF(Y18&lt;&gt;"","até "&amp;IF(Y18&lt;0,IF(COUNTIF($E$5:$E$6004,"SUBSOLO*")&gt;0,"subsolo",-Y18&amp;"º subsolo"),IF(Y18=0,"térreo",Y18&amp;"º pav.")),W18&amp;" de "&amp;V18&amp;" concluídas")&amp;IF(Z18="","",IF(OR(Y18="",Z18&gt;Y18),", executando "&amp;IF(Z18&lt;0,IF(COUNTIF($E$5:$E$6004,"SUBSOLO*")&gt;0,"subsolo",-Z18&amp;"º subsolo"),IF(Z18=0,"térreo",Z18&amp;"º pav."))," (restam serviços no "&amp;IF(Z18&lt;0,IF(COUNTIF($E$5:$E$6004,"SUBSOLO*")&gt;0,"subsolo",-Z18&amp;"º subsolo"),IF(Z18=0,"térreo",Z18&amp;"º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26" t="n">
        <v>45707</v>
      </c>
      <c r="G19" s="126" t="n">
        <v>45793</v>
      </c>
      <c r="H19" s="126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IF(E19="","",IF(ISNUMBER(SEARCH("SUBSOLO",E19)),IFERROR(-VALUE(LEFT(E19,FIND("º",SUBSTITUTE(E19,"°","º"))-1)),-1),IF(LEFT(E19,6)="TÉRREO",0,IFERROR(VALUE(LEFT(E19,FIND("º",SUBSTITUTE(E19,"°","º"))-1)),""))))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IF(R19="","",COUNTIF($C$5:$C$6004,R19))</f>
        <v/>
      </c>
      <c r="W19" s="2">
        <f>IF(R19="","",COUNTIFS($C$5:$C$6004,R19,$O$5:$O$6004,"CONCLUÍDA"))</f>
        <v/>
      </c>
      <c r="X19" s="2">
        <f>IF(R19="","",COUNTIFS($C$5:$C$6004,R19,$O$5:$O$6004,"EM ANDAMENTO"))</f>
        <v/>
      </c>
      <c r="Y19" s="2">
        <f>IF(R19="","",IF(COUNTIFS($C$5:$C$6004,R19,$O$5:$O$6004,"CONCLUÍDA",$N$5:$N$6004,"&gt;=-99")=0,"",_xlfn.MAXIFS($N$5:$N$6004,$C$5:$C$6004,R19,$O$5:$O$6004,"CONCLUÍDA")))</f>
        <v/>
      </c>
      <c r="Z19" s="2">
        <f>IF(R19="","",IF(COUNTIFS($C$5:$C$6004,R19,$O$5:$O$6004,"EM ANDAMENTO",$N$5:$N$6004,"&gt;=-99")=0,"",_xlfn.MAXIFS($N$5:$N$6004,$C$5:$C$6004,R19,$O$5:$O$6004,"EM ANDAMENTO")))</f>
        <v/>
      </c>
      <c r="AA19" s="2">
        <f>IF(OR(R19="",S19="",U19&lt;&gt;"SIM",V19=0),"",IF(W19+X19=0,"",T19&amp;": "&amp;IF(W19=V19,"concluído",IF(W19=0,"em execução"&amp;IF(Z19&lt;&gt;""," ("&amp;IF(Z19&lt;0,IF(COUNTIF($E$5:$E$6004,"SUBSOLO*")&gt;0,"subsolo",-Z19&amp;"º subsolo"),IF(Z19=0,"térreo",Z19&amp;"º pav."))&amp;")",""),IF(Y19&lt;&gt;"","até "&amp;IF(Y19&lt;0,IF(COUNTIF($E$5:$E$6004,"SUBSOLO*")&gt;0,"subsolo",-Y19&amp;"º subsolo"),IF(Y19=0,"térreo",Y19&amp;"º pav.")),W19&amp;" de "&amp;V19&amp;" concluídas")&amp;IF(Z19="","",IF(OR(Y19="",Z19&gt;Y19),", executando "&amp;IF(Z19&lt;0,IF(COUNTIF($E$5:$E$6004,"SUBSOLO*")&gt;0,"subsolo",-Z19&amp;"º subsolo"),IF(Z19=0,"térreo",Z19&amp;"º pav."))," (restam serviços no "&amp;IF(Z19&lt;0,IF(COUNTIF($E$5:$E$6004,"SUBSOLO*")&gt;0,"subsolo",-Z19&amp;"º subsolo"),IF(Z19=0,"térreo",Z19&amp;"º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26" t="n">
        <v>45775</v>
      </c>
      <c r="G20" s="126" t="n">
        <v>45785</v>
      </c>
      <c r="H20" s="126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IF(E20="","",IF(ISNUMBER(SEARCH("SUBSOLO",E20)),IFERROR(-VALUE(LEFT(E20,FIND("º",SUBSTITUTE(E20,"°","º"))-1)),-1),IF(LEFT(E20,6)="TÉRREO",0,IFERROR(VALUE(LEFT(E20,FIND("º",SUBSTITUTE(E20,"°","º"))-1)),""))))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IF(R20="","",COUNTIF($C$5:$C$6004,R20))</f>
        <v/>
      </c>
      <c r="W20" s="2">
        <f>IF(R20="","",COUNTIFS($C$5:$C$6004,R20,$O$5:$O$6004,"CONCLUÍDA"))</f>
        <v/>
      </c>
      <c r="X20" s="2">
        <f>IF(R20="","",COUNTIFS($C$5:$C$6004,R20,$O$5:$O$6004,"EM ANDAMENTO"))</f>
        <v/>
      </c>
      <c r="Y20" s="2">
        <f>IF(R20="","",IF(COUNTIFS($C$5:$C$6004,R20,$O$5:$O$6004,"CONCLUÍDA",$N$5:$N$6004,"&gt;=-99")=0,"",_xlfn.MAXIFS($N$5:$N$6004,$C$5:$C$6004,R20,$O$5:$O$6004,"CONCLUÍDA")))</f>
        <v/>
      </c>
      <c r="Z20" s="2">
        <f>IF(R20="","",IF(COUNTIFS($C$5:$C$6004,R20,$O$5:$O$6004,"EM ANDAMENTO",$N$5:$N$6004,"&gt;=-99")=0,"",_xlfn.MAXIFS($N$5:$N$6004,$C$5:$C$6004,R20,$O$5:$O$6004,"EM ANDAMENTO")))</f>
        <v/>
      </c>
      <c r="AA20" s="2">
        <f>IF(OR(R20="",S20="",U20&lt;&gt;"SIM",V20=0),"",IF(W20+X20=0,"",T20&amp;": "&amp;IF(W20=V20,"concluído",IF(W20=0,"em execução"&amp;IF(Z20&lt;&gt;""," ("&amp;IF(Z20&lt;0,IF(COUNTIF($E$5:$E$6004,"SUBSOLO*")&gt;0,"subsolo",-Z20&amp;"º subsolo"),IF(Z20=0,"térreo",Z20&amp;"º pav."))&amp;")",""),IF(Y20&lt;&gt;"","até "&amp;IF(Y20&lt;0,IF(COUNTIF($E$5:$E$6004,"SUBSOLO*")&gt;0,"subsolo",-Y20&amp;"º subsolo"),IF(Y20=0,"térreo",Y20&amp;"º pav.")),W20&amp;" de "&amp;V20&amp;" concluídas")&amp;IF(Z20="","",IF(OR(Y20="",Z20&gt;Y20),", executando "&amp;IF(Z20&lt;0,IF(COUNTIF($E$5:$E$6004,"SUBSOLO*")&gt;0,"subsolo",-Z20&amp;"º subsolo"),IF(Z20=0,"térreo",Z20&amp;"º pav."))," (restam serviços no "&amp;IF(Z20&lt;0,IF(COUNTIF($E$5:$E$6004,"SUBSOLO*")&gt;0,"subsolo",-Z20&amp;"º subsolo"),IF(Z20=0,"térreo",Z20&amp;"º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26" t="n">
        <v>45775</v>
      </c>
      <c r="G21" s="126" t="n">
        <v>45775</v>
      </c>
      <c r="H21" s="126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IF(E21="","",IF(ISNUMBER(SEARCH("SUBSOLO",E21)),IFERROR(-VALUE(LEFT(E21,FIND("º",SUBSTITUTE(E21,"°","º"))-1)),-1),IF(LEFT(E21,6)="TÉRREO",0,IFERROR(VALUE(LEFT(E21,FIND("º",SUBSTITUTE(E21,"°","º"))-1)),""))))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IF(R21="","",COUNTIF($C$5:$C$6004,R21))</f>
        <v/>
      </c>
      <c r="W21" s="2">
        <f>IF(R21="","",COUNTIFS($C$5:$C$6004,R21,$O$5:$O$6004,"CONCLUÍDA"))</f>
        <v/>
      </c>
      <c r="X21" s="2">
        <f>IF(R21="","",COUNTIFS($C$5:$C$6004,R21,$O$5:$O$6004,"EM ANDAMENTO"))</f>
        <v/>
      </c>
      <c r="Y21" s="2">
        <f>IF(R21="","",IF(COUNTIFS($C$5:$C$6004,R21,$O$5:$O$6004,"CONCLUÍDA",$N$5:$N$6004,"&gt;=-99")=0,"",_xlfn.MAXIFS($N$5:$N$6004,$C$5:$C$6004,R21,$O$5:$O$6004,"CONCLUÍDA")))</f>
        <v/>
      </c>
      <c r="Z21" s="2">
        <f>IF(R21="","",IF(COUNTIFS($C$5:$C$6004,R21,$O$5:$O$6004,"EM ANDAMENTO",$N$5:$N$6004,"&gt;=-99")=0,"",_xlfn.MAXIFS($N$5:$N$6004,$C$5:$C$6004,R21,$O$5:$O$6004,"EM ANDAMENTO")))</f>
        <v/>
      </c>
      <c r="AA21" s="2">
        <f>IF(OR(R21="",S21="",U21&lt;&gt;"SIM",V21=0),"",IF(W21+X21=0,"",T21&amp;": "&amp;IF(W21=V21,"concluído",IF(W21=0,"em execução"&amp;IF(Z21&lt;&gt;""," ("&amp;IF(Z21&lt;0,IF(COUNTIF($E$5:$E$6004,"SUBSOLO*")&gt;0,"subsolo",-Z21&amp;"º subsolo"),IF(Z21=0,"térreo",Z21&amp;"º pav."))&amp;")",""),IF(Y21&lt;&gt;"","até "&amp;IF(Y21&lt;0,IF(COUNTIF($E$5:$E$6004,"SUBSOLO*")&gt;0,"subsolo",-Y21&amp;"º subsolo"),IF(Y21=0,"térreo",Y21&amp;"º pav.")),W21&amp;" de "&amp;V21&amp;" concluídas")&amp;IF(Z21="","",IF(OR(Y21="",Z21&gt;Y21),", executando "&amp;IF(Z21&lt;0,IF(COUNTIF($E$5:$E$6004,"SUBSOLO*")&gt;0,"subsolo",-Z21&amp;"º subsolo"),IF(Z21=0,"térreo",Z21&amp;"º pav."))," (restam serviços no "&amp;IF(Z21&lt;0,IF(COUNTIF($E$5:$E$6004,"SUBSOLO*")&gt;0,"subsolo",-Z21&amp;"º subsolo"),IF(Z21=0,"térreo",Z21&amp;"º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26" t="n">
        <v>45776</v>
      </c>
      <c r="G22" s="126" t="n">
        <v>45776</v>
      </c>
      <c r="H22" s="126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IF(E22="","",IF(ISNUMBER(SEARCH("SUBSOLO",E22)),IFERROR(-VALUE(LEFT(E22,FIND("º",SUBSTITUTE(E22,"°","º"))-1)),-1),IF(LEFT(E22,6)="TÉRREO",0,IFERROR(VALUE(LEFT(E22,FIND("º",SUBSTITUTE(E22,"°","º"))-1)),""))))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IF(R22="","",COUNTIF($C$5:$C$6004,R22))</f>
        <v/>
      </c>
      <c r="W22" s="2">
        <f>IF(R22="","",COUNTIFS($C$5:$C$6004,R22,$O$5:$O$6004,"CONCLUÍDA"))</f>
        <v/>
      </c>
      <c r="X22" s="2">
        <f>IF(R22="","",COUNTIFS($C$5:$C$6004,R22,$O$5:$O$6004,"EM ANDAMENTO"))</f>
        <v/>
      </c>
      <c r="Y22" s="2">
        <f>IF(R22="","",IF(COUNTIFS($C$5:$C$6004,R22,$O$5:$O$6004,"CONCLUÍDA",$N$5:$N$6004,"&gt;=-99")=0,"",_xlfn.MAXIFS($N$5:$N$6004,$C$5:$C$6004,R22,$O$5:$O$6004,"CONCLUÍDA")))</f>
        <v/>
      </c>
      <c r="Z22" s="2">
        <f>IF(R22="","",IF(COUNTIFS($C$5:$C$6004,R22,$O$5:$O$6004,"EM ANDAMENTO",$N$5:$N$6004,"&gt;=-99")=0,"",_xlfn.MAXIFS($N$5:$N$6004,$C$5:$C$6004,R22,$O$5:$O$6004,"EM ANDAMENTO")))</f>
        <v/>
      </c>
      <c r="AA22" s="2">
        <f>IF(OR(R22="",S22="",U22&lt;&gt;"SIM",V22=0),"",IF(W22+X22=0,"",T22&amp;": "&amp;IF(W22=V22,"concluído",IF(W22=0,"em execução"&amp;IF(Z22&lt;&gt;""," ("&amp;IF(Z22&lt;0,IF(COUNTIF($E$5:$E$6004,"SUBSOLO*")&gt;0,"subsolo",-Z22&amp;"º subsolo"),IF(Z22=0,"térreo",Z22&amp;"º pav."))&amp;")",""),IF(Y22&lt;&gt;"","até "&amp;IF(Y22&lt;0,IF(COUNTIF($E$5:$E$6004,"SUBSOLO*")&gt;0,"subsolo",-Y22&amp;"º subsolo"),IF(Y22=0,"térreo",Y22&amp;"º pav.")),W22&amp;" de "&amp;V22&amp;" concluídas")&amp;IF(Z22="","",IF(OR(Y22="",Z22&gt;Y22),", executando "&amp;IF(Z22&lt;0,IF(COUNTIF($E$5:$E$6004,"SUBSOLO*")&gt;0,"subsolo",-Z22&amp;"º subsolo"),IF(Z22=0,"térreo",Z22&amp;"º pav."))," (restam serviços no "&amp;IF(Z22&lt;0,IF(COUNTIF($E$5:$E$6004,"SUBSOLO*")&gt;0,"subsolo",-Z22&amp;"º subsolo"),IF(Z22=0,"térreo",Z22&amp;"º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26" t="n">
        <v>45776</v>
      </c>
      <c r="G23" s="126" t="n">
        <v>45777</v>
      </c>
      <c r="H23" s="126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IF(E23="","",IF(ISNUMBER(SEARCH("SUBSOLO",E23)),IFERROR(-VALUE(LEFT(E23,FIND("º",SUBSTITUTE(E23,"°","º"))-1)),-1),IF(LEFT(E23,6)="TÉRREO",0,IFERROR(VALUE(LEFT(E23,FIND("º",SUBSTITUTE(E23,"°","º"))-1)),""))))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IF(R23="","",COUNTIF($C$5:$C$6004,R23))</f>
        <v/>
      </c>
      <c r="W23" s="2">
        <f>IF(R23="","",COUNTIFS($C$5:$C$6004,R23,$O$5:$O$6004,"CONCLUÍDA"))</f>
        <v/>
      </c>
      <c r="X23" s="2">
        <f>IF(R23="","",COUNTIFS($C$5:$C$6004,R23,$O$5:$O$6004,"EM ANDAMENTO"))</f>
        <v/>
      </c>
      <c r="Y23" s="2">
        <f>IF(R23="","",IF(COUNTIFS($C$5:$C$6004,R23,$O$5:$O$6004,"CONCLUÍDA",$N$5:$N$6004,"&gt;=-99")=0,"",_xlfn.MAXIFS($N$5:$N$6004,$C$5:$C$6004,R23,$O$5:$O$6004,"CONCLUÍDA")))</f>
        <v/>
      </c>
      <c r="Z23" s="2">
        <f>IF(R23="","",IF(COUNTIFS($C$5:$C$6004,R23,$O$5:$O$6004,"EM ANDAMENTO",$N$5:$N$6004,"&gt;=-99")=0,"",_xlfn.MAXIFS($N$5:$N$6004,$C$5:$C$6004,R23,$O$5:$O$6004,"EM ANDAMENTO")))</f>
        <v/>
      </c>
      <c r="AA23" s="2">
        <f>IF(OR(R23="",S23="",U23&lt;&gt;"SIM",V23=0),"",IF(W23+X23=0,"",T23&amp;": "&amp;IF(W23=V23,"concluído",IF(W23=0,"em execução"&amp;IF(Z23&lt;&gt;""," ("&amp;IF(Z23&lt;0,IF(COUNTIF($E$5:$E$6004,"SUBSOLO*")&gt;0,"subsolo",-Z23&amp;"º subsolo"),IF(Z23=0,"térreo",Z23&amp;"º pav."))&amp;")",""),IF(Y23&lt;&gt;"","até "&amp;IF(Y23&lt;0,IF(COUNTIF($E$5:$E$6004,"SUBSOLO*")&gt;0,"subsolo",-Y23&amp;"º subsolo"),IF(Y23=0,"térreo",Y23&amp;"º pav.")),W23&amp;" de "&amp;V23&amp;" concluídas")&amp;IF(Z23="","",IF(OR(Y23="",Z23&gt;Y23),", executando "&amp;IF(Z23&lt;0,IF(COUNTIF($E$5:$E$6004,"SUBSOLO*")&gt;0,"subsolo",-Z23&amp;"º subsolo"),IF(Z23=0,"térreo",Z23&amp;"º pav."))," (restam serviços no "&amp;IF(Z23&lt;0,IF(COUNTIF($E$5:$E$6004,"SUBSOLO*")&gt;0,"subsolo",-Z23&amp;"º subsolo"),IF(Z23=0,"térreo",Z23&amp;"º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26" t="n">
        <v>45779</v>
      </c>
      <c r="G24" s="126" t="n">
        <v>45782</v>
      </c>
      <c r="H24" s="126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IF(E24="","",IF(ISNUMBER(SEARCH("SUBSOLO",E24)),IFERROR(-VALUE(LEFT(E24,FIND("º",SUBSTITUTE(E24,"°","º"))-1)),-1),IF(LEFT(E24,6)="TÉRREO",0,IFERROR(VALUE(LEFT(E24,FIND("º",SUBSTITUTE(E24,"°","º"))-1)),""))))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IF(R24="","",COUNTIF($C$5:$C$6004,R24))</f>
        <v/>
      </c>
      <c r="W24" s="2">
        <f>IF(R24="","",COUNTIFS($C$5:$C$6004,R24,$O$5:$O$6004,"CONCLUÍDA"))</f>
        <v/>
      </c>
      <c r="X24" s="2">
        <f>IF(R24="","",COUNTIFS($C$5:$C$6004,R24,$O$5:$O$6004,"EM ANDAMENTO"))</f>
        <v/>
      </c>
      <c r="Y24" s="2">
        <f>IF(R24="","",IF(COUNTIFS($C$5:$C$6004,R24,$O$5:$O$6004,"CONCLUÍDA",$N$5:$N$6004,"&gt;=-99")=0,"",_xlfn.MAXIFS($N$5:$N$6004,$C$5:$C$6004,R24,$O$5:$O$6004,"CONCLUÍDA")))</f>
        <v/>
      </c>
      <c r="Z24" s="2">
        <f>IF(R24="","",IF(COUNTIFS($C$5:$C$6004,R24,$O$5:$O$6004,"EM ANDAMENTO",$N$5:$N$6004,"&gt;=-99")=0,"",_xlfn.MAXIFS($N$5:$N$6004,$C$5:$C$6004,R24,$O$5:$O$6004,"EM ANDAMENTO")))</f>
        <v/>
      </c>
      <c r="AA24" s="2">
        <f>IF(OR(R24="",S24="",U24&lt;&gt;"SIM",V24=0),"",IF(W24+X24=0,"",T24&amp;": "&amp;IF(W24=V24,"concluído",IF(W24=0,"em execução"&amp;IF(Z24&lt;&gt;""," ("&amp;IF(Z24&lt;0,IF(COUNTIF($E$5:$E$6004,"SUBSOLO*")&gt;0,"subsolo",-Z24&amp;"º subsolo"),IF(Z24=0,"térreo",Z24&amp;"º pav."))&amp;")",""),IF(Y24&lt;&gt;"","até "&amp;IF(Y24&lt;0,IF(COUNTIF($E$5:$E$6004,"SUBSOLO*")&gt;0,"subsolo",-Y24&amp;"º subsolo"),IF(Y24=0,"térreo",Y24&amp;"º pav.")),W24&amp;" de "&amp;V24&amp;" concluídas")&amp;IF(Z24="","",IF(OR(Y24="",Z24&gt;Y24),", executando "&amp;IF(Z24&lt;0,IF(COUNTIF($E$5:$E$6004,"SUBSOLO*")&gt;0,"subsolo",-Z24&amp;"º subsolo"),IF(Z24=0,"térreo",Z24&amp;"º pav."))," (restam serviços no "&amp;IF(Z24&lt;0,IF(COUNTIF($E$5:$E$6004,"SUBSOLO*")&gt;0,"subsolo",-Z24&amp;"º subsolo"),IF(Z24=0,"térreo",Z24&amp;"º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26" t="n">
        <v>45783</v>
      </c>
      <c r="G25" s="126" t="n">
        <v>45783</v>
      </c>
      <c r="H25" s="126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IF(E25="","",IF(ISNUMBER(SEARCH("SUBSOLO",E25)),IFERROR(-VALUE(LEFT(E25,FIND("º",SUBSTITUTE(E25,"°","º"))-1)),-1),IF(LEFT(E25,6)="TÉRREO",0,IFERROR(VALUE(LEFT(E25,FIND("º",SUBSTITUTE(E25,"°","º"))-1)),""))))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IF(R25="","",COUNTIF($C$5:$C$6004,R25))</f>
        <v/>
      </c>
      <c r="W25" s="2">
        <f>IF(R25="","",COUNTIFS($C$5:$C$6004,R25,$O$5:$O$6004,"CONCLUÍDA"))</f>
        <v/>
      </c>
      <c r="X25" s="2">
        <f>IF(R25="","",COUNTIFS($C$5:$C$6004,R25,$O$5:$O$6004,"EM ANDAMENTO"))</f>
        <v/>
      </c>
      <c r="Y25" s="2">
        <f>IF(R25="","",IF(COUNTIFS($C$5:$C$6004,R25,$O$5:$O$6004,"CONCLUÍDA",$N$5:$N$6004,"&gt;=-99")=0,"",_xlfn.MAXIFS($N$5:$N$6004,$C$5:$C$6004,R25,$O$5:$O$6004,"CONCLUÍDA")))</f>
        <v/>
      </c>
      <c r="Z25" s="2">
        <f>IF(R25="","",IF(COUNTIFS($C$5:$C$6004,R25,$O$5:$O$6004,"EM ANDAMENTO",$N$5:$N$6004,"&gt;=-99")=0,"",_xlfn.MAXIFS($N$5:$N$6004,$C$5:$C$6004,R25,$O$5:$O$6004,"EM ANDAMENTO")))</f>
        <v/>
      </c>
      <c r="AA25" s="2">
        <f>IF(OR(R25="",S25="",U25&lt;&gt;"SIM",V25=0),"",IF(W25+X25=0,"",T25&amp;": "&amp;IF(W25=V25,"concluído",IF(W25=0,"em execução"&amp;IF(Z25&lt;&gt;""," ("&amp;IF(Z25&lt;0,IF(COUNTIF($E$5:$E$6004,"SUBSOLO*")&gt;0,"subsolo",-Z25&amp;"º subsolo"),IF(Z25=0,"térreo",Z25&amp;"º pav."))&amp;")",""),IF(Y25&lt;&gt;"","até "&amp;IF(Y25&lt;0,IF(COUNTIF($E$5:$E$6004,"SUBSOLO*")&gt;0,"subsolo",-Y25&amp;"º subsolo"),IF(Y25=0,"térreo",Y25&amp;"º pav.")),W25&amp;" de "&amp;V25&amp;" concluídas")&amp;IF(Z25="","",IF(OR(Y25="",Z25&gt;Y25),", executando "&amp;IF(Z25&lt;0,IF(COUNTIF($E$5:$E$6004,"SUBSOLO*")&gt;0,"subsolo",-Z25&amp;"º subsolo"),IF(Z25=0,"térreo",Z25&amp;"º pav."))," (restam serviços no "&amp;IF(Z25&lt;0,IF(COUNTIF($E$5:$E$6004,"SUBSOLO*")&gt;0,"subsolo",-Z25&amp;"º subsolo"),IF(Z25=0,"térreo",Z25&amp;"º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26" t="n">
        <v>45784</v>
      </c>
      <c r="G26" s="126" t="n">
        <v>45785</v>
      </c>
      <c r="H26" s="126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IF(E26="","",IF(ISNUMBER(SEARCH("SUBSOLO",E26)),IFERROR(-VALUE(LEFT(E26,FIND("º",SUBSTITUTE(E26,"°","º"))-1)),-1),IF(LEFT(E26,6)="TÉRREO",0,IFERROR(VALUE(LEFT(E26,FIND("º",SUBSTITUTE(E26,"°","º"))-1)),""))))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IF(R26="","",COUNTIF($C$5:$C$6004,R26))</f>
        <v/>
      </c>
      <c r="W26" s="2">
        <f>IF(R26="","",COUNTIFS($C$5:$C$6004,R26,$O$5:$O$6004,"CONCLUÍDA"))</f>
        <v/>
      </c>
      <c r="X26" s="2">
        <f>IF(R26="","",COUNTIFS($C$5:$C$6004,R26,$O$5:$O$6004,"EM ANDAMENTO"))</f>
        <v/>
      </c>
      <c r="Y26" s="2">
        <f>IF(R26="","",IF(COUNTIFS($C$5:$C$6004,R26,$O$5:$O$6004,"CONCLUÍDA",$N$5:$N$6004,"&gt;=-99")=0,"",_xlfn.MAXIFS($N$5:$N$6004,$C$5:$C$6004,R26,$O$5:$O$6004,"CONCLUÍDA")))</f>
        <v/>
      </c>
      <c r="Z26" s="2">
        <f>IF(R26="","",IF(COUNTIFS($C$5:$C$6004,R26,$O$5:$O$6004,"EM ANDAMENTO",$N$5:$N$6004,"&gt;=-99")=0,"",_xlfn.MAXIFS($N$5:$N$6004,$C$5:$C$6004,R26,$O$5:$O$6004,"EM ANDAMENTO")))</f>
        <v/>
      </c>
      <c r="AA26" s="2">
        <f>IF(OR(R26="",S26="",U26&lt;&gt;"SIM",V26=0),"",IF(W26+X26=0,"",T26&amp;": "&amp;IF(W26=V26,"concluído",IF(W26=0,"em execução"&amp;IF(Z26&lt;&gt;""," ("&amp;IF(Z26&lt;0,IF(COUNTIF($E$5:$E$6004,"SUBSOLO*")&gt;0,"subsolo",-Z26&amp;"º subsolo"),IF(Z26=0,"térreo",Z26&amp;"º pav."))&amp;")",""),IF(Y26&lt;&gt;"","até "&amp;IF(Y26&lt;0,IF(COUNTIF($E$5:$E$6004,"SUBSOLO*")&gt;0,"subsolo",-Y26&amp;"º subsolo"),IF(Y26=0,"térreo",Y26&amp;"º pav.")),W26&amp;" de "&amp;V26&amp;" concluídas")&amp;IF(Z26="","",IF(OR(Y26="",Z26&gt;Y26),", executando "&amp;IF(Z26&lt;0,IF(COUNTIF($E$5:$E$6004,"SUBSOLO*")&gt;0,"subsolo",-Z26&amp;"º subsolo"),IF(Z26=0,"térreo",Z26&amp;"º pav."))," (restam serviços no "&amp;IF(Z26&lt;0,IF(COUNTIF($E$5:$E$6004,"SUBSOLO*")&gt;0,"subsolo",-Z26&amp;"º subsolo"),IF(Z26=0,"térreo",Z26&amp;"º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26" t="n">
        <v>45775</v>
      </c>
      <c r="G27" s="126" t="n">
        <v>45779</v>
      </c>
      <c r="H27" s="126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IF(E27="","",IF(ISNUMBER(SEARCH("SUBSOLO",E27)),IFERROR(-VALUE(LEFT(E27,FIND("º",SUBSTITUTE(E27,"°","º"))-1)),-1),IF(LEFT(E27,6)="TÉRREO",0,IFERROR(VALUE(LEFT(E27,FIND("º",SUBSTITUTE(E27,"°","º"))-1)),""))))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IF(R27="","",COUNTIF($C$5:$C$6004,R27))</f>
        <v/>
      </c>
      <c r="W27" s="2">
        <f>IF(R27="","",COUNTIFS($C$5:$C$6004,R27,$O$5:$O$6004,"CONCLUÍDA"))</f>
        <v/>
      </c>
      <c r="X27" s="2">
        <f>IF(R27="","",COUNTIFS($C$5:$C$6004,R27,$O$5:$O$6004,"EM ANDAMENTO"))</f>
        <v/>
      </c>
      <c r="Y27" s="2">
        <f>IF(R27="","",IF(COUNTIFS($C$5:$C$6004,R27,$O$5:$O$6004,"CONCLUÍDA",$N$5:$N$6004,"&gt;=-99")=0,"",_xlfn.MAXIFS($N$5:$N$6004,$C$5:$C$6004,R27,$O$5:$O$6004,"CONCLUÍDA")))</f>
        <v/>
      </c>
      <c r="Z27" s="2">
        <f>IF(R27="","",IF(COUNTIFS($C$5:$C$6004,R27,$O$5:$O$6004,"EM ANDAMENTO",$N$5:$N$6004,"&gt;=-99")=0,"",_xlfn.MAXIFS($N$5:$N$6004,$C$5:$C$6004,R27,$O$5:$O$6004,"EM ANDAMENTO")))</f>
        <v/>
      </c>
      <c r="AA27" s="2">
        <f>IF(OR(R27="",S27="",U27&lt;&gt;"SIM",V27=0),"",IF(W27+X27=0,"",T27&amp;": "&amp;IF(W27=V27,"concluído",IF(W27=0,"em execução"&amp;IF(Z27&lt;&gt;""," ("&amp;IF(Z27&lt;0,IF(COUNTIF($E$5:$E$6004,"SUBSOLO*")&gt;0,"subsolo",-Z27&amp;"º subsolo"),IF(Z27=0,"térreo",Z27&amp;"º pav."))&amp;")",""),IF(Y27&lt;&gt;"","até "&amp;IF(Y27&lt;0,IF(COUNTIF($E$5:$E$6004,"SUBSOLO*")&gt;0,"subsolo",-Y27&amp;"º subsolo"),IF(Y27=0,"térreo",Y27&amp;"º pav.")),W27&amp;" de "&amp;V27&amp;" concluídas")&amp;IF(Z27="","",IF(OR(Y27="",Z27&gt;Y27),", executando "&amp;IF(Z27&lt;0,IF(COUNTIF($E$5:$E$6004,"SUBSOLO*")&gt;0,"subsolo",-Z27&amp;"º subsolo"),IF(Z27=0,"térreo",Z27&amp;"º pav."))," (restam serviços no "&amp;IF(Z27&lt;0,IF(COUNTIF($E$5:$E$6004,"SUBSOLO*")&gt;0,"subsolo",-Z27&amp;"º subsolo"),IF(Z27=0,"térreo",Z27&amp;"º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26" t="n">
        <v>45775</v>
      </c>
      <c r="G28" s="126" t="n">
        <v>45779</v>
      </c>
      <c r="H28" s="126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IF(E28="","",IF(ISNUMBER(SEARCH("SUBSOLO",E28)),IFERROR(-VALUE(LEFT(E28,FIND("º",SUBSTITUTE(E28,"°","º"))-1)),-1),IF(LEFT(E28,6)="TÉRREO",0,IFERROR(VALUE(LEFT(E28,FIND("º",SUBSTITUTE(E28,"°","º"))-1)),""))))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IF(R28="","",COUNTIF($C$5:$C$6004,R28))</f>
        <v/>
      </c>
      <c r="W28" s="2">
        <f>IF(R28="","",COUNTIFS($C$5:$C$6004,R28,$O$5:$O$6004,"CONCLUÍDA"))</f>
        <v/>
      </c>
      <c r="X28" s="2">
        <f>IF(R28="","",COUNTIFS($C$5:$C$6004,R28,$O$5:$O$6004,"EM ANDAMENTO"))</f>
        <v/>
      </c>
      <c r="Y28" s="2">
        <f>IF(R28="","",IF(COUNTIFS($C$5:$C$6004,R28,$O$5:$O$6004,"CONCLUÍDA",$N$5:$N$6004,"&gt;=-99")=0,"",_xlfn.MAXIFS($N$5:$N$6004,$C$5:$C$6004,R28,$O$5:$O$6004,"CONCLUÍDA")))</f>
        <v/>
      </c>
      <c r="Z28" s="2">
        <f>IF(R28="","",IF(COUNTIFS($C$5:$C$6004,R28,$O$5:$O$6004,"EM ANDAMENTO",$N$5:$N$6004,"&gt;=-99")=0,"",_xlfn.MAXIFS($N$5:$N$6004,$C$5:$C$6004,R28,$O$5:$O$6004,"EM ANDAMENTO")))</f>
        <v/>
      </c>
      <c r="AA28" s="2">
        <f>IF(OR(R28="",S28="",U28&lt;&gt;"SIM",V28=0),"",IF(W28+X28=0,"",T28&amp;": "&amp;IF(W28=V28,"concluído",IF(W28=0,"em execução"&amp;IF(Z28&lt;&gt;""," ("&amp;IF(Z28&lt;0,IF(COUNTIF($E$5:$E$6004,"SUBSOLO*")&gt;0,"subsolo",-Z28&amp;"º subsolo"),IF(Z28=0,"térreo",Z28&amp;"º pav."))&amp;")",""),IF(Y28&lt;&gt;"","até "&amp;IF(Y28&lt;0,IF(COUNTIF($E$5:$E$6004,"SUBSOLO*")&gt;0,"subsolo",-Y28&amp;"º subsolo"),IF(Y28=0,"térreo",Y28&amp;"º pav.")),W28&amp;" de "&amp;V28&amp;" concluídas")&amp;IF(Z28="","",IF(OR(Y28="",Z28&gt;Y28),", executando "&amp;IF(Z28&lt;0,IF(COUNTIF($E$5:$E$6004,"SUBSOLO*")&gt;0,"subsolo",-Z28&amp;"º subsolo"),IF(Z28=0,"térreo",Z28&amp;"º pav."))," (restam serviços no "&amp;IF(Z28&lt;0,IF(COUNTIF($E$5:$E$6004,"SUBSOLO*")&gt;0,"subsolo",-Z28&amp;"º subsolo"),IF(Z28=0,"térreo",Z28&amp;"º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26" t="n">
        <v>45775</v>
      </c>
      <c r="G29" s="126" t="n">
        <v>45785</v>
      </c>
      <c r="H29" s="126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IF(E29="","",IF(ISNUMBER(SEARCH("SUBSOLO",E29)),IFERROR(-VALUE(LEFT(E29,FIND("º",SUBSTITUTE(E29,"°","º"))-1)),-1),IF(LEFT(E29,6)="TÉRREO",0,IFERROR(VALUE(LEFT(E29,FIND("º",SUBSTITUTE(E29,"°","º"))-1)),""))))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IF(R29="","",COUNTIF($C$5:$C$6004,R29))</f>
        <v/>
      </c>
      <c r="W29" s="2">
        <f>IF(R29="","",COUNTIFS($C$5:$C$6004,R29,$O$5:$O$6004,"CONCLUÍDA"))</f>
        <v/>
      </c>
      <c r="X29" s="2">
        <f>IF(R29="","",COUNTIFS($C$5:$C$6004,R29,$O$5:$O$6004,"EM ANDAMENTO"))</f>
        <v/>
      </c>
      <c r="Y29" s="2">
        <f>IF(R29="","",IF(COUNTIFS($C$5:$C$6004,R29,$O$5:$O$6004,"CONCLUÍDA",$N$5:$N$6004,"&gt;=-99")=0,"",_xlfn.MAXIFS($N$5:$N$6004,$C$5:$C$6004,R29,$O$5:$O$6004,"CONCLUÍDA")))</f>
        <v/>
      </c>
      <c r="Z29" s="2">
        <f>IF(R29="","",IF(COUNTIFS($C$5:$C$6004,R29,$O$5:$O$6004,"EM ANDAMENTO",$N$5:$N$6004,"&gt;=-99")=0,"",_xlfn.MAXIFS($N$5:$N$6004,$C$5:$C$6004,R29,$O$5:$O$6004,"EM ANDAMENTO")))</f>
        <v/>
      </c>
      <c r="AA29" s="2">
        <f>IF(OR(R29="",S29="",U29&lt;&gt;"SIM",V29=0),"",IF(W29+X29=0,"",T29&amp;": "&amp;IF(W29=V29,"concluído",IF(W29=0,"em execução"&amp;IF(Z29&lt;&gt;""," ("&amp;IF(Z29&lt;0,IF(COUNTIF($E$5:$E$6004,"SUBSOLO*")&gt;0,"subsolo",-Z29&amp;"º subsolo"),IF(Z29=0,"térreo",Z29&amp;"º pav."))&amp;")",""),IF(Y29&lt;&gt;"","até "&amp;IF(Y29&lt;0,IF(COUNTIF($E$5:$E$6004,"SUBSOLO*")&gt;0,"subsolo",-Y29&amp;"º subsolo"),IF(Y29=0,"térreo",Y29&amp;"º pav.")),W29&amp;" de "&amp;V29&amp;" concluídas")&amp;IF(Z29="","",IF(OR(Y29="",Z29&gt;Y29),", executando "&amp;IF(Z29&lt;0,IF(COUNTIF($E$5:$E$6004,"SUBSOLO*")&gt;0,"subsolo",-Z29&amp;"º subsolo"),IF(Z29=0,"térreo",Z29&amp;"º pav."))," (restam serviços no "&amp;IF(Z29&lt;0,IF(COUNTIF($E$5:$E$6004,"SUBSOLO*")&gt;0,"subsolo",-Z29&amp;"º subsolo"),IF(Z29=0,"térreo",Z29&amp;"º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26" t="n">
        <v>45775</v>
      </c>
      <c r="G30" s="126" t="n">
        <v>45777</v>
      </c>
      <c r="H30" s="126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IF(E30="","",IF(ISNUMBER(SEARCH("SUBSOLO",E30)),IFERROR(-VALUE(LEFT(E30,FIND("º",SUBSTITUTE(E30,"°","º"))-1)),-1),IF(LEFT(E30,6)="TÉRREO",0,IFERROR(VALUE(LEFT(E30,FIND("º",SUBSTITUTE(E30,"°","º"))-1)),""))))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IF(R30="","",COUNTIF($C$5:$C$6004,R30))</f>
        <v/>
      </c>
      <c r="W30" s="2">
        <f>IF(R30="","",COUNTIFS($C$5:$C$6004,R30,$O$5:$O$6004,"CONCLUÍDA"))</f>
        <v/>
      </c>
      <c r="X30" s="2">
        <f>IF(R30="","",COUNTIFS($C$5:$C$6004,R30,$O$5:$O$6004,"EM ANDAMENTO"))</f>
        <v/>
      </c>
      <c r="Y30" s="2">
        <f>IF(R30="","",IF(COUNTIFS($C$5:$C$6004,R30,$O$5:$O$6004,"CONCLUÍDA",$N$5:$N$6004,"&gt;=-99")=0,"",_xlfn.MAXIFS($N$5:$N$6004,$C$5:$C$6004,R30,$O$5:$O$6004,"CONCLUÍDA")))</f>
        <v/>
      </c>
      <c r="Z30" s="2">
        <f>IF(R30="","",IF(COUNTIFS($C$5:$C$6004,R30,$O$5:$O$6004,"EM ANDAMENTO",$N$5:$N$6004,"&gt;=-99")=0,"",_xlfn.MAXIFS($N$5:$N$6004,$C$5:$C$6004,R30,$O$5:$O$6004,"EM ANDAMENTO")))</f>
        <v/>
      </c>
      <c r="AA30" s="2">
        <f>IF(OR(R30="",S30="",U30&lt;&gt;"SIM",V30=0),"",IF(W30+X30=0,"",T30&amp;": "&amp;IF(W30=V30,"concluído",IF(W30=0,"em execução"&amp;IF(Z30&lt;&gt;""," ("&amp;IF(Z30&lt;0,IF(COUNTIF($E$5:$E$6004,"SUBSOLO*")&gt;0,"subsolo",-Z30&amp;"º subsolo"),IF(Z30=0,"térreo",Z30&amp;"º pav."))&amp;")",""),IF(Y30&lt;&gt;"","até "&amp;IF(Y30&lt;0,IF(COUNTIF($E$5:$E$6004,"SUBSOLO*")&gt;0,"subsolo",-Y30&amp;"º subsolo"),IF(Y30=0,"térreo",Y30&amp;"º pav.")),W30&amp;" de "&amp;V30&amp;" concluídas")&amp;IF(Z30="","",IF(OR(Y30="",Z30&gt;Y30),", executando "&amp;IF(Z30&lt;0,IF(COUNTIF($E$5:$E$6004,"SUBSOLO*")&gt;0,"subsolo",-Z30&amp;"º subsolo"),IF(Z30=0,"térreo",Z30&amp;"º pav."))," (restam serviços no "&amp;IF(Z30&lt;0,IF(COUNTIF($E$5:$E$6004,"SUBSOLO*")&gt;0,"subsolo",-Z30&amp;"º subsolo"),IF(Z30=0,"térreo",Z30&amp;"º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26" t="n">
        <v>45782</v>
      </c>
      <c r="G31" s="126" t="n">
        <v>45785</v>
      </c>
      <c r="H31" s="126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IF(E31="","",IF(ISNUMBER(SEARCH("SUBSOLO",E31)),IFERROR(-VALUE(LEFT(E31,FIND("º",SUBSTITUTE(E31,"°","º"))-1)),-1),IF(LEFT(E31,6)="TÉRREO",0,IFERROR(VALUE(LEFT(E31,FIND("º",SUBSTITUTE(E31,"°","º"))-1)),""))))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IF(R31="","",COUNTIF($C$5:$C$6004,R31))</f>
        <v/>
      </c>
      <c r="W31" s="2">
        <f>IF(R31="","",COUNTIFS($C$5:$C$6004,R31,$O$5:$O$6004,"CONCLUÍDA"))</f>
        <v/>
      </c>
      <c r="X31" s="2">
        <f>IF(R31="","",COUNTIFS($C$5:$C$6004,R31,$O$5:$O$6004,"EM ANDAMENTO"))</f>
        <v/>
      </c>
      <c r="Y31" s="2">
        <f>IF(R31="","",IF(COUNTIFS($C$5:$C$6004,R31,$O$5:$O$6004,"CONCLUÍDA",$N$5:$N$6004,"&gt;=-99")=0,"",_xlfn.MAXIFS($N$5:$N$6004,$C$5:$C$6004,R31,$O$5:$O$6004,"CONCLUÍDA")))</f>
        <v/>
      </c>
      <c r="Z31" s="2">
        <f>IF(R31="","",IF(COUNTIFS($C$5:$C$6004,R31,$O$5:$O$6004,"EM ANDAMENTO",$N$5:$N$6004,"&gt;=-99")=0,"",_xlfn.MAXIFS($N$5:$N$6004,$C$5:$C$6004,R31,$O$5:$O$6004,"EM ANDAMENTO")))</f>
        <v/>
      </c>
      <c r="AA31" s="2">
        <f>IF(OR(R31="",S31="",U31&lt;&gt;"SIM",V31=0),"",IF(W31+X31=0,"",T31&amp;": "&amp;IF(W31=V31,"concluído",IF(W31=0,"em execução"&amp;IF(Z31&lt;&gt;""," ("&amp;IF(Z31&lt;0,IF(COUNTIF($E$5:$E$6004,"SUBSOLO*")&gt;0,"subsolo",-Z31&amp;"º subsolo"),IF(Z31=0,"térreo",Z31&amp;"º pav."))&amp;")",""),IF(Y31&lt;&gt;"","até "&amp;IF(Y31&lt;0,IF(COUNTIF($E$5:$E$6004,"SUBSOLO*")&gt;0,"subsolo",-Y31&amp;"º subsolo"),IF(Y31=0,"térreo",Y31&amp;"º pav.")),W31&amp;" de "&amp;V31&amp;" concluídas")&amp;IF(Z31="","",IF(OR(Y31="",Z31&gt;Y31),", executando "&amp;IF(Z31&lt;0,IF(COUNTIF($E$5:$E$6004,"SUBSOLO*")&gt;0,"subsolo",-Z31&amp;"º subsolo"),IF(Z31=0,"térreo",Z31&amp;"º pav."))," (restam serviços no "&amp;IF(Z31&lt;0,IF(COUNTIF($E$5:$E$6004,"SUBSOLO*")&gt;0,"subsolo",-Z31&amp;"º subsolo"),IF(Z31=0,"térreo",Z31&amp;"º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26" t="n">
        <v>45775</v>
      </c>
      <c r="G32" s="126" t="n">
        <v>45793</v>
      </c>
      <c r="H32" s="126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IF(E32="","",IF(ISNUMBER(SEARCH("SUBSOLO",E32)),IFERROR(-VALUE(LEFT(E32,FIND("º",SUBSTITUTE(E32,"°","º"))-1)),-1),IF(LEFT(E32,6)="TÉRREO",0,IFERROR(VALUE(LEFT(E32,FIND("º",SUBSTITUTE(E32,"°","º"))-1)),""))))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IF(R32="","",COUNTIF($C$5:$C$6004,R32))</f>
        <v/>
      </c>
      <c r="W32" s="2">
        <f>IF(R32="","",COUNTIFS($C$5:$C$6004,R32,$O$5:$O$6004,"CONCLUÍDA"))</f>
        <v/>
      </c>
      <c r="X32" s="2">
        <f>IF(R32="","",COUNTIFS($C$5:$C$6004,R32,$O$5:$O$6004,"EM ANDAMENTO"))</f>
        <v/>
      </c>
      <c r="Y32" s="2">
        <f>IF(R32="","",IF(COUNTIFS($C$5:$C$6004,R32,$O$5:$O$6004,"CONCLUÍDA",$N$5:$N$6004,"&gt;=-99")=0,"",_xlfn.MAXIFS($N$5:$N$6004,$C$5:$C$6004,R32,$O$5:$O$6004,"CONCLUÍDA")))</f>
        <v/>
      </c>
      <c r="Z32" s="2">
        <f>IF(R32="","",IF(COUNTIFS($C$5:$C$6004,R32,$O$5:$O$6004,"EM ANDAMENTO",$N$5:$N$6004,"&gt;=-99")=0,"",_xlfn.MAXIFS($N$5:$N$6004,$C$5:$C$6004,R32,$O$5:$O$6004,"EM ANDAMENTO")))</f>
        <v/>
      </c>
      <c r="AA32" s="2">
        <f>IF(OR(R32="",S32="",U32&lt;&gt;"SIM",V32=0),"",IF(W32+X32=0,"",T32&amp;": "&amp;IF(W32=V32,"concluído",IF(W32=0,"em execução"&amp;IF(Z32&lt;&gt;""," ("&amp;IF(Z32&lt;0,IF(COUNTIF($E$5:$E$6004,"SUBSOLO*")&gt;0,"subsolo",-Z32&amp;"º subsolo"),IF(Z32=0,"térreo",Z32&amp;"º pav."))&amp;")",""),IF(Y32&lt;&gt;"","até "&amp;IF(Y32&lt;0,IF(COUNTIF($E$5:$E$6004,"SUBSOLO*")&gt;0,"subsolo",-Y32&amp;"º subsolo"),IF(Y32=0,"térreo",Y32&amp;"º pav.")),W32&amp;" de "&amp;V32&amp;" concluídas")&amp;IF(Z32="","",IF(OR(Y32="",Z32&gt;Y32),", executando "&amp;IF(Z32&lt;0,IF(COUNTIF($E$5:$E$6004,"SUBSOLO*")&gt;0,"subsolo",-Z32&amp;"º subsolo"),IF(Z32=0,"térreo",Z32&amp;"º pav."))," (restam serviços no "&amp;IF(Z32&lt;0,IF(COUNTIF($E$5:$E$6004,"SUBSOLO*")&gt;0,"subsolo",-Z32&amp;"º subsolo"),IF(Z32=0,"térreo",Z32&amp;"º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26" t="n">
        <v>45775</v>
      </c>
      <c r="G33" s="126" t="n">
        <v>45779</v>
      </c>
      <c r="H33" s="126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IF(E33="","",IF(ISNUMBER(SEARCH("SUBSOLO",E33)),IFERROR(-VALUE(LEFT(E33,FIND("º",SUBSTITUTE(E33,"°","º"))-1)),-1),IF(LEFT(E33,6)="TÉRREO",0,IFERROR(VALUE(LEFT(E33,FIND("º",SUBSTITUTE(E33,"°","º"))-1)),""))))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IF(R33="","",COUNTIF($C$5:$C$6004,R33))</f>
        <v/>
      </c>
      <c r="W33" s="2">
        <f>IF(R33="","",COUNTIFS($C$5:$C$6004,R33,$O$5:$O$6004,"CONCLUÍDA"))</f>
        <v/>
      </c>
      <c r="X33" s="2">
        <f>IF(R33="","",COUNTIFS($C$5:$C$6004,R33,$O$5:$O$6004,"EM ANDAMENTO"))</f>
        <v/>
      </c>
      <c r="Y33" s="2">
        <f>IF(R33="","",IF(COUNTIFS($C$5:$C$6004,R33,$O$5:$O$6004,"CONCLUÍDA",$N$5:$N$6004,"&gt;=-99")=0,"",_xlfn.MAXIFS($N$5:$N$6004,$C$5:$C$6004,R33,$O$5:$O$6004,"CONCLUÍDA")))</f>
        <v/>
      </c>
      <c r="Z33" s="2">
        <f>IF(R33="","",IF(COUNTIFS($C$5:$C$6004,R33,$O$5:$O$6004,"EM ANDAMENTO",$N$5:$N$6004,"&gt;=-99")=0,"",_xlfn.MAXIFS($N$5:$N$6004,$C$5:$C$6004,R33,$O$5:$O$6004,"EM ANDAMENTO")))</f>
        <v/>
      </c>
      <c r="AA33" s="2">
        <f>IF(OR(R33="",S33="",U33&lt;&gt;"SIM",V33=0),"",IF(W33+X33=0,"",T33&amp;": "&amp;IF(W33=V33,"concluído",IF(W33=0,"em execução"&amp;IF(Z33&lt;&gt;""," ("&amp;IF(Z33&lt;0,IF(COUNTIF($E$5:$E$6004,"SUBSOLO*")&gt;0,"subsolo",-Z33&amp;"º subsolo"),IF(Z33=0,"térreo",Z33&amp;"º pav."))&amp;")",""),IF(Y33&lt;&gt;"","até "&amp;IF(Y33&lt;0,IF(COUNTIF($E$5:$E$6004,"SUBSOLO*")&gt;0,"subsolo",-Y33&amp;"º subsolo"),IF(Y33=0,"térreo",Y33&amp;"º pav.")),W33&amp;" de "&amp;V33&amp;" concluídas")&amp;IF(Z33="","",IF(OR(Y33="",Z33&gt;Y33),", executando "&amp;IF(Z33&lt;0,IF(COUNTIF($E$5:$E$6004,"SUBSOLO*")&gt;0,"subsolo",-Z33&amp;"º subsolo"),IF(Z33=0,"térreo",Z33&amp;"º pav."))," (restam serviços no "&amp;IF(Z33&lt;0,IF(COUNTIF($E$5:$E$6004,"SUBSOLO*")&gt;0,"subsolo",-Z33&amp;"º subsolo"),IF(Z33=0,"térreo",Z33&amp;"º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26" t="n">
        <v>45782</v>
      </c>
      <c r="G34" s="126" t="n">
        <v>45786</v>
      </c>
      <c r="H34" s="126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IF(E34="","",IF(ISNUMBER(SEARCH("SUBSOLO",E34)),IFERROR(-VALUE(LEFT(E34,FIND("º",SUBSTITUTE(E34,"°","º"))-1)),-1),IF(LEFT(E34,6)="TÉRREO",0,IFERROR(VALUE(LEFT(E34,FIND("º",SUBSTITUTE(E34,"°","º"))-1)),""))))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IF(R34="","",COUNTIF($C$5:$C$6004,R34))</f>
        <v/>
      </c>
      <c r="W34" s="2">
        <f>IF(R34="","",COUNTIFS($C$5:$C$6004,R34,$O$5:$O$6004,"CONCLUÍDA"))</f>
        <v/>
      </c>
      <c r="X34" s="2">
        <f>IF(R34="","",COUNTIFS($C$5:$C$6004,R34,$O$5:$O$6004,"EM ANDAMENTO"))</f>
        <v/>
      </c>
      <c r="Y34" s="2">
        <f>IF(R34="","",IF(COUNTIFS($C$5:$C$6004,R34,$O$5:$O$6004,"CONCLUÍDA",$N$5:$N$6004,"&gt;=-99")=0,"",_xlfn.MAXIFS($N$5:$N$6004,$C$5:$C$6004,R34,$O$5:$O$6004,"CONCLUÍDA")))</f>
        <v/>
      </c>
      <c r="Z34" s="2">
        <f>IF(R34="","",IF(COUNTIFS($C$5:$C$6004,R34,$O$5:$O$6004,"EM ANDAMENTO",$N$5:$N$6004,"&gt;=-99")=0,"",_xlfn.MAXIFS($N$5:$N$6004,$C$5:$C$6004,R34,$O$5:$O$6004,"EM ANDAMENTO")))</f>
        <v/>
      </c>
      <c r="AA34" s="2">
        <f>IF(OR(R34="",S34="",U34&lt;&gt;"SIM",V34=0),"",IF(W34+X34=0,"",T34&amp;": "&amp;IF(W34=V34,"concluído",IF(W34=0,"em execução"&amp;IF(Z34&lt;&gt;""," ("&amp;IF(Z34&lt;0,IF(COUNTIF($E$5:$E$6004,"SUBSOLO*")&gt;0,"subsolo",-Z34&amp;"º subsolo"),IF(Z34=0,"térreo",Z34&amp;"º pav."))&amp;")",""),IF(Y34&lt;&gt;"","até "&amp;IF(Y34&lt;0,IF(COUNTIF($E$5:$E$6004,"SUBSOLO*")&gt;0,"subsolo",-Y34&amp;"º subsolo"),IF(Y34=0,"térreo",Y34&amp;"º pav.")),W34&amp;" de "&amp;V34&amp;" concluídas")&amp;IF(Z34="","",IF(OR(Y34="",Z34&gt;Y34),", executando "&amp;IF(Z34&lt;0,IF(COUNTIF($E$5:$E$6004,"SUBSOLO*")&gt;0,"subsolo",-Z34&amp;"º subsolo"),IF(Z34=0,"térreo",Z34&amp;"º pav."))," (restam serviços no "&amp;IF(Z34&lt;0,IF(COUNTIF($E$5:$E$6004,"SUBSOLO*")&gt;0,"subsolo",-Z34&amp;"º subsolo"),IF(Z34=0,"térreo",Z34&amp;"º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26" t="n">
        <v>45789</v>
      </c>
      <c r="G35" s="126" t="n">
        <v>45793</v>
      </c>
      <c r="H35" s="126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IF(E35="","",IF(ISNUMBER(SEARCH("SUBSOLO",E35)),IFERROR(-VALUE(LEFT(E35,FIND("º",SUBSTITUTE(E35,"°","º"))-1)),-1),IF(LEFT(E35,6)="TÉRREO",0,IFERROR(VALUE(LEFT(E35,FIND("º",SUBSTITUTE(E35,"°","º"))-1)),""))))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IF(R35="","",COUNTIF($C$5:$C$6004,R35))</f>
        <v/>
      </c>
      <c r="W35" s="2">
        <f>IF(R35="","",COUNTIFS($C$5:$C$6004,R35,$O$5:$O$6004,"CONCLUÍDA"))</f>
        <v/>
      </c>
      <c r="X35" s="2">
        <f>IF(R35="","",COUNTIFS($C$5:$C$6004,R35,$O$5:$O$6004,"EM ANDAMENTO"))</f>
        <v/>
      </c>
      <c r="Y35" s="2">
        <f>IF(R35="","",IF(COUNTIFS($C$5:$C$6004,R35,$O$5:$O$6004,"CONCLUÍDA",$N$5:$N$6004,"&gt;=-99")=0,"",_xlfn.MAXIFS($N$5:$N$6004,$C$5:$C$6004,R35,$O$5:$O$6004,"CONCLUÍDA")))</f>
        <v/>
      </c>
      <c r="Z35" s="2">
        <f>IF(R35="","",IF(COUNTIFS($C$5:$C$6004,R35,$O$5:$O$6004,"EM ANDAMENTO",$N$5:$N$6004,"&gt;=-99")=0,"",_xlfn.MAXIFS($N$5:$N$6004,$C$5:$C$6004,R35,$O$5:$O$6004,"EM ANDAMENTO")))</f>
        <v/>
      </c>
      <c r="AA35" s="2">
        <f>IF(OR(R35="",S35="",U35&lt;&gt;"SIM",V35=0),"",IF(W35+X35=0,"",T35&amp;": "&amp;IF(W35=V35,"concluído",IF(W35=0,"em execução"&amp;IF(Z35&lt;&gt;""," ("&amp;IF(Z35&lt;0,IF(COUNTIF($E$5:$E$6004,"SUBSOLO*")&gt;0,"subsolo",-Z35&amp;"º subsolo"),IF(Z35=0,"térreo",Z35&amp;"º pav."))&amp;")",""),IF(Y35&lt;&gt;"","até "&amp;IF(Y35&lt;0,IF(COUNTIF($E$5:$E$6004,"SUBSOLO*")&gt;0,"subsolo",-Y35&amp;"º subsolo"),IF(Y35=0,"térreo",Y35&amp;"º pav.")),W35&amp;" de "&amp;V35&amp;" concluídas")&amp;IF(Z35="","",IF(OR(Y35="",Z35&gt;Y35),", executando "&amp;IF(Z35&lt;0,IF(COUNTIF($E$5:$E$6004,"SUBSOLO*")&gt;0,"subsolo",-Z35&amp;"º subsolo"),IF(Z35=0,"térreo",Z35&amp;"º pav."))," (restam serviços no "&amp;IF(Z35&lt;0,IF(COUNTIF($E$5:$E$6004,"SUBSOLO*")&gt;0,"subsolo",-Z35&amp;"º subsolo"),IF(Z35=0,"térreo",Z35&amp;"º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26" t="n">
        <v>45782</v>
      </c>
      <c r="G36" s="126" t="n">
        <v>45786</v>
      </c>
      <c r="H36" s="126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IF(E36="","",IF(ISNUMBER(SEARCH("SUBSOLO",E36)),IFERROR(-VALUE(LEFT(E36,FIND("º",SUBSTITUTE(E36,"°","º"))-1)),-1),IF(LEFT(E36,6)="TÉRREO",0,IFERROR(VALUE(LEFT(E36,FIND("º",SUBSTITUTE(E36,"°","º"))-1)),""))))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IF(R36="","",COUNTIF($C$5:$C$6004,R36))</f>
        <v/>
      </c>
      <c r="W36" s="2">
        <f>IF(R36="","",COUNTIFS($C$5:$C$6004,R36,$O$5:$O$6004,"CONCLUÍDA"))</f>
        <v/>
      </c>
      <c r="X36" s="2">
        <f>IF(R36="","",COUNTIFS($C$5:$C$6004,R36,$O$5:$O$6004,"EM ANDAMENTO"))</f>
        <v/>
      </c>
      <c r="Y36" s="2">
        <f>IF(R36="","",IF(COUNTIFS($C$5:$C$6004,R36,$O$5:$O$6004,"CONCLUÍDA",$N$5:$N$6004,"&gt;=-99")=0,"",_xlfn.MAXIFS($N$5:$N$6004,$C$5:$C$6004,R36,$O$5:$O$6004,"CONCLUÍDA")))</f>
        <v/>
      </c>
      <c r="Z36" s="2">
        <f>IF(R36="","",IF(COUNTIFS($C$5:$C$6004,R36,$O$5:$O$6004,"EM ANDAMENTO",$N$5:$N$6004,"&gt;=-99")=0,"",_xlfn.MAXIFS($N$5:$N$6004,$C$5:$C$6004,R36,$O$5:$O$6004,"EM ANDAMENTO")))</f>
        <v/>
      </c>
      <c r="AA36" s="2">
        <f>IF(OR(R36="",S36="",U36&lt;&gt;"SIM",V36=0),"",IF(W36+X36=0,"",T36&amp;": "&amp;IF(W36=V36,"concluído",IF(W36=0,"em execução"&amp;IF(Z36&lt;&gt;""," ("&amp;IF(Z36&lt;0,IF(COUNTIF($E$5:$E$6004,"SUBSOLO*")&gt;0,"subsolo",-Z36&amp;"º subsolo"),IF(Z36=0,"térreo",Z36&amp;"º pav."))&amp;")",""),IF(Y36&lt;&gt;"","até "&amp;IF(Y36&lt;0,IF(COUNTIF($E$5:$E$6004,"SUBSOLO*")&gt;0,"subsolo",-Y36&amp;"º subsolo"),IF(Y36=0,"térreo",Y36&amp;"º pav.")),W36&amp;" de "&amp;V36&amp;" concluídas")&amp;IF(Z36="","",IF(OR(Y36="",Z36&gt;Y36),", executando "&amp;IF(Z36&lt;0,IF(COUNTIF($E$5:$E$6004,"SUBSOLO*")&gt;0,"subsolo",-Z36&amp;"º subsolo"),IF(Z36=0,"térreo",Z36&amp;"º pav."))," (restam serviços no "&amp;IF(Z36&lt;0,IF(COUNTIF($E$5:$E$6004,"SUBSOLO*")&gt;0,"subsolo",-Z36&amp;"º subsolo"),IF(Z36=0,"térreo",Z36&amp;"º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26" t="n">
        <v>45782</v>
      </c>
      <c r="G37" s="126" t="n">
        <v>45782</v>
      </c>
      <c r="H37" s="126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IF(E37="","",IF(ISNUMBER(SEARCH("SUBSOLO",E37)),IFERROR(-VALUE(LEFT(E37,FIND("º",SUBSTITUTE(E37,"°","º"))-1)),-1),IF(LEFT(E37,6)="TÉRREO",0,IFERROR(VALUE(LEFT(E37,FIND("º",SUBSTITUTE(E37,"°","º"))-1)),""))))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IF(R37="","",COUNTIF($C$5:$C$6004,R37))</f>
        <v/>
      </c>
      <c r="W37" s="2">
        <f>IF(R37="","",COUNTIFS($C$5:$C$6004,R37,$O$5:$O$6004,"CONCLUÍDA"))</f>
        <v/>
      </c>
      <c r="X37" s="2">
        <f>IF(R37="","",COUNTIFS($C$5:$C$6004,R37,$O$5:$O$6004,"EM ANDAMENTO"))</f>
        <v/>
      </c>
      <c r="Y37" s="2">
        <f>IF(R37="","",IF(COUNTIFS($C$5:$C$6004,R37,$O$5:$O$6004,"CONCLUÍDA",$N$5:$N$6004,"&gt;=-99")=0,"",_xlfn.MAXIFS($N$5:$N$6004,$C$5:$C$6004,R37,$O$5:$O$6004,"CONCLUÍDA")))</f>
        <v/>
      </c>
      <c r="Z37" s="2">
        <f>IF(R37="","",IF(COUNTIFS($C$5:$C$6004,R37,$O$5:$O$6004,"EM ANDAMENTO",$N$5:$N$6004,"&gt;=-99")=0,"",_xlfn.MAXIFS($N$5:$N$6004,$C$5:$C$6004,R37,$O$5:$O$6004,"EM ANDAMENTO")))</f>
        <v/>
      </c>
      <c r="AA37" s="2">
        <f>IF(OR(R37="",S37="",U37&lt;&gt;"SIM",V37=0),"",IF(W37+X37=0,"",T37&amp;": "&amp;IF(W37=V37,"concluído",IF(W37=0,"em execução"&amp;IF(Z37&lt;&gt;""," ("&amp;IF(Z37&lt;0,IF(COUNTIF($E$5:$E$6004,"SUBSOLO*")&gt;0,"subsolo",-Z37&amp;"º subsolo"),IF(Z37=0,"térreo",Z37&amp;"º pav."))&amp;")",""),IF(Y37&lt;&gt;"","até "&amp;IF(Y37&lt;0,IF(COUNTIF($E$5:$E$6004,"SUBSOLO*")&gt;0,"subsolo",-Y37&amp;"º subsolo"),IF(Y37=0,"térreo",Y37&amp;"º pav.")),W37&amp;" de "&amp;V37&amp;" concluídas")&amp;IF(Z37="","",IF(OR(Y37="",Z37&gt;Y37),", executando "&amp;IF(Z37&lt;0,IF(COUNTIF($E$5:$E$6004,"SUBSOLO*")&gt;0,"subsolo",-Z37&amp;"º subsolo"),IF(Z37=0,"térreo",Z37&amp;"º pav."))," (restam serviços no "&amp;IF(Z37&lt;0,IF(COUNTIF($E$5:$E$6004,"SUBSOLO*")&gt;0,"subsolo",-Z37&amp;"º subsolo"),IF(Z37=0,"térreo",Z37&amp;"º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26" t="n">
        <v>45783</v>
      </c>
      <c r="G38" s="126" t="n">
        <v>45783</v>
      </c>
      <c r="H38" s="126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IF(E38="","",IF(ISNUMBER(SEARCH("SUBSOLO",E38)),IFERROR(-VALUE(LEFT(E38,FIND("º",SUBSTITUTE(E38,"°","º"))-1)),-1),IF(LEFT(E38,6)="TÉRREO",0,IFERROR(VALUE(LEFT(E38,FIND("º",SUBSTITUTE(E38,"°","º"))-1)),""))))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IF(R38="","",COUNTIF($C$5:$C$6004,R38))</f>
        <v/>
      </c>
      <c r="W38" s="2">
        <f>IF(R38="","",COUNTIFS($C$5:$C$6004,R38,$O$5:$O$6004,"CONCLUÍDA"))</f>
        <v/>
      </c>
      <c r="X38" s="2">
        <f>IF(R38="","",COUNTIFS($C$5:$C$6004,R38,$O$5:$O$6004,"EM ANDAMENTO"))</f>
        <v/>
      </c>
      <c r="Y38" s="2">
        <f>IF(R38="","",IF(COUNTIFS($C$5:$C$6004,R38,$O$5:$O$6004,"CONCLUÍDA",$N$5:$N$6004,"&gt;=-99")=0,"",_xlfn.MAXIFS($N$5:$N$6004,$C$5:$C$6004,R38,$O$5:$O$6004,"CONCLUÍDA")))</f>
        <v/>
      </c>
      <c r="Z38" s="2">
        <f>IF(R38="","",IF(COUNTIFS($C$5:$C$6004,R38,$O$5:$O$6004,"EM ANDAMENTO",$N$5:$N$6004,"&gt;=-99")=0,"",_xlfn.MAXIFS($N$5:$N$6004,$C$5:$C$6004,R38,$O$5:$O$6004,"EM ANDAMENTO")))</f>
        <v/>
      </c>
      <c r="AA38" s="2">
        <f>IF(OR(R38="",S38="",U38&lt;&gt;"SIM",V38=0),"",IF(W38+X38=0,"",T38&amp;": "&amp;IF(W38=V38,"concluído",IF(W38=0,"em execução"&amp;IF(Z38&lt;&gt;""," ("&amp;IF(Z38&lt;0,IF(COUNTIF($E$5:$E$6004,"SUBSOLO*")&gt;0,"subsolo",-Z38&amp;"º subsolo"),IF(Z38=0,"térreo",Z38&amp;"º pav."))&amp;")",""),IF(Y38&lt;&gt;"","até "&amp;IF(Y38&lt;0,IF(COUNTIF($E$5:$E$6004,"SUBSOLO*")&gt;0,"subsolo",-Y38&amp;"º subsolo"),IF(Y38=0,"térreo",Y38&amp;"º pav.")),W38&amp;" de "&amp;V38&amp;" concluídas")&amp;IF(Z38="","",IF(OR(Y38="",Z38&gt;Y38),", executando "&amp;IF(Z38&lt;0,IF(COUNTIF($E$5:$E$6004,"SUBSOLO*")&gt;0,"subsolo",-Z38&amp;"º subsolo"),IF(Z38=0,"térreo",Z38&amp;"º pav."))," (restam serviços no "&amp;IF(Z38&lt;0,IF(COUNTIF($E$5:$E$6004,"SUBSOLO*")&gt;0,"subsolo",-Z38&amp;"º subsolo"),IF(Z38=0,"térreo",Z38&amp;"º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26" t="n">
        <v>45784</v>
      </c>
      <c r="G39" s="126" t="n">
        <v>45784</v>
      </c>
      <c r="H39" s="126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IF(E39="","",IF(ISNUMBER(SEARCH("SUBSOLO",E39)),IFERROR(-VALUE(LEFT(E39,FIND("º",SUBSTITUTE(E39,"°","º"))-1)),-1),IF(LEFT(E39,6)="TÉRREO",0,IFERROR(VALUE(LEFT(E39,FIND("º",SUBSTITUTE(E39,"°","º"))-1)),""))))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IF(R39="","",COUNTIF($C$5:$C$6004,R39))</f>
        <v/>
      </c>
      <c r="W39" s="2">
        <f>IF(R39="","",COUNTIFS($C$5:$C$6004,R39,$O$5:$O$6004,"CONCLUÍDA"))</f>
        <v/>
      </c>
      <c r="X39" s="2">
        <f>IF(R39="","",COUNTIFS($C$5:$C$6004,R39,$O$5:$O$6004,"EM ANDAMENTO"))</f>
        <v/>
      </c>
      <c r="Y39" s="2">
        <f>IF(R39="","",IF(COUNTIFS($C$5:$C$6004,R39,$O$5:$O$6004,"CONCLUÍDA",$N$5:$N$6004,"&gt;=-99")=0,"",_xlfn.MAXIFS($N$5:$N$6004,$C$5:$C$6004,R39,$O$5:$O$6004,"CONCLUÍDA")))</f>
        <v/>
      </c>
      <c r="Z39" s="2">
        <f>IF(R39="","",IF(COUNTIFS($C$5:$C$6004,R39,$O$5:$O$6004,"EM ANDAMENTO",$N$5:$N$6004,"&gt;=-99")=0,"",_xlfn.MAXIFS($N$5:$N$6004,$C$5:$C$6004,R39,$O$5:$O$6004,"EM ANDAMENTO")))</f>
        <v/>
      </c>
      <c r="AA39" s="2">
        <f>IF(OR(R39="",S39="",U39&lt;&gt;"SIM",V39=0),"",IF(W39+X39=0,"",T39&amp;": "&amp;IF(W39=V39,"concluído",IF(W39=0,"em execução"&amp;IF(Z39&lt;&gt;""," ("&amp;IF(Z39&lt;0,IF(COUNTIF($E$5:$E$6004,"SUBSOLO*")&gt;0,"subsolo",-Z39&amp;"º subsolo"),IF(Z39=0,"térreo",Z39&amp;"º pav."))&amp;")",""),IF(Y39&lt;&gt;"","até "&amp;IF(Y39&lt;0,IF(COUNTIF($E$5:$E$6004,"SUBSOLO*")&gt;0,"subsolo",-Y39&amp;"º subsolo"),IF(Y39=0,"térreo",Y39&amp;"º pav.")),W39&amp;" de "&amp;V39&amp;" concluídas")&amp;IF(Z39="","",IF(OR(Y39="",Z39&gt;Y39),", executando "&amp;IF(Z39&lt;0,IF(COUNTIF($E$5:$E$6004,"SUBSOLO*")&gt;0,"subsolo",-Z39&amp;"º subsolo"),IF(Z39=0,"térreo",Z39&amp;"º pav."))," (restam serviços no "&amp;IF(Z39&lt;0,IF(COUNTIF($E$5:$E$6004,"SUBSOLO*")&gt;0,"subsolo",-Z39&amp;"º subsolo"),IF(Z39=0,"térreo",Z39&amp;"º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26" t="n">
        <v>45785</v>
      </c>
      <c r="G40" s="126" t="n">
        <v>45785</v>
      </c>
      <c r="H40" s="126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IF(E40="","",IF(ISNUMBER(SEARCH("SUBSOLO",E40)),IFERROR(-VALUE(LEFT(E40,FIND("º",SUBSTITUTE(E40,"°","º"))-1)),-1),IF(LEFT(E40,6)="TÉRREO",0,IFERROR(VALUE(LEFT(E40,FIND("º",SUBSTITUTE(E40,"°","º"))-1)),""))))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IF(R40="","",COUNTIF($C$5:$C$6004,R40))</f>
        <v/>
      </c>
      <c r="W40" s="2">
        <f>IF(R40="","",COUNTIFS($C$5:$C$6004,R40,$O$5:$O$6004,"CONCLUÍDA"))</f>
        <v/>
      </c>
      <c r="X40" s="2">
        <f>IF(R40="","",COUNTIFS($C$5:$C$6004,R40,$O$5:$O$6004,"EM ANDAMENTO"))</f>
        <v/>
      </c>
      <c r="Y40" s="2">
        <f>IF(R40="","",IF(COUNTIFS($C$5:$C$6004,R40,$O$5:$O$6004,"CONCLUÍDA",$N$5:$N$6004,"&gt;=-99")=0,"",_xlfn.MAXIFS($N$5:$N$6004,$C$5:$C$6004,R40,$O$5:$O$6004,"CONCLUÍDA")))</f>
        <v/>
      </c>
      <c r="Z40" s="2">
        <f>IF(R40="","",IF(COUNTIFS($C$5:$C$6004,R40,$O$5:$O$6004,"EM ANDAMENTO",$N$5:$N$6004,"&gt;=-99")=0,"",_xlfn.MAXIFS($N$5:$N$6004,$C$5:$C$6004,R40,$O$5:$O$6004,"EM ANDAMENTO")))</f>
        <v/>
      </c>
      <c r="AA40" s="2">
        <f>IF(OR(R40="",S40="",U40&lt;&gt;"SIM",V40=0),"",IF(W40+X40=0,"",T40&amp;": "&amp;IF(W40=V40,"concluído",IF(W40=0,"em execução"&amp;IF(Z40&lt;&gt;""," ("&amp;IF(Z40&lt;0,IF(COUNTIF($E$5:$E$6004,"SUBSOLO*")&gt;0,"subsolo",-Z40&amp;"º subsolo"),IF(Z40=0,"térreo",Z40&amp;"º pav."))&amp;")",""),IF(Y40&lt;&gt;"","até "&amp;IF(Y40&lt;0,IF(COUNTIF($E$5:$E$6004,"SUBSOLO*")&gt;0,"subsolo",-Y40&amp;"º subsolo"),IF(Y40=0,"térreo",Y40&amp;"º pav.")),W40&amp;" de "&amp;V40&amp;" concluídas")&amp;IF(Z40="","",IF(OR(Y40="",Z40&gt;Y40),", executando "&amp;IF(Z40&lt;0,IF(COUNTIF($E$5:$E$6004,"SUBSOLO*")&gt;0,"subsolo",-Z40&amp;"º subsolo"),IF(Z40=0,"térreo",Z40&amp;"º pav."))," (restam serviços no "&amp;IF(Z40&lt;0,IF(COUNTIF($E$5:$E$6004,"SUBSOLO*")&gt;0,"subsolo",-Z40&amp;"º subsolo"),IF(Z40=0,"térreo",Z40&amp;"º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26" t="n">
        <v>45786</v>
      </c>
      <c r="G41" s="126" t="n">
        <v>45786</v>
      </c>
      <c r="H41" s="126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IF(E41="","",IF(ISNUMBER(SEARCH("SUBSOLO",E41)),IFERROR(-VALUE(LEFT(E41,FIND("º",SUBSTITUTE(E41,"°","º"))-1)),-1),IF(LEFT(E41,6)="TÉRREO",0,IFERROR(VALUE(LEFT(E41,FIND("º",SUBSTITUTE(E41,"°","º"))-1)),""))))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IF(R41="","",COUNTIF($C$5:$C$6004,R41))</f>
        <v/>
      </c>
      <c r="W41" s="2">
        <f>IF(R41="","",COUNTIFS($C$5:$C$6004,R41,$O$5:$O$6004,"CONCLUÍDA"))</f>
        <v/>
      </c>
      <c r="X41" s="2">
        <f>IF(R41="","",COUNTIFS($C$5:$C$6004,R41,$O$5:$O$6004,"EM ANDAMENTO"))</f>
        <v/>
      </c>
      <c r="Y41" s="2">
        <f>IF(R41="","",IF(COUNTIFS($C$5:$C$6004,R41,$O$5:$O$6004,"CONCLUÍDA",$N$5:$N$6004,"&gt;=-99")=0,"",_xlfn.MAXIFS($N$5:$N$6004,$C$5:$C$6004,R41,$O$5:$O$6004,"CONCLUÍDA")))</f>
        <v/>
      </c>
      <c r="Z41" s="2">
        <f>IF(R41="","",IF(COUNTIFS($C$5:$C$6004,R41,$O$5:$O$6004,"EM ANDAMENTO",$N$5:$N$6004,"&gt;=-99")=0,"",_xlfn.MAXIFS($N$5:$N$6004,$C$5:$C$6004,R41,$O$5:$O$6004,"EM ANDAMENTO")))</f>
        <v/>
      </c>
      <c r="AA41" s="2">
        <f>IF(OR(R41="",S41="",U41&lt;&gt;"SIM",V41=0),"",IF(W41+X41=0,"",T41&amp;": "&amp;IF(W41=V41,"concluído",IF(W41=0,"em execução"&amp;IF(Z41&lt;&gt;""," ("&amp;IF(Z41&lt;0,IF(COUNTIF($E$5:$E$6004,"SUBSOLO*")&gt;0,"subsolo",-Z41&amp;"º subsolo"),IF(Z41=0,"térreo",Z41&amp;"º pav."))&amp;")",""),IF(Y41&lt;&gt;"","até "&amp;IF(Y41&lt;0,IF(COUNTIF($E$5:$E$6004,"SUBSOLO*")&gt;0,"subsolo",-Y41&amp;"º subsolo"),IF(Y41=0,"térreo",Y41&amp;"º pav.")),W41&amp;" de "&amp;V41&amp;" concluídas")&amp;IF(Z41="","",IF(OR(Y41="",Z41&gt;Y41),", executando "&amp;IF(Z41&lt;0,IF(COUNTIF($E$5:$E$6004,"SUBSOLO*")&gt;0,"subsolo",-Z41&amp;"º subsolo"),IF(Z41=0,"térreo",Z41&amp;"º pav."))," (restam serviços no "&amp;IF(Z41&lt;0,IF(COUNTIF($E$5:$E$6004,"SUBSOLO*")&gt;0,"subsolo",-Z41&amp;"º subsolo"),IF(Z41=0,"térreo",Z41&amp;"º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26" t="n">
        <v>45782</v>
      </c>
      <c r="G42" s="126" t="n">
        <v>45804</v>
      </c>
      <c r="H42" s="126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IF(E42="","",IF(ISNUMBER(SEARCH("SUBSOLO",E42)),IFERROR(-VALUE(LEFT(E42,FIND("º",SUBSTITUTE(E42,"°","º"))-1)),-1),IF(LEFT(E42,6)="TÉRREO",0,IFERROR(VALUE(LEFT(E42,FIND("º",SUBSTITUTE(E42,"°","º"))-1)),""))))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IF(R42="","",COUNTIF($C$5:$C$6004,R42))</f>
        <v/>
      </c>
      <c r="W42" s="2">
        <f>IF(R42="","",COUNTIFS($C$5:$C$6004,R42,$O$5:$O$6004,"CONCLUÍDA"))</f>
        <v/>
      </c>
      <c r="X42" s="2">
        <f>IF(R42="","",COUNTIFS($C$5:$C$6004,R42,$O$5:$O$6004,"EM ANDAMENTO"))</f>
        <v/>
      </c>
      <c r="Y42" s="2">
        <f>IF(R42="","",IF(COUNTIFS($C$5:$C$6004,R42,$O$5:$O$6004,"CONCLUÍDA",$N$5:$N$6004,"&gt;=-99")=0,"",_xlfn.MAXIFS($N$5:$N$6004,$C$5:$C$6004,R42,$O$5:$O$6004,"CONCLUÍDA")))</f>
        <v/>
      </c>
      <c r="Z42" s="2">
        <f>IF(R42="","",IF(COUNTIFS($C$5:$C$6004,R42,$O$5:$O$6004,"EM ANDAMENTO",$N$5:$N$6004,"&gt;=-99")=0,"",_xlfn.MAXIFS($N$5:$N$6004,$C$5:$C$6004,R42,$O$5:$O$6004,"EM ANDAMENTO")))</f>
        <v/>
      </c>
      <c r="AA42" s="2">
        <f>IF(OR(R42="",S42="",U42&lt;&gt;"SIM",V42=0),"",IF(W42+X42=0,"",T42&amp;": "&amp;IF(W42=V42,"concluído",IF(W42=0,"em execução"&amp;IF(Z42&lt;&gt;""," ("&amp;IF(Z42&lt;0,IF(COUNTIF($E$5:$E$6004,"SUBSOLO*")&gt;0,"subsolo",-Z42&amp;"º subsolo"),IF(Z42=0,"térreo",Z42&amp;"º pav."))&amp;")",""),IF(Y42&lt;&gt;"","até "&amp;IF(Y42&lt;0,IF(COUNTIF($E$5:$E$6004,"SUBSOLO*")&gt;0,"subsolo",-Y42&amp;"º subsolo"),IF(Y42=0,"térreo",Y42&amp;"º pav.")),W42&amp;" de "&amp;V42&amp;" concluídas")&amp;IF(Z42="","",IF(OR(Y42="",Z42&gt;Y42),", executando "&amp;IF(Z42&lt;0,IF(COUNTIF($E$5:$E$6004,"SUBSOLO*")&gt;0,"subsolo",-Z42&amp;"º subsolo"),IF(Z42=0,"térreo",Z42&amp;"º pav."))," (restam serviços no "&amp;IF(Z42&lt;0,IF(COUNTIF($E$5:$E$6004,"SUBSOLO*")&gt;0,"subsolo",-Z42&amp;"º subsolo"),IF(Z42=0,"térreo",Z42&amp;"º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26" t="n">
        <v>45782</v>
      </c>
      <c r="G43" s="126" t="n">
        <v>45784</v>
      </c>
      <c r="H43" s="126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IF(E43="","",IF(ISNUMBER(SEARCH("SUBSOLO",E43)),IFERROR(-VALUE(LEFT(E43,FIND("º",SUBSTITUTE(E43,"°","º"))-1)),-1),IF(LEFT(E43,6)="TÉRREO",0,IFERROR(VALUE(LEFT(E43,FIND("º",SUBSTITUTE(E43,"°","º"))-1)),""))))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IF(R43="","",COUNTIF($C$5:$C$6004,R43))</f>
        <v/>
      </c>
      <c r="W43" s="2">
        <f>IF(R43="","",COUNTIFS($C$5:$C$6004,R43,$O$5:$O$6004,"CONCLUÍDA"))</f>
        <v/>
      </c>
      <c r="X43" s="2">
        <f>IF(R43="","",COUNTIFS($C$5:$C$6004,R43,$O$5:$O$6004,"EM ANDAMENTO"))</f>
        <v/>
      </c>
      <c r="Y43" s="2">
        <f>IF(R43="","",IF(COUNTIFS($C$5:$C$6004,R43,$O$5:$O$6004,"CONCLUÍDA",$N$5:$N$6004,"&gt;=-99")=0,"",_xlfn.MAXIFS($N$5:$N$6004,$C$5:$C$6004,R43,$O$5:$O$6004,"CONCLUÍDA")))</f>
        <v/>
      </c>
      <c r="Z43" s="2">
        <f>IF(R43="","",IF(COUNTIFS($C$5:$C$6004,R43,$O$5:$O$6004,"EM ANDAMENTO",$N$5:$N$6004,"&gt;=-99")=0,"",_xlfn.MAXIFS($N$5:$N$6004,$C$5:$C$6004,R43,$O$5:$O$6004,"EM ANDAMENTO")))</f>
        <v/>
      </c>
      <c r="AA43" s="2">
        <f>IF(OR(R43="",S43="",U43&lt;&gt;"SIM",V43=0),"",IF(W43+X43=0,"",T43&amp;": "&amp;IF(W43=V43,"concluído",IF(W43=0,"em execução"&amp;IF(Z43&lt;&gt;""," ("&amp;IF(Z43&lt;0,IF(COUNTIF($E$5:$E$6004,"SUBSOLO*")&gt;0,"subsolo",-Z43&amp;"º subsolo"),IF(Z43=0,"térreo",Z43&amp;"º pav."))&amp;")",""),IF(Y43&lt;&gt;"","até "&amp;IF(Y43&lt;0,IF(COUNTIF($E$5:$E$6004,"SUBSOLO*")&gt;0,"subsolo",-Y43&amp;"º subsolo"),IF(Y43=0,"térreo",Y43&amp;"º pav.")),W43&amp;" de "&amp;V43&amp;" concluídas")&amp;IF(Z43="","",IF(OR(Y43="",Z43&gt;Y43),", executando "&amp;IF(Z43&lt;0,IF(COUNTIF($E$5:$E$6004,"SUBSOLO*")&gt;0,"subsolo",-Z43&amp;"º subsolo"),IF(Z43=0,"térreo",Z43&amp;"º pav."))," (restam serviços no "&amp;IF(Z43&lt;0,IF(COUNTIF($E$5:$E$6004,"SUBSOLO*")&gt;0,"subsolo",-Z43&amp;"º subsolo"),IF(Z43=0,"térreo",Z43&amp;"º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26" t="n">
        <v>45789</v>
      </c>
      <c r="G44" s="126" t="n">
        <v>45790</v>
      </c>
      <c r="H44" s="126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IF(E44="","",IF(ISNUMBER(SEARCH("SUBSOLO",E44)),IFERROR(-VALUE(LEFT(E44,FIND("º",SUBSTITUTE(E44,"°","º"))-1)),-1),IF(LEFT(E44,6)="TÉRREO",0,IFERROR(VALUE(LEFT(E44,FIND("º",SUBSTITUTE(E44,"°","º"))-1)),""))))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IF(R44="","",COUNTIF($C$5:$C$6004,R44))</f>
        <v/>
      </c>
      <c r="W44" s="2">
        <f>IF(R44="","",COUNTIFS($C$5:$C$6004,R44,$O$5:$O$6004,"CONCLUÍDA"))</f>
        <v/>
      </c>
      <c r="X44" s="2">
        <f>IF(R44="","",COUNTIFS($C$5:$C$6004,R44,$O$5:$O$6004,"EM ANDAMENTO"))</f>
        <v/>
      </c>
      <c r="Y44" s="2">
        <f>IF(R44="","",IF(COUNTIFS($C$5:$C$6004,R44,$O$5:$O$6004,"CONCLUÍDA",$N$5:$N$6004,"&gt;=-99")=0,"",_xlfn.MAXIFS($N$5:$N$6004,$C$5:$C$6004,R44,$O$5:$O$6004,"CONCLUÍDA")))</f>
        <v/>
      </c>
      <c r="Z44" s="2">
        <f>IF(R44="","",IF(COUNTIFS($C$5:$C$6004,R44,$O$5:$O$6004,"EM ANDAMENTO",$N$5:$N$6004,"&gt;=-99")=0,"",_xlfn.MAXIFS($N$5:$N$6004,$C$5:$C$6004,R44,$O$5:$O$6004,"EM ANDAMENTO")))</f>
        <v/>
      </c>
      <c r="AA44" s="2">
        <f>IF(OR(R44="",S44="",U44&lt;&gt;"SIM",V44=0),"",IF(W44+X44=0,"",T44&amp;": "&amp;IF(W44=V44,"concluído",IF(W44=0,"em execução"&amp;IF(Z44&lt;&gt;""," ("&amp;IF(Z44&lt;0,IF(COUNTIF($E$5:$E$6004,"SUBSOLO*")&gt;0,"subsolo",-Z44&amp;"º subsolo"),IF(Z44=0,"térreo",Z44&amp;"º pav."))&amp;")",""),IF(Y44&lt;&gt;"","até "&amp;IF(Y44&lt;0,IF(COUNTIF($E$5:$E$6004,"SUBSOLO*")&gt;0,"subsolo",-Y44&amp;"º subsolo"),IF(Y44=0,"térreo",Y44&amp;"º pav.")),W44&amp;" de "&amp;V44&amp;" concluídas")&amp;IF(Z44="","",IF(OR(Y44="",Z44&gt;Y44),", executando "&amp;IF(Z44&lt;0,IF(COUNTIF($E$5:$E$6004,"SUBSOLO*")&gt;0,"subsolo",-Z44&amp;"º subsolo"),IF(Z44=0,"térreo",Z44&amp;"º pav."))," (restam serviços no "&amp;IF(Z44&lt;0,IF(COUNTIF($E$5:$E$6004,"SUBSOLO*")&gt;0,"subsolo",-Z44&amp;"º subsolo"),IF(Z44=0,"térreo",Z44&amp;"º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26" t="n">
        <v>45803</v>
      </c>
      <c r="G45" s="126" t="n">
        <v>45804</v>
      </c>
      <c r="H45" s="126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IF(E45="","",IF(ISNUMBER(SEARCH("SUBSOLO",E45)),IFERROR(-VALUE(LEFT(E45,FIND("º",SUBSTITUTE(E45,"°","º"))-1)),-1),IF(LEFT(E45,6)="TÉRREO",0,IFERROR(VALUE(LEFT(E45,FIND("º",SUBSTITUTE(E45,"°","º"))-1)),""))))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IF(R45="","",COUNTIF($C$5:$C$6004,R45))</f>
        <v/>
      </c>
      <c r="W45" s="2">
        <f>IF(R45="","",COUNTIFS($C$5:$C$6004,R45,$O$5:$O$6004,"CONCLUÍDA"))</f>
        <v/>
      </c>
      <c r="X45" s="2">
        <f>IF(R45="","",COUNTIFS($C$5:$C$6004,R45,$O$5:$O$6004,"EM ANDAMENTO"))</f>
        <v/>
      </c>
      <c r="Y45" s="2">
        <f>IF(R45="","",IF(COUNTIFS($C$5:$C$6004,R45,$O$5:$O$6004,"CONCLUÍDA",$N$5:$N$6004,"&gt;=-99")=0,"",_xlfn.MAXIFS($N$5:$N$6004,$C$5:$C$6004,R45,$O$5:$O$6004,"CONCLUÍDA")))</f>
        <v/>
      </c>
      <c r="Z45" s="2">
        <f>IF(R45="","",IF(COUNTIFS($C$5:$C$6004,R45,$O$5:$O$6004,"EM ANDAMENTO",$N$5:$N$6004,"&gt;=-99")=0,"",_xlfn.MAXIFS($N$5:$N$6004,$C$5:$C$6004,R45,$O$5:$O$6004,"EM ANDAMENTO")))</f>
        <v/>
      </c>
      <c r="AA45" s="2">
        <f>IF(OR(R45="",S45="",U45&lt;&gt;"SIM",V45=0),"",IF(W45+X45=0,"",T45&amp;": "&amp;IF(W45=V45,"concluído",IF(W45=0,"em execução"&amp;IF(Z45&lt;&gt;""," ("&amp;IF(Z45&lt;0,IF(COUNTIF($E$5:$E$6004,"SUBSOLO*")&gt;0,"subsolo",-Z45&amp;"º subsolo"),IF(Z45=0,"térreo",Z45&amp;"º pav."))&amp;")",""),IF(Y45&lt;&gt;"","até "&amp;IF(Y45&lt;0,IF(COUNTIF($E$5:$E$6004,"SUBSOLO*")&gt;0,"subsolo",-Y45&amp;"º subsolo"),IF(Y45=0,"térreo",Y45&amp;"º pav.")),W45&amp;" de "&amp;V45&amp;" concluídas")&amp;IF(Z45="","",IF(OR(Y45="",Z45&gt;Y45),", executando "&amp;IF(Z45&lt;0,IF(COUNTIF($E$5:$E$6004,"SUBSOLO*")&gt;0,"subsolo",-Z45&amp;"º subsolo"),IF(Z45=0,"térreo",Z45&amp;"º pav."))," (restam serviços no "&amp;IF(Z45&lt;0,IF(COUNTIF($E$5:$E$6004,"SUBSOLO*")&gt;0,"subsolo",-Z45&amp;"º subsolo"),IF(Z45=0,"térreo",Z45&amp;"º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26" t="n">
        <v>45791</v>
      </c>
      <c r="G46" s="126" t="n">
        <v>45912</v>
      </c>
      <c r="H46" s="126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IF(E46="","",IF(ISNUMBER(SEARCH("SUBSOLO",E46)),IFERROR(-VALUE(LEFT(E46,FIND("º",SUBSTITUTE(E46,"°","º"))-1)),-1),IF(LEFT(E46,6)="TÉRREO",0,IFERROR(VALUE(LEFT(E46,FIND("º",SUBSTITUTE(E46,"°","º"))-1)),""))))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IF(R46="","",COUNTIF($C$5:$C$6004,R46))</f>
        <v/>
      </c>
      <c r="W46" s="2">
        <f>IF(R46="","",COUNTIFS($C$5:$C$6004,R46,$O$5:$O$6004,"CONCLUÍDA"))</f>
        <v/>
      </c>
      <c r="X46" s="2">
        <f>IF(R46="","",COUNTIFS($C$5:$C$6004,R46,$O$5:$O$6004,"EM ANDAMENTO"))</f>
        <v/>
      </c>
      <c r="Y46" s="2">
        <f>IF(R46="","",IF(COUNTIFS($C$5:$C$6004,R46,$O$5:$O$6004,"CONCLUÍDA",$N$5:$N$6004,"&gt;=-99")=0,"",_xlfn.MAXIFS($N$5:$N$6004,$C$5:$C$6004,R46,$O$5:$O$6004,"CONCLUÍDA")))</f>
        <v/>
      </c>
      <c r="Z46" s="2">
        <f>IF(R46="","",IF(COUNTIFS($C$5:$C$6004,R46,$O$5:$O$6004,"EM ANDAMENTO",$N$5:$N$6004,"&gt;=-99")=0,"",_xlfn.MAXIFS($N$5:$N$6004,$C$5:$C$6004,R46,$O$5:$O$6004,"EM ANDAMENTO")))</f>
        <v/>
      </c>
      <c r="AA46" s="2">
        <f>IF(OR(R46="",S46="",U46&lt;&gt;"SIM",V46=0),"",IF(W46+X46=0,"",T46&amp;": "&amp;IF(W46=V46,"concluído",IF(W46=0,"em execução"&amp;IF(Z46&lt;&gt;""," ("&amp;IF(Z46&lt;0,IF(COUNTIF($E$5:$E$6004,"SUBSOLO*")&gt;0,"subsolo",-Z46&amp;"º subsolo"),IF(Z46=0,"térreo",Z46&amp;"º pav."))&amp;")",""),IF(Y46&lt;&gt;"","até "&amp;IF(Y46&lt;0,IF(COUNTIF($E$5:$E$6004,"SUBSOLO*")&gt;0,"subsolo",-Y46&amp;"º subsolo"),IF(Y46=0,"térreo",Y46&amp;"º pav.")),W46&amp;" de "&amp;V46&amp;" concluídas")&amp;IF(Z46="","",IF(OR(Y46="",Z46&gt;Y46),", executando "&amp;IF(Z46&lt;0,IF(COUNTIF($E$5:$E$6004,"SUBSOLO*")&gt;0,"subsolo",-Z46&amp;"º subsolo"),IF(Z46=0,"térreo",Z46&amp;"º pav."))," (restam serviços no "&amp;IF(Z46&lt;0,IF(COUNTIF($E$5:$E$6004,"SUBSOLO*")&gt;0,"subsolo",-Z46&amp;"º subsolo"),IF(Z46=0,"térreo",Z46&amp;"º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26" t="n">
        <v>45796</v>
      </c>
      <c r="G47" s="126" t="n">
        <v>45854</v>
      </c>
      <c r="H47" s="126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IF(E47="","",IF(ISNUMBER(SEARCH("SUBSOLO",E47)),IFERROR(-VALUE(LEFT(E47,FIND("º",SUBSTITUTE(E47,"°","º"))-1)),-1),IF(LEFT(E47,6)="TÉRREO",0,IFERROR(VALUE(LEFT(E47,FIND("º",SUBSTITUTE(E47,"°","º"))-1)),""))))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IF(R47="","",COUNTIF($C$5:$C$6004,R47))</f>
        <v/>
      </c>
      <c r="W47" s="2">
        <f>IF(R47="","",COUNTIFS($C$5:$C$6004,R47,$O$5:$O$6004,"CONCLUÍDA"))</f>
        <v/>
      </c>
      <c r="X47" s="2">
        <f>IF(R47="","",COUNTIFS($C$5:$C$6004,R47,$O$5:$O$6004,"EM ANDAMENTO"))</f>
        <v/>
      </c>
      <c r="Y47" s="2">
        <f>IF(R47="","",IF(COUNTIFS($C$5:$C$6004,R47,$O$5:$O$6004,"CONCLUÍDA",$N$5:$N$6004,"&gt;=-99")=0,"",_xlfn.MAXIFS($N$5:$N$6004,$C$5:$C$6004,R47,$O$5:$O$6004,"CONCLUÍDA")))</f>
        <v/>
      </c>
      <c r="Z47" s="2">
        <f>IF(R47="","",IF(COUNTIFS($C$5:$C$6004,R47,$O$5:$O$6004,"EM ANDAMENTO",$N$5:$N$6004,"&gt;=-99")=0,"",_xlfn.MAXIFS($N$5:$N$6004,$C$5:$C$6004,R47,$O$5:$O$6004,"EM ANDAMENTO")))</f>
        <v/>
      </c>
      <c r="AA47" s="2">
        <f>IF(OR(R47="",S47="",U47&lt;&gt;"SIM",V47=0),"",IF(W47+X47=0,"",T47&amp;": "&amp;IF(W47=V47,"concluído",IF(W47=0,"em execução"&amp;IF(Z47&lt;&gt;""," ("&amp;IF(Z47&lt;0,IF(COUNTIF($E$5:$E$6004,"SUBSOLO*")&gt;0,"subsolo",-Z47&amp;"º subsolo"),IF(Z47=0,"térreo",Z47&amp;"º pav."))&amp;")",""),IF(Y47&lt;&gt;"","até "&amp;IF(Y47&lt;0,IF(COUNTIF($E$5:$E$6004,"SUBSOLO*")&gt;0,"subsolo",-Y47&amp;"º subsolo"),IF(Y47=0,"térreo",Y47&amp;"º pav.")),W47&amp;" de "&amp;V47&amp;" concluídas")&amp;IF(Z47="","",IF(OR(Y47="",Z47&gt;Y47),", executando "&amp;IF(Z47&lt;0,IF(COUNTIF($E$5:$E$6004,"SUBSOLO*")&gt;0,"subsolo",-Z47&amp;"º subsolo"),IF(Z47=0,"térreo",Z47&amp;"º pav."))," (restam serviços no "&amp;IF(Z47&lt;0,IF(COUNTIF($E$5:$E$6004,"SUBSOLO*")&gt;0,"subsolo",-Z47&amp;"º subsolo"),IF(Z47=0,"térreo",Z47&amp;"º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26" t="n">
        <v>45796</v>
      </c>
      <c r="G48" s="126" t="n">
        <v>45814</v>
      </c>
      <c r="H48" s="126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IF(E48="","",IF(ISNUMBER(SEARCH("SUBSOLO",E48)),IFERROR(-VALUE(LEFT(E48,FIND("º",SUBSTITUTE(E48,"°","º"))-1)),-1),IF(LEFT(E48,6)="TÉRREO",0,IFERROR(VALUE(LEFT(E48,FIND("º",SUBSTITUTE(E48,"°","º"))-1)),""))))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IF(R48="","",COUNTIF($C$5:$C$6004,R48))</f>
        <v/>
      </c>
      <c r="W48" s="2">
        <f>IF(R48="","",COUNTIFS($C$5:$C$6004,R48,$O$5:$O$6004,"CONCLUÍDA"))</f>
        <v/>
      </c>
      <c r="X48" s="2">
        <f>IF(R48="","",COUNTIFS($C$5:$C$6004,R48,$O$5:$O$6004,"EM ANDAMENTO"))</f>
        <v/>
      </c>
      <c r="Y48" s="2">
        <f>IF(R48="","",IF(COUNTIFS($C$5:$C$6004,R48,$O$5:$O$6004,"CONCLUÍDA",$N$5:$N$6004,"&gt;=-99")=0,"",_xlfn.MAXIFS($N$5:$N$6004,$C$5:$C$6004,R48,$O$5:$O$6004,"CONCLUÍDA")))</f>
        <v/>
      </c>
      <c r="Z48" s="2">
        <f>IF(R48="","",IF(COUNTIFS($C$5:$C$6004,R48,$O$5:$O$6004,"EM ANDAMENTO",$N$5:$N$6004,"&gt;=-99")=0,"",_xlfn.MAXIFS($N$5:$N$6004,$C$5:$C$6004,R48,$O$5:$O$6004,"EM ANDAMENTO")))</f>
        <v/>
      </c>
      <c r="AA48" s="2">
        <f>IF(OR(R48="",S48="",U48&lt;&gt;"SIM",V48=0),"",IF(W48+X48=0,"",T48&amp;": "&amp;IF(W48=V48,"concluído",IF(W48=0,"em execução"&amp;IF(Z48&lt;&gt;""," ("&amp;IF(Z48&lt;0,IF(COUNTIF($E$5:$E$6004,"SUBSOLO*")&gt;0,"subsolo",-Z48&amp;"º subsolo"),IF(Z48=0,"térreo",Z48&amp;"º pav."))&amp;")",""),IF(Y48&lt;&gt;"","até "&amp;IF(Y48&lt;0,IF(COUNTIF($E$5:$E$6004,"SUBSOLO*")&gt;0,"subsolo",-Y48&amp;"º subsolo"),IF(Y48=0,"térreo",Y48&amp;"º pav.")),W48&amp;" de "&amp;V48&amp;" concluídas")&amp;IF(Z48="","",IF(OR(Y48="",Z48&gt;Y48),", executando "&amp;IF(Z48&lt;0,IF(COUNTIF($E$5:$E$6004,"SUBSOLO*")&gt;0,"subsolo",-Z48&amp;"º subsolo"),IF(Z48=0,"térreo",Z48&amp;"º pav."))," (restam serviços no "&amp;IF(Z48&lt;0,IF(COUNTIF($E$5:$E$6004,"SUBSOLO*")&gt;0,"subsolo",-Z48&amp;"º subsolo"),IF(Z48=0,"térreo",Z48&amp;"º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26" t="n">
        <v>45803</v>
      </c>
      <c r="G49" s="126" t="n">
        <v>45814</v>
      </c>
      <c r="H49" s="126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IF(E49="","",IF(ISNUMBER(SEARCH("SUBSOLO",E49)),IFERROR(-VALUE(LEFT(E49,FIND("º",SUBSTITUTE(E49,"°","º"))-1)),-1),IF(LEFT(E49,6)="TÉRREO",0,IFERROR(VALUE(LEFT(E49,FIND("º",SUBSTITUTE(E49,"°","º"))-1)),""))))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IF(R49="","",COUNTIF($C$5:$C$6004,R49))</f>
        <v/>
      </c>
      <c r="W49" s="2">
        <f>IF(R49="","",COUNTIFS($C$5:$C$6004,R49,$O$5:$O$6004,"CONCLUÍDA"))</f>
        <v/>
      </c>
      <c r="X49" s="2">
        <f>IF(R49="","",COUNTIFS($C$5:$C$6004,R49,$O$5:$O$6004,"EM ANDAMENTO"))</f>
        <v/>
      </c>
      <c r="Y49" s="2">
        <f>IF(R49="","",IF(COUNTIFS($C$5:$C$6004,R49,$O$5:$O$6004,"CONCLUÍDA",$N$5:$N$6004,"&gt;=-99")=0,"",_xlfn.MAXIFS($N$5:$N$6004,$C$5:$C$6004,R49,$O$5:$O$6004,"CONCLUÍDA")))</f>
        <v/>
      </c>
      <c r="Z49" s="2">
        <f>IF(R49="","",IF(COUNTIFS($C$5:$C$6004,R49,$O$5:$O$6004,"EM ANDAMENTO",$N$5:$N$6004,"&gt;=-99")=0,"",_xlfn.MAXIFS($N$5:$N$6004,$C$5:$C$6004,R49,$O$5:$O$6004,"EM ANDAMENTO")))</f>
        <v/>
      </c>
      <c r="AA49" s="2">
        <f>IF(OR(R49="",S49="",U49&lt;&gt;"SIM",V49=0),"",IF(W49+X49=0,"",T49&amp;": "&amp;IF(W49=V49,"concluído",IF(W49=0,"em execução"&amp;IF(Z49&lt;&gt;""," ("&amp;IF(Z49&lt;0,IF(COUNTIF($E$5:$E$6004,"SUBSOLO*")&gt;0,"subsolo",-Z49&amp;"º subsolo"),IF(Z49=0,"térreo",Z49&amp;"º pav."))&amp;")",""),IF(Y49&lt;&gt;"","até "&amp;IF(Y49&lt;0,IF(COUNTIF($E$5:$E$6004,"SUBSOLO*")&gt;0,"subsolo",-Y49&amp;"º subsolo"),IF(Y49=0,"térreo",Y49&amp;"º pav.")),W49&amp;" de "&amp;V49&amp;" concluídas")&amp;IF(Z49="","",IF(OR(Y49="",Z49&gt;Y49),", executando "&amp;IF(Z49&lt;0,IF(COUNTIF($E$5:$E$6004,"SUBSOLO*")&gt;0,"subsolo",-Z49&amp;"º subsolo"),IF(Z49=0,"térreo",Z49&amp;"º pav."))," (restam serviços no "&amp;IF(Z49&lt;0,IF(COUNTIF($E$5:$E$6004,"SUBSOLO*")&gt;0,"subsolo",-Z49&amp;"º subsolo"),IF(Z49=0,"térreo",Z49&amp;"º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26" t="n">
        <v>45805</v>
      </c>
      <c r="G50" s="126" t="n">
        <v>45821</v>
      </c>
      <c r="H50" s="126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IF(E50="","",IF(ISNUMBER(SEARCH("SUBSOLO",E50)),IFERROR(-VALUE(LEFT(E50,FIND("º",SUBSTITUTE(E50,"°","º"))-1)),-1),IF(LEFT(E50,6)="TÉRREO",0,IFERROR(VALUE(LEFT(E50,FIND("º",SUBSTITUTE(E50,"°","º"))-1)),""))))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IF(R50="","",COUNTIF($C$5:$C$6004,R50))</f>
        <v/>
      </c>
      <c r="W50" s="2">
        <f>IF(R50="","",COUNTIFS($C$5:$C$6004,R50,$O$5:$O$6004,"CONCLUÍDA"))</f>
        <v/>
      </c>
      <c r="X50" s="2">
        <f>IF(R50="","",COUNTIFS($C$5:$C$6004,R50,$O$5:$O$6004,"EM ANDAMENTO"))</f>
        <v/>
      </c>
      <c r="Y50" s="2">
        <f>IF(R50="","",IF(COUNTIFS($C$5:$C$6004,R50,$O$5:$O$6004,"CONCLUÍDA",$N$5:$N$6004,"&gt;=-99")=0,"",_xlfn.MAXIFS($N$5:$N$6004,$C$5:$C$6004,R50,$O$5:$O$6004,"CONCLUÍDA")))</f>
        <v/>
      </c>
      <c r="Z50" s="2">
        <f>IF(R50="","",IF(COUNTIFS($C$5:$C$6004,R50,$O$5:$O$6004,"EM ANDAMENTO",$N$5:$N$6004,"&gt;=-99")=0,"",_xlfn.MAXIFS($N$5:$N$6004,$C$5:$C$6004,R50,$O$5:$O$6004,"EM ANDAMENTO")))</f>
        <v/>
      </c>
      <c r="AA50" s="2">
        <f>IF(OR(R50="",S50="",U50&lt;&gt;"SIM",V50=0),"",IF(W50+X50=0,"",T50&amp;": "&amp;IF(W50=V50,"concluído",IF(W50=0,"em execução"&amp;IF(Z50&lt;&gt;""," ("&amp;IF(Z50&lt;0,IF(COUNTIF($E$5:$E$6004,"SUBSOLO*")&gt;0,"subsolo",-Z50&amp;"º subsolo"),IF(Z50=0,"térreo",Z50&amp;"º pav."))&amp;")",""),IF(Y50&lt;&gt;"","até "&amp;IF(Y50&lt;0,IF(COUNTIF($E$5:$E$6004,"SUBSOLO*")&gt;0,"subsolo",-Y50&amp;"º subsolo"),IF(Y50=0,"térreo",Y50&amp;"º pav.")),W50&amp;" de "&amp;V50&amp;" concluídas")&amp;IF(Z50="","",IF(OR(Y50="",Z50&gt;Y50),", executando "&amp;IF(Z50&lt;0,IF(COUNTIF($E$5:$E$6004,"SUBSOLO*")&gt;0,"subsolo",-Z50&amp;"º subsolo"),IF(Z50=0,"térreo",Z50&amp;"º pav."))," (restam serviços no "&amp;IF(Z50&lt;0,IF(COUNTIF($E$5:$E$6004,"SUBSOLO*")&gt;0,"subsolo",-Z50&amp;"º subsolo"),IF(Z50=0,"térreo",Z50&amp;"º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26" t="n">
        <v>45796</v>
      </c>
      <c r="G51" s="126" t="n">
        <v>45817</v>
      </c>
      <c r="H51" s="126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IF(E51="","",IF(ISNUMBER(SEARCH("SUBSOLO",E51)),IFERROR(-VALUE(LEFT(E51,FIND("º",SUBSTITUTE(E51,"°","º"))-1)),-1),IF(LEFT(E51,6)="TÉRREO",0,IFERROR(VALUE(LEFT(E51,FIND("º",SUBSTITUTE(E51,"°","º"))-1)),""))))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IF(R51="","",COUNTIF($C$5:$C$6004,R51))</f>
        <v/>
      </c>
      <c r="W51" s="2">
        <f>IF(R51="","",COUNTIFS($C$5:$C$6004,R51,$O$5:$O$6004,"CONCLUÍDA"))</f>
        <v/>
      </c>
      <c r="X51" s="2">
        <f>IF(R51="","",COUNTIFS($C$5:$C$6004,R51,$O$5:$O$6004,"EM ANDAMENTO"))</f>
        <v/>
      </c>
      <c r="Y51" s="2">
        <f>IF(R51="","",IF(COUNTIFS($C$5:$C$6004,R51,$O$5:$O$6004,"CONCLUÍDA",$N$5:$N$6004,"&gt;=-99")=0,"",_xlfn.MAXIFS($N$5:$N$6004,$C$5:$C$6004,R51,$O$5:$O$6004,"CONCLUÍDA")))</f>
        <v/>
      </c>
      <c r="Z51" s="2">
        <f>IF(R51="","",IF(COUNTIFS($C$5:$C$6004,R51,$O$5:$O$6004,"EM ANDAMENTO",$N$5:$N$6004,"&gt;=-99")=0,"",_xlfn.MAXIFS($N$5:$N$6004,$C$5:$C$6004,R51,$O$5:$O$6004,"EM ANDAMENTO")))</f>
        <v/>
      </c>
      <c r="AA51" s="2">
        <f>IF(OR(R51="",S51="",U51&lt;&gt;"SIM",V51=0),"",IF(W51+X51=0,"",T51&amp;": "&amp;IF(W51=V51,"concluído",IF(W51=0,"em execução"&amp;IF(Z51&lt;&gt;""," ("&amp;IF(Z51&lt;0,IF(COUNTIF($E$5:$E$6004,"SUBSOLO*")&gt;0,"subsolo",-Z51&amp;"º subsolo"),IF(Z51=0,"térreo",Z51&amp;"º pav."))&amp;")",""),IF(Y51&lt;&gt;"","até "&amp;IF(Y51&lt;0,IF(COUNTIF($E$5:$E$6004,"SUBSOLO*")&gt;0,"subsolo",-Y51&amp;"º subsolo"),IF(Y51=0,"térreo",Y51&amp;"º pav.")),W51&amp;" de "&amp;V51&amp;" concluídas")&amp;IF(Z51="","",IF(OR(Y51="",Z51&gt;Y51),", executando "&amp;IF(Z51&lt;0,IF(COUNTIF($E$5:$E$6004,"SUBSOLO*")&gt;0,"subsolo",-Z51&amp;"º subsolo"),IF(Z51=0,"térreo",Z51&amp;"º pav."))," (restam serviços no "&amp;IF(Z51&lt;0,IF(COUNTIF($E$5:$E$6004,"SUBSOLO*")&gt;0,"subsolo",-Z51&amp;"º subsolo"),IF(Z51=0,"térreo",Z51&amp;"º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26" t="n">
        <v>45817</v>
      </c>
      <c r="G52" s="126" t="n">
        <v>45835</v>
      </c>
      <c r="H52" s="126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IF(E52="","",IF(ISNUMBER(SEARCH("SUBSOLO",E52)),IFERROR(-VALUE(LEFT(E52,FIND("º",SUBSTITUTE(E52,"°","º"))-1)),-1),IF(LEFT(E52,6)="TÉRREO",0,IFERROR(VALUE(LEFT(E52,FIND("º",SUBSTITUTE(E52,"°","º"))-1)),""))))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IF(R52="","",COUNTIF($C$5:$C$6004,R52))</f>
        <v/>
      </c>
      <c r="W52" s="2">
        <f>IF(R52="","",COUNTIFS($C$5:$C$6004,R52,$O$5:$O$6004,"CONCLUÍDA"))</f>
        <v/>
      </c>
      <c r="X52" s="2">
        <f>IF(R52="","",COUNTIFS($C$5:$C$6004,R52,$O$5:$O$6004,"EM ANDAMENTO"))</f>
        <v/>
      </c>
      <c r="Y52" s="2">
        <f>IF(R52="","",IF(COUNTIFS($C$5:$C$6004,R52,$O$5:$O$6004,"CONCLUÍDA",$N$5:$N$6004,"&gt;=-99")=0,"",_xlfn.MAXIFS($N$5:$N$6004,$C$5:$C$6004,R52,$O$5:$O$6004,"CONCLUÍDA")))</f>
        <v/>
      </c>
      <c r="Z52" s="2">
        <f>IF(R52="","",IF(COUNTIFS($C$5:$C$6004,R52,$O$5:$O$6004,"EM ANDAMENTO",$N$5:$N$6004,"&gt;=-99")=0,"",_xlfn.MAXIFS($N$5:$N$6004,$C$5:$C$6004,R52,$O$5:$O$6004,"EM ANDAMENTO")))</f>
        <v/>
      </c>
      <c r="AA52" s="2">
        <f>IF(OR(R52="",S52="",U52&lt;&gt;"SIM",V52=0),"",IF(W52+X52=0,"",T52&amp;": "&amp;IF(W52=V52,"concluído",IF(W52=0,"em execução"&amp;IF(Z52&lt;&gt;""," ("&amp;IF(Z52&lt;0,IF(COUNTIF($E$5:$E$6004,"SUBSOLO*")&gt;0,"subsolo",-Z52&amp;"º subsolo"),IF(Z52=0,"térreo",Z52&amp;"º pav."))&amp;")",""),IF(Y52&lt;&gt;"","até "&amp;IF(Y52&lt;0,IF(COUNTIF($E$5:$E$6004,"SUBSOLO*")&gt;0,"subsolo",-Y52&amp;"º subsolo"),IF(Y52=0,"térreo",Y52&amp;"º pav.")),W52&amp;" de "&amp;V52&amp;" concluídas")&amp;IF(Z52="","",IF(OR(Y52="",Z52&gt;Y52),", executando "&amp;IF(Z52&lt;0,IF(COUNTIF($E$5:$E$6004,"SUBSOLO*")&gt;0,"subsolo",-Z52&amp;"º subsolo"),IF(Z52=0,"térreo",Z52&amp;"º pav."))," (restam serviços no "&amp;IF(Z52&lt;0,IF(COUNTIF($E$5:$E$6004,"SUBSOLO*")&gt;0,"subsolo",-Z52&amp;"º subsolo"),IF(Z52=0,"térreo",Z52&amp;"º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26" t="n">
        <v>45838</v>
      </c>
      <c r="G53" s="126" t="n">
        <v>45838</v>
      </c>
      <c r="H53" s="126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IF(E53="","",IF(ISNUMBER(SEARCH("SUBSOLO",E53)),IFERROR(-VALUE(LEFT(E53,FIND("º",SUBSTITUTE(E53,"°","º"))-1)),-1),IF(LEFT(E53,6)="TÉRREO",0,IFERROR(VALUE(LEFT(E53,FIND("º",SUBSTITUTE(E53,"°","º"))-1)),""))))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IF(R53="","",COUNTIF($C$5:$C$6004,R53))</f>
        <v/>
      </c>
      <c r="W53" s="2">
        <f>IF(R53="","",COUNTIFS($C$5:$C$6004,R53,$O$5:$O$6004,"CONCLUÍDA"))</f>
        <v/>
      </c>
      <c r="X53" s="2">
        <f>IF(R53="","",COUNTIFS($C$5:$C$6004,R53,$O$5:$O$6004,"EM ANDAMENTO"))</f>
        <v/>
      </c>
      <c r="Y53" s="2">
        <f>IF(R53="","",IF(COUNTIFS($C$5:$C$6004,R53,$O$5:$O$6004,"CONCLUÍDA",$N$5:$N$6004,"&gt;=-99")=0,"",_xlfn.MAXIFS($N$5:$N$6004,$C$5:$C$6004,R53,$O$5:$O$6004,"CONCLUÍDA")))</f>
        <v/>
      </c>
      <c r="Z53" s="2">
        <f>IF(R53="","",IF(COUNTIFS($C$5:$C$6004,R53,$O$5:$O$6004,"EM ANDAMENTO",$N$5:$N$6004,"&gt;=-99")=0,"",_xlfn.MAXIFS($N$5:$N$6004,$C$5:$C$6004,R53,$O$5:$O$6004,"EM ANDAMENTO")))</f>
        <v/>
      </c>
      <c r="AA53" s="2">
        <f>IF(OR(R53="",S53="",U53&lt;&gt;"SIM",V53=0),"",IF(W53+X53=0,"",T53&amp;": "&amp;IF(W53=V53,"concluído",IF(W53=0,"em execução"&amp;IF(Z53&lt;&gt;""," ("&amp;IF(Z53&lt;0,IF(COUNTIF($E$5:$E$6004,"SUBSOLO*")&gt;0,"subsolo",-Z53&amp;"º subsolo"),IF(Z53=0,"térreo",Z53&amp;"º pav."))&amp;")",""),IF(Y53&lt;&gt;"","até "&amp;IF(Y53&lt;0,IF(COUNTIF($E$5:$E$6004,"SUBSOLO*")&gt;0,"subsolo",-Y53&amp;"º subsolo"),IF(Y53=0,"térreo",Y53&amp;"º pav.")),W53&amp;" de "&amp;V53&amp;" concluídas")&amp;IF(Z53="","",IF(OR(Y53="",Z53&gt;Y53),", executando "&amp;IF(Z53&lt;0,IF(COUNTIF($E$5:$E$6004,"SUBSOLO*")&gt;0,"subsolo",-Z53&amp;"º subsolo"),IF(Z53=0,"térreo",Z53&amp;"º pav."))," (restam serviços no "&amp;IF(Z53&lt;0,IF(COUNTIF($E$5:$E$6004,"SUBSOLO*")&gt;0,"subsolo",-Z53&amp;"º subsolo"),IF(Z53=0,"térreo",Z53&amp;"º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26" t="n">
        <v>45839</v>
      </c>
      <c r="G54" s="126" t="n">
        <v>45839</v>
      </c>
      <c r="H54" s="126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IF(E54="","",IF(ISNUMBER(SEARCH("SUBSOLO",E54)),IFERROR(-VALUE(LEFT(E54,FIND("º",SUBSTITUTE(E54,"°","º"))-1)),-1),IF(LEFT(E54,6)="TÉRREO",0,IFERROR(VALUE(LEFT(E54,FIND("º",SUBSTITUTE(E54,"°","º"))-1)),""))))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IF(R54="","",COUNTIF($C$5:$C$6004,R54))</f>
        <v/>
      </c>
      <c r="W54" s="2">
        <f>IF(R54="","",COUNTIFS($C$5:$C$6004,R54,$O$5:$O$6004,"CONCLUÍDA"))</f>
        <v/>
      </c>
      <c r="X54" s="2">
        <f>IF(R54="","",COUNTIFS($C$5:$C$6004,R54,$O$5:$O$6004,"EM ANDAMENTO"))</f>
        <v/>
      </c>
      <c r="Y54" s="2">
        <f>IF(R54="","",IF(COUNTIFS($C$5:$C$6004,R54,$O$5:$O$6004,"CONCLUÍDA",$N$5:$N$6004,"&gt;=-99")=0,"",_xlfn.MAXIFS($N$5:$N$6004,$C$5:$C$6004,R54,$O$5:$O$6004,"CONCLUÍDA")))</f>
        <v/>
      </c>
      <c r="Z54" s="2">
        <f>IF(R54="","",IF(COUNTIFS($C$5:$C$6004,R54,$O$5:$O$6004,"EM ANDAMENTO",$N$5:$N$6004,"&gt;=-99")=0,"",_xlfn.MAXIFS($N$5:$N$6004,$C$5:$C$6004,R54,$O$5:$O$6004,"EM ANDAMENTO")))</f>
        <v/>
      </c>
      <c r="AA54" s="2">
        <f>IF(OR(R54="",S54="",U54&lt;&gt;"SIM",V54=0),"",IF(W54+X54=0,"",T54&amp;": "&amp;IF(W54=V54,"concluído",IF(W54=0,"em execução"&amp;IF(Z54&lt;&gt;""," ("&amp;IF(Z54&lt;0,IF(COUNTIF($E$5:$E$6004,"SUBSOLO*")&gt;0,"subsolo",-Z54&amp;"º subsolo"),IF(Z54=0,"térreo",Z54&amp;"º pav."))&amp;")",""),IF(Y54&lt;&gt;"","até "&amp;IF(Y54&lt;0,IF(COUNTIF($E$5:$E$6004,"SUBSOLO*")&gt;0,"subsolo",-Y54&amp;"º subsolo"),IF(Y54=0,"térreo",Y54&amp;"º pav.")),W54&amp;" de "&amp;V54&amp;" concluídas")&amp;IF(Z54="","",IF(OR(Y54="",Z54&gt;Y54),", executando "&amp;IF(Z54&lt;0,IF(COUNTIF($E$5:$E$6004,"SUBSOLO*")&gt;0,"subsolo",-Z54&amp;"º subsolo"),IF(Z54=0,"térreo",Z54&amp;"º pav."))," (restam serviços no "&amp;IF(Z54&lt;0,IF(COUNTIF($E$5:$E$6004,"SUBSOLO*")&gt;0,"subsolo",-Z54&amp;"º subsolo"),IF(Z54=0,"térreo",Z54&amp;"º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26" t="n">
        <v>45819</v>
      </c>
      <c r="G55" s="126" t="n">
        <v>45821</v>
      </c>
      <c r="H55" s="126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IF(E55="","",IF(ISNUMBER(SEARCH("SUBSOLO",E55)),IFERROR(-VALUE(LEFT(E55,FIND("º",SUBSTITUTE(E55,"°","º"))-1)),-1),IF(LEFT(E55,6)="TÉRREO",0,IFERROR(VALUE(LEFT(E55,FIND("º",SUBSTITUTE(E55,"°","º"))-1)),""))))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IF(R55="","",COUNTIF($C$5:$C$6004,R55))</f>
        <v/>
      </c>
      <c r="W55" s="2">
        <f>IF(R55="","",COUNTIFS($C$5:$C$6004,R55,$O$5:$O$6004,"CONCLUÍDA"))</f>
        <v/>
      </c>
      <c r="X55" s="2">
        <f>IF(R55="","",COUNTIFS($C$5:$C$6004,R55,$O$5:$O$6004,"EM ANDAMENTO"))</f>
        <v/>
      </c>
      <c r="Y55" s="2">
        <f>IF(R55="","",IF(COUNTIFS($C$5:$C$6004,R55,$O$5:$O$6004,"CONCLUÍDA",$N$5:$N$6004,"&gt;=-99")=0,"",_xlfn.MAXIFS($N$5:$N$6004,$C$5:$C$6004,R55,$O$5:$O$6004,"CONCLUÍDA")))</f>
        <v/>
      </c>
      <c r="Z55" s="2">
        <f>IF(R55="","",IF(COUNTIFS($C$5:$C$6004,R55,$O$5:$O$6004,"EM ANDAMENTO",$N$5:$N$6004,"&gt;=-99")=0,"",_xlfn.MAXIFS($N$5:$N$6004,$C$5:$C$6004,R55,$O$5:$O$6004,"EM ANDAMENTO")))</f>
        <v/>
      </c>
      <c r="AA55" s="2">
        <f>IF(OR(R55="",S55="",U55&lt;&gt;"SIM",V55=0),"",IF(W55+X55=0,"",T55&amp;": "&amp;IF(W55=V55,"concluído",IF(W55=0,"em execução"&amp;IF(Z55&lt;&gt;""," ("&amp;IF(Z55&lt;0,IF(COUNTIF($E$5:$E$6004,"SUBSOLO*")&gt;0,"subsolo",-Z55&amp;"º subsolo"),IF(Z55=0,"térreo",Z55&amp;"º pav."))&amp;")",""),IF(Y55&lt;&gt;"","até "&amp;IF(Y55&lt;0,IF(COUNTIF($E$5:$E$6004,"SUBSOLO*")&gt;0,"subsolo",-Y55&amp;"º subsolo"),IF(Y55=0,"térreo",Y55&amp;"º pav.")),W55&amp;" de "&amp;V55&amp;" concluídas")&amp;IF(Z55="","",IF(OR(Y55="",Z55&gt;Y55),", executando "&amp;IF(Z55&lt;0,IF(COUNTIF($E$5:$E$6004,"SUBSOLO*")&gt;0,"subsolo",-Z55&amp;"º subsolo"),IF(Z55=0,"térreo",Z55&amp;"º pav."))," (restam serviços no "&amp;IF(Z55&lt;0,IF(COUNTIF($E$5:$E$6004,"SUBSOLO*")&gt;0,"subsolo",-Z55&amp;"º subsolo"),IF(Z55=0,"térreo",Z55&amp;"º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26" t="n">
        <v>45824</v>
      </c>
      <c r="G56" s="126" t="n">
        <v>45824</v>
      </c>
      <c r="H56" s="126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IF(E56="","",IF(ISNUMBER(SEARCH("SUBSOLO",E56)),IFERROR(-VALUE(LEFT(E56,FIND("º",SUBSTITUTE(E56,"°","º"))-1)),-1),IF(LEFT(E56,6)="TÉRREO",0,IFERROR(VALUE(LEFT(E56,FIND("º",SUBSTITUTE(E56,"°","º"))-1)),""))))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IF(R56="","",COUNTIF($C$5:$C$6004,R56))</f>
        <v/>
      </c>
      <c r="W56" s="2">
        <f>IF(R56="","",COUNTIFS($C$5:$C$6004,R56,$O$5:$O$6004,"CONCLUÍDA"))</f>
        <v/>
      </c>
      <c r="X56" s="2">
        <f>IF(R56="","",COUNTIFS($C$5:$C$6004,R56,$O$5:$O$6004,"EM ANDAMENTO"))</f>
        <v/>
      </c>
      <c r="Y56" s="2">
        <f>IF(R56="","",IF(COUNTIFS($C$5:$C$6004,R56,$O$5:$O$6004,"CONCLUÍDA",$N$5:$N$6004,"&gt;=-99")=0,"",_xlfn.MAXIFS($N$5:$N$6004,$C$5:$C$6004,R56,$O$5:$O$6004,"CONCLUÍDA")))</f>
        <v/>
      </c>
      <c r="Z56" s="2">
        <f>IF(R56="","",IF(COUNTIFS($C$5:$C$6004,R56,$O$5:$O$6004,"EM ANDAMENTO",$N$5:$N$6004,"&gt;=-99")=0,"",_xlfn.MAXIFS($N$5:$N$6004,$C$5:$C$6004,R56,$O$5:$O$6004,"EM ANDAMENTO")))</f>
        <v/>
      </c>
      <c r="AA56" s="2">
        <f>IF(OR(R56="",S56="",U56&lt;&gt;"SIM",V56=0),"",IF(W56+X56=0,"",T56&amp;": "&amp;IF(W56=V56,"concluído",IF(W56=0,"em execução"&amp;IF(Z56&lt;&gt;""," ("&amp;IF(Z56&lt;0,IF(COUNTIF($E$5:$E$6004,"SUBSOLO*")&gt;0,"subsolo",-Z56&amp;"º subsolo"),IF(Z56=0,"térreo",Z56&amp;"º pav."))&amp;")",""),IF(Y56&lt;&gt;"","até "&amp;IF(Y56&lt;0,IF(COUNTIF($E$5:$E$6004,"SUBSOLO*")&gt;0,"subsolo",-Y56&amp;"º subsolo"),IF(Y56=0,"térreo",Y56&amp;"º pav.")),W56&amp;" de "&amp;V56&amp;" concluídas")&amp;IF(Z56="","",IF(OR(Y56="",Z56&gt;Y56),", executando "&amp;IF(Z56&lt;0,IF(COUNTIF($E$5:$E$6004,"SUBSOLO*")&gt;0,"subsolo",-Z56&amp;"º subsolo"),IF(Z56=0,"térreo",Z56&amp;"º pav."))," (restam serviços no "&amp;IF(Z56&lt;0,IF(COUNTIF($E$5:$E$6004,"SUBSOLO*")&gt;0,"subsolo",-Z56&amp;"º subsolo"),IF(Z56=0,"térreo",Z56&amp;"º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26" t="n">
        <v>45825</v>
      </c>
      <c r="G57" s="126" t="n">
        <v>45825</v>
      </c>
      <c r="H57" s="126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IF(E57="","",IF(ISNUMBER(SEARCH("SUBSOLO",E57)),IFERROR(-VALUE(LEFT(E57,FIND("º",SUBSTITUTE(E57,"°","º"))-1)),-1),IF(LEFT(E57,6)="TÉRREO",0,IFERROR(VALUE(LEFT(E57,FIND("º",SUBSTITUTE(E57,"°","º"))-1)),""))))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IF(R57="","",COUNTIF($C$5:$C$6004,R57))</f>
        <v/>
      </c>
      <c r="W57" s="2">
        <f>IF(R57="","",COUNTIFS($C$5:$C$6004,R57,$O$5:$O$6004,"CONCLUÍDA"))</f>
        <v/>
      </c>
      <c r="X57" s="2">
        <f>IF(R57="","",COUNTIFS($C$5:$C$6004,R57,$O$5:$O$6004,"EM ANDAMENTO"))</f>
        <v/>
      </c>
      <c r="Y57" s="2">
        <f>IF(R57="","",IF(COUNTIFS($C$5:$C$6004,R57,$O$5:$O$6004,"CONCLUÍDA",$N$5:$N$6004,"&gt;=-99")=0,"",_xlfn.MAXIFS($N$5:$N$6004,$C$5:$C$6004,R57,$O$5:$O$6004,"CONCLUÍDA")))</f>
        <v/>
      </c>
      <c r="Z57" s="2">
        <f>IF(R57="","",IF(COUNTIFS($C$5:$C$6004,R57,$O$5:$O$6004,"EM ANDAMENTO",$N$5:$N$6004,"&gt;=-99")=0,"",_xlfn.MAXIFS($N$5:$N$6004,$C$5:$C$6004,R57,$O$5:$O$6004,"EM ANDAMENTO")))</f>
        <v/>
      </c>
      <c r="AA57" s="2">
        <f>IF(OR(R57="",S57="",U57&lt;&gt;"SIM",V57=0),"",IF(W57+X57=0,"",T57&amp;": "&amp;IF(W57=V57,"concluído",IF(W57=0,"em execução"&amp;IF(Z57&lt;&gt;""," ("&amp;IF(Z57&lt;0,IF(COUNTIF($E$5:$E$6004,"SUBSOLO*")&gt;0,"subsolo",-Z57&amp;"º subsolo"),IF(Z57=0,"térreo",Z57&amp;"º pav."))&amp;")",""),IF(Y57&lt;&gt;"","até "&amp;IF(Y57&lt;0,IF(COUNTIF($E$5:$E$6004,"SUBSOLO*")&gt;0,"subsolo",-Y57&amp;"º subsolo"),IF(Y57=0,"térreo",Y57&amp;"º pav.")),W57&amp;" de "&amp;V57&amp;" concluídas")&amp;IF(Z57="","",IF(OR(Y57="",Z57&gt;Y57),", executando "&amp;IF(Z57&lt;0,IF(COUNTIF($E$5:$E$6004,"SUBSOLO*")&gt;0,"subsolo",-Z57&amp;"º subsolo"),IF(Z57=0,"térreo",Z57&amp;"º pav."))," (restam serviços no "&amp;IF(Z57&lt;0,IF(COUNTIF($E$5:$E$6004,"SUBSOLO*")&gt;0,"subsolo",-Z57&amp;"º subsolo"),IF(Z57=0,"térreo",Z57&amp;"º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26" t="n">
        <v>45825</v>
      </c>
      <c r="G58" s="126" t="n">
        <v>45826</v>
      </c>
      <c r="H58" s="126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IF(E58="","",IF(ISNUMBER(SEARCH("SUBSOLO",E58)),IFERROR(-VALUE(LEFT(E58,FIND("º",SUBSTITUTE(E58,"°","º"))-1)),-1),IF(LEFT(E58,6)="TÉRREO",0,IFERROR(VALUE(LEFT(E58,FIND("º",SUBSTITUTE(E58,"°","º"))-1)),""))))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IF(R58="","",COUNTIF($C$5:$C$6004,R58))</f>
        <v/>
      </c>
      <c r="W58" s="2">
        <f>IF(R58="","",COUNTIFS($C$5:$C$6004,R58,$O$5:$O$6004,"CONCLUÍDA"))</f>
        <v/>
      </c>
      <c r="X58" s="2">
        <f>IF(R58="","",COUNTIFS($C$5:$C$6004,R58,$O$5:$O$6004,"EM ANDAMENTO"))</f>
        <v/>
      </c>
      <c r="Y58" s="2">
        <f>IF(R58="","",IF(COUNTIFS($C$5:$C$6004,R58,$O$5:$O$6004,"CONCLUÍDA",$N$5:$N$6004,"&gt;=-99")=0,"",_xlfn.MAXIFS($N$5:$N$6004,$C$5:$C$6004,R58,$O$5:$O$6004,"CONCLUÍDA")))</f>
        <v/>
      </c>
      <c r="Z58" s="2">
        <f>IF(R58="","",IF(COUNTIFS($C$5:$C$6004,R58,$O$5:$O$6004,"EM ANDAMENTO",$N$5:$N$6004,"&gt;=-99")=0,"",_xlfn.MAXIFS($N$5:$N$6004,$C$5:$C$6004,R58,$O$5:$O$6004,"EM ANDAMENTO")))</f>
        <v/>
      </c>
      <c r="AA58" s="2">
        <f>IF(OR(R58="",S58="",U58&lt;&gt;"SIM",V58=0),"",IF(W58+X58=0,"",T58&amp;": "&amp;IF(W58=V58,"concluído",IF(W58=0,"em execução"&amp;IF(Z58&lt;&gt;""," ("&amp;IF(Z58&lt;0,IF(COUNTIF($E$5:$E$6004,"SUBSOLO*")&gt;0,"subsolo",-Z58&amp;"º subsolo"),IF(Z58=0,"térreo",Z58&amp;"º pav."))&amp;")",""),IF(Y58&lt;&gt;"","até "&amp;IF(Y58&lt;0,IF(COUNTIF($E$5:$E$6004,"SUBSOLO*")&gt;0,"subsolo",-Y58&amp;"º subsolo"),IF(Y58=0,"térreo",Y58&amp;"º pav.")),W58&amp;" de "&amp;V58&amp;" concluídas")&amp;IF(Z58="","",IF(OR(Y58="",Z58&gt;Y58),", executando "&amp;IF(Z58&lt;0,IF(COUNTIF($E$5:$E$6004,"SUBSOLO*")&gt;0,"subsolo",-Z58&amp;"º subsolo"),IF(Z58=0,"térreo",Z58&amp;"º pav."))," (restam serviços no "&amp;IF(Z58&lt;0,IF(COUNTIF($E$5:$E$6004,"SUBSOLO*")&gt;0,"subsolo",-Z58&amp;"º subsolo"),IF(Z58=0,"térreo",Z58&amp;"º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26" t="n">
        <v>45840</v>
      </c>
      <c r="G59" s="126" t="n">
        <v>45841</v>
      </c>
      <c r="H59" s="126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IF(E59="","",IF(ISNUMBER(SEARCH("SUBSOLO",E59)),IFERROR(-VALUE(LEFT(E59,FIND("º",SUBSTITUTE(E59,"°","º"))-1)),-1),IF(LEFT(E59,6)="TÉRREO",0,IFERROR(VALUE(LEFT(E59,FIND("º",SUBSTITUTE(E59,"°","º"))-1)),""))))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IF(R59="","",COUNTIF($C$5:$C$6004,R59))</f>
        <v/>
      </c>
      <c r="W59" s="2">
        <f>IF(R59="","",COUNTIFS($C$5:$C$6004,R59,$O$5:$O$6004,"CONCLUÍDA"))</f>
        <v/>
      </c>
      <c r="X59" s="2">
        <f>IF(R59="","",COUNTIFS($C$5:$C$6004,R59,$O$5:$O$6004,"EM ANDAMENTO"))</f>
        <v/>
      </c>
      <c r="Y59" s="2">
        <f>IF(R59="","",IF(COUNTIFS($C$5:$C$6004,R59,$O$5:$O$6004,"CONCLUÍDA",$N$5:$N$6004,"&gt;=-99")=0,"",_xlfn.MAXIFS($N$5:$N$6004,$C$5:$C$6004,R59,$O$5:$O$6004,"CONCLUÍDA")))</f>
        <v/>
      </c>
      <c r="Z59" s="2">
        <f>IF(R59="","",IF(COUNTIFS($C$5:$C$6004,R59,$O$5:$O$6004,"EM ANDAMENTO",$N$5:$N$6004,"&gt;=-99")=0,"",_xlfn.MAXIFS($N$5:$N$6004,$C$5:$C$6004,R59,$O$5:$O$6004,"EM ANDAMENTO")))</f>
        <v/>
      </c>
      <c r="AA59" s="2">
        <f>IF(OR(R59="",S59="",U59&lt;&gt;"SIM",V59=0),"",IF(W59+X59=0,"",T59&amp;": "&amp;IF(W59=V59,"concluído",IF(W59=0,"em execução"&amp;IF(Z59&lt;&gt;""," ("&amp;IF(Z59&lt;0,IF(COUNTIF($E$5:$E$6004,"SUBSOLO*")&gt;0,"subsolo",-Z59&amp;"º subsolo"),IF(Z59=0,"térreo",Z59&amp;"º pav."))&amp;")",""),IF(Y59&lt;&gt;"","até "&amp;IF(Y59&lt;0,IF(COUNTIF($E$5:$E$6004,"SUBSOLO*")&gt;0,"subsolo",-Y59&amp;"º subsolo"),IF(Y59=0,"térreo",Y59&amp;"º pav.")),W59&amp;" de "&amp;V59&amp;" concluídas")&amp;IF(Z59="","",IF(OR(Y59="",Z59&gt;Y59),", executando "&amp;IF(Z59&lt;0,IF(COUNTIF($E$5:$E$6004,"SUBSOLO*")&gt;0,"subsolo",-Z59&amp;"º subsolo"),IF(Z59=0,"térreo",Z59&amp;"º pav."))," (restam serviços no "&amp;IF(Z59&lt;0,IF(COUNTIF($E$5:$E$6004,"SUBSOLO*")&gt;0,"subsolo",-Z59&amp;"º subsolo"),IF(Z59=0,"térreo",Z59&amp;"º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26" t="n">
        <v>45845</v>
      </c>
      <c r="G60" s="126" t="n">
        <v>45845</v>
      </c>
      <c r="H60" s="126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IF(E60="","",IF(ISNUMBER(SEARCH("SUBSOLO",E60)),IFERROR(-VALUE(LEFT(E60,FIND("º",SUBSTITUTE(E60,"°","º"))-1)),-1),IF(LEFT(E60,6)="TÉRREO",0,IFERROR(VALUE(LEFT(E60,FIND("º",SUBSTITUTE(E60,"°","º"))-1)),""))))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IF(R60="","",COUNTIF($C$5:$C$6004,R60))</f>
        <v/>
      </c>
      <c r="W60" s="2">
        <f>IF(R60="","",COUNTIFS($C$5:$C$6004,R60,$O$5:$O$6004,"CONCLUÍDA"))</f>
        <v/>
      </c>
      <c r="X60" s="2">
        <f>IF(R60="","",COUNTIFS($C$5:$C$6004,R60,$O$5:$O$6004,"EM ANDAMENTO"))</f>
        <v/>
      </c>
      <c r="Y60" s="2">
        <f>IF(R60="","",IF(COUNTIFS($C$5:$C$6004,R60,$O$5:$O$6004,"CONCLUÍDA",$N$5:$N$6004,"&gt;=-99")=0,"",_xlfn.MAXIFS($N$5:$N$6004,$C$5:$C$6004,R60,$O$5:$O$6004,"CONCLUÍDA")))</f>
        <v/>
      </c>
      <c r="Z60" s="2">
        <f>IF(R60="","",IF(COUNTIFS($C$5:$C$6004,R60,$O$5:$O$6004,"EM ANDAMENTO",$N$5:$N$6004,"&gt;=-99")=0,"",_xlfn.MAXIFS($N$5:$N$6004,$C$5:$C$6004,R60,$O$5:$O$6004,"EM ANDAMENTO")))</f>
        <v/>
      </c>
      <c r="AA60" s="2">
        <f>IF(OR(R60="",S60="",U60&lt;&gt;"SIM",V60=0),"",IF(W60+X60=0,"",T60&amp;": "&amp;IF(W60=V60,"concluído",IF(W60=0,"em execução"&amp;IF(Z60&lt;&gt;""," ("&amp;IF(Z60&lt;0,IF(COUNTIF($E$5:$E$6004,"SUBSOLO*")&gt;0,"subsolo",-Z60&amp;"º subsolo"),IF(Z60=0,"térreo",Z60&amp;"º pav."))&amp;")",""),IF(Y60&lt;&gt;"","até "&amp;IF(Y60&lt;0,IF(COUNTIF($E$5:$E$6004,"SUBSOLO*")&gt;0,"subsolo",-Y60&amp;"º subsolo"),IF(Y60=0,"térreo",Y60&amp;"º pav.")),W60&amp;" de "&amp;V60&amp;" concluídas")&amp;IF(Z60="","",IF(OR(Y60="",Z60&gt;Y60),", executando "&amp;IF(Z60&lt;0,IF(COUNTIF($E$5:$E$6004,"SUBSOLO*")&gt;0,"subsolo",-Z60&amp;"º subsolo"),IF(Z60=0,"térreo",Z60&amp;"º pav."))," (restam serviços no "&amp;IF(Z60&lt;0,IF(COUNTIF($E$5:$E$6004,"SUBSOLO*")&gt;0,"subsolo",-Z60&amp;"º subsolo"),IF(Z60=0,"térreo",Z60&amp;"º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26" t="n">
        <v>45854</v>
      </c>
      <c r="G61" s="126" t="n">
        <v>45854</v>
      </c>
      <c r="H61" s="126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IF(E61="","",IF(ISNUMBER(SEARCH("SUBSOLO",E61)),IFERROR(-VALUE(LEFT(E61,FIND("º",SUBSTITUTE(E61,"°","º"))-1)),-1),IF(LEFT(E61,6)="TÉRREO",0,IFERROR(VALUE(LEFT(E61,FIND("º",SUBSTITUTE(E61,"°","º"))-1)),""))))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IF(R61="","",COUNTIF($C$5:$C$6004,R61))</f>
        <v/>
      </c>
      <c r="W61" s="2">
        <f>IF(R61="","",COUNTIFS($C$5:$C$6004,R61,$O$5:$O$6004,"CONCLUÍDA"))</f>
        <v/>
      </c>
      <c r="X61" s="2">
        <f>IF(R61="","",COUNTIFS($C$5:$C$6004,R61,$O$5:$O$6004,"EM ANDAMENTO"))</f>
        <v/>
      </c>
      <c r="Y61" s="2">
        <f>IF(R61="","",IF(COUNTIFS($C$5:$C$6004,R61,$O$5:$O$6004,"CONCLUÍDA",$N$5:$N$6004,"&gt;=-99")=0,"",_xlfn.MAXIFS($N$5:$N$6004,$C$5:$C$6004,R61,$O$5:$O$6004,"CONCLUÍDA")))</f>
        <v/>
      </c>
      <c r="Z61" s="2">
        <f>IF(R61="","",IF(COUNTIFS($C$5:$C$6004,R61,$O$5:$O$6004,"EM ANDAMENTO",$N$5:$N$6004,"&gt;=-99")=0,"",_xlfn.MAXIFS($N$5:$N$6004,$C$5:$C$6004,R61,$O$5:$O$6004,"EM ANDAMENTO")))</f>
        <v/>
      </c>
      <c r="AA61" s="2">
        <f>IF(OR(R61="",S61="",U61&lt;&gt;"SIM",V61=0),"",IF(W61+X61=0,"",T61&amp;": "&amp;IF(W61=V61,"concluído",IF(W61=0,"em execução"&amp;IF(Z61&lt;&gt;""," ("&amp;IF(Z61&lt;0,IF(COUNTIF($E$5:$E$6004,"SUBSOLO*")&gt;0,"subsolo",-Z61&amp;"º subsolo"),IF(Z61=0,"térreo",Z61&amp;"º pav."))&amp;")",""),IF(Y61&lt;&gt;"","até "&amp;IF(Y61&lt;0,IF(COUNTIF($E$5:$E$6004,"SUBSOLO*")&gt;0,"subsolo",-Y61&amp;"º subsolo"),IF(Y61=0,"térreo",Y61&amp;"º pav.")),W61&amp;" de "&amp;V61&amp;" concluídas")&amp;IF(Z61="","",IF(OR(Y61="",Z61&gt;Y61),", executando "&amp;IF(Z61&lt;0,IF(COUNTIF($E$5:$E$6004,"SUBSOLO*")&gt;0,"subsolo",-Z61&amp;"º subsolo"),IF(Z61=0,"térreo",Z61&amp;"º pav."))," (restam serviços no "&amp;IF(Z61&lt;0,IF(COUNTIF($E$5:$E$6004,"SUBSOLO*")&gt;0,"subsolo",-Z61&amp;"º subsolo"),IF(Z61=0,"térreo",Z61&amp;"º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26" t="n">
        <v>45796</v>
      </c>
      <c r="G62" s="126" t="n">
        <v>45854</v>
      </c>
      <c r="H62" s="126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IF(E62="","",IF(ISNUMBER(SEARCH("SUBSOLO",E62)),IFERROR(-VALUE(LEFT(E62,FIND("º",SUBSTITUTE(E62,"°","º"))-1)),-1),IF(LEFT(E62,6)="TÉRREO",0,IFERROR(VALUE(LEFT(E62,FIND("º",SUBSTITUTE(E62,"°","º"))-1)),""))))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IF(R62="","",COUNTIF($C$5:$C$6004,R62))</f>
        <v/>
      </c>
      <c r="W62" s="2">
        <f>IF(R62="","",COUNTIFS($C$5:$C$6004,R62,$O$5:$O$6004,"CONCLUÍDA"))</f>
        <v/>
      </c>
      <c r="X62" s="2">
        <f>IF(R62="","",COUNTIFS($C$5:$C$6004,R62,$O$5:$O$6004,"EM ANDAMENTO"))</f>
        <v/>
      </c>
      <c r="Y62" s="2">
        <f>IF(R62="","",IF(COUNTIFS($C$5:$C$6004,R62,$O$5:$O$6004,"CONCLUÍDA",$N$5:$N$6004,"&gt;=-99")=0,"",_xlfn.MAXIFS($N$5:$N$6004,$C$5:$C$6004,R62,$O$5:$O$6004,"CONCLUÍDA")))</f>
        <v/>
      </c>
      <c r="Z62" s="2">
        <f>IF(R62="","",IF(COUNTIFS($C$5:$C$6004,R62,$O$5:$O$6004,"EM ANDAMENTO",$N$5:$N$6004,"&gt;=-99")=0,"",_xlfn.MAXIFS($N$5:$N$6004,$C$5:$C$6004,R62,$O$5:$O$6004,"EM ANDAMENTO")))</f>
        <v/>
      </c>
      <c r="AA62" s="2">
        <f>IF(OR(R62="",S62="",U62&lt;&gt;"SIM",V62=0),"",IF(W62+X62=0,"",T62&amp;": "&amp;IF(W62=V62,"concluído",IF(W62=0,"em execução"&amp;IF(Z62&lt;&gt;""," ("&amp;IF(Z62&lt;0,IF(COUNTIF($E$5:$E$6004,"SUBSOLO*")&gt;0,"subsolo",-Z62&amp;"º subsolo"),IF(Z62=0,"térreo",Z62&amp;"º pav."))&amp;")",""),IF(Y62&lt;&gt;"","até "&amp;IF(Y62&lt;0,IF(COUNTIF($E$5:$E$6004,"SUBSOLO*")&gt;0,"subsolo",-Y62&amp;"º subsolo"),IF(Y62=0,"térreo",Y62&amp;"º pav.")),W62&amp;" de "&amp;V62&amp;" concluídas")&amp;IF(Z62="","",IF(OR(Y62="",Z62&gt;Y62),", executando "&amp;IF(Z62&lt;0,IF(COUNTIF($E$5:$E$6004,"SUBSOLO*")&gt;0,"subsolo",-Z62&amp;"º subsolo"),IF(Z62=0,"térreo",Z62&amp;"º pav."))," (restam serviços no "&amp;IF(Z62&lt;0,IF(COUNTIF($E$5:$E$6004,"SUBSOLO*")&gt;0,"subsolo",-Z62&amp;"º subsolo"),IF(Z62=0,"térreo",Z62&amp;"º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26" t="n">
        <v>45810</v>
      </c>
      <c r="G63" s="126" t="n">
        <v>45866</v>
      </c>
      <c r="H63" s="126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IF(E63="","",IF(ISNUMBER(SEARCH("SUBSOLO",E63)),IFERROR(-VALUE(LEFT(E63,FIND("º",SUBSTITUTE(E63,"°","º"))-1)),-1),IF(LEFT(E63,6)="TÉRREO",0,IFERROR(VALUE(LEFT(E63,FIND("º",SUBSTITUTE(E63,"°","º"))-1)),""))))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IF(R63="","",COUNTIF($C$5:$C$6004,R63))</f>
        <v/>
      </c>
      <c r="W63" s="2">
        <f>IF(R63="","",COUNTIFS($C$5:$C$6004,R63,$O$5:$O$6004,"CONCLUÍDA"))</f>
        <v/>
      </c>
      <c r="X63" s="2">
        <f>IF(R63="","",COUNTIFS($C$5:$C$6004,R63,$O$5:$O$6004,"EM ANDAMENTO"))</f>
        <v/>
      </c>
      <c r="Y63" s="2">
        <f>IF(R63="","",IF(COUNTIFS($C$5:$C$6004,R63,$O$5:$O$6004,"CONCLUÍDA",$N$5:$N$6004,"&gt;=-99")=0,"",_xlfn.MAXIFS($N$5:$N$6004,$C$5:$C$6004,R63,$O$5:$O$6004,"CONCLUÍDA")))</f>
        <v/>
      </c>
      <c r="Z63" s="2">
        <f>IF(R63="","",IF(COUNTIFS($C$5:$C$6004,R63,$O$5:$O$6004,"EM ANDAMENTO",$N$5:$N$6004,"&gt;=-99")=0,"",_xlfn.MAXIFS($N$5:$N$6004,$C$5:$C$6004,R63,$O$5:$O$6004,"EM ANDAMENTO")))</f>
        <v/>
      </c>
      <c r="AA63" s="2">
        <f>IF(OR(R63="",S63="",U63&lt;&gt;"SIM",V63=0),"",IF(W63+X63=0,"",T63&amp;": "&amp;IF(W63=V63,"concluído",IF(W63=0,"em execução"&amp;IF(Z63&lt;&gt;""," ("&amp;IF(Z63&lt;0,IF(COUNTIF($E$5:$E$6004,"SUBSOLO*")&gt;0,"subsolo",-Z63&amp;"º subsolo"),IF(Z63=0,"térreo",Z63&amp;"º pav."))&amp;")",""),IF(Y63&lt;&gt;"","até "&amp;IF(Y63&lt;0,IF(COUNTIF($E$5:$E$6004,"SUBSOLO*")&gt;0,"subsolo",-Y63&amp;"º subsolo"),IF(Y63=0,"térreo",Y63&amp;"º pav.")),W63&amp;" de "&amp;V63&amp;" concluídas")&amp;IF(Z63="","",IF(OR(Y63="",Z63&gt;Y63),", executando "&amp;IF(Z63&lt;0,IF(COUNTIF($E$5:$E$6004,"SUBSOLO*")&gt;0,"subsolo",-Z63&amp;"º subsolo"),IF(Z63=0,"térreo",Z63&amp;"º pav."))," (restam serviços no "&amp;IF(Z63&lt;0,IF(COUNTIF($E$5:$E$6004,"SUBSOLO*")&gt;0,"subsolo",-Z63&amp;"º subsolo"),IF(Z63=0,"térreo",Z63&amp;"º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26" t="n">
        <v>45866</v>
      </c>
      <c r="G64" s="126" t="n">
        <v>45866</v>
      </c>
      <c r="H64" s="126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IF(E64="","",IF(ISNUMBER(SEARCH("SUBSOLO",E64)),IFERROR(-VALUE(LEFT(E64,FIND("º",SUBSTITUTE(E64,"°","º"))-1)),-1),IF(LEFT(E64,6)="TÉRREO",0,IFERROR(VALUE(LEFT(E64,FIND("º",SUBSTITUTE(E64,"°","º"))-1)),""))))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IF(R64="","",COUNTIF($C$5:$C$6004,R64))</f>
        <v/>
      </c>
      <c r="W64" s="2">
        <f>IF(R64="","",COUNTIFS($C$5:$C$6004,R64,$O$5:$O$6004,"CONCLUÍDA"))</f>
        <v/>
      </c>
      <c r="X64" s="2">
        <f>IF(R64="","",COUNTIFS($C$5:$C$6004,R64,$O$5:$O$6004,"EM ANDAMENTO"))</f>
        <v/>
      </c>
      <c r="Y64" s="2">
        <f>IF(R64="","",IF(COUNTIFS($C$5:$C$6004,R64,$O$5:$O$6004,"CONCLUÍDA",$N$5:$N$6004,"&gt;=-99")=0,"",_xlfn.MAXIFS($N$5:$N$6004,$C$5:$C$6004,R64,$O$5:$O$6004,"CONCLUÍDA")))</f>
        <v/>
      </c>
      <c r="Z64" s="2">
        <f>IF(R64="","",IF(COUNTIFS($C$5:$C$6004,R64,$O$5:$O$6004,"EM ANDAMENTO",$N$5:$N$6004,"&gt;=-99")=0,"",_xlfn.MAXIFS($N$5:$N$6004,$C$5:$C$6004,R64,$O$5:$O$6004,"EM ANDAMENTO")))</f>
        <v/>
      </c>
      <c r="AA64" s="2">
        <f>IF(OR(R64="",S64="",U64&lt;&gt;"SIM",V64=0),"",IF(W64+X64=0,"",T64&amp;": "&amp;IF(W64=V64,"concluído",IF(W64=0,"em execução"&amp;IF(Z64&lt;&gt;""," ("&amp;IF(Z64&lt;0,IF(COUNTIF($E$5:$E$6004,"SUBSOLO*")&gt;0,"subsolo",-Z64&amp;"º subsolo"),IF(Z64=0,"térreo",Z64&amp;"º pav."))&amp;")",""),IF(Y64&lt;&gt;"","até "&amp;IF(Y64&lt;0,IF(COUNTIF($E$5:$E$6004,"SUBSOLO*")&gt;0,"subsolo",-Y64&amp;"º subsolo"),IF(Y64=0,"térreo",Y64&amp;"º pav.")),W64&amp;" de "&amp;V64&amp;" concluídas")&amp;IF(Z64="","",IF(OR(Y64="",Z64&gt;Y64),", executando "&amp;IF(Z64&lt;0,IF(COUNTIF($E$5:$E$6004,"SUBSOLO*")&gt;0,"subsolo",-Z64&amp;"º subsolo"),IF(Z64=0,"térreo",Z64&amp;"º pav."))," (restam serviços no "&amp;IF(Z64&lt;0,IF(COUNTIF($E$5:$E$6004,"SUBSOLO*")&gt;0,"subsolo",-Z64&amp;"º subsolo"),IF(Z64=0,"térreo",Z64&amp;"º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26" t="n">
        <v>45810</v>
      </c>
      <c r="G65" s="126" t="n">
        <v>45811</v>
      </c>
      <c r="H65" s="126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IF(E65="","",IF(ISNUMBER(SEARCH("SUBSOLO",E65)),IFERROR(-VALUE(LEFT(E65,FIND("º",SUBSTITUTE(E65,"°","º"))-1)),-1),IF(LEFT(E65,6)="TÉRREO",0,IFERROR(VALUE(LEFT(E65,FIND("º",SUBSTITUTE(E65,"°","º"))-1)),""))))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IF(R65="","",COUNTIF($C$5:$C$6004,R65))</f>
        <v/>
      </c>
      <c r="W65" s="2">
        <f>IF(R65="","",COUNTIFS($C$5:$C$6004,R65,$O$5:$O$6004,"CONCLUÍDA"))</f>
        <v/>
      </c>
      <c r="X65" s="2">
        <f>IF(R65="","",COUNTIFS($C$5:$C$6004,R65,$O$5:$O$6004,"EM ANDAMENTO"))</f>
        <v/>
      </c>
      <c r="Y65" s="2">
        <f>IF(R65="","",IF(COUNTIFS($C$5:$C$6004,R65,$O$5:$O$6004,"CONCLUÍDA",$N$5:$N$6004,"&gt;=-99")=0,"",_xlfn.MAXIFS($N$5:$N$6004,$C$5:$C$6004,R65,$O$5:$O$6004,"CONCLUÍDA")))</f>
        <v/>
      </c>
      <c r="Z65" s="2">
        <f>IF(R65="","",IF(COUNTIFS($C$5:$C$6004,R65,$O$5:$O$6004,"EM ANDAMENTO",$N$5:$N$6004,"&gt;=-99")=0,"",_xlfn.MAXIFS($N$5:$N$6004,$C$5:$C$6004,R65,$O$5:$O$6004,"EM ANDAMENTO")))</f>
        <v/>
      </c>
      <c r="AA65" s="2">
        <f>IF(OR(R65="",S65="",U65&lt;&gt;"SIM",V65=0),"",IF(W65+X65=0,"",T65&amp;": "&amp;IF(W65=V65,"concluído",IF(W65=0,"em execução"&amp;IF(Z65&lt;&gt;""," ("&amp;IF(Z65&lt;0,IF(COUNTIF($E$5:$E$6004,"SUBSOLO*")&gt;0,"subsolo",-Z65&amp;"º subsolo"),IF(Z65=0,"térreo",Z65&amp;"º pav."))&amp;")",""),IF(Y65&lt;&gt;"","até "&amp;IF(Y65&lt;0,IF(COUNTIF($E$5:$E$6004,"SUBSOLO*")&gt;0,"subsolo",-Y65&amp;"º subsolo"),IF(Y65=0,"térreo",Y65&amp;"º pav.")),W65&amp;" de "&amp;V65&amp;" concluídas")&amp;IF(Z65="","",IF(OR(Y65="",Z65&gt;Y65),", executando "&amp;IF(Z65&lt;0,IF(COUNTIF($E$5:$E$6004,"SUBSOLO*")&gt;0,"subsolo",-Z65&amp;"º subsolo"),IF(Z65=0,"térreo",Z65&amp;"º pav."))," (restam serviços no "&amp;IF(Z65&lt;0,IF(COUNTIF($E$5:$E$6004,"SUBSOLO*")&gt;0,"subsolo",-Z65&amp;"º subsolo"),IF(Z65=0,"térreo",Z65&amp;"º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26" t="n">
        <v>45812</v>
      </c>
      <c r="G66" s="126" t="n">
        <v>45812</v>
      </c>
      <c r="H66" s="126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IF(E66="","",IF(ISNUMBER(SEARCH("SUBSOLO",E66)),IFERROR(-VALUE(LEFT(E66,FIND("º",SUBSTITUTE(E66,"°","º"))-1)),-1),IF(LEFT(E66,6)="TÉRREO",0,IFERROR(VALUE(LEFT(E66,FIND("º",SUBSTITUTE(E66,"°","º"))-1)),""))))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IF(R66="","",COUNTIF($C$5:$C$6004,R66))</f>
        <v/>
      </c>
      <c r="W66" s="2">
        <f>IF(R66="","",COUNTIFS($C$5:$C$6004,R66,$O$5:$O$6004,"CONCLUÍDA"))</f>
        <v/>
      </c>
      <c r="X66" s="2">
        <f>IF(R66="","",COUNTIFS($C$5:$C$6004,R66,$O$5:$O$6004,"EM ANDAMENTO"))</f>
        <v/>
      </c>
      <c r="Y66" s="2">
        <f>IF(R66="","",IF(COUNTIFS($C$5:$C$6004,R66,$O$5:$O$6004,"CONCLUÍDA",$N$5:$N$6004,"&gt;=-99")=0,"",_xlfn.MAXIFS($N$5:$N$6004,$C$5:$C$6004,R66,$O$5:$O$6004,"CONCLUÍDA")))</f>
        <v/>
      </c>
      <c r="Z66" s="2">
        <f>IF(R66="","",IF(COUNTIFS($C$5:$C$6004,R66,$O$5:$O$6004,"EM ANDAMENTO",$N$5:$N$6004,"&gt;=-99")=0,"",_xlfn.MAXIFS($N$5:$N$6004,$C$5:$C$6004,R66,$O$5:$O$6004,"EM ANDAMENTO")))</f>
        <v/>
      </c>
      <c r="AA66" s="2">
        <f>IF(OR(R66="",S66="",U66&lt;&gt;"SIM",V66=0),"",IF(W66+X66=0,"",T66&amp;": "&amp;IF(W66=V66,"concluído",IF(W66=0,"em execução"&amp;IF(Z66&lt;&gt;""," ("&amp;IF(Z66&lt;0,IF(COUNTIF($E$5:$E$6004,"SUBSOLO*")&gt;0,"subsolo",-Z66&amp;"º subsolo"),IF(Z66=0,"térreo",Z66&amp;"º pav."))&amp;")",""),IF(Y66&lt;&gt;"","até "&amp;IF(Y66&lt;0,IF(COUNTIF($E$5:$E$6004,"SUBSOLO*")&gt;0,"subsolo",-Y66&amp;"º subsolo"),IF(Y66=0,"térreo",Y66&amp;"º pav.")),W66&amp;" de "&amp;V66&amp;" concluídas")&amp;IF(Z66="","",IF(OR(Y66="",Z66&gt;Y66),", executando "&amp;IF(Z66&lt;0,IF(COUNTIF($E$5:$E$6004,"SUBSOLO*")&gt;0,"subsolo",-Z66&amp;"º subsolo"),IF(Z66=0,"térreo",Z66&amp;"º pav."))," (restam serviços no "&amp;IF(Z66&lt;0,IF(COUNTIF($E$5:$E$6004,"SUBSOLO*")&gt;0,"subsolo",-Z66&amp;"º subsolo"),IF(Z66=0,"térreo",Z66&amp;"º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26" t="n">
        <v>45810</v>
      </c>
      <c r="G67" s="126" t="n">
        <v>45848</v>
      </c>
      <c r="H67" s="126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IF(E67="","",IF(ISNUMBER(SEARCH("SUBSOLO",E67)),IFERROR(-VALUE(LEFT(E67,FIND("º",SUBSTITUTE(E67,"°","º"))-1)),-1),IF(LEFT(E67,6)="TÉRREO",0,IFERROR(VALUE(LEFT(E67,FIND("º",SUBSTITUTE(E67,"°","º"))-1)),""))))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IF(R67="","",COUNTIF($C$5:$C$6004,R67))</f>
        <v/>
      </c>
      <c r="W67" s="2">
        <f>IF(R67="","",COUNTIFS($C$5:$C$6004,R67,$O$5:$O$6004,"CONCLUÍDA"))</f>
        <v/>
      </c>
      <c r="X67" s="2">
        <f>IF(R67="","",COUNTIFS($C$5:$C$6004,R67,$O$5:$O$6004,"EM ANDAMENTO"))</f>
        <v/>
      </c>
      <c r="Y67" s="2">
        <f>IF(R67="","",IF(COUNTIFS($C$5:$C$6004,R67,$O$5:$O$6004,"CONCLUÍDA",$N$5:$N$6004,"&gt;=-99")=0,"",_xlfn.MAXIFS($N$5:$N$6004,$C$5:$C$6004,R67,$O$5:$O$6004,"CONCLUÍDA")))</f>
        <v/>
      </c>
      <c r="Z67" s="2">
        <f>IF(R67="","",IF(COUNTIFS($C$5:$C$6004,R67,$O$5:$O$6004,"EM ANDAMENTO",$N$5:$N$6004,"&gt;=-99")=0,"",_xlfn.MAXIFS($N$5:$N$6004,$C$5:$C$6004,R67,$O$5:$O$6004,"EM ANDAMENTO")))</f>
        <v/>
      </c>
      <c r="AA67" s="2">
        <f>IF(OR(R67="",S67="",U67&lt;&gt;"SIM",V67=0),"",IF(W67+X67=0,"",T67&amp;": "&amp;IF(W67=V67,"concluído",IF(W67=0,"em execução"&amp;IF(Z67&lt;&gt;""," ("&amp;IF(Z67&lt;0,IF(COUNTIF($E$5:$E$6004,"SUBSOLO*")&gt;0,"subsolo",-Z67&amp;"º subsolo"),IF(Z67=0,"térreo",Z67&amp;"º pav."))&amp;")",""),IF(Y67&lt;&gt;"","até "&amp;IF(Y67&lt;0,IF(COUNTIF($E$5:$E$6004,"SUBSOLO*")&gt;0,"subsolo",-Y67&amp;"º subsolo"),IF(Y67=0,"térreo",Y67&amp;"º pav.")),W67&amp;" de "&amp;V67&amp;" concluídas")&amp;IF(Z67="","",IF(OR(Y67="",Z67&gt;Y67),", executando "&amp;IF(Z67&lt;0,IF(COUNTIF($E$5:$E$6004,"SUBSOLO*")&gt;0,"subsolo",-Z67&amp;"º subsolo"),IF(Z67=0,"térreo",Z67&amp;"º pav."))," (restam serviços no "&amp;IF(Z67&lt;0,IF(COUNTIF($E$5:$E$6004,"SUBSOLO*")&gt;0,"subsolo",-Z67&amp;"º subsolo"),IF(Z67=0,"térreo",Z67&amp;"º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26" t="n">
        <v>45810</v>
      </c>
      <c r="G68" s="126" t="n">
        <v>45814</v>
      </c>
      <c r="H68" s="126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IF(E68="","",IF(ISNUMBER(SEARCH("SUBSOLO",E68)),IFERROR(-VALUE(LEFT(E68,FIND("º",SUBSTITUTE(E68,"°","º"))-1)),-1),IF(LEFT(E68,6)="TÉRREO",0,IFERROR(VALUE(LEFT(E68,FIND("º",SUBSTITUTE(E68,"°","º"))-1)),""))))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IF(R68="","",COUNTIF($C$5:$C$6004,R68))</f>
        <v/>
      </c>
      <c r="W68" s="2">
        <f>IF(R68="","",COUNTIFS($C$5:$C$6004,R68,$O$5:$O$6004,"CONCLUÍDA"))</f>
        <v/>
      </c>
      <c r="X68" s="2">
        <f>IF(R68="","",COUNTIFS($C$5:$C$6004,R68,$O$5:$O$6004,"EM ANDAMENTO"))</f>
        <v/>
      </c>
      <c r="Y68" s="2">
        <f>IF(R68="","",IF(COUNTIFS($C$5:$C$6004,R68,$O$5:$O$6004,"CONCLUÍDA",$N$5:$N$6004,"&gt;=-99")=0,"",_xlfn.MAXIFS($N$5:$N$6004,$C$5:$C$6004,R68,$O$5:$O$6004,"CONCLUÍDA")))</f>
        <v/>
      </c>
      <c r="Z68" s="2">
        <f>IF(R68="","",IF(COUNTIFS($C$5:$C$6004,R68,$O$5:$O$6004,"EM ANDAMENTO",$N$5:$N$6004,"&gt;=-99")=0,"",_xlfn.MAXIFS($N$5:$N$6004,$C$5:$C$6004,R68,$O$5:$O$6004,"EM ANDAMENTO")))</f>
        <v/>
      </c>
      <c r="AA68" s="2">
        <f>IF(OR(R68="",S68="",U68&lt;&gt;"SIM",V68=0),"",IF(W68+X68=0,"",T68&amp;": "&amp;IF(W68=V68,"concluído",IF(W68=0,"em execução"&amp;IF(Z68&lt;&gt;""," ("&amp;IF(Z68&lt;0,IF(COUNTIF($E$5:$E$6004,"SUBSOLO*")&gt;0,"subsolo",-Z68&amp;"º subsolo"),IF(Z68=0,"térreo",Z68&amp;"º pav."))&amp;")",""),IF(Y68&lt;&gt;"","até "&amp;IF(Y68&lt;0,IF(COUNTIF($E$5:$E$6004,"SUBSOLO*")&gt;0,"subsolo",-Y68&amp;"º subsolo"),IF(Y68=0,"térreo",Y68&amp;"º pav.")),W68&amp;" de "&amp;V68&amp;" concluídas")&amp;IF(Z68="","",IF(OR(Y68="",Z68&gt;Y68),", executando "&amp;IF(Z68&lt;0,IF(COUNTIF($E$5:$E$6004,"SUBSOLO*")&gt;0,"subsolo",-Z68&amp;"º subsolo"),IF(Z68=0,"térreo",Z68&amp;"º pav."))," (restam serviços no "&amp;IF(Z68&lt;0,IF(COUNTIF($E$5:$E$6004,"SUBSOLO*")&gt;0,"subsolo",-Z68&amp;"º subsolo"),IF(Z68=0,"térreo",Z68&amp;"º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26" t="n">
        <v>45810</v>
      </c>
      <c r="G69" s="126" t="n">
        <v>45814</v>
      </c>
      <c r="H69" s="126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IF(E69="","",IF(ISNUMBER(SEARCH("SUBSOLO",E69)),IFERROR(-VALUE(LEFT(E69,FIND("º",SUBSTITUTE(E69,"°","º"))-1)),-1),IF(LEFT(E69,6)="TÉRREO",0,IFERROR(VALUE(LEFT(E69,FIND("º",SUBSTITUTE(E69,"°","º"))-1)),""))))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IF(R69="","",COUNTIF($C$5:$C$6004,R69))</f>
        <v/>
      </c>
      <c r="W69" s="2">
        <f>IF(R69="","",COUNTIFS($C$5:$C$6004,R69,$O$5:$O$6004,"CONCLUÍDA"))</f>
        <v/>
      </c>
      <c r="X69" s="2">
        <f>IF(R69="","",COUNTIFS($C$5:$C$6004,R69,$O$5:$O$6004,"EM ANDAMENTO"))</f>
        <v/>
      </c>
      <c r="Y69" s="2">
        <f>IF(R69="","",IF(COUNTIFS($C$5:$C$6004,R69,$O$5:$O$6004,"CONCLUÍDA",$N$5:$N$6004,"&gt;=-99")=0,"",_xlfn.MAXIFS($N$5:$N$6004,$C$5:$C$6004,R69,$O$5:$O$6004,"CONCLUÍDA")))</f>
        <v/>
      </c>
      <c r="Z69" s="2">
        <f>IF(R69="","",IF(COUNTIFS($C$5:$C$6004,R69,$O$5:$O$6004,"EM ANDAMENTO",$N$5:$N$6004,"&gt;=-99")=0,"",_xlfn.MAXIFS($N$5:$N$6004,$C$5:$C$6004,R69,$O$5:$O$6004,"EM ANDAMENTO")))</f>
        <v/>
      </c>
      <c r="AA69" s="2">
        <f>IF(OR(R69="",S69="",U69&lt;&gt;"SIM",V69=0),"",IF(W69+X69=0,"",T69&amp;": "&amp;IF(W69=V69,"concluído",IF(W69=0,"em execução"&amp;IF(Z69&lt;&gt;""," ("&amp;IF(Z69&lt;0,IF(COUNTIF($E$5:$E$6004,"SUBSOLO*")&gt;0,"subsolo",-Z69&amp;"º subsolo"),IF(Z69=0,"térreo",Z69&amp;"º pav."))&amp;")",""),IF(Y69&lt;&gt;"","até "&amp;IF(Y69&lt;0,IF(COUNTIF($E$5:$E$6004,"SUBSOLO*")&gt;0,"subsolo",-Y69&amp;"º subsolo"),IF(Y69=0,"térreo",Y69&amp;"º pav.")),W69&amp;" de "&amp;V69&amp;" concluídas")&amp;IF(Z69="","",IF(OR(Y69="",Z69&gt;Y69),", executando "&amp;IF(Z69&lt;0,IF(COUNTIF($E$5:$E$6004,"SUBSOLO*")&gt;0,"subsolo",-Z69&amp;"º subsolo"),IF(Z69=0,"térreo",Z69&amp;"º pav."))," (restam serviços no "&amp;IF(Z69&lt;0,IF(COUNTIF($E$5:$E$6004,"SUBSOLO*")&gt;0,"subsolo",-Z69&amp;"º subsolo"),IF(Z69=0,"térreo",Z69&amp;"º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26" t="n">
        <v>45817</v>
      </c>
      <c r="G70" s="126" t="n">
        <v>45821</v>
      </c>
      <c r="H70" s="126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IF(E70="","",IF(ISNUMBER(SEARCH("SUBSOLO",E70)),IFERROR(-VALUE(LEFT(E70,FIND("º",SUBSTITUTE(E70,"°","º"))-1)),-1),IF(LEFT(E70,6)="TÉRREO",0,IFERROR(VALUE(LEFT(E70,FIND("º",SUBSTITUTE(E70,"°","º"))-1)),""))))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IF(R70="","",COUNTIF($C$5:$C$6004,R70))</f>
        <v/>
      </c>
      <c r="W70" s="2">
        <f>IF(R70="","",COUNTIFS($C$5:$C$6004,R70,$O$5:$O$6004,"CONCLUÍDA"))</f>
        <v/>
      </c>
      <c r="X70" s="2">
        <f>IF(R70="","",COUNTIFS($C$5:$C$6004,R70,$O$5:$O$6004,"EM ANDAMENTO"))</f>
        <v/>
      </c>
      <c r="Y70" s="2">
        <f>IF(R70="","",IF(COUNTIFS($C$5:$C$6004,R70,$O$5:$O$6004,"CONCLUÍDA",$N$5:$N$6004,"&gt;=-99")=0,"",_xlfn.MAXIFS($N$5:$N$6004,$C$5:$C$6004,R70,$O$5:$O$6004,"CONCLUÍDA")))</f>
        <v/>
      </c>
      <c r="Z70" s="2">
        <f>IF(R70="","",IF(COUNTIFS($C$5:$C$6004,R70,$O$5:$O$6004,"EM ANDAMENTO",$N$5:$N$6004,"&gt;=-99")=0,"",_xlfn.MAXIFS($N$5:$N$6004,$C$5:$C$6004,R70,$O$5:$O$6004,"EM ANDAMENTO")))</f>
        <v/>
      </c>
      <c r="AA70" s="2">
        <f>IF(OR(R70="",S70="",U70&lt;&gt;"SIM",V70=0),"",IF(W70+X70=0,"",T70&amp;": "&amp;IF(W70=V70,"concluído",IF(W70=0,"em execução"&amp;IF(Z70&lt;&gt;""," ("&amp;IF(Z70&lt;0,IF(COUNTIF($E$5:$E$6004,"SUBSOLO*")&gt;0,"subsolo",-Z70&amp;"º subsolo"),IF(Z70=0,"térreo",Z70&amp;"º pav."))&amp;")",""),IF(Y70&lt;&gt;"","até "&amp;IF(Y70&lt;0,IF(COUNTIF($E$5:$E$6004,"SUBSOLO*")&gt;0,"subsolo",-Y70&amp;"º subsolo"),IF(Y70=0,"térreo",Y70&amp;"º pav.")),W70&amp;" de "&amp;V70&amp;" concluídas")&amp;IF(Z70="","",IF(OR(Y70="",Z70&gt;Y70),", executando "&amp;IF(Z70&lt;0,IF(COUNTIF($E$5:$E$6004,"SUBSOLO*")&gt;0,"subsolo",-Z70&amp;"º subsolo"),IF(Z70=0,"térreo",Z70&amp;"º pav."))," (restam serviços no "&amp;IF(Z70&lt;0,IF(COUNTIF($E$5:$E$6004,"SUBSOLO*")&gt;0,"subsolo",-Z70&amp;"º subsolo"),IF(Z70=0,"térreo",Z70&amp;"º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26" t="n">
        <v>45817</v>
      </c>
      <c r="G71" s="126" t="n">
        <v>45821</v>
      </c>
      <c r="H71" s="126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IF(E71="","",IF(ISNUMBER(SEARCH("SUBSOLO",E71)),IFERROR(-VALUE(LEFT(E71,FIND("º",SUBSTITUTE(E71,"°","º"))-1)),-1),IF(LEFT(E71,6)="TÉRREO",0,IFERROR(VALUE(LEFT(E71,FIND("º",SUBSTITUTE(E71,"°","º"))-1)),""))))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IF(R71="","",COUNTIF($C$5:$C$6004,R71))</f>
        <v/>
      </c>
      <c r="W71" s="2">
        <f>IF(R71="","",COUNTIFS($C$5:$C$6004,R71,$O$5:$O$6004,"CONCLUÍDA"))</f>
        <v/>
      </c>
      <c r="X71" s="2">
        <f>IF(R71="","",COUNTIFS($C$5:$C$6004,R71,$O$5:$O$6004,"EM ANDAMENTO"))</f>
        <v/>
      </c>
      <c r="Y71" s="2">
        <f>IF(R71="","",IF(COUNTIFS($C$5:$C$6004,R71,$O$5:$O$6004,"CONCLUÍDA",$N$5:$N$6004,"&gt;=-99")=0,"",_xlfn.MAXIFS($N$5:$N$6004,$C$5:$C$6004,R71,$O$5:$O$6004,"CONCLUÍDA")))</f>
        <v/>
      </c>
      <c r="Z71" s="2">
        <f>IF(R71="","",IF(COUNTIFS($C$5:$C$6004,R71,$O$5:$O$6004,"EM ANDAMENTO",$N$5:$N$6004,"&gt;=-99")=0,"",_xlfn.MAXIFS($N$5:$N$6004,$C$5:$C$6004,R71,$O$5:$O$6004,"EM ANDAMENTO")))</f>
        <v/>
      </c>
      <c r="AA71" s="2">
        <f>IF(OR(R71="",S71="",U71&lt;&gt;"SIM",V71=0),"",IF(W71+X71=0,"",T71&amp;": "&amp;IF(W71=V71,"concluído",IF(W71=0,"em execução"&amp;IF(Z71&lt;&gt;""," ("&amp;IF(Z71&lt;0,IF(COUNTIF($E$5:$E$6004,"SUBSOLO*")&gt;0,"subsolo",-Z71&amp;"º subsolo"),IF(Z71=0,"térreo",Z71&amp;"º pav."))&amp;")",""),IF(Y71&lt;&gt;"","até "&amp;IF(Y71&lt;0,IF(COUNTIF($E$5:$E$6004,"SUBSOLO*")&gt;0,"subsolo",-Y71&amp;"º subsolo"),IF(Y71=0,"térreo",Y71&amp;"º pav.")),W71&amp;" de "&amp;V71&amp;" concluídas")&amp;IF(Z71="","",IF(OR(Y71="",Z71&gt;Y71),", executando "&amp;IF(Z71&lt;0,IF(COUNTIF($E$5:$E$6004,"SUBSOLO*")&gt;0,"subsolo",-Z71&amp;"º subsolo"),IF(Z71=0,"térreo",Z71&amp;"º pav."))," (restam serviços no "&amp;IF(Z71&lt;0,IF(COUNTIF($E$5:$E$6004,"SUBSOLO*")&gt;0,"subsolo",-Z71&amp;"º subsolo"),IF(Z71=0,"térreo",Z71&amp;"º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26" t="n">
        <v>45824</v>
      </c>
      <c r="G72" s="126" t="n">
        <v>45831</v>
      </c>
      <c r="H72" s="126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IF(E72="","",IF(ISNUMBER(SEARCH("SUBSOLO",E72)),IFERROR(-VALUE(LEFT(E72,FIND("º",SUBSTITUTE(E72,"°","º"))-1)),-1),IF(LEFT(E72,6)="TÉRREO",0,IFERROR(VALUE(LEFT(E72,FIND("º",SUBSTITUTE(E72,"°","º"))-1)),""))))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IF(R72="","",COUNTIF($C$5:$C$6004,R72))</f>
        <v/>
      </c>
      <c r="W72" s="2">
        <f>IF(R72="","",COUNTIFS($C$5:$C$6004,R72,$O$5:$O$6004,"CONCLUÍDA"))</f>
        <v/>
      </c>
      <c r="X72" s="2">
        <f>IF(R72="","",COUNTIFS($C$5:$C$6004,R72,$O$5:$O$6004,"EM ANDAMENTO"))</f>
        <v/>
      </c>
      <c r="Y72" s="2">
        <f>IF(R72="","",IF(COUNTIFS($C$5:$C$6004,R72,$O$5:$O$6004,"CONCLUÍDA",$N$5:$N$6004,"&gt;=-99")=0,"",_xlfn.MAXIFS($N$5:$N$6004,$C$5:$C$6004,R72,$O$5:$O$6004,"CONCLUÍDA")))</f>
        <v/>
      </c>
      <c r="Z72" s="2">
        <f>IF(R72="","",IF(COUNTIFS($C$5:$C$6004,R72,$O$5:$O$6004,"EM ANDAMENTO",$N$5:$N$6004,"&gt;=-99")=0,"",_xlfn.MAXIFS($N$5:$N$6004,$C$5:$C$6004,R72,$O$5:$O$6004,"EM ANDAMENTO")))</f>
        <v/>
      </c>
      <c r="AA72" s="2">
        <f>IF(OR(R72="",S72="",U72&lt;&gt;"SIM",V72=0),"",IF(W72+X72=0,"",T72&amp;": "&amp;IF(W72=V72,"concluído",IF(W72=0,"em execução"&amp;IF(Z72&lt;&gt;""," ("&amp;IF(Z72&lt;0,IF(COUNTIF($E$5:$E$6004,"SUBSOLO*")&gt;0,"subsolo",-Z72&amp;"º subsolo"),IF(Z72=0,"térreo",Z72&amp;"º pav."))&amp;")",""),IF(Y72&lt;&gt;"","até "&amp;IF(Y72&lt;0,IF(COUNTIF($E$5:$E$6004,"SUBSOLO*")&gt;0,"subsolo",-Y72&amp;"º subsolo"),IF(Y72=0,"térreo",Y72&amp;"º pav.")),W72&amp;" de "&amp;V72&amp;" concluídas")&amp;IF(Z72="","",IF(OR(Y72="",Z72&gt;Y72),", executando "&amp;IF(Z72&lt;0,IF(COUNTIF($E$5:$E$6004,"SUBSOLO*")&gt;0,"subsolo",-Z72&amp;"º subsolo"),IF(Z72=0,"térreo",Z72&amp;"º pav."))," (restam serviços no "&amp;IF(Z72&lt;0,IF(COUNTIF($E$5:$E$6004,"SUBSOLO*")&gt;0,"subsolo",-Z72&amp;"º subsolo"),IF(Z72=0,"térreo",Z72&amp;"º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26" t="n">
        <v>45824</v>
      </c>
      <c r="G73" s="126" t="n">
        <v>45834</v>
      </c>
      <c r="H73" s="126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IF(E73="","",IF(ISNUMBER(SEARCH("SUBSOLO",E73)),IFERROR(-VALUE(LEFT(E73,FIND("º",SUBSTITUTE(E73,"°","º"))-1)),-1),IF(LEFT(E73,6)="TÉRREO",0,IFERROR(VALUE(LEFT(E73,FIND("º",SUBSTITUTE(E73,"°","º"))-1)),""))))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IF(R73="","",COUNTIF($C$5:$C$6004,R73))</f>
        <v/>
      </c>
      <c r="W73" s="2">
        <f>IF(R73="","",COUNTIFS($C$5:$C$6004,R73,$O$5:$O$6004,"CONCLUÍDA"))</f>
        <v/>
      </c>
      <c r="X73" s="2">
        <f>IF(R73="","",COUNTIFS($C$5:$C$6004,R73,$O$5:$O$6004,"EM ANDAMENTO"))</f>
        <v/>
      </c>
      <c r="Y73" s="2">
        <f>IF(R73="","",IF(COUNTIFS($C$5:$C$6004,R73,$O$5:$O$6004,"CONCLUÍDA",$N$5:$N$6004,"&gt;=-99")=0,"",_xlfn.MAXIFS($N$5:$N$6004,$C$5:$C$6004,R73,$O$5:$O$6004,"CONCLUÍDA")))</f>
        <v/>
      </c>
      <c r="Z73" s="2">
        <f>IF(R73="","",IF(COUNTIFS($C$5:$C$6004,R73,$O$5:$O$6004,"EM ANDAMENTO",$N$5:$N$6004,"&gt;=-99")=0,"",_xlfn.MAXIFS($N$5:$N$6004,$C$5:$C$6004,R73,$O$5:$O$6004,"EM ANDAMENTO")))</f>
        <v/>
      </c>
      <c r="AA73" s="2">
        <f>IF(OR(R73="",S73="",U73&lt;&gt;"SIM",V73=0),"",IF(W73+X73=0,"",T73&amp;": "&amp;IF(W73=V73,"concluído",IF(W73=0,"em execução"&amp;IF(Z73&lt;&gt;""," ("&amp;IF(Z73&lt;0,IF(COUNTIF($E$5:$E$6004,"SUBSOLO*")&gt;0,"subsolo",-Z73&amp;"º subsolo"),IF(Z73=0,"térreo",Z73&amp;"º pav."))&amp;")",""),IF(Y73&lt;&gt;"","até "&amp;IF(Y73&lt;0,IF(COUNTIF($E$5:$E$6004,"SUBSOLO*")&gt;0,"subsolo",-Y73&amp;"º subsolo"),IF(Y73=0,"térreo",Y73&amp;"º pav.")),W73&amp;" de "&amp;V73&amp;" concluídas")&amp;IF(Z73="","",IF(OR(Y73="",Z73&gt;Y73),", executando "&amp;IF(Z73&lt;0,IF(COUNTIF($E$5:$E$6004,"SUBSOLO*")&gt;0,"subsolo",-Z73&amp;"º subsolo"),IF(Z73=0,"térreo",Z73&amp;"º pav."))," (restam serviços no "&amp;IF(Z73&lt;0,IF(COUNTIF($E$5:$E$6004,"SUBSOLO*")&gt;0,"subsolo",-Z73&amp;"º subsolo"),IF(Z73=0,"térreo",Z73&amp;"º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26" t="n">
        <v>45810</v>
      </c>
      <c r="G74" s="126" t="n">
        <v>45814</v>
      </c>
      <c r="H74" s="126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IF(E74="","",IF(ISNUMBER(SEARCH("SUBSOLO",E74)),IFERROR(-VALUE(LEFT(E74,FIND("º",SUBSTITUTE(E74,"°","º"))-1)),-1),IF(LEFT(E74,6)="TÉRREO",0,IFERROR(VALUE(LEFT(E74,FIND("º",SUBSTITUTE(E74,"°","º"))-1)),""))))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IF(R74="","",COUNTIF($C$5:$C$6004,R74))</f>
        <v/>
      </c>
      <c r="W74" s="2">
        <f>IF(R74="","",COUNTIFS($C$5:$C$6004,R74,$O$5:$O$6004,"CONCLUÍDA"))</f>
        <v/>
      </c>
      <c r="X74" s="2">
        <f>IF(R74="","",COUNTIFS($C$5:$C$6004,R74,$O$5:$O$6004,"EM ANDAMENTO"))</f>
        <v/>
      </c>
      <c r="Y74" s="2">
        <f>IF(R74="","",IF(COUNTIFS($C$5:$C$6004,R74,$O$5:$O$6004,"CONCLUÍDA",$N$5:$N$6004,"&gt;=-99")=0,"",_xlfn.MAXIFS($N$5:$N$6004,$C$5:$C$6004,R74,$O$5:$O$6004,"CONCLUÍDA")))</f>
        <v/>
      </c>
      <c r="Z74" s="2">
        <f>IF(R74="","",IF(COUNTIFS($C$5:$C$6004,R74,$O$5:$O$6004,"EM ANDAMENTO",$N$5:$N$6004,"&gt;=-99")=0,"",_xlfn.MAXIFS($N$5:$N$6004,$C$5:$C$6004,R74,$O$5:$O$6004,"EM ANDAMENTO")))</f>
        <v/>
      </c>
      <c r="AA74" s="2">
        <f>IF(OR(R74="",S74="",U74&lt;&gt;"SIM",V74=0),"",IF(W74+X74=0,"",T74&amp;": "&amp;IF(W74=V74,"concluído",IF(W74=0,"em execução"&amp;IF(Z74&lt;&gt;""," ("&amp;IF(Z74&lt;0,IF(COUNTIF($E$5:$E$6004,"SUBSOLO*")&gt;0,"subsolo",-Z74&amp;"º subsolo"),IF(Z74=0,"térreo",Z74&amp;"º pav."))&amp;")",""),IF(Y74&lt;&gt;"","até "&amp;IF(Y74&lt;0,IF(COUNTIF($E$5:$E$6004,"SUBSOLO*")&gt;0,"subsolo",-Y74&amp;"º subsolo"),IF(Y74=0,"térreo",Y74&amp;"º pav.")),W74&amp;" de "&amp;V74&amp;" concluídas")&amp;IF(Z74="","",IF(OR(Y74="",Z74&gt;Y74),", executando "&amp;IF(Z74&lt;0,IF(COUNTIF($E$5:$E$6004,"SUBSOLO*")&gt;0,"subsolo",-Z74&amp;"º subsolo"),IF(Z74=0,"térreo",Z74&amp;"º pav."))," (restam serviços no "&amp;IF(Z74&lt;0,IF(COUNTIF($E$5:$E$6004,"SUBSOLO*")&gt;0,"subsolo",-Z74&amp;"º subsolo"),IF(Z74=0,"térreo",Z74&amp;"º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26" t="n">
        <v>45810</v>
      </c>
      <c r="G75" s="126" t="n">
        <v>45814</v>
      </c>
      <c r="H75" s="126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IF(E75="","",IF(ISNUMBER(SEARCH("SUBSOLO",E75)),IFERROR(-VALUE(LEFT(E75,FIND("º",SUBSTITUTE(E75,"°","º"))-1)),-1),IF(LEFT(E75,6)="TÉRREO",0,IFERROR(VALUE(LEFT(E75,FIND("º",SUBSTITUTE(E75,"°","º"))-1)),""))))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IF(R75="","",COUNTIF($C$5:$C$6004,R75))</f>
        <v/>
      </c>
      <c r="W75" s="2">
        <f>IF(R75="","",COUNTIFS($C$5:$C$6004,R75,$O$5:$O$6004,"CONCLUÍDA"))</f>
        <v/>
      </c>
      <c r="X75" s="2">
        <f>IF(R75="","",COUNTIFS($C$5:$C$6004,R75,$O$5:$O$6004,"EM ANDAMENTO"))</f>
        <v/>
      </c>
      <c r="Y75" s="2">
        <f>IF(R75="","",IF(COUNTIFS($C$5:$C$6004,R75,$O$5:$O$6004,"CONCLUÍDA",$N$5:$N$6004,"&gt;=-99")=0,"",_xlfn.MAXIFS($N$5:$N$6004,$C$5:$C$6004,R75,$O$5:$O$6004,"CONCLUÍDA")))</f>
        <v/>
      </c>
      <c r="Z75" s="2">
        <f>IF(R75="","",IF(COUNTIFS($C$5:$C$6004,R75,$O$5:$O$6004,"EM ANDAMENTO",$N$5:$N$6004,"&gt;=-99")=0,"",_xlfn.MAXIFS($N$5:$N$6004,$C$5:$C$6004,R75,$O$5:$O$6004,"EM ANDAMENTO")))</f>
        <v/>
      </c>
      <c r="AA75" s="2">
        <f>IF(OR(R75="",S75="",U75&lt;&gt;"SIM",V75=0),"",IF(W75+X75=0,"",T75&amp;": "&amp;IF(W75=V75,"concluído",IF(W75=0,"em execução"&amp;IF(Z75&lt;&gt;""," ("&amp;IF(Z75&lt;0,IF(COUNTIF($E$5:$E$6004,"SUBSOLO*")&gt;0,"subsolo",-Z75&amp;"º subsolo"),IF(Z75=0,"térreo",Z75&amp;"º pav."))&amp;")",""),IF(Y75&lt;&gt;"","até "&amp;IF(Y75&lt;0,IF(COUNTIF($E$5:$E$6004,"SUBSOLO*")&gt;0,"subsolo",-Y75&amp;"º subsolo"),IF(Y75=0,"térreo",Y75&amp;"º pav.")),W75&amp;" de "&amp;V75&amp;" concluídas")&amp;IF(Z75="","",IF(OR(Y75="",Z75&gt;Y75),", executando "&amp;IF(Z75&lt;0,IF(COUNTIF($E$5:$E$6004,"SUBSOLO*")&gt;0,"subsolo",-Z75&amp;"º subsolo"),IF(Z75=0,"térreo",Z75&amp;"º pav."))," (restam serviços no "&amp;IF(Z75&lt;0,IF(COUNTIF($E$5:$E$6004,"SUBSOLO*")&gt;0,"subsolo",-Z75&amp;"º subsolo"),IF(Z75=0,"térreo",Z75&amp;"º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26" t="n">
        <v>45817</v>
      </c>
      <c r="G76" s="126" t="n">
        <v>45821</v>
      </c>
      <c r="H76" s="126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IF(E76="","",IF(ISNUMBER(SEARCH("SUBSOLO",E76)),IFERROR(-VALUE(LEFT(E76,FIND("º",SUBSTITUTE(E76,"°","º"))-1)),-1),IF(LEFT(E76,6)="TÉRREO",0,IFERROR(VALUE(LEFT(E76,FIND("º",SUBSTITUTE(E76,"°","º"))-1)),""))))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IF(R76="","",COUNTIF($C$5:$C$6004,R76))</f>
        <v/>
      </c>
      <c r="W76" s="2">
        <f>IF(R76="","",COUNTIFS($C$5:$C$6004,R76,$O$5:$O$6004,"CONCLUÍDA"))</f>
        <v/>
      </c>
      <c r="X76" s="2">
        <f>IF(R76="","",COUNTIFS($C$5:$C$6004,R76,$O$5:$O$6004,"EM ANDAMENTO"))</f>
        <v/>
      </c>
      <c r="Y76" s="2">
        <f>IF(R76="","",IF(COUNTIFS($C$5:$C$6004,R76,$O$5:$O$6004,"CONCLUÍDA",$N$5:$N$6004,"&gt;=-99")=0,"",_xlfn.MAXIFS($N$5:$N$6004,$C$5:$C$6004,R76,$O$5:$O$6004,"CONCLUÍDA")))</f>
        <v/>
      </c>
      <c r="Z76" s="2">
        <f>IF(R76="","",IF(COUNTIFS($C$5:$C$6004,R76,$O$5:$O$6004,"EM ANDAMENTO",$N$5:$N$6004,"&gt;=-99")=0,"",_xlfn.MAXIFS($N$5:$N$6004,$C$5:$C$6004,R76,$O$5:$O$6004,"EM ANDAMENTO")))</f>
        <v/>
      </c>
      <c r="AA76" s="2">
        <f>IF(OR(R76="",S76="",U76&lt;&gt;"SIM",V76=0),"",IF(W76+X76=0,"",T76&amp;": "&amp;IF(W76=V76,"concluído",IF(W76=0,"em execução"&amp;IF(Z76&lt;&gt;""," ("&amp;IF(Z76&lt;0,IF(COUNTIF($E$5:$E$6004,"SUBSOLO*")&gt;0,"subsolo",-Z76&amp;"º subsolo"),IF(Z76=0,"térreo",Z76&amp;"º pav."))&amp;")",""),IF(Y76&lt;&gt;"","até "&amp;IF(Y76&lt;0,IF(COUNTIF($E$5:$E$6004,"SUBSOLO*")&gt;0,"subsolo",-Y76&amp;"º subsolo"),IF(Y76=0,"térreo",Y76&amp;"º pav.")),W76&amp;" de "&amp;V76&amp;" concluídas")&amp;IF(Z76="","",IF(OR(Y76="",Z76&gt;Y76),", executando "&amp;IF(Z76&lt;0,IF(COUNTIF($E$5:$E$6004,"SUBSOLO*")&gt;0,"subsolo",-Z76&amp;"º subsolo"),IF(Z76=0,"térreo",Z76&amp;"º pav."))," (restam serviços no "&amp;IF(Z76&lt;0,IF(COUNTIF($E$5:$E$6004,"SUBSOLO*")&gt;0,"subsolo",-Z76&amp;"º subsolo"),IF(Z76=0,"térreo",Z76&amp;"º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26" t="n">
        <v>45817</v>
      </c>
      <c r="G77" s="126" t="n">
        <v>45821</v>
      </c>
      <c r="H77" s="126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IF(E77="","",IF(ISNUMBER(SEARCH("SUBSOLO",E77)),IFERROR(-VALUE(LEFT(E77,FIND("º",SUBSTITUTE(E77,"°","º"))-1)),-1),IF(LEFT(E77,6)="TÉRREO",0,IFERROR(VALUE(LEFT(E77,FIND("º",SUBSTITUTE(E77,"°","º"))-1)),""))))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IF(R77="","",COUNTIF($C$5:$C$6004,R77))</f>
        <v/>
      </c>
      <c r="W77" s="2">
        <f>IF(R77="","",COUNTIFS($C$5:$C$6004,R77,$O$5:$O$6004,"CONCLUÍDA"))</f>
        <v/>
      </c>
      <c r="X77" s="2">
        <f>IF(R77="","",COUNTIFS($C$5:$C$6004,R77,$O$5:$O$6004,"EM ANDAMENTO"))</f>
        <v/>
      </c>
      <c r="Y77" s="2">
        <f>IF(R77="","",IF(COUNTIFS($C$5:$C$6004,R77,$O$5:$O$6004,"CONCLUÍDA",$N$5:$N$6004,"&gt;=-99")=0,"",_xlfn.MAXIFS($N$5:$N$6004,$C$5:$C$6004,R77,$O$5:$O$6004,"CONCLUÍDA")))</f>
        <v/>
      </c>
      <c r="Z77" s="2">
        <f>IF(R77="","",IF(COUNTIFS($C$5:$C$6004,R77,$O$5:$O$6004,"EM ANDAMENTO",$N$5:$N$6004,"&gt;=-99")=0,"",_xlfn.MAXIFS($N$5:$N$6004,$C$5:$C$6004,R77,$O$5:$O$6004,"EM ANDAMENTO")))</f>
        <v/>
      </c>
      <c r="AA77" s="2">
        <f>IF(OR(R77="",S77="",U77&lt;&gt;"SIM",V77=0),"",IF(W77+X77=0,"",T77&amp;": "&amp;IF(W77=V77,"concluído",IF(W77=0,"em execução"&amp;IF(Z77&lt;&gt;""," ("&amp;IF(Z77&lt;0,IF(COUNTIF($E$5:$E$6004,"SUBSOLO*")&gt;0,"subsolo",-Z77&amp;"º subsolo"),IF(Z77=0,"térreo",Z77&amp;"º pav."))&amp;")",""),IF(Y77&lt;&gt;"","até "&amp;IF(Y77&lt;0,IF(COUNTIF($E$5:$E$6004,"SUBSOLO*")&gt;0,"subsolo",-Y77&amp;"º subsolo"),IF(Y77=0,"térreo",Y77&amp;"º pav.")),W77&amp;" de "&amp;V77&amp;" concluídas")&amp;IF(Z77="","",IF(OR(Y77="",Z77&gt;Y77),", executando "&amp;IF(Z77&lt;0,IF(COUNTIF($E$5:$E$6004,"SUBSOLO*")&gt;0,"subsolo",-Z77&amp;"º subsolo"),IF(Z77=0,"térreo",Z77&amp;"º pav."))," (restam serviços no "&amp;IF(Z77&lt;0,IF(COUNTIF($E$5:$E$6004,"SUBSOLO*")&gt;0,"subsolo",-Z77&amp;"º subsolo"),IF(Z77=0,"térreo",Z77&amp;"º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26" t="n">
        <v>45834</v>
      </c>
      <c r="G78" s="126" t="n">
        <v>45835</v>
      </c>
      <c r="H78" s="126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IF(E78="","",IF(ISNUMBER(SEARCH("SUBSOLO",E78)),IFERROR(-VALUE(LEFT(E78,FIND("º",SUBSTITUTE(E78,"°","º"))-1)),-1),IF(LEFT(E78,6)="TÉRREO",0,IFERROR(VALUE(LEFT(E78,FIND("º",SUBSTITUTE(E78,"°","º"))-1)),""))))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IF(R78="","",COUNTIF($C$5:$C$6004,R78))</f>
        <v/>
      </c>
      <c r="W78" s="2">
        <f>IF(R78="","",COUNTIFS($C$5:$C$6004,R78,$O$5:$O$6004,"CONCLUÍDA"))</f>
        <v/>
      </c>
      <c r="X78" s="2">
        <f>IF(R78="","",COUNTIFS($C$5:$C$6004,R78,$O$5:$O$6004,"EM ANDAMENTO"))</f>
        <v/>
      </c>
      <c r="Y78" s="2">
        <f>IF(R78="","",IF(COUNTIFS($C$5:$C$6004,R78,$O$5:$O$6004,"CONCLUÍDA",$N$5:$N$6004,"&gt;=-99")=0,"",_xlfn.MAXIFS($N$5:$N$6004,$C$5:$C$6004,R78,$O$5:$O$6004,"CONCLUÍDA")))</f>
        <v/>
      </c>
      <c r="Z78" s="2">
        <f>IF(R78="","",IF(COUNTIFS($C$5:$C$6004,R78,$O$5:$O$6004,"EM ANDAMENTO",$N$5:$N$6004,"&gt;=-99")=0,"",_xlfn.MAXIFS($N$5:$N$6004,$C$5:$C$6004,R78,$O$5:$O$6004,"EM ANDAMENTO")))</f>
        <v/>
      </c>
      <c r="AA78" s="2">
        <f>IF(OR(R78="",S78="",U78&lt;&gt;"SIM",V78=0),"",IF(W78+X78=0,"",T78&amp;": "&amp;IF(W78=V78,"concluído",IF(W78=0,"em execução"&amp;IF(Z78&lt;&gt;""," ("&amp;IF(Z78&lt;0,IF(COUNTIF($E$5:$E$6004,"SUBSOLO*")&gt;0,"subsolo",-Z78&amp;"º subsolo"),IF(Z78=0,"térreo",Z78&amp;"º pav."))&amp;")",""),IF(Y78&lt;&gt;"","até "&amp;IF(Y78&lt;0,IF(COUNTIF($E$5:$E$6004,"SUBSOLO*")&gt;0,"subsolo",-Y78&amp;"º subsolo"),IF(Y78=0,"térreo",Y78&amp;"º pav.")),W78&amp;" de "&amp;V78&amp;" concluídas")&amp;IF(Z78="","",IF(OR(Y78="",Z78&gt;Y78),", executando "&amp;IF(Z78&lt;0,IF(COUNTIF($E$5:$E$6004,"SUBSOLO*")&gt;0,"subsolo",-Z78&amp;"º subsolo"),IF(Z78=0,"térreo",Z78&amp;"º pav."))," (restam serviços no "&amp;IF(Z78&lt;0,IF(COUNTIF($E$5:$E$6004,"SUBSOLO*")&gt;0,"subsolo",-Z78&amp;"º subsolo"),IF(Z78=0,"térreo",Z78&amp;"º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26" t="n">
        <v>45811</v>
      </c>
      <c r="G79" s="126" t="n">
        <v>45814</v>
      </c>
      <c r="H79" s="126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IF(E79="","",IF(ISNUMBER(SEARCH("SUBSOLO",E79)),IFERROR(-VALUE(LEFT(E79,FIND("º",SUBSTITUTE(E79,"°","º"))-1)),-1),IF(LEFT(E79,6)="TÉRREO",0,IFERROR(VALUE(LEFT(E79,FIND("º",SUBSTITUTE(E79,"°","º"))-1)),""))))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IF(R79="","",COUNTIF($C$5:$C$6004,R79))</f>
        <v/>
      </c>
      <c r="W79" s="2">
        <f>IF(R79="","",COUNTIFS($C$5:$C$6004,R79,$O$5:$O$6004,"CONCLUÍDA"))</f>
        <v/>
      </c>
      <c r="X79" s="2">
        <f>IF(R79="","",COUNTIFS($C$5:$C$6004,R79,$O$5:$O$6004,"EM ANDAMENTO"))</f>
        <v/>
      </c>
      <c r="Y79" s="2">
        <f>IF(R79="","",IF(COUNTIFS($C$5:$C$6004,R79,$O$5:$O$6004,"CONCLUÍDA",$N$5:$N$6004,"&gt;=-99")=0,"",_xlfn.MAXIFS($N$5:$N$6004,$C$5:$C$6004,R79,$O$5:$O$6004,"CONCLUÍDA")))</f>
        <v/>
      </c>
      <c r="Z79" s="2">
        <f>IF(R79="","",IF(COUNTIFS($C$5:$C$6004,R79,$O$5:$O$6004,"EM ANDAMENTO",$N$5:$N$6004,"&gt;=-99")=0,"",_xlfn.MAXIFS($N$5:$N$6004,$C$5:$C$6004,R79,$O$5:$O$6004,"EM ANDAMENTO")))</f>
        <v/>
      </c>
      <c r="AA79" s="2">
        <f>IF(OR(R79="",S79="",U79&lt;&gt;"SIM",V79=0),"",IF(W79+X79=0,"",T79&amp;": "&amp;IF(W79=V79,"concluído",IF(W79=0,"em execução"&amp;IF(Z79&lt;&gt;""," ("&amp;IF(Z79&lt;0,IF(COUNTIF($E$5:$E$6004,"SUBSOLO*")&gt;0,"subsolo",-Z79&amp;"º subsolo"),IF(Z79=0,"térreo",Z79&amp;"º pav."))&amp;")",""),IF(Y79&lt;&gt;"","até "&amp;IF(Y79&lt;0,IF(COUNTIF($E$5:$E$6004,"SUBSOLO*")&gt;0,"subsolo",-Y79&amp;"º subsolo"),IF(Y79=0,"térreo",Y79&amp;"º pav.")),W79&amp;" de "&amp;V79&amp;" concluídas")&amp;IF(Z79="","",IF(OR(Y79="",Z79&gt;Y79),", executando "&amp;IF(Z79&lt;0,IF(COUNTIF($E$5:$E$6004,"SUBSOLO*")&gt;0,"subsolo",-Z79&amp;"º subsolo"),IF(Z79=0,"térreo",Z79&amp;"º pav."))," (restam serviços no "&amp;IF(Z79&lt;0,IF(COUNTIF($E$5:$E$6004,"SUBSOLO*")&gt;0,"subsolo",-Z79&amp;"º subsolo"),IF(Z79=0,"térreo",Z79&amp;"º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26" t="n">
        <v>45812</v>
      </c>
      <c r="G80" s="126" t="n">
        <v>45818</v>
      </c>
      <c r="H80" s="126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IF(E80="","",IF(ISNUMBER(SEARCH("SUBSOLO",E80)),IFERROR(-VALUE(LEFT(E80,FIND("º",SUBSTITUTE(E80,"°","º"))-1)),-1),IF(LEFT(E80,6)="TÉRREO",0,IFERROR(VALUE(LEFT(E80,FIND("º",SUBSTITUTE(E80,"°","º"))-1)),""))))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IF(R80="","",COUNTIF($C$5:$C$6004,R80))</f>
        <v/>
      </c>
      <c r="W80" s="2">
        <f>IF(R80="","",COUNTIFS($C$5:$C$6004,R80,$O$5:$O$6004,"CONCLUÍDA"))</f>
        <v/>
      </c>
      <c r="X80" s="2">
        <f>IF(R80="","",COUNTIFS($C$5:$C$6004,R80,$O$5:$O$6004,"EM ANDAMENTO"))</f>
        <v/>
      </c>
      <c r="Y80" s="2">
        <f>IF(R80="","",IF(COUNTIFS($C$5:$C$6004,R80,$O$5:$O$6004,"CONCLUÍDA",$N$5:$N$6004,"&gt;=-99")=0,"",_xlfn.MAXIFS($N$5:$N$6004,$C$5:$C$6004,R80,$O$5:$O$6004,"CONCLUÍDA")))</f>
        <v/>
      </c>
      <c r="Z80" s="2">
        <f>IF(R80="","",IF(COUNTIFS($C$5:$C$6004,R80,$O$5:$O$6004,"EM ANDAMENTO",$N$5:$N$6004,"&gt;=-99")=0,"",_xlfn.MAXIFS($N$5:$N$6004,$C$5:$C$6004,R80,$O$5:$O$6004,"EM ANDAMENTO")))</f>
        <v/>
      </c>
      <c r="AA80" s="2">
        <f>IF(OR(R80="",S80="",U80&lt;&gt;"SIM",V80=0),"",IF(W80+X80=0,"",T80&amp;": "&amp;IF(W80=V80,"concluído",IF(W80=0,"em execução"&amp;IF(Z80&lt;&gt;""," ("&amp;IF(Z80&lt;0,IF(COUNTIF($E$5:$E$6004,"SUBSOLO*")&gt;0,"subsolo",-Z80&amp;"º subsolo"),IF(Z80=0,"térreo",Z80&amp;"º pav."))&amp;")",""),IF(Y80&lt;&gt;"","até "&amp;IF(Y80&lt;0,IF(COUNTIF($E$5:$E$6004,"SUBSOLO*")&gt;0,"subsolo",-Y80&amp;"º subsolo"),IF(Y80=0,"térreo",Y80&amp;"º pav.")),W80&amp;" de "&amp;V80&amp;" concluídas")&amp;IF(Z80="","",IF(OR(Y80="",Z80&gt;Y80),", executando "&amp;IF(Z80&lt;0,IF(COUNTIF($E$5:$E$6004,"SUBSOLO*")&gt;0,"subsolo",-Z80&amp;"º subsolo"),IF(Z80=0,"térreo",Z80&amp;"º pav."))," (restam serviços no "&amp;IF(Z80&lt;0,IF(COUNTIF($E$5:$E$6004,"SUBSOLO*")&gt;0,"subsolo",-Z80&amp;"º subsolo"),IF(Z80=0,"térreo",Z80&amp;"º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26" t="n">
        <v>45818</v>
      </c>
      <c r="G81" s="126" t="n">
        <v>45824</v>
      </c>
      <c r="H81" s="126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IF(E81="","",IF(ISNUMBER(SEARCH("SUBSOLO",E81)),IFERROR(-VALUE(LEFT(E81,FIND("º",SUBSTITUTE(E81,"°","º"))-1)),-1),IF(LEFT(E81,6)="TÉRREO",0,IFERROR(VALUE(LEFT(E81,FIND("º",SUBSTITUTE(E81,"°","º"))-1)),""))))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IF(R81="","",COUNTIF($C$5:$C$6004,R81))</f>
        <v/>
      </c>
      <c r="W81" s="2">
        <f>IF(R81="","",COUNTIFS($C$5:$C$6004,R81,$O$5:$O$6004,"CONCLUÍDA"))</f>
        <v/>
      </c>
      <c r="X81" s="2">
        <f>IF(R81="","",COUNTIFS($C$5:$C$6004,R81,$O$5:$O$6004,"EM ANDAMENTO"))</f>
        <v/>
      </c>
      <c r="Y81" s="2">
        <f>IF(R81="","",IF(COUNTIFS($C$5:$C$6004,R81,$O$5:$O$6004,"CONCLUÍDA",$N$5:$N$6004,"&gt;=-99")=0,"",_xlfn.MAXIFS($N$5:$N$6004,$C$5:$C$6004,R81,$O$5:$O$6004,"CONCLUÍDA")))</f>
        <v/>
      </c>
      <c r="Z81" s="2">
        <f>IF(R81="","",IF(COUNTIFS($C$5:$C$6004,R81,$O$5:$O$6004,"EM ANDAMENTO",$N$5:$N$6004,"&gt;=-99")=0,"",_xlfn.MAXIFS($N$5:$N$6004,$C$5:$C$6004,R81,$O$5:$O$6004,"EM ANDAMENTO")))</f>
        <v/>
      </c>
      <c r="AA81" s="2">
        <f>IF(OR(R81="",S81="",U81&lt;&gt;"SIM",V81=0),"",IF(W81+X81=0,"",T81&amp;": "&amp;IF(W81=V81,"concluído",IF(W81=0,"em execução"&amp;IF(Z81&lt;&gt;""," ("&amp;IF(Z81&lt;0,IF(COUNTIF($E$5:$E$6004,"SUBSOLO*")&gt;0,"subsolo",-Z81&amp;"º subsolo"),IF(Z81=0,"térreo",Z81&amp;"º pav."))&amp;")",""),IF(Y81&lt;&gt;"","até "&amp;IF(Y81&lt;0,IF(COUNTIF($E$5:$E$6004,"SUBSOLO*")&gt;0,"subsolo",-Y81&amp;"º subsolo"),IF(Y81=0,"térreo",Y81&amp;"º pav.")),W81&amp;" de "&amp;V81&amp;" concluídas")&amp;IF(Z81="","",IF(OR(Y81="",Z81&gt;Y81),", executando "&amp;IF(Z81&lt;0,IF(COUNTIF($E$5:$E$6004,"SUBSOLO*")&gt;0,"subsolo",-Z81&amp;"º subsolo"),IF(Z81=0,"térreo",Z81&amp;"º pav."))," (restam serviços no "&amp;IF(Z81&lt;0,IF(COUNTIF($E$5:$E$6004,"SUBSOLO*")&gt;0,"subsolo",-Z81&amp;"º subsolo"),IF(Z81=0,"térreo",Z81&amp;"º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26" t="n">
        <v>45819</v>
      </c>
      <c r="G82" s="126" t="n">
        <v>45825</v>
      </c>
      <c r="H82" s="126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IF(E82="","",IF(ISNUMBER(SEARCH("SUBSOLO",E82)),IFERROR(-VALUE(LEFT(E82,FIND("º",SUBSTITUTE(E82,"°","º"))-1)),-1),IF(LEFT(E82,6)="TÉRREO",0,IFERROR(VALUE(LEFT(E82,FIND("º",SUBSTITUTE(E82,"°","º"))-1)),""))))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IF(R82="","",COUNTIF($C$5:$C$6004,R82))</f>
        <v/>
      </c>
      <c r="W82" s="2">
        <f>IF(R82="","",COUNTIFS($C$5:$C$6004,R82,$O$5:$O$6004,"CONCLUÍDA"))</f>
        <v/>
      </c>
      <c r="X82" s="2">
        <f>IF(R82="","",COUNTIFS($C$5:$C$6004,R82,$O$5:$O$6004,"EM ANDAMENTO"))</f>
        <v/>
      </c>
      <c r="Y82" s="2">
        <f>IF(R82="","",IF(COUNTIFS($C$5:$C$6004,R82,$O$5:$O$6004,"CONCLUÍDA",$N$5:$N$6004,"&gt;=-99")=0,"",_xlfn.MAXIFS($N$5:$N$6004,$C$5:$C$6004,R82,$O$5:$O$6004,"CONCLUÍDA")))</f>
        <v/>
      </c>
      <c r="Z82" s="2">
        <f>IF(R82="","",IF(COUNTIFS($C$5:$C$6004,R82,$O$5:$O$6004,"EM ANDAMENTO",$N$5:$N$6004,"&gt;=-99")=0,"",_xlfn.MAXIFS($N$5:$N$6004,$C$5:$C$6004,R82,$O$5:$O$6004,"EM ANDAMENTO")))</f>
        <v/>
      </c>
      <c r="AA82" s="2">
        <f>IF(OR(R82="",S82="",U82&lt;&gt;"SIM",V82=0),"",IF(W82+X82=0,"",T82&amp;": "&amp;IF(W82=V82,"concluído",IF(W82=0,"em execução"&amp;IF(Z82&lt;&gt;""," ("&amp;IF(Z82&lt;0,IF(COUNTIF($E$5:$E$6004,"SUBSOLO*")&gt;0,"subsolo",-Z82&amp;"º subsolo"),IF(Z82=0,"térreo",Z82&amp;"º pav."))&amp;")",""),IF(Y82&lt;&gt;"","até "&amp;IF(Y82&lt;0,IF(COUNTIF($E$5:$E$6004,"SUBSOLO*")&gt;0,"subsolo",-Y82&amp;"º subsolo"),IF(Y82=0,"térreo",Y82&amp;"º pav.")),W82&amp;" de "&amp;V82&amp;" concluídas")&amp;IF(Z82="","",IF(OR(Y82="",Z82&gt;Y82),", executando "&amp;IF(Z82&lt;0,IF(COUNTIF($E$5:$E$6004,"SUBSOLO*")&gt;0,"subsolo",-Z82&amp;"º subsolo"),IF(Z82=0,"térreo",Z82&amp;"º pav."))," (restam serviços no "&amp;IF(Z82&lt;0,IF(COUNTIF($E$5:$E$6004,"SUBSOLO*")&gt;0,"subsolo",-Z82&amp;"º subsolo"),IF(Z82=0,"térreo",Z82&amp;"º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26" t="n">
        <v>45828</v>
      </c>
      <c r="G83" s="126" t="n">
        <v>45832</v>
      </c>
      <c r="H83" s="126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IF(E83="","",IF(ISNUMBER(SEARCH("SUBSOLO",E83)),IFERROR(-VALUE(LEFT(E83,FIND("º",SUBSTITUTE(E83,"°","º"))-1)),-1),IF(LEFT(E83,6)="TÉRREO",0,IFERROR(VALUE(LEFT(E83,FIND("º",SUBSTITUTE(E83,"°","º"))-1)),""))))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IF(R83="","",COUNTIF($C$5:$C$6004,R83))</f>
        <v/>
      </c>
      <c r="W83" s="2">
        <f>IF(R83="","",COUNTIFS($C$5:$C$6004,R83,$O$5:$O$6004,"CONCLUÍDA"))</f>
        <v/>
      </c>
      <c r="X83" s="2">
        <f>IF(R83="","",COUNTIFS($C$5:$C$6004,R83,$O$5:$O$6004,"EM ANDAMENTO"))</f>
        <v/>
      </c>
      <c r="Y83" s="2">
        <f>IF(R83="","",IF(COUNTIFS($C$5:$C$6004,R83,$O$5:$O$6004,"CONCLUÍDA",$N$5:$N$6004,"&gt;=-99")=0,"",_xlfn.MAXIFS($N$5:$N$6004,$C$5:$C$6004,R83,$O$5:$O$6004,"CONCLUÍDA")))</f>
        <v/>
      </c>
      <c r="Z83" s="2">
        <f>IF(R83="","",IF(COUNTIFS($C$5:$C$6004,R83,$O$5:$O$6004,"EM ANDAMENTO",$N$5:$N$6004,"&gt;=-99")=0,"",_xlfn.MAXIFS($N$5:$N$6004,$C$5:$C$6004,R83,$O$5:$O$6004,"EM ANDAMENTO")))</f>
        <v/>
      </c>
      <c r="AA83" s="2">
        <f>IF(OR(R83="",S83="",U83&lt;&gt;"SIM",V83=0),"",IF(W83+X83=0,"",T83&amp;": "&amp;IF(W83=V83,"concluído",IF(W83=0,"em execução"&amp;IF(Z83&lt;&gt;""," ("&amp;IF(Z83&lt;0,IF(COUNTIF($E$5:$E$6004,"SUBSOLO*")&gt;0,"subsolo",-Z83&amp;"º subsolo"),IF(Z83=0,"térreo",Z83&amp;"º pav."))&amp;")",""),IF(Y83&lt;&gt;"","até "&amp;IF(Y83&lt;0,IF(COUNTIF($E$5:$E$6004,"SUBSOLO*")&gt;0,"subsolo",-Y83&amp;"º subsolo"),IF(Y83=0,"térreo",Y83&amp;"º pav.")),W83&amp;" de "&amp;V83&amp;" concluídas")&amp;IF(Z83="","",IF(OR(Y83="",Z83&gt;Y83),", executando "&amp;IF(Z83&lt;0,IF(COUNTIF($E$5:$E$6004,"SUBSOLO*")&gt;0,"subsolo",-Z83&amp;"º subsolo"),IF(Z83=0,"térreo",Z83&amp;"º pav."))," (restam serviços no "&amp;IF(Z83&lt;0,IF(COUNTIF($E$5:$E$6004,"SUBSOLO*")&gt;0,"subsolo",-Z83&amp;"º subsolo"),IF(Z83=0,"térreo",Z83&amp;"º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26" t="n">
        <v>45835</v>
      </c>
      <c r="G84" s="126" t="n">
        <v>45835</v>
      </c>
      <c r="H84" s="126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IF(E84="","",IF(ISNUMBER(SEARCH("SUBSOLO",E84)),IFERROR(-VALUE(LEFT(E84,FIND("º",SUBSTITUTE(E84,"°","º"))-1)),-1),IF(LEFT(E84,6)="TÉRREO",0,IFERROR(VALUE(LEFT(E84,FIND("º",SUBSTITUTE(E84,"°","º"))-1)),""))))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IF(R84="","",COUNTIF($C$5:$C$6004,R84))</f>
        <v/>
      </c>
      <c r="W84" s="2">
        <f>IF(R84="","",COUNTIFS($C$5:$C$6004,R84,$O$5:$O$6004,"CONCLUÍDA"))</f>
        <v/>
      </c>
      <c r="X84" s="2">
        <f>IF(R84="","",COUNTIFS($C$5:$C$6004,R84,$O$5:$O$6004,"EM ANDAMENTO"))</f>
        <v/>
      </c>
      <c r="Y84" s="2">
        <f>IF(R84="","",IF(COUNTIFS($C$5:$C$6004,R84,$O$5:$O$6004,"CONCLUÍDA",$N$5:$N$6004,"&gt;=-99")=0,"",_xlfn.MAXIFS($N$5:$N$6004,$C$5:$C$6004,R84,$O$5:$O$6004,"CONCLUÍDA")))</f>
        <v/>
      </c>
      <c r="Z84" s="2">
        <f>IF(R84="","",IF(COUNTIFS($C$5:$C$6004,R84,$O$5:$O$6004,"EM ANDAMENTO",$N$5:$N$6004,"&gt;=-99")=0,"",_xlfn.MAXIFS($N$5:$N$6004,$C$5:$C$6004,R84,$O$5:$O$6004,"EM ANDAMENTO")))</f>
        <v/>
      </c>
      <c r="AA84" s="2">
        <f>IF(OR(R84="",S84="",U84&lt;&gt;"SIM",V84=0),"",IF(W84+X84=0,"",T84&amp;": "&amp;IF(W84=V84,"concluído",IF(W84=0,"em execução"&amp;IF(Z84&lt;&gt;""," ("&amp;IF(Z84&lt;0,IF(COUNTIF($E$5:$E$6004,"SUBSOLO*")&gt;0,"subsolo",-Z84&amp;"º subsolo"),IF(Z84=0,"térreo",Z84&amp;"º pav."))&amp;")",""),IF(Y84&lt;&gt;"","até "&amp;IF(Y84&lt;0,IF(COUNTIF($E$5:$E$6004,"SUBSOLO*")&gt;0,"subsolo",-Y84&amp;"º subsolo"),IF(Y84=0,"térreo",Y84&amp;"º pav.")),W84&amp;" de "&amp;V84&amp;" concluídas")&amp;IF(Z84="","",IF(OR(Y84="",Z84&gt;Y84),", executando "&amp;IF(Z84&lt;0,IF(COUNTIF($E$5:$E$6004,"SUBSOLO*")&gt;0,"subsolo",-Z84&amp;"º subsolo"),IF(Z84=0,"térreo",Z84&amp;"º pav."))," (restam serviços no "&amp;IF(Z84&lt;0,IF(COUNTIF($E$5:$E$6004,"SUBSOLO*")&gt;0,"subsolo",-Z84&amp;"º subsolo"),IF(Z84=0,"térreo",Z84&amp;"º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26" t="n">
        <v>45848</v>
      </c>
      <c r="G85" s="126" t="n">
        <v>45848</v>
      </c>
      <c r="H85" s="126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IF(E85="","",IF(ISNUMBER(SEARCH("SUBSOLO",E85)),IFERROR(-VALUE(LEFT(E85,FIND("º",SUBSTITUTE(E85,"°","º"))-1)),-1),IF(LEFT(E85,6)="TÉRREO",0,IFERROR(VALUE(LEFT(E85,FIND("º",SUBSTITUTE(E85,"°","º"))-1)),""))))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IF(R85="","",COUNTIF($C$5:$C$6004,R85))</f>
        <v/>
      </c>
      <c r="W85" s="2">
        <f>IF(R85="","",COUNTIFS($C$5:$C$6004,R85,$O$5:$O$6004,"CONCLUÍDA"))</f>
        <v/>
      </c>
      <c r="X85" s="2">
        <f>IF(R85="","",COUNTIFS($C$5:$C$6004,R85,$O$5:$O$6004,"EM ANDAMENTO"))</f>
        <v/>
      </c>
      <c r="Y85" s="2">
        <f>IF(R85="","",IF(COUNTIFS($C$5:$C$6004,R85,$O$5:$O$6004,"CONCLUÍDA",$N$5:$N$6004,"&gt;=-99")=0,"",_xlfn.MAXIFS($N$5:$N$6004,$C$5:$C$6004,R85,$O$5:$O$6004,"CONCLUÍDA")))</f>
        <v/>
      </c>
      <c r="Z85" s="2">
        <f>IF(R85="","",IF(COUNTIFS($C$5:$C$6004,R85,$O$5:$O$6004,"EM ANDAMENTO",$N$5:$N$6004,"&gt;=-99")=0,"",_xlfn.MAXIFS($N$5:$N$6004,$C$5:$C$6004,R85,$O$5:$O$6004,"EM ANDAMENTO")))</f>
        <v/>
      </c>
      <c r="AA85" s="2">
        <f>IF(OR(R85="",S85="",U85&lt;&gt;"SIM",V85=0),"",IF(W85+X85=0,"",T85&amp;": "&amp;IF(W85=V85,"concluído",IF(W85=0,"em execução"&amp;IF(Z85&lt;&gt;""," ("&amp;IF(Z85&lt;0,IF(COUNTIF($E$5:$E$6004,"SUBSOLO*")&gt;0,"subsolo",-Z85&amp;"º subsolo"),IF(Z85=0,"térreo",Z85&amp;"º pav."))&amp;")",""),IF(Y85&lt;&gt;"","até "&amp;IF(Y85&lt;0,IF(COUNTIF($E$5:$E$6004,"SUBSOLO*")&gt;0,"subsolo",-Y85&amp;"º subsolo"),IF(Y85=0,"térreo",Y85&amp;"º pav.")),W85&amp;" de "&amp;V85&amp;" concluídas")&amp;IF(Z85="","",IF(OR(Y85="",Z85&gt;Y85),", executando "&amp;IF(Z85&lt;0,IF(COUNTIF($E$5:$E$6004,"SUBSOLO*")&gt;0,"subsolo",-Z85&amp;"º subsolo"),IF(Z85=0,"térreo",Z85&amp;"º pav."))," (restam serviços no "&amp;IF(Z85&lt;0,IF(COUNTIF($E$5:$E$6004,"SUBSOLO*")&gt;0,"subsolo",-Z85&amp;"º subsolo"),IF(Z85=0,"térreo",Z85&amp;"º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26" t="n">
        <v>45838</v>
      </c>
      <c r="G86" s="126" t="n">
        <v>45847</v>
      </c>
      <c r="H86" s="126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IF(E86="","",IF(ISNUMBER(SEARCH("SUBSOLO",E86)),IFERROR(-VALUE(LEFT(E86,FIND("º",SUBSTITUTE(E86,"°","º"))-1)),-1),IF(LEFT(E86,6)="TÉRREO",0,IFERROR(VALUE(LEFT(E86,FIND("º",SUBSTITUTE(E86,"°","º"))-1)),""))))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IF(R86="","",COUNTIF($C$5:$C$6004,R86))</f>
        <v/>
      </c>
      <c r="W86" s="2">
        <f>IF(R86="","",COUNTIFS($C$5:$C$6004,R86,$O$5:$O$6004,"CONCLUÍDA"))</f>
        <v/>
      </c>
      <c r="X86" s="2">
        <f>IF(R86="","",COUNTIFS($C$5:$C$6004,R86,$O$5:$O$6004,"EM ANDAMENTO"))</f>
        <v/>
      </c>
      <c r="Y86" s="2">
        <f>IF(R86="","",IF(COUNTIFS($C$5:$C$6004,R86,$O$5:$O$6004,"CONCLUÍDA",$N$5:$N$6004,"&gt;=-99")=0,"",_xlfn.MAXIFS($N$5:$N$6004,$C$5:$C$6004,R86,$O$5:$O$6004,"CONCLUÍDA")))</f>
        <v/>
      </c>
      <c r="Z86" s="2">
        <f>IF(R86="","",IF(COUNTIFS($C$5:$C$6004,R86,$O$5:$O$6004,"EM ANDAMENTO",$N$5:$N$6004,"&gt;=-99")=0,"",_xlfn.MAXIFS($N$5:$N$6004,$C$5:$C$6004,R86,$O$5:$O$6004,"EM ANDAMENTO")))</f>
        <v/>
      </c>
      <c r="AA86" s="2">
        <f>IF(OR(R86="",S86="",U86&lt;&gt;"SIM",V86=0),"",IF(W86+X86=0,"",T86&amp;": "&amp;IF(W86=V86,"concluído",IF(W86=0,"em execução"&amp;IF(Z86&lt;&gt;""," ("&amp;IF(Z86&lt;0,IF(COUNTIF($E$5:$E$6004,"SUBSOLO*")&gt;0,"subsolo",-Z86&amp;"º subsolo"),IF(Z86=0,"térreo",Z86&amp;"º pav."))&amp;")",""),IF(Y86&lt;&gt;"","até "&amp;IF(Y86&lt;0,IF(COUNTIF($E$5:$E$6004,"SUBSOLO*")&gt;0,"subsolo",-Y86&amp;"º subsolo"),IF(Y86=0,"térreo",Y86&amp;"º pav.")),W86&amp;" de "&amp;V86&amp;" concluídas")&amp;IF(Z86="","",IF(OR(Y86="",Z86&gt;Y86),", executando "&amp;IF(Z86&lt;0,IF(COUNTIF($E$5:$E$6004,"SUBSOLO*")&gt;0,"subsolo",-Z86&amp;"º subsolo"),IF(Z86=0,"térreo",Z86&amp;"º pav."))," (restam serviços no "&amp;IF(Z86&lt;0,IF(COUNTIF($E$5:$E$6004,"SUBSOLO*")&gt;0,"subsolo",-Z86&amp;"º subsolo"),IF(Z86=0,"térreo",Z86&amp;"º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26" t="n">
        <v>45833</v>
      </c>
      <c r="G87" s="126" t="n">
        <v>45833</v>
      </c>
      <c r="H87" s="126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IF(E87="","",IF(ISNUMBER(SEARCH("SUBSOLO",E87)),IFERROR(-VALUE(LEFT(E87,FIND("º",SUBSTITUTE(E87,"°","º"))-1)),-1),IF(LEFT(E87,6)="TÉRREO",0,IFERROR(VALUE(LEFT(E87,FIND("º",SUBSTITUTE(E87,"°","º"))-1)),""))))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IF(R87="","",COUNTIF($C$5:$C$6004,R87))</f>
        <v/>
      </c>
      <c r="W87" s="2">
        <f>IF(R87="","",COUNTIFS($C$5:$C$6004,R87,$O$5:$O$6004,"CONCLUÍDA"))</f>
        <v/>
      </c>
      <c r="X87" s="2">
        <f>IF(R87="","",COUNTIFS($C$5:$C$6004,R87,$O$5:$O$6004,"EM ANDAMENTO"))</f>
        <v/>
      </c>
      <c r="Y87" s="2">
        <f>IF(R87="","",IF(COUNTIFS($C$5:$C$6004,R87,$O$5:$O$6004,"CONCLUÍDA",$N$5:$N$6004,"&gt;=-99")=0,"",_xlfn.MAXIFS($N$5:$N$6004,$C$5:$C$6004,R87,$O$5:$O$6004,"CONCLUÍDA")))</f>
        <v/>
      </c>
      <c r="Z87" s="2">
        <f>IF(R87="","",IF(COUNTIFS($C$5:$C$6004,R87,$O$5:$O$6004,"EM ANDAMENTO",$N$5:$N$6004,"&gt;=-99")=0,"",_xlfn.MAXIFS($N$5:$N$6004,$C$5:$C$6004,R87,$O$5:$O$6004,"EM ANDAMENTO")))</f>
        <v/>
      </c>
      <c r="AA87" s="2">
        <f>IF(OR(R87="",S87="",U87&lt;&gt;"SIM",V87=0),"",IF(W87+X87=0,"",T87&amp;": "&amp;IF(W87=V87,"concluído",IF(W87=0,"em execução"&amp;IF(Z87&lt;&gt;""," ("&amp;IF(Z87&lt;0,IF(COUNTIF($E$5:$E$6004,"SUBSOLO*")&gt;0,"subsolo",-Z87&amp;"º subsolo"),IF(Z87=0,"térreo",Z87&amp;"º pav."))&amp;")",""),IF(Y87&lt;&gt;"","até "&amp;IF(Y87&lt;0,IF(COUNTIF($E$5:$E$6004,"SUBSOLO*")&gt;0,"subsolo",-Y87&amp;"º subsolo"),IF(Y87=0,"térreo",Y87&amp;"º pav.")),W87&amp;" de "&amp;V87&amp;" concluídas")&amp;IF(Z87="","",IF(OR(Y87="",Z87&gt;Y87),", executando "&amp;IF(Z87&lt;0,IF(COUNTIF($E$5:$E$6004,"SUBSOLO*")&gt;0,"subsolo",-Z87&amp;"º subsolo"),IF(Z87=0,"térreo",Z87&amp;"º pav."))," (restam serviços no "&amp;IF(Z87&lt;0,IF(COUNTIF($E$5:$E$6004,"SUBSOLO*")&gt;0,"subsolo",-Z87&amp;"º subsolo"),IF(Z87=0,"térreo",Z87&amp;"º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26" t="n">
        <v>45855</v>
      </c>
      <c r="G88" s="126" t="n">
        <v>45905</v>
      </c>
      <c r="H88" s="126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IF(E88="","",IF(ISNUMBER(SEARCH("SUBSOLO",E88)),IFERROR(-VALUE(LEFT(E88,FIND("º",SUBSTITUTE(E88,"°","º"))-1)),-1),IF(LEFT(E88,6)="TÉRREO",0,IFERROR(VALUE(LEFT(E88,FIND("º",SUBSTITUTE(E88,"°","º"))-1)),""))))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IF(R88="","",COUNTIF($C$5:$C$6004,R88))</f>
        <v/>
      </c>
      <c r="W88" s="2">
        <f>IF(R88="","",COUNTIFS($C$5:$C$6004,R88,$O$5:$O$6004,"CONCLUÍDA"))</f>
        <v/>
      </c>
      <c r="X88" s="2">
        <f>IF(R88="","",COUNTIFS($C$5:$C$6004,R88,$O$5:$O$6004,"EM ANDAMENTO"))</f>
        <v/>
      </c>
      <c r="Y88" s="2">
        <f>IF(R88="","",IF(COUNTIFS($C$5:$C$6004,R88,$O$5:$O$6004,"CONCLUÍDA",$N$5:$N$6004,"&gt;=-99")=0,"",_xlfn.MAXIFS($N$5:$N$6004,$C$5:$C$6004,R88,$O$5:$O$6004,"CONCLUÍDA")))</f>
        <v/>
      </c>
      <c r="Z88" s="2">
        <f>IF(R88="","",IF(COUNTIFS($C$5:$C$6004,R88,$O$5:$O$6004,"EM ANDAMENTO",$N$5:$N$6004,"&gt;=-99")=0,"",_xlfn.MAXIFS($N$5:$N$6004,$C$5:$C$6004,R88,$O$5:$O$6004,"EM ANDAMENTO")))</f>
        <v/>
      </c>
      <c r="AA88" s="2">
        <f>IF(OR(R88="",S88="",U88&lt;&gt;"SIM",V88=0),"",IF(W88+X88=0,"",T88&amp;": "&amp;IF(W88=V88,"concluído",IF(W88=0,"em execução"&amp;IF(Z88&lt;&gt;""," ("&amp;IF(Z88&lt;0,IF(COUNTIF($E$5:$E$6004,"SUBSOLO*")&gt;0,"subsolo",-Z88&amp;"º subsolo"),IF(Z88=0,"térreo",Z88&amp;"º pav."))&amp;")",""),IF(Y88&lt;&gt;"","até "&amp;IF(Y88&lt;0,IF(COUNTIF($E$5:$E$6004,"SUBSOLO*")&gt;0,"subsolo",-Y88&amp;"º subsolo"),IF(Y88=0,"térreo",Y88&amp;"º pav.")),W88&amp;" de "&amp;V88&amp;" concluídas")&amp;IF(Z88="","",IF(OR(Y88="",Z88&gt;Y88),", executando "&amp;IF(Z88&lt;0,IF(COUNTIF($E$5:$E$6004,"SUBSOLO*")&gt;0,"subsolo",-Z88&amp;"º subsolo"),IF(Z88=0,"térreo",Z88&amp;"º pav."))," (restam serviços no "&amp;IF(Z88&lt;0,IF(COUNTIF($E$5:$E$6004,"SUBSOLO*")&gt;0,"subsolo",-Z88&amp;"º subsolo"),IF(Z88=0,"térreo",Z88&amp;"º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26" t="n">
        <v>45855</v>
      </c>
      <c r="G89" s="126" t="n">
        <v>45876</v>
      </c>
      <c r="H89" s="126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IF(E89="","",IF(ISNUMBER(SEARCH("SUBSOLO",E89)),IFERROR(-VALUE(LEFT(E89,FIND("º",SUBSTITUTE(E89,"°","º"))-1)),-1),IF(LEFT(E89,6)="TÉRREO",0,IFERROR(VALUE(LEFT(E89,FIND("º",SUBSTITUTE(E89,"°","º"))-1)),""))))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IF(R89="","",COUNTIF($C$5:$C$6004,R89))</f>
        <v/>
      </c>
      <c r="W89" s="2">
        <f>IF(R89="","",COUNTIFS($C$5:$C$6004,R89,$O$5:$O$6004,"CONCLUÍDA"))</f>
        <v/>
      </c>
      <c r="X89" s="2">
        <f>IF(R89="","",COUNTIFS($C$5:$C$6004,R89,$O$5:$O$6004,"EM ANDAMENTO"))</f>
        <v/>
      </c>
      <c r="Y89" s="2">
        <f>IF(R89="","",IF(COUNTIFS($C$5:$C$6004,R89,$O$5:$O$6004,"CONCLUÍDA",$N$5:$N$6004,"&gt;=-99")=0,"",_xlfn.MAXIFS($N$5:$N$6004,$C$5:$C$6004,R89,$O$5:$O$6004,"CONCLUÍDA")))</f>
        <v/>
      </c>
      <c r="Z89" s="2">
        <f>IF(R89="","",IF(COUNTIFS($C$5:$C$6004,R89,$O$5:$O$6004,"EM ANDAMENTO",$N$5:$N$6004,"&gt;=-99")=0,"",_xlfn.MAXIFS($N$5:$N$6004,$C$5:$C$6004,R89,$O$5:$O$6004,"EM ANDAMENTO")))</f>
        <v/>
      </c>
      <c r="AA89" s="2">
        <f>IF(OR(R89="",S89="",U89&lt;&gt;"SIM",V89=0),"",IF(W89+X89=0,"",T89&amp;": "&amp;IF(W89=V89,"concluído",IF(W89=0,"em execução"&amp;IF(Z89&lt;&gt;""," ("&amp;IF(Z89&lt;0,IF(COUNTIF($E$5:$E$6004,"SUBSOLO*")&gt;0,"subsolo",-Z89&amp;"º subsolo"),IF(Z89=0,"térreo",Z89&amp;"º pav."))&amp;")",""),IF(Y89&lt;&gt;"","até "&amp;IF(Y89&lt;0,IF(COUNTIF($E$5:$E$6004,"SUBSOLO*")&gt;0,"subsolo",-Y89&amp;"º subsolo"),IF(Y89=0,"térreo",Y89&amp;"º pav.")),W89&amp;" de "&amp;V89&amp;" concluídas")&amp;IF(Z89="","",IF(OR(Y89="",Z89&gt;Y89),", executando "&amp;IF(Z89&lt;0,IF(COUNTIF($E$5:$E$6004,"SUBSOLO*")&gt;0,"subsolo",-Z89&amp;"º subsolo"),IF(Z89=0,"térreo",Z89&amp;"º pav."))," (restam serviços no "&amp;IF(Z89&lt;0,IF(COUNTIF($E$5:$E$6004,"SUBSOLO*")&gt;0,"subsolo",-Z89&amp;"º subsolo"),IF(Z89=0,"térreo",Z89&amp;"º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26" t="n">
        <v>45870</v>
      </c>
      <c r="G90" s="126" t="n">
        <v>45870</v>
      </c>
      <c r="H90" s="126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IF(E90="","",IF(ISNUMBER(SEARCH("SUBSOLO",E90)),IFERROR(-VALUE(LEFT(E90,FIND("º",SUBSTITUTE(E90,"°","º"))-1)),-1),IF(LEFT(E90,6)="TÉRREO",0,IFERROR(VALUE(LEFT(E90,FIND("º",SUBSTITUTE(E90,"°","º"))-1)),""))))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IF(R90="","",COUNTIF($C$5:$C$6004,R90))</f>
        <v/>
      </c>
      <c r="W90" s="2">
        <f>IF(R90="","",COUNTIFS($C$5:$C$6004,R90,$O$5:$O$6004,"CONCLUÍDA"))</f>
        <v/>
      </c>
      <c r="X90" s="2">
        <f>IF(R90="","",COUNTIFS($C$5:$C$6004,R90,$O$5:$O$6004,"EM ANDAMENTO"))</f>
        <v/>
      </c>
      <c r="Y90" s="2">
        <f>IF(R90="","",IF(COUNTIFS($C$5:$C$6004,R90,$O$5:$O$6004,"CONCLUÍDA",$N$5:$N$6004,"&gt;=-99")=0,"",_xlfn.MAXIFS($N$5:$N$6004,$C$5:$C$6004,R90,$O$5:$O$6004,"CONCLUÍDA")))</f>
        <v/>
      </c>
      <c r="Z90" s="2">
        <f>IF(R90="","",IF(COUNTIFS($C$5:$C$6004,R90,$O$5:$O$6004,"EM ANDAMENTO",$N$5:$N$6004,"&gt;=-99")=0,"",_xlfn.MAXIFS($N$5:$N$6004,$C$5:$C$6004,R90,$O$5:$O$6004,"EM ANDAMENTO")))</f>
        <v/>
      </c>
      <c r="AA90" s="2">
        <f>IF(OR(R90="",S90="",U90&lt;&gt;"SIM",V90=0),"",IF(W90+X90=0,"",T90&amp;": "&amp;IF(W90=V90,"concluído",IF(W90=0,"em execução"&amp;IF(Z90&lt;&gt;""," ("&amp;IF(Z90&lt;0,IF(COUNTIF($E$5:$E$6004,"SUBSOLO*")&gt;0,"subsolo",-Z90&amp;"º subsolo"),IF(Z90=0,"térreo",Z90&amp;"º pav."))&amp;")",""),IF(Y90&lt;&gt;"","até "&amp;IF(Y90&lt;0,IF(COUNTIF($E$5:$E$6004,"SUBSOLO*")&gt;0,"subsolo",-Y90&amp;"º subsolo"),IF(Y90=0,"térreo",Y90&amp;"º pav.")),W90&amp;" de "&amp;V90&amp;" concluídas")&amp;IF(Z90="","",IF(OR(Y90="",Z90&gt;Y90),", executando "&amp;IF(Z90&lt;0,IF(COUNTIF($E$5:$E$6004,"SUBSOLO*")&gt;0,"subsolo",-Z90&amp;"º subsolo"),IF(Z90=0,"térreo",Z90&amp;"º pav."))," (restam serviços no "&amp;IF(Z90&lt;0,IF(COUNTIF($E$5:$E$6004,"SUBSOLO*")&gt;0,"subsolo",-Z90&amp;"º subsolo"),IF(Z90=0,"térreo",Z90&amp;"º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26" t="n">
        <v>45873</v>
      </c>
      <c r="G91" s="126" t="n">
        <v>45875</v>
      </c>
      <c r="H91" s="126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IF(E91="","",IF(ISNUMBER(SEARCH("SUBSOLO",E91)),IFERROR(-VALUE(LEFT(E91,FIND("º",SUBSTITUTE(E91,"°","º"))-1)),-1),IF(LEFT(E91,6)="TÉRREO",0,IFERROR(VALUE(LEFT(E91,FIND("º",SUBSTITUTE(E91,"°","º"))-1)),""))))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IF(R91="","",COUNTIF($C$5:$C$6004,R91))</f>
        <v/>
      </c>
      <c r="W91" s="2">
        <f>IF(R91="","",COUNTIFS($C$5:$C$6004,R91,$O$5:$O$6004,"CONCLUÍDA"))</f>
        <v/>
      </c>
      <c r="X91" s="2">
        <f>IF(R91="","",COUNTIFS($C$5:$C$6004,R91,$O$5:$O$6004,"EM ANDAMENTO"))</f>
        <v/>
      </c>
      <c r="Y91" s="2">
        <f>IF(R91="","",IF(COUNTIFS($C$5:$C$6004,R91,$O$5:$O$6004,"CONCLUÍDA",$N$5:$N$6004,"&gt;=-99")=0,"",_xlfn.MAXIFS($N$5:$N$6004,$C$5:$C$6004,R91,$O$5:$O$6004,"CONCLUÍDA")))</f>
        <v/>
      </c>
      <c r="Z91" s="2">
        <f>IF(R91="","",IF(COUNTIFS($C$5:$C$6004,R91,$O$5:$O$6004,"EM ANDAMENTO",$N$5:$N$6004,"&gt;=-99")=0,"",_xlfn.MAXIFS($N$5:$N$6004,$C$5:$C$6004,R91,$O$5:$O$6004,"EM ANDAMENTO")))</f>
        <v/>
      </c>
      <c r="AA91" s="2">
        <f>IF(OR(R91="",S91="",U91&lt;&gt;"SIM",V91=0),"",IF(W91+X91=0,"",T91&amp;": "&amp;IF(W91=V91,"concluído",IF(W91=0,"em execução"&amp;IF(Z91&lt;&gt;""," ("&amp;IF(Z91&lt;0,IF(COUNTIF($E$5:$E$6004,"SUBSOLO*")&gt;0,"subsolo",-Z91&amp;"º subsolo"),IF(Z91=0,"térreo",Z91&amp;"º pav."))&amp;")",""),IF(Y91&lt;&gt;"","até "&amp;IF(Y91&lt;0,IF(COUNTIF($E$5:$E$6004,"SUBSOLO*")&gt;0,"subsolo",-Y91&amp;"º subsolo"),IF(Y91=0,"térreo",Y91&amp;"º pav.")),W91&amp;" de "&amp;V91&amp;" concluídas")&amp;IF(Z91="","",IF(OR(Y91="",Z91&gt;Y91),", executando "&amp;IF(Z91&lt;0,IF(COUNTIF($E$5:$E$6004,"SUBSOLO*")&gt;0,"subsolo",-Z91&amp;"º subsolo"),IF(Z91=0,"térreo",Z91&amp;"º pav."))," (restam serviços no "&amp;IF(Z91&lt;0,IF(COUNTIF($E$5:$E$6004,"SUBSOLO*")&gt;0,"subsolo",-Z91&amp;"º subsolo"),IF(Z91=0,"térreo",Z91&amp;"º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26" t="n">
        <v>45877</v>
      </c>
      <c r="G92" s="126" t="n">
        <v>45877</v>
      </c>
      <c r="H92" s="126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IF(E92="","",IF(ISNUMBER(SEARCH("SUBSOLO",E92)),IFERROR(-VALUE(LEFT(E92,FIND("º",SUBSTITUTE(E92,"°","º"))-1)),-1),IF(LEFT(E92,6)="TÉRREO",0,IFERROR(VALUE(LEFT(E92,FIND("º",SUBSTITUTE(E92,"°","º"))-1)),""))))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IF(R92="","",COUNTIF($C$5:$C$6004,R92))</f>
        <v/>
      </c>
      <c r="W92" s="2">
        <f>IF(R92="","",COUNTIFS($C$5:$C$6004,R92,$O$5:$O$6004,"CONCLUÍDA"))</f>
        <v/>
      </c>
      <c r="X92" s="2">
        <f>IF(R92="","",COUNTIFS($C$5:$C$6004,R92,$O$5:$O$6004,"EM ANDAMENTO"))</f>
        <v/>
      </c>
      <c r="Y92" s="2">
        <f>IF(R92="","",IF(COUNTIFS($C$5:$C$6004,R92,$O$5:$O$6004,"CONCLUÍDA",$N$5:$N$6004,"&gt;=-99")=0,"",_xlfn.MAXIFS($N$5:$N$6004,$C$5:$C$6004,R92,$O$5:$O$6004,"CONCLUÍDA")))</f>
        <v/>
      </c>
      <c r="Z92" s="2">
        <f>IF(R92="","",IF(COUNTIFS($C$5:$C$6004,R92,$O$5:$O$6004,"EM ANDAMENTO",$N$5:$N$6004,"&gt;=-99")=0,"",_xlfn.MAXIFS($N$5:$N$6004,$C$5:$C$6004,R92,$O$5:$O$6004,"EM ANDAMENTO")))</f>
        <v/>
      </c>
      <c r="AA92" s="2">
        <f>IF(OR(R92="",S92="",U92&lt;&gt;"SIM",V92=0),"",IF(W92+X92=0,"",T92&amp;": "&amp;IF(W92=V92,"concluído",IF(W92=0,"em execução"&amp;IF(Z92&lt;&gt;""," ("&amp;IF(Z92&lt;0,IF(COUNTIF($E$5:$E$6004,"SUBSOLO*")&gt;0,"subsolo",-Z92&amp;"º subsolo"),IF(Z92=0,"térreo",Z92&amp;"º pav."))&amp;")",""),IF(Y92&lt;&gt;"","até "&amp;IF(Y92&lt;0,IF(COUNTIF($E$5:$E$6004,"SUBSOLO*")&gt;0,"subsolo",-Y92&amp;"º subsolo"),IF(Y92=0,"térreo",Y92&amp;"º pav.")),W92&amp;" de "&amp;V92&amp;" concluídas")&amp;IF(Z92="","",IF(OR(Y92="",Z92&gt;Y92),", executando "&amp;IF(Z92&lt;0,IF(COUNTIF($E$5:$E$6004,"SUBSOLO*")&gt;0,"subsolo",-Z92&amp;"º subsolo"),IF(Z92=0,"térreo",Z92&amp;"º pav."))," (restam serviços no "&amp;IF(Z92&lt;0,IF(COUNTIF($E$5:$E$6004,"SUBSOLO*")&gt;0,"subsolo",-Z92&amp;"º subsolo"),IF(Z92=0,"térreo",Z92&amp;"º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26" t="n">
        <v>45880</v>
      </c>
      <c r="G93" s="126" t="n">
        <v>45880</v>
      </c>
      <c r="H93" s="126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IF(E93="","",IF(ISNUMBER(SEARCH("SUBSOLO",E93)),IFERROR(-VALUE(LEFT(E93,FIND("º",SUBSTITUTE(E93,"°","º"))-1)),-1),IF(LEFT(E93,6)="TÉRREO",0,IFERROR(VALUE(LEFT(E93,FIND("º",SUBSTITUTE(E93,"°","º"))-1)),""))))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IF(R93="","",COUNTIF($C$5:$C$6004,R93))</f>
        <v/>
      </c>
      <c r="W93" s="2">
        <f>IF(R93="","",COUNTIFS($C$5:$C$6004,R93,$O$5:$O$6004,"CONCLUÍDA"))</f>
        <v/>
      </c>
      <c r="X93" s="2">
        <f>IF(R93="","",COUNTIFS($C$5:$C$6004,R93,$O$5:$O$6004,"EM ANDAMENTO"))</f>
        <v/>
      </c>
      <c r="Y93" s="2">
        <f>IF(R93="","",IF(COUNTIFS($C$5:$C$6004,R93,$O$5:$O$6004,"CONCLUÍDA",$N$5:$N$6004,"&gt;=-99")=0,"",_xlfn.MAXIFS($N$5:$N$6004,$C$5:$C$6004,R93,$O$5:$O$6004,"CONCLUÍDA")))</f>
        <v/>
      </c>
      <c r="Z93" s="2">
        <f>IF(R93="","",IF(COUNTIFS($C$5:$C$6004,R93,$O$5:$O$6004,"EM ANDAMENTO",$N$5:$N$6004,"&gt;=-99")=0,"",_xlfn.MAXIFS($N$5:$N$6004,$C$5:$C$6004,R93,$O$5:$O$6004,"EM ANDAMENTO")))</f>
        <v/>
      </c>
      <c r="AA93" s="2">
        <f>IF(OR(R93="",S93="",U93&lt;&gt;"SIM",V93=0),"",IF(W93+X93=0,"",T93&amp;": "&amp;IF(W93=V93,"concluído",IF(W93=0,"em execução"&amp;IF(Z93&lt;&gt;""," ("&amp;IF(Z93&lt;0,IF(COUNTIF($E$5:$E$6004,"SUBSOLO*")&gt;0,"subsolo",-Z93&amp;"º subsolo"),IF(Z93=0,"térreo",Z93&amp;"º pav."))&amp;")",""),IF(Y93&lt;&gt;"","até "&amp;IF(Y93&lt;0,IF(COUNTIF($E$5:$E$6004,"SUBSOLO*")&gt;0,"subsolo",-Y93&amp;"º subsolo"),IF(Y93=0,"térreo",Y93&amp;"º pav.")),W93&amp;" de "&amp;V93&amp;" concluídas")&amp;IF(Z93="","",IF(OR(Y93="",Z93&gt;Y93),", executando "&amp;IF(Z93&lt;0,IF(COUNTIF($E$5:$E$6004,"SUBSOLO*")&gt;0,"subsolo",-Z93&amp;"º subsolo"),IF(Z93=0,"térreo",Z93&amp;"º pav."))," (restam serviços no "&amp;IF(Z93&lt;0,IF(COUNTIF($E$5:$E$6004,"SUBSOLO*")&gt;0,"subsolo",-Z93&amp;"º subsolo"),IF(Z93=0,"térreo",Z93&amp;"º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26" t="n">
        <v>45881</v>
      </c>
      <c r="G94" s="126" t="n">
        <v>45881</v>
      </c>
      <c r="H94" s="126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IF(E94="","",IF(ISNUMBER(SEARCH("SUBSOLO",E94)),IFERROR(-VALUE(LEFT(E94,FIND("º",SUBSTITUTE(E94,"°","º"))-1)),-1),IF(LEFT(E94,6)="TÉRREO",0,IFERROR(VALUE(LEFT(E94,FIND("º",SUBSTITUTE(E94,"°","º"))-1)),""))))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IF(R94="","",COUNTIF($C$5:$C$6004,R94))</f>
        <v/>
      </c>
      <c r="W94" s="2">
        <f>IF(R94="","",COUNTIFS($C$5:$C$6004,R94,$O$5:$O$6004,"CONCLUÍDA"))</f>
        <v/>
      </c>
      <c r="X94" s="2">
        <f>IF(R94="","",COUNTIFS($C$5:$C$6004,R94,$O$5:$O$6004,"EM ANDAMENTO"))</f>
        <v/>
      </c>
      <c r="Y94" s="2">
        <f>IF(R94="","",IF(COUNTIFS($C$5:$C$6004,R94,$O$5:$O$6004,"CONCLUÍDA",$N$5:$N$6004,"&gt;=-99")=0,"",_xlfn.MAXIFS($N$5:$N$6004,$C$5:$C$6004,R94,$O$5:$O$6004,"CONCLUÍDA")))</f>
        <v/>
      </c>
      <c r="Z94" s="2">
        <f>IF(R94="","",IF(COUNTIFS($C$5:$C$6004,R94,$O$5:$O$6004,"EM ANDAMENTO",$N$5:$N$6004,"&gt;=-99")=0,"",_xlfn.MAXIFS($N$5:$N$6004,$C$5:$C$6004,R94,$O$5:$O$6004,"EM ANDAMENTO")))</f>
        <v/>
      </c>
      <c r="AA94" s="2">
        <f>IF(OR(R94="",S94="",U94&lt;&gt;"SIM",V94=0),"",IF(W94+X94=0,"",T94&amp;": "&amp;IF(W94=V94,"concluído",IF(W94=0,"em execução"&amp;IF(Z94&lt;&gt;""," ("&amp;IF(Z94&lt;0,IF(COUNTIF($E$5:$E$6004,"SUBSOLO*")&gt;0,"subsolo",-Z94&amp;"º subsolo"),IF(Z94=0,"térreo",Z94&amp;"º pav."))&amp;")",""),IF(Y94&lt;&gt;"","até "&amp;IF(Y94&lt;0,IF(COUNTIF($E$5:$E$6004,"SUBSOLO*")&gt;0,"subsolo",-Y94&amp;"º subsolo"),IF(Y94=0,"térreo",Y94&amp;"º pav.")),W94&amp;" de "&amp;V94&amp;" concluídas")&amp;IF(Z94="","",IF(OR(Y94="",Z94&gt;Y94),", executando "&amp;IF(Z94&lt;0,IF(COUNTIF($E$5:$E$6004,"SUBSOLO*")&gt;0,"subsolo",-Z94&amp;"º subsolo"),IF(Z94=0,"térreo",Z94&amp;"º pav."))," (restam serviços no "&amp;IF(Z94&lt;0,IF(COUNTIF($E$5:$E$6004,"SUBSOLO*")&gt;0,"subsolo",-Z94&amp;"º subsolo"),IF(Z94=0,"térreo",Z94&amp;"º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26" t="n">
        <v>45890</v>
      </c>
      <c r="G95" s="126" t="n">
        <v>45890</v>
      </c>
      <c r="H95" s="126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IF(E95="","",IF(ISNUMBER(SEARCH("SUBSOLO",E95)),IFERROR(-VALUE(LEFT(E95,FIND("º",SUBSTITUTE(E95,"°","º"))-1)),-1),IF(LEFT(E95,6)="TÉRREO",0,IFERROR(VALUE(LEFT(E95,FIND("º",SUBSTITUTE(E95,"°","º"))-1)),""))))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IF(R95="","",COUNTIF($C$5:$C$6004,R95))</f>
        <v/>
      </c>
      <c r="W95" s="2">
        <f>IF(R95="","",COUNTIFS($C$5:$C$6004,R95,$O$5:$O$6004,"CONCLUÍDA"))</f>
        <v/>
      </c>
      <c r="X95" s="2">
        <f>IF(R95="","",COUNTIFS($C$5:$C$6004,R95,$O$5:$O$6004,"EM ANDAMENTO"))</f>
        <v/>
      </c>
      <c r="Y95" s="2">
        <f>IF(R95="","",IF(COUNTIFS($C$5:$C$6004,R95,$O$5:$O$6004,"CONCLUÍDA",$N$5:$N$6004,"&gt;=-99")=0,"",_xlfn.MAXIFS($N$5:$N$6004,$C$5:$C$6004,R95,$O$5:$O$6004,"CONCLUÍDA")))</f>
        <v/>
      </c>
      <c r="Z95" s="2">
        <f>IF(R95="","",IF(COUNTIFS($C$5:$C$6004,R95,$O$5:$O$6004,"EM ANDAMENTO",$N$5:$N$6004,"&gt;=-99")=0,"",_xlfn.MAXIFS($N$5:$N$6004,$C$5:$C$6004,R95,$O$5:$O$6004,"EM ANDAMENTO")))</f>
        <v/>
      </c>
      <c r="AA95" s="2">
        <f>IF(OR(R95="",S95="",U95&lt;&gt;"SIM",V95=0),"",IF(W95+X95=0,"",T95&amp;": "&amp;IF(W95=V95,"concluído",IF(W95=0,"em execução"&amp;IF(Z95&lt;&gt;""," ("&amp;IF(Z95&lt;0,IF(COUNTIF($E$5:$E$6004,"SUBSOLO*")&gt;0,"subsolo",-Z95&amp;"º subsolo"),IF(Z95=0,"térreo",Z95&amp;"º pav."))&amp;")",""),IF(Y95&lt;&gt;"","até "&amp;IF(Y95&lt;0,IF(COUNTIF($E$5:$E$6004,"SUBSOLO*")&gt;0,"subsolo",-Y95&amp;"º subsolo"),IF(Y95=0,"térreo",Y95&amp;"º pav.")),W95&amp;" de "&amp;V95&amp;" concluídas")&amp;IF(Z95="","",IF(OR(Y95="",Z95&gt;Y95),", executando "&amp;IF(Z95&lt;0,IF(COUNTIF($E$5:$E$6004,"SUBSOLO*")&gt;0,"subsolo",-Z95&amp;"º subsolo"),IF(Z95=0,"térreo",Z95&amp;"º pav."))," (restam serviços no "&amp;IF(Z95&lt;0,IF(COUNTIF($E$5:$E$6004,"SUBSOLO*")&gt;0,"subsolo",-Z95&amp;"º subsolo"),IF(Z95=0,"térreo",Z95&amp;"º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26" t="n">
        <v>45855</v>
      </c>
      <c r="G96" s="126" t="n">
        <v>45877</v>
      </c>
      <c r="H96" s="126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IF(E96="","",IF(ISNUMBER(SEARCH("SUBSOLO",E96)),IFERROR(-VALUE(LEFT(E96,FIND("º",SUBSTITUTE(E96,"°","º"))-1)),-1),IF(LEFT(E96,6)="TÉRREO",0,IFERROR(VALUE(LEFT(E96,FIND("º",SUBSTITUTE(E96,"°","º"))-1)),""))))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IF(R96="","",COUNTIF($C$5:$C$6004,R96))</f>
        <v/>
      </c>
      <c r="W96" s="2">
        <f>IF(R96="","",COUNTIFS($C$5:$C$6004,R96,$O$5:$O$6004,"CONCLUÍDA"))</f>
        <v/>
      </c>
      <c r="X96" s="2">
        <f>IF(R96="","",COUNTIFS($C$5:$C$6004,R96,$O$5:$O$6004,"EM ANDAMENTO"))</f>
        <v/>
      </c>
      <c r="Y96" s="2">
        <f>IF(R96="","",IF(COUNTIFS($C$5:$C$6004,R96,$O$5:$O$6004,"CONCLUÍDA",$N$5:$N$6004,"&gt;=-99")=0,"",_xlfn.MAXIFS($N$5:$N$6004,$C$5:$C$6004,R96,$O$5:$O$6004,"CONCLUÍDA")))</f>
        <v/>
      </c>
      <c r="Z96" s="2">
        <f>IF(R96="","",IF(COUNTIFS($C$5:$C$6004,R96,$O$5:$O$6004,"EM ANDAMENTO",$N$5:$N$6004,"&gt;=-99")=0,"",_xlfn.MAXIFS($N$5:$N$6004,$C$5:$C$6004,R96,$O$5:$O$6004,"EM ANDAMENTO")))</f>
        <v/>
      </c>
      <c r="AA96" s="2">
        <f>IF(OR(R96="",S96="",U96&lt;&gt;"SIM",V96=0),"",IF(W96+X96=0,"",T96&amp;": "&amp;IF(W96=V96,"concluído",IF(W96=0,"em execução"&amp;IF(Z96&lt;&gt;""," ("&amp;IF(Z96&lt;0,IF(COUNTIF($E$5:$E$6004,"SUBSOLO*")&gt;0,"subsolo",-Z96&amp;"º subsolo"),IF(Z96=0,"térreo",Z96&amp;"º pav."))&amp;")",""),IF(Y96&lt;&gt;"","até "&amp;IF(Y96&lt;0,IF(COUNTIF($E$5:$E$6004,"SUBSOLO*")&gt;0,"subsolo",-Y96&amp;"º subsolo"),IF(Y96=0,"térreo",Y96&amp;"º pav.")),W96&amp;" de "&amp;V96&amp;" concluídas")&amp;IF(Z96="","",IF(OR(Y96="",Z96&gt;Y96),", executando "&amp;IF(Z96&lt;0,IF(COUNTIF($E$5:$E$6004,"SUBSOLO*")&gt;0,"subsolo",-Z96&amp;"º subsolo"),IF(Z96=0,"térreo",Z96&amp;"º pav."))," (restam serviços no "&amp;IF(Z96&lt;0,IF(COUNTIF($E$5:$E$6004,"SUBSOLO*")&gt;0,"subsolo",-Z96&amp;"º subsolo"),IF(Z96=0,"térreo",Z96&amp;"º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26" t="n">
        <v>45866</v>
      </c>
      <c r="G97" s="126" t="n">
        <v>45880</v>
      </c>
      <c r="H97" s="126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IF(E97="","",IF(ISNUMBER(SEARCH("SUBSOLO",E97)),IFERROR(-VALUE(LEFT(E97,FIND("º",SUBSTITUTE(E97,"°","º"))-1)),-1),IF(LEFT(E97,6)="TÉRREO",0,IFERROR(VALUE(LEFT(E97,FIND("º",SUBSTITUTE(E97,"°","º"))-1)),""))))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IF(R97="","",COUNTIF($C$5:$C$6004,R97))</f>
        <v/>
      </c>
      <c r="W97" s="2">
        <f>IF(R97="","",COUNTIFS($C$5:$C$6004,R97,$O$5:$O$6004,"CONCLUÍDA"))</f>
        <v/>
      </c>
      <c r="X97" s="2">
        <f>IF(R97="","",COUNTIFS($C$5:$C$6004,R97,$O$5:$O$6004,"EM ANDAMENTO"))</f>
        <v/>
      </c>
      <c r="Y97" s="2">
        <f>IF(R97="","",IF(COUNTIFS($C$5:$C$6004,R97,$O$5:$O$6004,"CONCLUÍDA",$N$5:$N$6004,"&gt;=-99")=0,"",_xlfn.MAXIFS($N$5:$N$6004,$C$5:$C$6004,R97,$O$5:$O$6004,"CONCLUÍDA")))</f>
        <v/>
      </c>
      <c r="Z97" s="2">
        <f>IF(R97="","",IF(COUNTIFS($C$5:$C$6004,R97,$O$5:$O$6004,"EM ANDAMENTO",$N$5:$N$6004,"&gt;=-99")=0,"",_xlfn.MAXIFS($N$5:$N$6004,$C$5:$C$6004,R97,$O$5:$O$6004,"EM ANDAMENTO")))</f>
        <v/>
      </c>
      <c r="AA97" s="2">
        <f>IF(OR(R97="",S97="",U97&lt;&gt;"SIM",V97=0),"",IF(W97+X97=0,"",T97&amp;": "&amp;IF(W97=V97,"concluído",IF(W97=0,"em execução"&amp;IF(Z97&lt;&gt;""," ("&amp;IF(Z97&lt;0,IF(COUNTIF($E$5:$E$6004,"SUBSOLO*")&gt;0,"subsolo",-Z97&amp;"º subsolo"),IF(Z97=0,"térreo",Z97&amp;"º pav."))&amp;")",""),IF(Y97&lt;&gt;"","até "&amp;IF(Y97&lt;0,IF(COUNTIF($E$5:$E$6004,"SUBSOLO*")&gt;0,"subsolo",-Y97&amp;"º subsolo"),IF(Y97=0,"térreo",Y97&amp;"º pav.")),W97&amp;" de "&amp;V97&amp;" concluídas")&amp;IF(Z97="","",IF(OR(Y97="",Z97&gt;Y97),", executando "&amp;IF(Z97&lt;0,IF(COUNTIF($E$5:$E$6004,"SUBSOLO*")&gt;0,"subsolo",-Z97&amp;"º subsolo"),IF(Z97=0,"térreo",Z97&amp;"º pav."))," (restam serviços no "&amp;IF(Z97&lt;0,IF(COUNTIF($E$5:$E$6004,"SUBSOLO*")&gt;0,"subsolo",-Z97&amp;"º subsolo"),IF(Z97=0,"térreo",Z97&amp;"º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26" t="n">
        <v>45876</v>
      </c>
      <c r="G98" s="126" t="n">
        <v>45877</v>
      </c>
      <c r="H98" s="126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IF(E98="","",IF(ISNUMBER(SEARCH("SUBSOLO",E98)),IFERROR(-VALUE(LEFT(E98,FIND("º",SUBSTITUTE(E98,"°","º"))-1)),-1),IF(LEFT(E98,6)="TÉRREO",0,IFERROR(VALUE(LEFT(E98,FIND("º",SUBSTITUTE(E98,"°","º"))-1)),""))))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IF(R98="","",COUNTIF($C$5:$C$6004,R98))</f>
        <v/>
      </c>
      <c r="W98" s="2">
        <f>IF(R98="","",COUNTIFS($C$5:$C$6004,R98,$O$5:$O$6004,"CONCLUÍDA"))</f>
        <v/>
      </c>
      <c r="X98" s="2">
        <f>IF(R98="","",COUNTIFS($C$5:$C$6004,R98,$O$5:$O$6004,"EM ANDAMENTO"))</f>
        <v/>
      </c>
      <c r="Y98" s="2">
        <f>IF(R98="","",IF(COUNTIFS($C$5:$C$6004,R98,$O$5:$O$6004,"CONCLUÍDA",$N$5:$N$6004,"&gt;=-99")=0,"",_xlfn.MAXIFS($N$5:$N$6004,$C$5:$C$6004,R98,$O$5:$O$6004,"CONCLUÍDA")))</f>
        <v/>
      </c>
      <c r="Z98" s="2">
        <f>IF(R98="","",IF(COUNTIFS($C$5:$C$6004,R98,$O$5:$O$6004,"EM ANDAMENTO",$N$5:$N$6004,"&gt;=-99")=0,"",_xlfn.MAXIFS($N$5:$N$6004,$C$5:$C$6004,R98,$O$5:$O$6004,"EM ANDAMENTO")))</f>
        <v/>
      </c>
      <c r="AA98" s="2">
        <f>IF(OR(R98="",S98="",U98&lt;&gt;"SIM",V98=0),"",IF(W98+X98=0,"",T98&amp;": "&amp;IF(W98=V98,"concluído",IF(W98=0,"em execução"&amp;IF(Z98&lt;&gt;""," ("&amp;IF(Z98&lt;0,IF(COUNTIF($E$5:$E$6004,"SUBSOLO*")&gt;0,"subsolo",-Z98&amp;"º subsolo"),IF(Z98=0,"térreo",Z98&amp;"º pav."))&amp;")",""),IF(Y98&lt;&gt;"","até "&amp;IF(Y98&lt;0,IF(COUNTIF($E$5:$E$6004,"SUBSOLO*")&gt;0,"subsolo",-Y98&amp;"º subsolo"),IF(Y98=0,"térreo",Y98&amp;"º pav.")),W98&amp;" de "&amp;V98&amp;" concluídas")&amp;IF(Z98="","",IF(OR(Y98="",Z98&gt;Y98),", executando "&amp;IF(Z98&lt;0,IF(COUNTIF($E$5:$E$6004,"SUBSOLO*")&gt;0,"subsolo",-Z98&amp;"º subsolo"),IF(Z98=0,"térreo",Z98&amp;"º pav."))," (restam serviços no "&amp;IF(Z98&lt;0,IF(COUNTIF($E$5:$E$6004,"SUBSOLO*")&gt;0,"subsolo",-Z98&amp;"º subsolo"),IF(Z98=0,"térreo",Z98&amp;"º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26" t="n">
        <v>45881</v>
      </c>
      <c r="G99" s="126" t="n">
        <v>45881</v>
      </c>
      <c r="H99" s="126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IF(E99="","",IF(ISNUMBER(SEARCH("SUBSOLO",E99)),IFERROR(-VALUE(LEFT(E99,FIND("º",SUBSTITUTE(E99,"°","º"))-1)),-1),IF(LEFT(E99,6)="TÉRREO",0,IFERROR(VALUE(LEFT(E99,FIND("º",SUBSTITUTE(E99,"°","º"))-1)),""))))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IF(R99="","",COUNTIF($C$5:$C$6004,R99))</f>
        <v/>
      </c>
      <c r="W99" s="2">
        <f>IF(R99="","",COUNTIFS($C$5:$C$6004,R99,$O$5:$O$6004,"CONCLUÍDA"))</f>
        <v/>
      </c>
      <c r="X99" s="2">
        <f>IF(R99="","",COUNTIFS($C$5:$C$6004,R99,$O$5:$O$6004,"EM ANDAMENTO"))</f>
        <v/>
      </c>
      <c r="Y99" s="2">
        <f>IF(R99="","",IF(COUNTIFS($C$5:$C$6004,R99,$O$5:$O$6004,"CONCLUÍDA",$N$5:$N$6004,"&gt;=-99")=0,"",_xlfn.MAXIFS($N$5:$N$6004,$C$5:$C$6004,R99,$O$5:$O$6004,"CONCLUÍDA")))</f>
        <v/>
      </c>
      <c r="Z99" s="2">
        <f>IF(R99="","",IF(COUNTIFS($C$5:$C$6004,R99,$O$5:$O$6004,"EM ANDAMENTO",$N$5:$N$6004,"&gt;=-99")=0,"",_xlfn.MAXIFS($N$5:$N$6004,$C$5:$C$6004,R99,$O$5:$O$6004,"EM ANDAMENTO")))</f>
        <v/>
      </c>
      <c r="AA99" s="2">
        <f>IF(OR(R99="",S99="",U99&lt;&gt;"SIM",V99=0),"",IF(W99+X99=0,"",T99&amp;": "&amp;IF(W99=V99,"concluído",IF(W99=0,"em execução"&amp;IF(Z99&lt;&gt;""," ("&amp;IF(Z99&lt;0,IF(COUNTIF($E$5:$E$6004,"SUBSOLO*")&gt;0,"subsolo",-Z99&amp;"º subsolo"),IF(Z99=0,"térreo",Z99&amp;"º pav."))&amp;")",""),IF(Y99&lt;&gt;"","até "&amp;IF(Y99&lt;0,IF(COUNTIF($E$5:$E$6004,"SUBSOLO*")&gt;0,"subsolo",-Y99&amp;"º subsolo"),IF(Y99=0,"térreo",Y99&amp;"º pav.")),W99&amp;" de "&amp;V99&amp;" concluídas")&amp;IF(Z99="","",IF(OR(Y99="",Z99&gt;Y99),", executando "&amp;IF(Z99&lt;0,IF(COUNTIF($E$5:$E$6004,"SUBSOLO*")&gt;0,"subsolo",-Z99&amp;"º subsolo"),IF(Z99=0,"térreo",Z99&amp;"º pav."))," (restam serviços no "&amp;IF(Z99&lt;0,IF(COUNTIF($E$5:$E$6004,"SUBSOLO*")&gt;0,"subsolo",-Z99&amp;"º subsolo"),IF(Z99=0,"térreo",Z99&amp;"º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26" t="n">
        <v>45882</v>
      </c>
      <c r="G100" s="126" t="n">
        <v>45884</v>
      </c>
      <c r="H100" s="126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IF(E100="","",IF(ISNUMBER(SEARCH("SUBSOLO",E100)),IFERROR(-VALUE(LEFT(E100,FIND("º",SUBSTITUTE(E100,"°","º"))-1)),-1),IF(LEFT(E100,6)="TÉRREO",0,IFERROR(VALUE(LEFT(E100,FIND("º",SUBSTITUTE(E100,"°","º"))-1)),""))))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IF(R100="","",COUNTIF($C$5:$C$6004,R100))</f>
        <v/>
      </c>
      <c r="W100" s="2">
        <f>IF(R100="","",COUNTIFS($C$5:$C$6004,R100,$O$5:$O$6004,"CONCLUÍDA"))</f>
        <v/>
      </c>
      <c r="X100" s="2">
        <f>IF(R100="","",COUNTIFS($C$5:$C$6004,R100,$O$5:$O$6004,"EM ANDAMENTO"))</f>
        <v/>
      </c>
      <c r="Y100" s="2">
        <f>IF(R100="","",IF(COUNTIFS($C$5:$C$6004,R100,$O$5:$O$6004,"CONCLUÍDA",$N$5:$N$6004,"&gt;=-99")=0,"",_xlfn.MAXIFS($N$5:$N$6004,$C$5:$C$6004,R100,$O$5:$O$6004,"CONCLUÍDA")))</f>
        <v/>
      </c>
      <c r="Z100" s="2">
        <f>IF(R100="","",IF(COUNTIFS($C$5:$C$6004,R100,$O$5:$O$6004,"EM ANDAMENTO",$N$5:$N$6004,"&gt;=-99")=0,"",_xlfn.MAXIFS($N$5:$N$6004,$C$5:$C$6004,R100,$O$5:$O$6004,"EM ANDAMENTO")))</f>
        <v/>
      </c>
      <c r="AA100" s="2">
        <f>IF(OR(R100="",S100="",U100&lt;&gt;"SIM",V100=0),"",IF(W100+X100=0,"",T100&amp;": "&amp;IF(W100=V100,"concluído",IF(W100=0,"em execução"&amp;IF(Z100&lt;&gt;""," ("&amp;IF(Z100&lt;0,IF(COUNTIF($E$5:$E$6004,"SUBSOLO*")&gt;0,"subsolo",-Z100&amp;"º subsolo"),IF(Z100=0,"térreo",Z100&amp;"º pav."))&amp;")",""),IF(Y100&lt;&gt;"","até "&amp;IF(Y100&lt;0,IF(COUNTIF($E$5:$E$6004,"SUBSOLO*")&gt;0,"subsolo",-Y100&amp;"º subsolo"),IF(Y100=0,"térreo",Y100&amp;"º pav.")),W100&amp;" de "&amp;V100&amp;" concluídas")&amp;IF(Z100="","",IF(OR(Y100="",Z100&gt;Y100),", executando "&amp;IF(Z100&lt;0,IF(COUNTIF($E$5:$E$6004,"SUBSOLO*")&gt;0,"subsolo",-Z100&amp;"º subsolo"),IF(Z100=0,"térreo",Z100&amp;"º pav."))," (restam serviços no "&amp;IF(Z100&lt;0,IF(COUNTIF($E$5:$E$6004,"SUBSOLO*")&gt;0,"subsolo",-Z100&amp;"º subsolo"),IF(Z100=0,"térreo",Z100&amp;"º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26" t="n">
        <v>45887</v>
      </c>
      <c r="G101" s="126" t="n">
        <v>45887</v>
      </c>
      <c r="H101" s="126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IF(E101="","",IF(ISNUMBER(SEARCH("SUBSOLO",E101)),IFERROR(-VALUE(LEFT(E101,FIND("º",SUBSTITUTE(E101,"°","º"))-1)),-1),IF(LEFT(E101,6)="TÉRREO",0,IFERROR(VALUE(LEFT(E101,FIND("º",SUBSTITUTE(E101,"°","º"))-1)),""))))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IF(R101="","",COUNTIF($C$5:$C$6004,R101))</f>
        <v/>
      </c>
      <c r="W101" s="2">
        <f>IF(R101="","",COUNTIFS($C$5:$C$6004,R101,$O$5:$O$6004,"CONCLUÍDA"))</f>
        <v/>
      </c>
      <c r="X101" s="2">
        <f>IF(R101="","",COUNTIFS($C$5:$C$6004,R101,$O$5:$O$6004,"EM ANDAMENTO"))</f>
        <v/>
      </c>
      <c r="Y101" s="2">
        <f>IF(R101="","",IF(COUNTIFS($C$5:$C$6004,R101,$O$5:$O$6004,"CONCLUÍDA",$N$5:$N$6004,"&gt;=-99")=0,"",_xlfn.MAXIFS($N$5:$N$6004,$C$5:$C$6004,R101,$O$5:$O$6004,"CONCLUÍDA")))</f>
        <v/>
      </c>
      <c r="Z101" s="2">
        <f>IF(R101="","",IF(COUNTIFS($C$5:$C$6004,R101,$O$5:$O$6004,"EM ANDAMENTO",$N$5:$N$6004,"&gt;=-99")=0,"",_xlfn.MAXIFS($N$5:$N$6004,$C$5:$C$6004,R101,$O$5:$O$6004,"EM ANDAMENTO")))</f>
        <v/>
      </c>
      <c r="AA101" s="2">
        <f>IF(OR(R101="",S101="",U101&lt;&gt;"SIM",V101=0),"",IF(W101+X101=0,"",T101&amp;": "&amp;IF(W101=V101,"concluído",IF(W101=0,"em execução"&amp;IF(Z101&lt;&gt;""," ("&amp;IF(Z101&lt;0,IF(COUNTIF($E$5:$E$6004,"SUBSOLO*")&gt;0,"subsolo",-Z101&amp;"º subsolo"),IF(Z101=0,"térreo",Z101&amp;"º pav."))&amp;")",""),IF(Y101&lt;&gt;"","até "&amp;IF(Y101&lt;0,IF(COUNTIF($E$5:$E$6004,"SUBSOLO*")&gt;0,"subsolo",-Y101&amp;"º subsolo"),IF(Y101=0,"térreo",Y101&amp;"º pav.")),W101&amp;" de "&amp;V101&amp;" concluídas")&amp;IF(Z101="","",IF(OR(Y101="",Z101&gt;Y101),", executando "&amp;IF(Z101&lt;0,IF(COUNTIF($E$5:$E$6004,"SUBSOLO*")&gt;0,"subsolo",-Z101&amp;"º subsolo"),IF(Z101=0,"térreo",Z101&amp;"º pav."))," (restam serviços no "&amp;IF(Z101&lt;0,IF(COUNTIF($E$5:$E$6004,"SUBSOLO*")&gt;0,"subsolo",-Z101&amp;"º subsolo"),IF(Z101=0,"térreo",Z101&amp;"º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26" t="n">
        <v>45905</v>
      </c>
      <c r="G102" s="126" t="n">
        <v>45905</v>
      </c>
      <c r="H102" s="126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IF(E102="","",IF(ISNUMBER(SEARCH("SUBSOLO",E102)),IFERROR(-VALUE(LEFT(E102,FIND("º",SUBSTITUTE(E102,"°","º"))-1)),-1),IF(LEFT(E102,6)="TÉRREO",0,IFERROR(VALUE(LEFT(E102,FIND("º",SUBSTITUTE(E102,"°","º"))-1)),""))))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IF(R102="","",COUNTIF($C$5:$C$6004,R102))</f>
        <v/>
      </c>
      <c r="W102" s="2">
        <f>IF(R102="","",COUNTIFS($C$5:$C$6004,R102,$O$5:$O$6004,"CONCLUÍDA"))</f>
        <v/>
      </c>
      <c r="X102" s="2">
        <f>IF(R102="","",COUNTIFS($C$5:$C$6004,R102,$O$5:$O$6004,"EM ANDAMENTO"))</f>
        <v/>
      </c>
      <c r="Y102" s="2">
        <f>IF(R102="","",IF(COUNTIFS($C$5:$C$6004,R102,$O$5:$O$6004,"CONCLUÍDA",$N$5:$N$6004,"&gt;=-99")=0,"",_xlfn.MAXIFS($N$5:$N$6004,$C$5:$C$6004,R102,$O$5:$O$6004,"CONCLUÍDA")))</f>
        <v/>
      </c>
      <c r="Z102" s="2">
        <f>IF(R102="","",IF(COUNTIFS($C$5:$C$6004,R102,$O$5:$O$6004,"EM ANDAMENTO",$N$5:$N$6004,"&gt;=-99")=0,"",_xlfn.MAXIFS($N$5:$N$6004,$C$5:$C$6004,R102,$O$5:$O$6004,"EM ANDAMENTO")))</f>
        <v/>
      </c>
      <c r="AA102" s="2">
        <f>IF(OR(R102="",S102="",U102&lt;&gt;"SIM",V102=0),"",IF(W102+X102=0,"",T102&amp;": "&amp;IF(W102=V102,"concluído",IF(W102=0,"em execução"&amp;IF(Z102&lt;&gt;""," ("&amp;IF(Z102&lt;0,IF(COUNTIF($E$5:$E$6004,"SUBSOLO*")&gt;0,"subsolo",-Z102&amp;"º subsolo"),IF(Z102=0,"térreo",Z102&amp;"º pav."))&amp;")",""),IF(Y102&lt;&gt;"","até "&amp;IF(Y102&lt;0,IF(COUNTIF($E$5:$E$6004,"SUBSOLO*")&gt;0,"subsolo",-Y102&amp;"º subsolo"),IF(Y102=0,"térreo",Y102&amp;"º pav.")),W102&amp;" de "&amp;V102&amp;" concluídas")&amp;IF(Z102="","",IF(OR(Y102="",Z102&gt;Y102),", executando "&amp;IF(Z102&lt;0,IF(COUNTIF($E$5:$E$6004,"SUBSOLO*")&gt;0,"subsolo",-Z102&amp;"º subsolo"),IF(Z102=0,"térreo",Z102&amp;"º pav."))," (restam serviços no "&amp;IF(Z102&lt;0,IF(COUNTIF($E$5:$E$6004,"SUBSOLO*")&gt;0,"subsolo",-Z102&amp;"º subsolo"),IF(Z102=0,"térreo",Z102&amp;"º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26" t="n">
        <v>45870</v>
      </c>
      <c r="G103" s="126" t="n">
        <v>45882</v>
      </c>
      <c r="H103" s="126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IF(E103="","",IF(ISNUMBER(SEARCH("SUBSOLO",E103)),IFERROR(-VALUE(LEFT(E103,FIND("º",SUBSTITUTE(E103,"°","º"))-1)),-1),IF(LEFT(E103,6)="TÉRREO",0,IFERROR(VALUE(LEFT(E103,FIND("º",SUBSTITUTE(E103,"°","º"))-1)),""))))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IF(R103="","",COUNTIF($C$5:$C$6004,R103))</f>
        <v/>
      </c>
      <c r="W103" s="2">
        <f>IF(R103="","",COUNTIFS($C$5:$C$6004,R103,$O$5:$O$6004,"CONCLUÍDA"))</f>
        <v/>
      </c>
      <c r="X103" s="2">
        <f>IF(R103="","",COUNTIFS($C$5:$C$6004,R103,$O$5:$O$6004,"EM ANDAMENTO"))</f>
        <v/>
      </c>
      <c r="Y103" s="2">
        <f>IF(R103="","",IF(COUNTIFS($C$5:$C$6004,R103,$O$5:$O$6004,"CONCLUÍDA",$N$5:$N$6004,"&gt;=-99")=0,"",_xlfn.MAXIFS($N$5:$N$6004,$C$5:$C$6004,R103,$O$5:$O$6004,"CONCLUÍDA")))</f>
        <v/>
      </c>
      <c r="Z103" s="2">
        <f>IF(R103="","",IF(COUNTIFS($C$5:$C$6004,R103,$O$5:$O$6004,"EM ANDAMENTO",$N$5:$N$6004,"&gt;=-99")=0,"",_xlfn.MAXIFS($N$5:$N$6004,$C$5:$C$6004,R103,$O$5:$O$6004,"EM ANDAMENTO")))</f>
        <v/>
      </c>
      <c r="AA103" s="2">
        <f>IF(OR(R103="",S103="",U103&lt;&gt;"SIM",V103=0),"",IF(W103+X103=0,"",T103&amp;": "&amp;IF(W103=V103,"concluído",IF(W103=0,"em execução"&amp;IF(Z103&lt;&gt;""," ("&amp;IF(Z103&lt;0,IF(COUNTIF($E$5:$E$6004,"SUBSOLO*")&gt;0,"subsolo",-Z103&amp;"º subsolo"),IF(Z103=0,"térreo",Z103&amp;"º pav."))&amp;")",""),IF(Y103&lt;&gt;"","até "&amp;IF(Y103&lt;0,IF(COUNTIF($E$5:$E$6004,"SUBSOLO*")&gt;0,"subsolo",-Y103&amp;"º subsolo"),IF(Y103=0,"térreo",Y103&amp;"º pav.")),W103&amp;" de "&amp;V103&amp;" concluídas")&amp;IF(Z103="","",IF(OR(Y103="",Z103&gt;Y103),", executando "&amp;IF(Z103&lt;0,IF(COUNTIF($E$5:$E$6004,"SUBSOLO*")&gt;0,"subsolo",-Z103&amp;"º subsolo"),IF(Z103=0,"térreo",Z103&amp;"º pav."))," (restam serviços no "&amp;IF(Z103&lt;0,IF(COUNTIF($E$5:$E$6004,"SUBSOLO*")&gt;0,"subsolo",-Z103&amp;"º subsolo"),IF(Z103=0,"térreo",Z103&amp;"º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26" t="n">
        <v>45873</v>
      </c>
      <c r="G104" s="126" t="n">
        <v>45884</v>
      </c>
      <c r="H104" s="126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IF(E104="","",IF(ISNUMBER(SEARCH("SUBSOLO",E104)),IFERROR(-VALUE(LEFT(E104,FIND("º",SUBSTITUTE(E104,"°","º"))-1)),-1),IF(LEFT(E104,6)="TÉRREO",0,IFERROR(VALUE(LEFT(E104,FIND("º",SUBSTITUTE(E104,"°","º"))-1)),""))))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IF(R104="","",COUNTIF($C$5:$C$6004,R104))</f>
        <v/>
      </c>
      <c r="W104" s="2">
        <f>IF(R104="","",COUNTIFS($C$5:$C$6004,R104,$O$5:$O$6004,"CONCLUÍDA"))</f>
        <v/>
      </c>
      <c r="X104" s="2">
        <f>IF(R104="","",COUNTIFS($C$5:$C$6004,R104,$O$5:$O$6004,"EM ANDAMENTO"))</f>
        <v/>
      </c>
      <c r="Y104" s="2">
        <f>IF(R104="","",IF(COUNTIFS($C$5:$C$6004,R104,$O$5:$O$6004,"CONCLUÍDA",$N$5:$N$6004,"&gt;=-99")=0,"",_xlfn.MAXIFS($N$5:$N$6004,$C$5:$C$6004,R104,$O$5:$O$6004,"CONCLUÍDA")))</f>
        <v/>
      </c>
      <c r="Z104" s="2">
        <f>IF(R104="","",IF(COUNTIFS($C$5:$C$6004,R104,$O$5:$O$6004,"EM ANDAMENTO",$N$5:$N$6004,"&gt;=-99")=0,"",_xlfn.MAXIFS($N$5:$N$6004,$C$5:$C$6004,R104,$O$5:$O$6004,"EM ANDAMENTO")))</f>
        <v/>
      </c>
      <c r="AA104" s="2">
        <f>IF(OR(R104="",S104="",U104&lt;&gt;"SIM",V104=0),"",IF(W104+X104=0,"",T104&amp;": "&amp;IF(W104=V104,"concluído",IF(W104=0,"em execução"&amp;IF(Z104&lt;&gt;""," ("&amp;IF(Z104&lt;0,IF(COUNTIF($E$5:$E$6004,"SUBSOLO*")&gt;0,"subsolo",-Z104&amp;"º subsolo"),IF(Z104=0,"térreo",Z104&amp;"º pav."))&amp;")",""),IF(Y104&lt;&gt;"","até "&amp;IF(Y104&lt;0,IF(COUNTIF($E$5:$E$6004,"SUBSOLO*")&gt;0,"subsolo",-Y104&amp;"º subsolo"),IF(Y104=0,"térreo",Y104&amp;"º pav.")),W104&amp;" de "&amp;V104&amp;" concluídas")&amp;IF(Z104="","",IF(OR(Y104="",Z104&gt;Y104),", executando "&amp;IF(Z104&lt;0,IF(COUNTIF($E$5:$E$6004,"SUBSOLO*")&gt;0,"subsolo",-Z104&amp;"º subsolo"),IF(Z104=0,"térreo",Z104&amp;"º pav."))," (restam serviços no "&amp;IF(Z104&lt;0,IF(COUNTIF($E$5:$E$6004,"SUBSOLO*")&gt;0,"subsolo",-Z104&amp;"º subsolo"),IF(Z104=0,"térreo",Z104&amp;"º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26" t="n">
        <v>45887</v>
      </c>
      <c r="G105" s="126" t="n">
        <v>45887</v>
      </c>
      <c r="H105" s="126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IF(E105="","",IF(ISNUMBER(SEARCH("SUBSOLO",E105)),IFERROR(-VALUE(LEFT(E105,FIND("º",SUBSTITUTE(E105,"°","º"))-1)),-1),IF(LEFT(E105,6)="TÉRREO",0,IFERROR(VALUE(LEFT(E105,FIND("º",SUBSTITUTE(E105,"°","º"))-1)),""))))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IF(R105="","",COUNTIF($C$5:$C$6004,R105))</f>
        <v/>
      </c>
      <c r="W105" s="2">
        <f>IF(R105="","",COUNTIFS($C$5:$C$6004,R105,$O$5:$O$6004,"CONCLUÍDA"))</f>
        <v/>
      </c>
      <c r="X105" s="2">
        <f>IF(R105="","",COUNTIFS($C$5:$C$6004,R105,$O$5:$O$6004,"EM ANDAMENTO"))</f>
        <v/>
      </c>
      <c r="Y105" s="2">
        <f>IF(R105="","",IF(COUNTIFS($C$5:$C$6004,R105,$O$5:$O$6004,"CONCLUÍDA",$N$5:$N$6004,"&gt;=-99")=0,"",_xlfn.MAXIFS($N$5:$N$6004,$C$5:$C$6004,R105,$O$5:$O$6004,"CONCLUÍDA")))</f>
        <v/>
      </c>
      <c r="Z105" s="2">
        <f>IF(R105="","",IF(COUNTIFS($C$5:$C$6004,R105,$O$5:$O$6004,"EM ANDAMENTO",$N$5:$N$6004,"&gt;=-99")=0,"",_xlfn.MAXIFS($N$5:$N$6004,$C$5:$C$6004,R105,$O$5:$O$6004,"EM ANDAMENTO")))</f>
        <v/>
      </c>
      <c r="AA105" s="2">
        <f>IF(OR(R105="",S105="",U105&lt;&gt;"SIM",V105=0),"",IF(W105+X105=0,"",T105&amp;": "&amp;IF(W105=V105,"concluído",IF(W105=0,"em execução"&amp;IF(Z105&lt;&gt;""," ("&amp;IF(Z105&lt;0,IF(COUNTIF($E$5:$E$6004,"SUBSOLO*")&gt;0,"subsolo",-Z105&amp;"º subsolo"),IF(Z105=0,"térreo",Z105&amp;"º pav."))&amp;")",""),IF(Y105&lt;&gt;"","até "&amp;IF(Y105&lt;0,IF(COUNTIF($E$5:$E$6004,"SUBSOLO*")&gt;0,"subsolo",-Y105&amp;"º subsolo"),IF(Y105=0,"térreo",Y105&amp;"º pav.")),W105&amp;" de "&amp;V105&amp;" concluídas")&amp;IF(Z105="","",IF(OR(Y105="",Z105&gt;Y105),", executando "&amp;IF(Z105&lt;0,IF(COUNTIF($E$5:$E$6004,"SUBSOLO*")&gt;0,"subsolo",-Z105&amp;"º subsolo"),IF(Z105=0,"térreo",Z105&amp;"º pav."))," (restam serviços no "&amp;IF(Z105&lt;0,IF(COUNTIF($E$5:$E$6004,"SUBSOLO*")&gt;0,"subsolo",-Z105&amp;"º subsolo"),IF(Z105=0,"térreo",Z105&amp;"º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26" t="n">
        <v>45888</v>
      </c>
      <c r="G106" s="126" t="n">
        <v>45889</v>
      </c>
      <c r="H106" s="126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IF(E106="","",IF(ISNUMBER(SEARCH("SUBSOLO",E106)),IFERROR(-VALUE(LEFT(E106,FIND("º",SUBSTITUTE(E106,"°","º"))-1)),-1),IF(LEFT(E106,6)="TÉRREO",0,IFERROR(VALUE(LEFT(E106,FIND("º",SUBSTITUTE(E106,"°","º"))-1)),""))))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IF(R106="","",COUNTIF($C$5:$C$6004,R106))</f>
        <v/>
      </c>
      <c r="W106" s="2">
        <f>IF(R106="","",COUNTIFS($C$5:$C$6004,R106,$O$5:$O$6004,"CONCLUÍDA"))</f>
        <v/>
      </c>
      <c r="X106" s="2">
        <f>IF(R106="","",COUNTIFS($C$5:$C$6004,R106,$O$5:$O$6004,"EM ANDAMENTO"))</f>
        <v/>
      </c>
      <c r="Y106" s="2">
        <f>IF(R106="","",IF(COUNTIFS($C$5:$C$6004,R106,$O$5:$O$6004,"CONCLUÍDA",$N$5:$N$6004,"&gt;=-99")=0,"",_xlfn.MAXIFS($N$5:$N$6004,$C$5:$C$6004,R106,$O$5:$O$6004,"CONCLUÍDA")))</f>
        <v/>
      </c>
      <c r="Z106" s="2">
        <f>IF(R106="","",IF(COUNTIFS($C$5:$C$6004,R106,$O$5:$O$6004,"EM ANDAMENTO",$N$5:$N$6004,"&gt;=-99")=0,"",_xlfn.MAXIFS($N$5:$N$6004,$C$5:$C$6004,R106,$O$5:$O$6004,"EM ANDAMENTO")))</f>
        <v/>
      </c>
      <c r="AA106" s="2">
        <f>IF(OR(R106="",S106="",U106&lt;&gt;"SIM",V106=0),"",IF(W106+X106=0,"",T106&amp;": "&amp;IF(W106=V106,"concluído",IF(W106=0,"em execução"&amp;IF(Z106&lt;&gt;""," ("&amp;IF(Z106&lt;0,IF(COUNTIF($E$5:$E$6004,"SUBSOLO*")&gt;0,"subsolo",-Z106&amp;"º subsolo"),IF(Z106=0,"térreo",Z106&amp;"º pav."))&amp;")",""),IF(Y106&lt;&gt;"","até "&amp;IF(Y106&lt;0,IF(COUNTIF($E$5:$E$6004,"SUBSOLO*")&gt;0,"subsolo",-Y106&amp;"º subsolo"),IF(Y106=0,"térreo",Y106&amp;"º pav.")),W106&amp;" de "&amp;V106&amp;" concluídas")&amp;IF(Z106="","",IF(OR(Y106="",Z106&gt;Y106),", executando "&amp;IF(Z106&lt;0,IF(COUNTIF($E$5:$E$6004,"SUBSOLO*")&gt;0,"subsolo",-Z106&amp;"º subsolo"),IF(Z106=0,"térreo",Z106&amp;"º pav."))," (restam serviços no "&amp;IF(Z106&lt;0,IF(COUNTIF($E$5:$E$6004,"SUBSOLO*")&gt;0,"subsolo",-Z106&amp;"º subsolo"),IF(Z106=0,"térreo",Z106&amp;"º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26" t="n">
        <v>45890</v>
      </c>
      <c r="G107" s="126" t="n">
        <v>45890</v>
      </c>
      <c r="H107" s="126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IF(E107="","",IF(ISNUMBER(SEARCH("SUBSOLO",E107)),IFERROR(-VALUE(LEFT(E107,FIND("º",SUBSTITUTE(E107,"°","º"))-1)),-1),IF(LEFT(E107,6)="TÉRREO",0,IFERROR(VALUE(LEFT(E107,FIND("º",SUBSTITUTE(E107,"°","º"))-1)),""))))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IF(R107="","",COUNTIF($C$5:$C$6004,R107))</f>
        <v/>
      </c>
      <c r="W107" s="2">
        <f>IF(R107="","",COUNTIFS($C$5:$C$6004,R107,$O$5:$O$6004,"CONCLUÍDA"))</f>
        <v/>
      </c>
      <c r="X107" s="2">
        <f>IF(R107="","",COUNTIFS($C$5:$C$6004,R107,$O$5:$O$6004,"EM ANDAMENTO"))</f>
        <v/>
      </c>
      <c r="Y107" s="2">
        <f>IF(R107="","",IF(COUNTIFS($C$5:$C$6004,R107,$O$5:$O$6004,"CONCLUÍDA",$N$5:$N$6004,"&gt;=-99")=0,"",_xlfn.MAXIFS($N$5:$N$6004,$C$5:$C$6004,R107,$O$5:$O$6004,"CONCLUÍDA")))</f>
        <v/>
      </c>
      <c r="Z107" s="2">
        <f>IF(R107="","",IF(COUNTIFS($C$5:$C$6004,R107,$O$5:$O$6004,"EM ANDAMENTO",$N$5:$N$6004,"&gt;=-99")=0,"",_xlfn.MAXIFS($N$5:$N$6004,$C$5:$C$6004,R107,$O$5:$O$6004,"EM ANDAMENTO")))</f>
        <v/>
      </c>
      <c r="AA107" s="2">
        <f>IF(OR(R107="",S107="",U107&lt;&gt;"SIM",V107=0),"",IF(W107+X107=0,"",T107&amp;": "&amp;IF(W107=V107,"concluído",IF(W107=0,"em execução"&amp;IF(Z107&lt;&gt;""," ("&amp;IF(Z107&lt;0,IF(COUNTIF($E$5:$E$6004,"SUBSOLO*")&gt;0,"subsolo",-Z107&amp;"º subsolo"),IF(Z107=0,"térreo",Z107&amp;"º pav."))&amp;")",""),IF(Y107&lt;&gt;"","até "&amp;IF(Y107&lt;0,IF(COUNTIF($E$5:$E$6004,"SUBSOLO*")&gt;0,"subsolo",-Y107&amp;"º subsolo"),IF(Y107=0,"térreo",Y107&amp;"º pav.")),W107&amp;" de "&amp;V107&amp;" concluídas")&amp;IF(Z107="","",IF(OR(Y107="",Z107&gt;Y107),", executando "&amp;IF(Z107&lt;0,IF(COUNTIF($E$5:$E$6004,"SUBSOLO*")&gt;0,"subsolo",-Z107&amp;"º subsolo"),IF(Z107=0,"térreo",Z107&amp;"º pav."))," (restam serviços no "&amp;IF(Z107&lt;0,IF(COUNTIF($E$5:$E$6004,"SUBSOLO*")&gt;0,"subsolo",-Z107&amp;"º subsolo"),IF(Z107=0,"térreo",Z107&amp;"º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26" t="n">
        <v>45873</v>
      </c>
      <c r="G108" s="126" t="n">
        <v>45887</v>
      </c>
      <c r="H108" s="126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IF(E108="","",IF(ISNUMBER(SEARCH("SUBSOLO",E108)),IFERROR(-VALUE(LEFT(E108,FIND("º",SUBSTITUTE(E108,"°","º"))-1)),-1),IF(LEFT(E108,6)="TÉRREO",0,IFERROR(VALUE(LEFT(E108,FIND("º",SUBSTITUTE(E108,"°","º"))-1)),""))))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IF(R108="","",COUNTIF($C$5:$C$6004,R108))</f>
        <v/>
      </c>
      <c r="W108" s="2">
        <f>IF(R108="","",COUNTIFS($C$5:$C$6004,R108,$O$5:$O$6004,"CONCLUÍDA"))</f>
        <v/>
      </c>
      <c r="X108" s="2">
        <f>IF(R108="","",COUNTIFS($C$5:$C$6004,R108,$O$5:$O$6004,"EM ANDAMENTO"))</f>
        <v/>
      </c>
      <c r="Y108" s="2">
        <f>IF(R108="","",IF(COUNTIFS($C$5:$C$6004,R108,$O$5:$O$6004,"CONCLUÍDA",$N$5:$N$6004,"&gt;=-99")=0,"",_xlfn.MAXIFS($N$5:$N$6004,$C$5:$C$6004,R108,$O$5:$O$6004,"CONCLUÍDA")))</f>
        <v/>
      </c>
      <c r="Z108" s="2">
        <f>IF(R108="","",IF(COUNTIFS($C$5:$C$6004,R108,$O$5:$O$6004,"EM ANDAMENTO",$N$5:$N$6004,"&gt;=-99")=0,"",_xlfn.MAXIFS($N$5:$N$6004,$C$5:$C$6004,R108,$O$5:$O$6004,"EM ANDAMENTO")))</f>
        <v/>
      </c>
      <c r="AA108" s="2">
        <f>IF(OR(R108="",S108="",U108&lt;&gt;"SIM",V108=0),"",IF(W108+X108=0,"",T108&amp;": "&amp;IF(W108=V108,"concluído",IF(W108=0,"em execução"&amp;IF(Z108&lt;&gt;""," ("&amp;IF(Z108&lt;0,IF(COUNTIF($E$5:$E$6004,"SUBSOLO*")&gt;0,"subsolo",-Z108&amp;"º subsolo"),IF(Z108=0,"térreo",Z108&amp;"º pav."))&amp;")",""),IF(Y108&lt;&gt;"","até "&amp;IF(Y108&lt;0,IF(COUNTIF($E$5:$E$6004,"SUBSOLO*")&gt;0,"subsolo",-Y108&amp;"º subsolo"),IF(Y108=0,"térreo",Y108&amp;"º pav.")),W108&amp;" de "&amp;V108&amp;" concluídas")&amp;IF(Z108="","",IF(OR(Y108="",Z108&gt;Y108),", executando "&amp;IF(Z108&lt;0,IF(COUNTIF($E$5:$E$6004,"SUBSOLO*")&gt;0,"subsolo",-Z108&amp;"º subsolo"),IF(Z108=0,"térreo",Z108&amp;"º pav."))," (restam serviços no "&amp;IF(Z108&lt;0,IF(COUNTIF($E$5:$E$6004,"SUBSOLO*")&gt;0,"subsolo",-Z108&amp;"º subsolo"),IF(Z108=0,"térreo",Z108&amp;"º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26" t="n">
        <v>45882</v>
      </c>
      <c r="G109" s="126" t="n">
        <v>45891</v>
      </c>
      <c r="H109" s="126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IF(E109="","",IF(ISNUMBER(SEARCH("SUBSOLO",E109)),IFERROR(-VALUE(LEFT(E109,FIND("º",SUBSTITUTE(E109,"°","º"))-1)),-1),IF(LEFT(E109,6)="TÉRREO",0,IFERROR(VALUE(LEFT(E109,FIND("º",SUBSTITUTE(E109,"°","º"))-1)),""))))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IF(R109="","",COUNTIF($C$5:$C$6004,R109))</f>
        <v/>
      </c>
      <c r="W109" s="2">
        <f>IF(R109="","",COUNTIFS($C$5:$C$6004,R109,$O$5:$O$6004,"CONCLUÍDA"))</f>
        <v/>
      </c>
      <c r="X109" s="2">
        <f>IF(R109="","",COUNTIFS($C$5:$C$6004,R109,$O$5:$O$6004,"EM ANDAMENTO"))</f>
        <v/>
      </c>
      <c r="Y109" s="2">
        <f>IF(R109="","",IF(COUNTIFS($C$5:$C$6004,R109,$O$5:$O$6004,"CONCLUÍDA",$N$5:$N$6004,"&gt;=-99")=0,"",_xlfn.MAXIFS($N$5:$N$6004,$C$5:$C$6004,R109,$O$5:$O$6004,"CONCLUÍDA")))</f>
        <v/>
      </c>
      <c r="Z109" s="2">
        <f>IF(R109="","",IF(COUNTIFS($C$5:$C$6004,R109,$O$5:$O$6004,"EM ANDAMENTO",$N$5:$N$6004,"&gt;=-99")=0,"",_xlfn.MAXIFS($N$5:$N$6004,$C$5:$C$6004,R109,$O$5:$O$6004,"EM ANDAMENTO")))</f>
        <v/>
      </c>
      <c r="AA109" s="2">
        <f>IF(OR(R109="",S109="",U109&lt;&gt;"SIM",V109=0),"",IF(W109+X109=0,"",T109&amp;": "&amp;IF(W109=V109,"concluído",IF(W109=0,"em execução"&amp;IF(Z109&lt;&gt;""," ("&amp;IF(Z109&lt;0,IF(COUNTIF($E$5:$E$6004,"SUBSOLO*")&gt;0,"subsolo",-Z109&amp;"º subsolo"),IF(Z109=0,"térreo",Z109&amp;"º pav."))&amp;")",""),IF(Y109&lt;&gt;"","até "&amp;IF(Y109&lt;0,IF(COUNTIF($E$5:$E$6004,"SUBSOLO*")&gt;0,"subsolo",-Y109&amp;"º subsolo"),IF(Y109=0,"térreo",Y109&amp;"º pav.")),W109&amp;" de "&amp;V109&amp;" concluídas")&amp;IF(Z109="","",IF(OR(Y109="",Z109&gt;Y109),", executando "&amp;IF(Z109&lt;0,IF(COUNTIF($E$5:$E$6004,"SUBSOLO*")&gt;0,"subsolo",-Z109&amp;"º subsolo"),IF(Z109=0,"térreo",Z109&amp;"º pav."))," (restam serviços no "&amp;IF(Z109&lt;0,IF(COUNTIF($E$5:$E$6004,"SUBSOLO*")&gt;0,"subsolo",-Z109&amp;"º subsolo"),IF(Z109=0,"térreo",Z109&amp;"º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26" t="n">
        <v>45894</v>
      </c>
      <c r="G110" s="126" t="n">
        <v>45894</v>
      </c>
      <c r="H110" s="126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IF(E110="","",IF(ISNUMBER(SEARCH("SUBSOLO",E110)),IFERROR(-VALUE(LEFT(E110,FIND("º",SUBSTITUTE(E110,"°","º"))-1)),-1),IF(LEFT(E110,6)="TÉRREO",0,IFERROR(VALUE(LEFT(E110,FIND("º",SUBSTITUTE(E110,"°","º"))-1)),""))))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IF(R110="","",COUNTIF($C$5:$C$6004,R110))</f>
        <v/>
      </c>
      <c r="W110" s="2">
        <f>IF(R110="","",COUNTIFS($C$5:$C$6004,R110,$O$5:$O$6004,"CONCLUÍDA"))</f>
        <v/>
      </c>
      <c r="X110" s="2">
        <f>IF(R110="","",COUNTIFS($C$5:$C$6004,R110,$O$5:$O$6004,"EM ANDAMENTO"))</f>
        <v/>
      </c>
      <c r="Y110" s="2">
        <f>IF(R110="","",IF(COUNTIFS($C$5:$C$6004,R110,$O$5:$O$6004,"CONCLUÍDA",$N$5:$N$6004,"&gt;=-99")=0,"",_xlfn.MAXIFS($N$5:$N$6004,$C$5:$C$6004,R110,$O$5:$O$6004,"CONCLUÍDA")))</f>
        <v/>
      </c>
      <c r="Z110" s="2">
        <f>IF(R110="","",IF(COUNTIFS($C$5:$C$6004,R110,$O$5:$O$6004,"EM ANDAMENTO",$N$5:$N$6004,"&gt;=-99")=0,"",_xlfn.MAXIFS($N$5:$N$6004,$C$5:$C$6004,R110,$O$5:$O$6004,"EM ANDAMENTO")))</f>
        <v/>
      </c>
      <c r="AA110" s="2">
        <f>IF(OR(R110="",S110="",U110&lt;&gt;"SIM",V110=0),"",IF(W110+X110=0,"",T110&amp;": "&amp;IF(W110=V110,"concluído",IF(W110=0,"em execução"&amp;IF(Z110&lt;&gt;""," ("&amp;IF(Z110&lt;0,IF(COUNTIF($E$5:$E$6004,"SUBSOLO*")&gt;0,"subsolo",-Z110&amp;"º subsolo"),IF(Z110=0,"térreo",Z110&amp;"º pav."))&amp;")",""),IF(Y110&lt;&gt;"","até "&amp;IF(Y110&lt;0,IF(COUNTIF($E$5:$E$6004,"SUBSOLO*")&gt;0,"subsolo",-Y110&amp;"º subsolo"),IF(Y110=0,"térreo",Y110&amp;"º pav.")),W110&amp;" de "&amp;V110&amp;" concluídas")&amp;IF(Z110="","",IF(OR(Y110="",Z110&gt;Y110),", executando "&amp;IF(Z110&lt;0,IF(COUNTIF($E$5:$E$6004,"SUBSOLO*")&gt;0,"subsolo",-Z110&amp;"º subsolo"),IF(Z110=0,"térreo",Z110&amp;"º pav."))," (restam serviços no "&amp;IF(Z110&lt;0,IF(COUNTIF($E$5:$E$6004,"SUBSOLO*")&gt;0,"subsolo",-Z110&amp;"º subsolo"),IF(Z110=0,"térreo",Z110&amp;"º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26" t="n">
        <v>45895</v>
      </c>
      <c r="G111" s="126" t="n">
        <v>45895</v>
      </c>
      <c r="H111" s="126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IF(E111="","",IF(ISNUMBER(SEARCH("SUBSOLO",E111)),IFERROR(-VALUE(LEFT(E111,FIND("º",SUBSTITUTE(E111,"°","º"))-1)),-1),IF(LEFT(E111,6)="TÉRREO",0,IFERROR(VALUE(LEFT(E111,FIND("º",SUBSTITUTE(E111,"°","º"))-1)),""))))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IF(R111="","",COUNTIF($C$5:$C$6004,R111))</f>
        <v/>
      </c>
      <c r="W111" s="2">
        <f>IF(R111="","",COUNTIFS($C$5:$C$6004,R111,$O$5:$O$6004,"CONCLUÍDA"))</f>
        <v/>
      </c>
      <c r="X111" s="2">
        <f>IF(R111="","",COUNTIFS($C$5:$C$6004,R111,$O$5:$O$6004,"EM ANDAMENTO"))</f>
        <v/>
      </c>
      <c r="Y111" s="2">
        <f>IF(R111="","",IF(COUNTIFS($C$5:$C$6004,R111,$O$5:$O$6004,"CONCLUÍDA",$N$5:$N$6004,"&gt;=-99")=0,"",_xlfn.MAXIFS($N$5:$N$6004,$C$5:$C$6004,R111,$O$5:$O$6004,"CONCLUÍDA")))</f>
        <v/>
      </c>
      <c r="Z111" s="2">
        <f>IF(R111="","",IF(COUNTIFS($C$5:$C$6004,R111,$O$5:$O$6004,"EM ANDAMENTO",$N$5:$N$6004,"&gt;=-99")=0,"",_xlfn.MAXIFS($N$5:$N$6004,$C$5:$C$6004,R111,$O$5:$O$6004,"EM ANDAMENTO")))</f>
        <v/>
      </c>
      <c r="AA111" s="2">
        <f>IF(OR(R111="",S111="",U111&lt;&gt;"SIM",V111=0),"",IF(W111+X111=0,"",T111&amp;": "&amp;IF(W111=V111,"concluído",IF(W111=0,"em execução"&amp;IF(Z111&lt;&gt;""," ("&amp;IF(Z111&lt;0,IF(COUNTIF($E$5:$E$6004,"SUBSOLO*")&gt;0,"subsolo",-Z111&amp;"º subsolo"),IF(Z111=0,"térreo",Z111&amp;"º pav."))&amp;")",""),IF(Y111&lt;&gt;"","até "&amp;IF(Y111&lt;0,IF(COUNTIF($E$5:$E$6004,"SUBSOLO*")&gt;0,"subsolo",-Y111&amp;"º subsolo"),IF(Y111=0,"térreo",Y111&amp;"º pav.")),W111&amp;" de "&amp;V111&amp;" concluídas")&amp;IF(Z111="","",IF(OR(Y111="",Z111&gt;Y111),", executando "&amp;IF(Z111&lt;0,IF(COUNTIF($E$5:$E$6004,"SUBSOLO*")&gt;0,"subsolo",-Z111&amp;"º subsolo"),IF(Z111=0,"térreo",Z111&amp;"º pav."))," (restam serviços no "&amp;IF(Z111&lt;0,IF(COUNTIF($E$5:$E$6004,"SUBSOLO*")&gt;0,"subsolo",-Z111&amp;"º subsolo"),IF(Z111=0,"térreo",Z111&amp;"º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26" t="n">
        <v>45896</v>
      </c>
      <c r="G112" s="126" t="n">
        <v>45896</v>
      </c>
      <c r="H112" s="126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IF(E112="","",IF(ISNUMBER(SEARCH("SUBSOLO",E112)),IFERROR(-VALUE(LEFT(E112,FIND("º",SUBSTITUTE(E112,"°","º"))-1)),-1),IF(LEFT(E112,6)="TÉRREO",0,IFERROR(VALUE(LEFT(E112,FIND("º",SUBSTITUTE(E112,"°","º"))-1)),""))))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IF(R112="","",COUNTIF($C$5:$C$6004,R112))</f>
        <v/>
      </c>
      <c r="W112" s="2">
        <f>IF(R112="","",COUNTIFS($C$5:$C$6004,R112,$O$5:$O$6004,"CONCLUÍDA"))</f>
        <v/>
      </c>
      <c r="X112" s="2">
        <f>IF(R112="","",COUNTIFS($C$5:$C$6004,R112,$O$5:$O$6004,"EM ANDAMENTO"))</f>
        <v/>
      </c>
      <c r="Y112" s="2">
        <f>IF(R112="","",IF(COUNTIFS($C$5:$C$6004,R112,$O$5:$O$6004,"CONCLUÍDA",$N$5:$N$6004,"&gt;=-99")=0,"",_xlfn.MAXIFS($N$5:$N$6004,$C$5:$C$6004,R112,$O$5:$O$6004,"CONCLUÍDA")))</f>
        <v/>
      </c>
      <c r="Z112" s="2">
        <f>IF(R112="","",IF(COUNTIFS($C$5:$C$6004,R112,$O$5:$O$6004,"EM ANDAMENTO",$N$5:$N$6004,"&gt;=-99")=0,"",_xlfn.MAXIFS($N$5:$N$6004,$C$5:$C$6004,R112,$O$5:$O$6004,"EM ANDAMENTO")))</f>
        <v/>
      </c>
      <c r="AA112" s="2">
        <f>IF(OR(R112="",S112="",U112&lt;&gt;"SIM",V112=0),"",IF(W112+X112=0,"",T112&amp;": "&amp;IF(W112=V112,"concluído",IF(W112=0,"em execução"&amp;IF(Z112&lt;&gt;""," ("&amp;IF(Z112&lt;0,IF(COUNTIF($E$5:$E$6004,"SUBSOLO*")&gt;0,"subsolo",-Z112&amp;"º subsolo"),IF(Z112=0,"térreo",Z112&amp;"º pav."))&amp;")",""),IF(Y112&lt;&gt;"","até "&amp;IF(Y112&lt;0,IF(COUNTIF($E$5:$E$6004,"SUBSOLO*")&gt;0,"subsolo",-Y112&amp;"º subsolo"),IF(Y112=0,"térreo",Y112&amp;"º pav.")),W112&amp;" de "&amp;V112&amp;" concluídas")&amp;IF(Z112="","",IF(OR(Y112="",Z112&gt;Y112),", executando "&amp;IF(Z112&lt;0,IF(COUNTIF($E$5:$E$6004,"SUBSOLO*")&gt;0,"subsolo",-Z112&amp;"º subsolo"),IF(Z112=0,"térreo",Z112&amp;"º pav."))," (restam serviços no "&amp;IF(Z112&lt;0,IF(COUNTIF($E$5:$E$6004,"SUBSOLO*")&gt;0,"subsolo",-Z112&amp;"º subsolo"),IF(Z112=0,"térreo",Z112&amp;"º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26" t="n">
        <v>45880</v>
      </c>
      <c r="G113" s="126" t="n">
        <v>45884</v>
      </c>
      <c r="H113" s="126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IF(E113="","",IF(ISNUMBER(SEARCH("SUBSOLO",E113)),IFERROR(-VALUE(LEFT(E113,FIND("º",SUBSTITUTE(E113,"°","º"))-1)),-1),IF(LEFT(E113,6)="TÉRREO",0,IFERROR(VALUE(LEFT(E113,FIND("º",SUBSTITUTE(E113,"°","º"))-1)),""))))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IF(R113="","",COUNTIF($C$5:$C$6004,R113))</f>
        <v/>
      </c>
      <c r="W113" s="2">
        <f>IF(R113="","",COUNTIFS($C$5:$C$6004,R113,$O$5:$O$6004,"CONCLUÍDA"))</f>
        <v/>
      </c>
      <c r="X113" s="2">
        <f>IF(R113="","",COUNTIFS($C$5:$C$6004,R113,$O$5:$O$6004,"EM ANDAMENTO"))</f>
        <v/>
      </c>
      <c r="Y113" s="2">
        <f>IF(R113="","",IF(COUNTIFS($C$5:$C$6004,R113,$O$5:$O$6004,"CONCLUÍDA",$N$5:$N$6004,"&gt;=-99")=0,"",_xlfn.MAXIFS($N$5:$N$6004,$C$5:$C$6004,R113,$O$5:$O$6004,"CONCLUÍDA")))</f>
        <v/>
      </c>
      <c r="Z113" s="2">
        <f>IF(R113="","",IF(COUNTIFS($C$5:$C$6004,R113,$O$5:$O$6004,"EM ANDAMENTO",$N$5:$N$6004,"&gt;=-99")=0,"",_xlfn.MAXIFS($N$5:$N$6004,$C$5:$C$6004,R113,$O$5:$O$6004,"EM ANDAMENTO")))</f>
        <v/>
      </c>
      <c r="AA113" s="2">
        <f>IF(OR(R113="",S113="",U113&lt;&gt;"SIM",V113=0),"",IF(W113+X113=0,"",T113&amp;": "&amp;IF(W113=V113,"concluído",IF(W113=0,"em execução"&amp;IF(Z113&lt;&gt;""," ("&amp;IF(Z113&lt;0,IF(COUNTIF($E$5:$E$6004,"SUBSOLO*")&gt;0,"subsolo",-Z113&amp;"º subsolo"),IF(Z113=0,"térreo",Z113&amp;"º pav."))&amp;")",""),IF(Y113&lt;&gt;"","até "&amp;IF(Y113&lt;0,IF(COUNTIF($E$5:$E$6004,"SUBSOLO*")&gt;0,"subsolo",-Y113&amp;"º subsolo"),IF(Y113=0,"térreo",Y113&amp;"º pav.")),W113&amp;" de "&amp;V113&amp;" concluídas")&amp;IF(Z113="","",IF(OR(Y113="",Z113&gt;Y113),", executando "&amp;IF(Z113&lt;0,IF(COUNTIF($E$5:$E$6004,"SUBSOLO*")&gt;0,"subsolo",-Z113&amp;"º subsolo"),IF(Z113=0,"térreo",Z113&amp;"º pav."))," (restam serviços no "&amp;IF(Z113&lt;0,IF(COUNTIF($E$5:$E$6004,"SUBSOLO*")&gt;0,"subsolo",-Z113&amp;"º subsolo"),IF(Z113=0,"térreo",Z113&amp;"º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26" t="n">
        <v>45887</v>
      </c>
      <c r="G114" s="126" t="n">
        <v>45887</v>
      </c>
      <c r="H114" s="126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IF(E114="","",IF(ISNUMBER(SEARCH("SUBSOLO",E114)),IFERROR(-VALUE(LEFT(E114,FIND("º",SUBSTITUTE(E114,"°","º"))-1)),-1),IF(LEFT(E114,6)="TÉRREO",0,IFERROR(VALUE(LEFT(E114,FIND("º",SUBSTITUTE(E114,"°","º"))-1)),""))))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IF(R114="","",COUNTIF($C$5:$C$6004,R114))</f>
        <v/>
      </c>
      <c r="W114" s="2">
        <f>IF(R114="","",COUNTIFS($C$5:$C$6004,R114,$O$5:$O$6004,"CONCLUÍDA"))</f>
        <v/>
      </c>
      <c r="X114" s="2">
        <f>IF(R114="","",COUNTIFS($C$5:$C$6004,R114,$O$5:$O$6004,"EM ANDAMENTO"))</f>
        <v/>
      </c>
      <c r="Y114" s="2">
        <f>IF(R114="","",IF(COUNTIFS($C$5:$C$6004,R114,$O$5:$O$6004,"CONCLUÍDA",$N$5:$N$6004,"&gt;=-99")=0,"",_xlfn.MAXIFS($N$5:$N$6004,$C$5:$C$6004,R114,$O$5:$O$6004,"CONCLUÍDA")))</f>
        <v/>
      </c>
      <c r="Z114" s="2">
        <f>IF(R114="","",IF(COUNTIFS($C$5:$C$6004,R114,$O$5:$O$6004,"EM ANDAMENTO",$N$5:$N$6004,"&gt;=-99")=0,"",_xlfn.MAXIFS($N$5:$N$6004,$C$5:$C$6004,R114,$O$5:$O$6004,"EM ANDAMENTO")))</f>
        <v/>
      </c>
      <c r="AA114" s="2">
        <f>IF(OR(R114="",S114="",U114&lt;&gt;"SIM",V114=0),"",IF(W114+X114=0,"",T114&amp;": "&amp;IF(W114=V114,"concluído",IF(W114=0,"em execução"&amp;IF(Z114&lt;&gt;""," ("&amp;IF(Z114&lt;0,IF(COUNTIF($E$5:$E$6004,"SUBSOLO*")&gt;0,"subsolo",-Z114&amp;"º subsolo"),IF(Z114=0,"térreo",Z114&amp;"º pav."))&amp;")",""),IF(Y114&lt;&gt;"","até "&amp;IF(Y114&lt;0,IF(COUNTIF($E$5:$E$6004,"SUBSOLO*")&gt;0,"subsolo",-Y114&amp;"º subsolo"),IF(Y114=0,"térreo",Y114&amp;"º pav.")),W114&amp;" de "&amp;V114&amp;" concluídas")&amp;IF(Z114="","",IF(OR(Y114="",Z114&gt;Y114),", executando "&amp;IF(Z114&lt;0,IF(COUNTIF($E$5:$E$6004,"SUBSOLO*")&gt;0,"subsolo",-Z114&amp;"º subsolo"),IF(Z114=0,"térreo",Z114&amp;"º pav."))," (restam serviços no "&amp;IF(Z114&lt;0,IF(COUNTIF($E$5:$E$6004,"SUBSOLO*")&gt;0,"subsolo",-Z114&amp;"º subsolo"),IF(Z114=0,"térreo",Z114&amp;"º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26" t="n">
        <v>45888</v>
      </c>
      <c r="G115" s="126" t="n">
        <v>45890</v>
      </c>
      <c r="H115" s="126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IF(E115="","",IF(ISNUMBER(SEARCH("SUBSOLO",E115)),IFERROR(-VALUE(LEFT(E115,FIND("º",SUBSTITUTE(E115,"°","º"))-1)),-1),IF(LEFT(E115,6)="TÉRREO",0,IFERROR(VALUE(LEFT(E115,FIND("º",SUBSTITUTE(E115,"°","º"))-1)),""))))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IF(R115="","",COUNTIF($C$5:$C$6004,R115))</f>
        <v/>
      </c>
      <c r="W115" s="2">
        <f>IF(R115="","",COUNTIFS($C$5:$C$6004,R115,$O$5:$O$6004,"CONCLUÍDA"))</f>
        <v/>
      </c>
      <c r="X115" s="2">
        <f>IF(R115="","",COUNTIFS($C$5:$C$6004,R115,$O$5:$O$6004,"EM ANDAMENTO"))</f>
        <v/>
      </c>
      <c r="Y115" s="2">
        <f>IF(R115="","",IF(COUNTIFS($C$5:$C$6004,R115,$O$5:$O$6004,"CONCLUÍDA",$N$5:$N$6004,"&gt;=-99")=0,"",_xlfn.MAXIFS($N$5:$N$6004,$C$5:$C$6004,R115,$O$5:$O$6004,"CONCLUÍDA")))</f>
        <v/>
      </c>
      <c r="Z115" s="2">
        <f>IF(R115="","",IF(COUNTIFS($C$5:$C$6004,R115,$O$5:$O$6004,"EM ANDAMENTO",$N$5:$N$6004,"&gt;=-99")=0,"",_xlfn.MAXIFS($N$5:$N$6004,$C$5:$C$6004,R115,$O$5:$O$6004,"EM ANDAMENTO")))</f>
        <v/>
      </c>
      <c r="AA115" s="2">
        <f>IF(OR(R115="",S115="",U115&lt;&gt;"SIM",V115=0),"",IF(W115+X115=0,"",T115&amp;": "&amp;IF(W115=V115,"concluído",IF(W115=0,"em execução"&amp;IF(Z115&lt;&gt;""," ("&amp;IF(Z115&lt;0,IF(COUNTIF($E$5:$E$6004,"SUBSOLO*")&gt;0,"subsolo",-Z115&amp;"º subsolo"),IF(Z115=0,"térreo",Z115&amp;"º pav."))&amp;")",""),IF(Y115&lt;&gt;"","até "&amp;IF(Y115&lt;0,IF(COUNTIF($E$5:$E$6004,"SUBSOLO*")&gt;0,"subsolo",-Y115&amp;"º subsolo"),IF(Y115=0,"térreo",Y115&amp;"º pav.")),W115&amp;" de "&amp;V115&amp;" concluídas")&amp;IF(Z115="","",IF(OR(Y115="",Z115&gt;Y115),", executando "&amp;IF(Z115&lt;0,IF(COUNTIF($E$5:$E$6004,"SUBSOLO*")&gt;0,"subsolo",-Z115&amp;"º subsolo"),IF(Z115=0,"térreo",Z115&amp;"º pav."))," (restam serviços no "&amp;IF(Z115&lt;0,IF(COUNTIF($E$5:$E$6004,"SUBSOLO*")&gt;0,"subsolo",-Z115&amp;"º subsolo"),IF(Z115=0,"térreo",Z115&amp;"º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26" t="n">
        <v>45891</v>
      </c>
      <c r="G116" s="126" t="n">
        <v>45895</v>
      </c>
      <c r="H116" s="126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IF(E116="","",IF(ISNUMBER(SEARCH("SUBSOLO",E116)),IFERROR(-VALUE(LEFT(E116,FIND("º",SUBSTITUTE(E116,"°","º"))-1)),-1),IF(LEFT(E116,6)="TÉRREO",0,IFERROR(VALUE(LEFT(E116,FIND("º",SUBSTITUTE(E116,"°","º"))-1)),""))))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IF(R116="","",COUNTIF($C$5:$C$6004,R116))</f>
        <v/>
      </c>
      <c r="W116" s="2">
        <f>IF(R116="","",COUNTIFS($C$5:$C$6004,R116,$O$5:$O$6004,"CONCLUÍDA"))</f>
        <v/>
      </c>
      <c r="X116" s="2">
        <f>IF(R116="","",COUNTIFS($C$5:$C$6004,R116,$O$5:$O$6004,"EM ANDAMENTO"))</f>
        <v/>
      </c>
      <c r="Y116" s="2">
        <f>IF(R116="","",IF(COUNTIFS($C$5:$C$6004,R116,$O$5:$O$6004,"CONCLUÍDA",$N$5:$N$6004,"&gt;=-99")=0,"",_xlfn.MAXIFS($N$5:$N$6004,$C$5:$C$6004,R116,$O$5:$O$6004,"CONCLUÍDA")))</f>
        <v/>
      </c>
      <c r="Z116" s="2">
        <f>IF(R116="","",IF(COUNTIFS($C$5:$C$6004,R116,$O$5:$O$6004,"EM ANDAMENTO",$N$5:$N$6004,"&gt;=-99")=0,"",_xlfn.MAXIFS($N$5:$N$6004,$C$5:$C$6004,R116,$O$5:$O$6004,"EM ANDAMENTO")))</f>
        <v/>
      </c>
      <c r="AA116" s="2">
        <f>IF(OR(R116="",S116="",U116&lt;&gt;"SIM",V116=0),"",IF(W116+X116=0,"",T116&amp;": "&amp;IF(W116=V116,"concluído",IF(W116=0,"em execução"&amp;IF(Z116&lt;&gt;""," ("&amp;IF(Z116&lt;0,IF(COUNTIF($E$5:$E$6004,"SUBSOLO*")&gt;0,"subsolo",-Z116&amp;"º subsolo"),IF(Z116=0,"térreo",Z116&amp;"º pav."))&amp;")",""),IF(Y116&lt;&gt;"","até "&amp;IF(Y116&lt;0,IF(COUNTIF($E$5:$E$6004,"SUBSOLO*")&gt;0,"subsolo",-Y116&amp;"º subsolo"),IF(Y116=0,"térreo",Y116&amp;"º pav.")),W116&amp;" de "&amp;V116&amp;" concluídas")&amp;IF(Z116="","",IF(OR(Y116="",Z116&gt;Y116),", executando "&amp;IF(Z116&lt;0,IF(COUNTIF($E$5:$E$6004,"SUBSOLO*")&gt;0,"subsolo",-Z116&amp;"º subsolo"),IF(Z116=0,"térreo",Z116&amp;"º pav."))," (restam serviços no "&amp;IF(Z116&lt;0,IF(COUNTIF($E$5:$E$6004,"SUBSOLO*")&gt;0,"subsolo",-Z116&amp;"º subsolo"),IF(Z116=0,"térreo",Z116&amp;"º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26" t="n">
        <v>45896</v>
      </c>
      <c r="G117" s="126" t="n">
        <v>45896</v>
      </c>
      <c r="H117" s="126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IF(E117="","",IF(ISNUMBER(SEARCH("SUBSOLO",E117)),IFERROR(-VALUE(LEFT(E117,FIND("º",SUBSTITUTE(E117,"°","º"))-1)),-1),IF(LEFT(E117,6)="TÉRREO",0,IFERROR(VALUE(LEFT(E117,FIND("º",SUBSTITUTE(E117,"°","º"))-1)),""))))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IF(R117="","",COUNTIF($C$5:$C$6004,R117))</f>
        <v/>
      </c>
      <c r="W117" s="2">
        <f>IF(R117="","",COUNTIFS($C$5:$C$6004,R117,$O$5:$O$6004,"CONCLUÍDA"))</f>
        <v/>
      </c>
      <c r="X117" s="2">
        <f>IF(R117="","",COUNTIFS($C$5:$C$6004,R117,$O$5:$O$6004,"EM ANDAMENTO"))</f>
        <v/>
      </c>
      <c r="Y117" s="2">
        <f>IF(R117="","",IF(COUNTIFS($C$5:$C$6004,R117,$O$5:$O$6004,"CONCLUÍDA",$N$5:$N$6004,"&gt;=-99")=0,"",_xlfn.MAXIFS($N$5:$N$6004,$C$5:$C$6004,R117,$O$5:$O$6004,"CONCLUÍDA")))</f>
        <v/>
      </c>
      <c r="Z117" s="2">
        <f>IF(R117="","",IF(COUNTIFS($C$5:$C$6004,R117,$O$5:$O$6004,"EM ANDAMENTO",$N$5:$N$6004,"&gt;=-99")=0,"",_xlfn.MAXIFS($N$5:$N$6004,$C$5:$C$6004,R117,$O$5:$O$6004,"EM ANDAMENTO")))</f>
        <v/>
      </c>
      <c r="AA117" s="2">
        <f>IF(OR(R117="",S117="",U117&lt;&gt;"SIM",V117=0),"",IF(W117+X117=0,"",T117&amp;": "&amp;IF(W117=V117,"concluído",IF(W117=0,"em execução"&amp;IF(Z117&lt;&gt;""," ("&amp;IF(Z117&lt;0,IF(COUNTIF($E$5:$E$6004,"SUBSOLO*")&gt;0,"subsolo",-Z117&amp;"º subsolo"),IF(Z117=0,"térreo",Z117&amp;"º pav."))&amp;")",""),IF(Y117&lt;&gt;"","até "&amp;IF(Y117&lt;0,IF(COUNTIF($E$5:$E$6004,"SUBSOLO*")&gt;0,"subsolo",-Y117&amp;"º subsolo"),IF(Y117=0,"térreo",Y117&amp;"º pav.")),W117&amp;" de "&amp;V117&amp;" concluídas")&amp;IF(Z117="","",IF(OR(Y117="",Z117&gt;Y117),", executando "&amp;IF(Z117&lt;0,IF(COUNTIF($E$5:$E$6004,"SUBSOLO*")&gt;0,"subsolo",-Z117&amp;"º subsolo"),IF(Z117=0,"térreo",Z117&amp;"º pav."))," (restam serviços no "&amp;IF(Z117&lt;0,IF(COUNTIF($E$5:$E$6004,"SUBSOLO*")&gt;0,"subsolo",-Z117&amp;"º subsolo"),IF(Z117=0,"térreo",Z117&amp;"º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26" t="n">
        <v>45855</v>
      </c>
      <c r="G118" s="126" t="n">
        <v>45896</v>
      </c>
      <c r="H118" s="126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IF(E118="","",IF(ISNUMBER(SEARCH("SUBSOLO",E118)),IFERROR(-VALUE(LEFT(E118,FIND("º",SUBSTITUTE(E118,"°","º"))-1)),-1),IF(LEFT(E118,6)="TÉRREO",0,IFERROR(VALUE(LEFT(E118,FIND("º",SUBSTITUTE(E118,"°","º"))-1)),""))))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IF(R118="","",COUNTIF($C$5:$C$6004,R118))</f>
        <v/>
      </c>
      <c r="W118" s="2">
        <f>IF(R118="","",COUNTIFS($C$5:$C$6004,R118,$O$5:$O$6004,"CONCLUÍDA"))</f>
        <v/>
      </c>
      <c r="X118" s="2">
        <f>IF(R118="","",COUNTIFS($C$5:$C$6004,R118,$O$5:$O$6004,"EM ANDAMENTO"))</f>
        <v/>
      </c>
      <c r="Y118" s="2">
        <f>IF(R118="","",IF(COUNTIFS($C$5:$C$6004,R118,$O$5:$O$6004,"CONCLUÍDA",$N$5:$N$6004,"&gt;=-99")=0,"",_xlfn.MAXIFS($N$5:$N$6004,$C$5:$C$6004,R118,$O$5:$O$6004,"CONCLUÍDA")))</f>
        <v/>
      </c>
      <c r="Z118" s="2">
        <f>IF(R118="","",IF(COUNTIFS($C$5:$C$6004,R118,$O$5:$O$6004,"EM ANDAMENTO",$N$5:$N$6004,"&gt;=-99")=0,"",_xlfn.MAXIFS($N$5:$N$6004,$C$5:$C$6004,R118,$O$5:$O$6004,"EM ANDAMENTO")))</f>
        <v/>
      </c>
      <c r="AA118" s="2">
        <f>IF(OR(R118="",S118="",U118&lt;&gt;"SIM",V118=0),"",IF(W118+X118=0,"",T118&amp;": "&amp;IF(W118=V118,"concluído",IF(W118=0,"em execução"&amp;IF(Z118&lt;&gt;""," ("&amp;IF(Z118&lt;0,IF(COUNTIF($E$5:$E$6004,"SUBSOLO*")&gt;0,"subsolo",-Z118&amp;"º subsolo"),IF(Z118=0,"térreo",Z118&amp;"º pav."))&amp;")",""),IF(Y118&lt;&gt;"","até "&amp;IF(Y118&lt;0,IF(COUNTIF($E$5:$E$6004,"SUBSOLO*")&gt;0,"subsolo",-Y118&amp;"º subsolo"),IF(Y118=0,"térreo",Y118&amp;"º pav.")),W118&amp;" de "&amp;V118&amp;" concluídas")&amp;IF(Z118="","",IF(OR(Y118="",Z118&gt;Y118),", executando "&amp;IF(Z118&lt;0,IF(COUNTIF($E$5:$E$6004,"SUBSOLO*")&gt;0,"subsolo",-Z118&amp;"º subsolo"),IF(Z118=0,"térreo",Z118&amp;"º pav."))," (restam serviços no "&amp;IF(Z118&lt;0,IF(COUNTIF($E$5:$E$6004,"SUBSOLO*")&gt;0,"subsolo",-Z118&amp;"º subsolo"),IF(Z118=0,"térreo",Z118&amp;"º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26" t="n">
        <v>45860</v>
      </c>
      <c r="G119" s="126" t="n">
        <v>45863</v>
      </c>
      <c r="H119" s="126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IF(E119="","",IF(ISNUMBER(SEARCH("SUBSOLO",E119)),IFERROR(-VALUE(LEFT(E119,FIND("º",SUBSTITUTE(E119,"°","º"))-1)),-1),IF(LEFT(E119,6)="TÉRREO",0,IFERROR(VALUE(LEFT(E119,FIND("º",SUBSTITUTE(E119,"°","º"))-1)),""))))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IF(R119="","",COUNTIF($C$5:$C$6004,R119))</f>
        <v/>
      </c>
      <c r="W119" s="2">
        <f>IF(R119="","",COUNTIFS($C$5:$C$6004,R119,$O$5:$O$6004,"CONCLUÍDA"))</f>
        <v/>
      </c>
      <c r="X119" s="2">
        <f>IF(R119="","",COUNTIFS($C$5:$C$6004,R119,$O$5:$O$6004,"EM ANDAMENTO"))</f>
        <v/>
      </c>
      <c r="Y119" s="2">
        <f>IF(R119="","",IF(COUNTIFS($C$5:$C$6004,R119,$O$5:$O$6004,"CONCLUÍDA",$N$5:$N$6004,"&gt;=-99")=0,"",_xlfn.MAXIFS($N$5:$N$6004,$C$5:$C$6004,R119,$O$5:$O$6004,"CONCLUÍDA")))</f>
        <v/>
      </c>
      <c r="Z119" s="2">
        <f>IF(R119="","",IF(COUNTIFS($C$5:$C$6004,R119,$O$5:$O$6004,"EM ANDAMENTO",$N$5:$N$6004,"&gt;=-99")=0,"",_xlfn.MAXIFS($N$5:$N$6004,$C$5:$C$6004,R119,$O$5:$O$6004,"EM ANDAMENTO")))</f>
        <v/>
      </c>
      <c r="AA119" s="2">
        <f>IF(OR(R119="",S119="",U119&lt;&gt;"SIM",V119=0),"",IF(W119+X119=0,"",T119&amp;": "&amp;IF(W119=V119,"concluído",IF(W119=0,"em execução"&amp;IF(Z119&lt;&gt;""," ("&amp;IF(Z119&lt;0,IF(COUNTIF($E$5:$E$6004,"SUBSOLO*")&gt;0,"subsolo",-Z119&amp;"º subsolo"),IF(Z119=0,"térreo",Z119&amp;"º pav."))&amp;")",""),IF(Y119&lt;&gt;"","até "&amp;IF(Y119&lt;0,IF(COUNTIF($E$5:$E$6004,"SUBSOLO*")&gt;0,"subsolo",-Y119&amp;"º subsolo"),IF(Y119=0,"térreo",Y119&amp;"º pav.")),W119&amp;" de "&amp;V119&amp;" concluídas")&amp;IF(Z119="","",IF(OR(Y119="",Z119&gt;Y119),", executando "&amp;IF(Z119&lt;0,IF(COUNTIF($E$5:$E$6004,"SUBSOLO*")&gt;0,"subsolo",-Z119&amp;"º subsolo"),IF(Z119=0,"térreo",Z119&amp;"º pav."))," (restam serviços no "&amp;IF(Z119&lt;0,IF(COUNTIF($E$5:$E$6004,"SUBSOLO*")&gt;0,"subsolo",-Z119&amp;"º subsolo"),IF(Z119=0,"térreo",Z119&amp;"º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26" t="n">
        <v>45862</v>
      </c>
      <c r="G120" s="126" t="n">
        <v>45896</v>
      </c>
      <c r="H120" s="126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IF(E120="","",IF(ISNUMBER(SEARCH("SUBSOLO",E120)),IFERROR(-VALUE(LEFT(E120,FIND("º",SUBSTITUTE(E120,"°","º"))-1)),-1),IF(LEFT(E120,6)="TÉRREO",0,IFERROR(VALUE(LEFT(E120,FIND("º",SUBSTITUTE(E120,"°","º"))-1)),""))))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IF(R120="","",COUNTIF($C$5:$C$6004,R120))</f>
        <v/>
      </c>
      <c r="W120" s="2">
        <f>IF(R120="","",COUNTIFS($C$5:$C$6004,R120,$O$5:$O$6004,"CONCLUÍDA"))</f>
        <v/>
      </c>
      <c r="X120" s="2">
        <f>IF(R120="","",COUNTIFS($C$5:$C$6004,R120,$O$5:$O$6004,"EM ANDAMENTO"))</f>
        <v/>
      </c>
      <c r="Y120" s="2">
        <f>IF(R120="","",IF(COUNTIFS($C$5:$C$6004,R120,$O$5:$O$6004,"CONCLUÍDA",$N$5:$N$6004,"&gt;=-99")=0,"",_xlfn.MAXIFS($N$5:$N$6004,$C$5:$C$6004,R120,$O$5:$O$6004,"CONCLUÍDA")))</f>
        <v/>
      </c>
      <c r="Z120" s="2">
        <f>IF(R120="","",IF(COUNTIFS($C$5:$C$6004,R120,$O$5:$O$6004,"EM ANDAMENTO",$N$5:$N$6004,"&gt;=-99")=0,"",_xlfn.MAXIFS($N$5:$N$6004,$C$5:$C$6004,R120,$O$5:$O$6004,"EM ANDAMENTO")))</f>
        <v/>
      </c>
      <c r="AA120" s="2">
        <f>IF(OR(R120="",S120="",U120&lt;&gt;"SIM",V120=0),"",IF(W120+X120=0,"",T120&amp;": "&amp;IF(W120=V120,"concluído",IF(W120=0,"em execução"&amp;IF(Z120&lt;&gt;""," ("&amp;IF(Z120&lt;0,IF(COUNTIF($E$5:$E$6004,"SUBSOLO*")&gt;0,"subsolo",-Z120&amp;"º subsolo"),IF(Z120=0,"térreo",Z120&amp;"º pav."))&amp;")",""),IF(Y120&lt;&gt;"","até "&amp;IF(Y120&lt;0,IF(COUNTIF($E$5:$E$6004,"SUBSOLO*")&gt;0,"subsolo",-Y120&amp;"º subsolo"),IF(Y120=0,"térreo",Y120&amp;"º pav.")),W120&amp;" de "&amp;V120&amp;" concluídas")&amp;IF(Z120="","",IF(OR(Y120="",Z120&gt;Y120),", executando "&amp;IF(Z120&lt;0,IF(COUNTIF($E$5:$E$6004,"SUBSOLO*")&gt;0,"subsolo",-Z120&amp;"º subsolo"),IF(Z120=0,"térreo",Z120&amp;"º pav."))," (restam serviços no "&amp;IF(Z120&lt;0,IF(COUNTIF($E$5:$E$6004,"SUBSOLO*")&gt;0,"subsolo",-Z120&amp;"º subsolo"),IF(Z120=0,"térreo",Z120&amp;"º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26" t="n">
        <v>45862</v>
      </c>
      <c r="G121" s="126" t="n">
        <v>45862</v>
      </c>
      <c r="H121" s="126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IF(E121="","",IF(ISNUMBER(SEARCH("SUBSOLO",E121)),IFERROR(-VALUE(LEFT(E121,FIND("º",SUBSTITUTE(E121,"°","º"))-1)),-1),IF(LEFT(E121,6)="TÉRREO",0,IFERROR(VALUE(LEFT(E121,FIND("º",SUBSTITUTE(E121,"°","º"))-1)),""))))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IF(R121="","",COUNTIF($C$5:$C$6004,R121))</f>
        <v/>
      </c>
      <c r="W121" s="2">
        <f>IF(R121="","",COUNTIFS($C$5:$C$6004,R121,$O$5:$O$6004,"CONCLUÍDA"))</f>
        <v/>
      </c>
      <c r="X121" s="2">
        <f>IF(R121="","",COUNTIFS($C$5:$C$6004,R121,$O$5:$O$6004,"EM ANDAMENTO"))</f>
        <v/>
      </c>
      <c r="Y121" s="2">
        <f>IF(R121="","",IF(COUNTIFS($C$5:$C$6004,R121,$O$5:$O$6004,"CONCLUÍDA",$N$5:$N$6004,"&gt;=-99")=0,"",_xlfn.MAXIFS($N$5:$N$6004,$C$5:$C$6004,R121,$O$5:$O$6004,"CONCLUÍDA")))</f>
        <v/>
      </c>
      <c r="Z121" s="2">
        <f>IF(R121="","",IF(COUNTIFS($C$5:$C$6004,R121,$O$5:$O$6004,"EM ANDAMENTO",$N$5:$N$6004,"&gt;=-99")=0,"",_xlfn.MAXIFS($N$5:$N$6004,$C$5:$C$6004,R121,$O$5:$O$6004,"EM ANDAMENTO")))</f>
        <v/>
      </c>
      <c r="AA121" s="2">
        <f>IF(OR(R121="",S121="",U121&lt;&gt;"SIM",V121=0),"",IF(W121+X121=0,"",T121&amp;": "&amp;IF(W121=V121,"concluído",IF(W121=0,"em execução"&amp;IF(Z121&lt;&gt;""," ("&amp;IF(Z121&lt;0,IF(COUNTIF($E$5:$E$6004,"SUBSOLO*")&gt;0,"subsolo",-Z121&amp;"º subsolo"),IF(Z121=0,"térreo",Z121&amp;"º pav."))&amp;")",""),IF(Y121&lt;&gt;"","até "&amp;IF(Y121&lt;0,IF(COUNTIF($E$5:$E$6004,"SUBSOLO*")&gt;0,"subsolo",-Y121&amp;"º subsolo"),IF(Y121=0,"térreo",Y121&amp;"º pav.")),W121&amp;" de "&amp;V121&amp;" concluídas")&amp;IF(Z121="","",IF(OR(Y121="",Z121&gt;Y121),", executando "&amp;IF(Z121&lt;0,IF(COUNTIF($E$5:$E$6004,"SUBSOLO*")&gt;0,"subsolo",-Z121&amp;"º subsolo"),IF(Z121=0,"térreo",Z121&amp;"º pav."))," (restam serviços no "&amp;IF(Z121&lt;0,IF(COUNTIF($E$5:$E$6004,"SUBSOLO*")&gt;0,"subsolo",-Z121&amp;"º subsolo"),IF(Z121=0,"térreo",Z121&amp;"º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26" t="n">
        <v>45862</v>
      </c>
      <c r="G122" s="126" t="n">
        <v>45862</v>
      </c>
      <c r="H122" s="126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IF(E122="","",IF(ISNUMBER(SEARCH("SUBSOLO",E122)),IFERROR(-VALUE(LEFT(E122,FIND("º",SUBSTITUTE(E122,"°","º"))-1)),-1),IF(LEFT(E122,6)="TÉRREO",0,IFERROR(VALUE(LEFT(E122,FIND("º",SUBSTITUTE(E122,"°","º"))-1)),""))))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IF(R122="","",COUNTIF($C$5:$C$6004,R122))</f>
        <v/>
      </c>
      <c r="W122" s="2">
        <f>IF(R122="","",COUNTIFS($C$5:$C$6004,R122,$O$5:$O$6004,"CONCLUÍDA"))</f>
        <v/>
      </c>
      <c r="X122" s="2">
        <f>IF(R122="","",COUNTIFS($C$5:$C$6004,R122,$O$5:$O$6004,"EM ANDAMENTO"))</f>
        <v/>
      </c>
      <c r="Y122" s="2">
        <f>IF(R122="","",IF(COUNTIFS($C$5:$C$6004,R122,$O$5:$O$6004,"CONCLUÍDA",$N$5:$N$6004,"&gt;=-99")=0,"",_xlfn.MAXIFS($N$5:$N$6004,$C$5:$C$6004,R122,$O$5:$O$6004,"CONCLUÍDA")))</f>
        <v/>
      </c>
      <c r="Z122" s="2">
        <f>IF(R122="","",IF(COUNTIFS($C$5:$C$6004,R122,$O$5:$O$6004,"EM ANDAMENTO",$N$5:$N$6004,"&gt;=-99")=0,"",_xlfn.MAXIFS($N$5:$N$6004,$C$5:$C$6004,R122,$O$5:$O$6004,"EM ANDAMENTO")))</f>
        <v/>
      </c>
      <c r="AA122" s="2">
        <f>IF(OR(R122="",S122="",U122&lt;&gt;"SIM",V122=0),"",IF(W122+X122=0,"",T122&amp;": "&amp;IF(W122=V122,"concluído",IF(W122=0,"em execução"&amp;IF(Z122&lt;&gt;""," ("&amp;IF(Z122&lt;0,IF(COUNTIF($E$5:$E$6004,"SUBSOLO*")&gt;0,"subsolo",-Z122&amp;"º subsolo"),IF(Z122=0,"térreo",Z122&amp;"º pav."))&amp;")",""),IF(Y122&lt;&gt;"","até "&amp;IF(Y122&lt;0,IF(COUNTIF($E$5:$E$6004,"SUBSOLO*")&gt;0,"subsolo",-Y122&amp;"º subsolo"),IF(Y122=0,"térreo",Y122&amp;"º pav.")),W122&amp;" de "&amp;V122&amp;" concluídas")&amp;IF(Z122="","",IF(OR(Y122="",Z122&gt;Y122),", executando "&amp;IF(Z122&lt;0,IF(COUNTIF($E$5:$E$6004,"SUBSOLO*")&gt;0,"subsolo",-Z122&amp;"º subsolo"),IF(Z122=0,"térreo",Z122&amp;"º pav."))," (restam serviços no "&amp;IF(Z122&lt;0,IF(COUNTIF($E$5:$E$6004,"SUBSOLO*")&gt;0,"subsolo",-Z122&amp;"º subsolo"),IF(Z122=0,"térreo",Z122&amp;"º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26" t="n">
        <v>45863</v>
      </c>
      <c r="G123" s="126" t="n">
        <v>45863</v>
      </c>
      <c r="H123" s="126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IF(E123="","",IF(ISNUMBER(SEARCH("SUBSOLO",E123)),IFERROR(-VALUE(LEFT(E123,FIND("º",SUBSTITUTE(E123,"°","º"))-1)),-1),IF(LEFT(E123,6)="TÉRREO",0,IFERROR(VALUE(LEFT(E123,FIND("º",SUBSTITUTE(E123,"°","º"))-1)),""))))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IF(R123="","",COUNTIF($C$5:$C$6004,R123))</f>
        <v/>
      </c>
      <c r="W123" s="2">
        <f>IF(R123="","",COUNTIFS($C$5:$C$6004,R123,$O$5:$O$6004,"CONCLUÍDA"))</f>
        <v/>
      </c>
      <c r="X123" s="2">
        <f>IF(R123="","",COUNTIFS($C$5:$C$6004,R123,$O$5:$O$6004,"EM ANDAMENTO"))</f>
        <v/>
      </c>
      <c r="Y123" s="2">
        <f>IF(R123="","",IF(COUNTIFS($C$5:$C$6004,R123,$O$5:$O$6004,"CONCLUÍDA",$N$5:$N$6004,"&gt;=-99")=0,"",_xlfn.MAXIFS($N$5:$N$6004,$C$5:$C$6004,R123,$O$5:$O$6004,"CONCLUÍDA")))</f>
        <v/>
      </c>
      <c r="Z123" s="2">
        <f>IF(R123="","",IF(COUNTIFS($C$5:$C$6004,R123,$O$5:$O$6004,"EM ANDAMENTO",$N$5:$N$6004,"&gt;=-99")=0,"",_xlfn.MAXIFS($N$5:$N$6004,$C$5:$C$6004,R123,$O$5:$O$6004,"EM ANDAMENTO")))</f>
        <v/>
      </c>
      <c r="AA123" s="2">
        <f>IF(OR(R123="",S123="",U123&lt;&gt;"SIM",V123=0),"",IF(W123+X123=0,"",T123&amp;": "&amp;IF(W123=V123,"concluído",IF(W123=0,"em execução"&amp;IF(Z123&lt;&gt;""," ("&amp;IF(Z123&lt;0,IF(COUNTIF($E$5:$E$6004,"SUBSOLO*")&gt;0,"subsolo",-Z123&amp;"º subsolo"),IF(Z123=0,"térreo",Z123&amp;"º pav."))&amp;")",""),IF(Y123&lt;&gt;"","até "&amp;IF(Y123&lt;0,IF(COUNTIF($E$5:$E$6004,"SUBSOLO*")&gt;0,"subsolo",-Y123&amp;"º subsolo"),IF(Y123=0,"térreo",Y123&amp;"º pav.")),W123&amp;" de "&amp;V123&amp;" concluídas")&amp;IF(Z123="","",IF(OR(Y123="",Z123&gt;Y123),", executando "&amp;IF(Z123&lt;0,IF(COUNTIF($E$5:$E$6004,"SUBSOLO*")&gt;0,"subsolo",-Z123&amp;"º subsolo"),IF(Z123=0,"térreo",Z123&amp;"º pav."))," (restam serviços no "&amp;IF(Z123&lt;0,IF(COUNTIF($E$5:$E$6004,"SUBSOLO*")&gt;0,"subsolo",-Z123&amp;"º subsolo"),IF(Z123=0,"térreo",Z123&amp;"º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26" t="n">
        <v>45863</v>
      </c>
      <c r="G124" s="126" t="n">
        <v>45869</v>
      </c>
      <c r="H124" s="126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IF(E124="","",IF(ISNUMBER(SEARCH("SUBSOLO",E124)),IFERROR(-VALUE(LEFT(E124,FIND("º",SUBSTITUTE(E124,"°","º"))-1)),-1),IF(LEFT(E124,6)="TÉRREO",0,IFERROR(VALUE(LEFT(E124,FIND("º",SUBSTITUTE(E124,"°","º"))-1)),""))))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IF(R124="","",COUNTIF($C$5:$C$6004,R124))</f>
        <v/>
      </c>
      <c r="W124" s="2">
        <f>IF(R124="","",COUNTIFS($C$5:$C$6004,R124,$O$5:$O$6004,"CONCLUÍDA"))</f>
        <v/>
      </c>
      <c r="X124" s="2">
        <f>IF(R124="","",COUNTIFS($C$5:$C$6004,R124,$O$5:$O$6004,"EM ANDAMENTO"))</f>
        <v/>
      </c>
      <c r="Y124" s="2">
        <f>IF(R124="","",IF(COUNTIFS($C$5:$C$6004,R124,$O$5:$O$6004,"CONCLUÍDA",$N$5:$N$6004,"&gt;=-99")=0,"",_xlfn.MAXIFS($N$5:$N$6004,$C$5:$C$6004,R124,$O$5:$O$6004,"CONCLUÍDA")))</f>
        <v/>
      </c>
      <c r="Z124" s="2">
        <f>IF(R124="","",IF(COUNTIFS($C$5:$C$6004,R124,$O$5:$O$6004,"EM ANDAMENTO",$N$5:$N$6004,"&gt;=-99")=0,"",_xlfn.MAXIFS($N$5:$N$6004,$C$5:$C$6004,R124,$O$5:$O$6004,"EM ANDAMENTO")))</f>
        <v/>
      </c>
      <c r="AA124" s="2">
        <f>IF(OR(R124="",S124="",U124&lt;&gt;"SIM",V124=0),"",IF(W124+X124=0,"",T124&amp;": "&amp;IF(W124=V124,"concluído",IF(W124=0,"em execução"&amp;IF(Z124&lt;&gt;""," ("&amp;IF(Z124&lt;0,IF(COUNTIF($E$5:$E$6004,"SUBSOLO*")&gt;0,"subsolo",-Z124&amp;"º subsolo"),IF(Z124=0,"térreo",Z124&amp;"º pav."))&amp;")",""),IF(Y124&lt;&gt;"","até "&amp;IF(Y124&lt;0,IF(COUNTIF($E$5:$E$6004,"SUBSOLO*")&gt;0,"subsolo",-Y124&amp;"º subsolo"),IF(Y124=0,"térreo",Y124&amp;"º pav.")),W124&amp;" de "&amp;V124&amp;" concluídas")&amp;IF(Z124="","",IF(OR(Y124="",Z124&gt;Y124),", executando "&amp;IF(Z124&lt;0,IF(COUNTIF($E$5:$E$6004,"SUBSOLO*")&gt;0,"subsolo",-Z124&amp;"º subsolo"),IF(Z124=0,"térreo",Z124&amp;"º pav."))," (restam serviços no "&amp;IF(Z124&lt;0,IF(COUNTIF($E$5:$E$6004,"SUBSOLO*")&gt;0,"subsolo",-Z124&amp;"º subsolo"),IF(Z124=0,"térreo",Z124&amp;"º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26" t="n">
        <v>45870</v>
      </c>
      <c r="G125" s="126" t="n">
        <v>45870</v>
      </c>
      <c r="H125" s="126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IF(E125="","",IF(ISNUMBER(SEARCH("SUBSOLO",E125)),IFERROR(-VALUE(LEFT(E125,FIND("º",SUBSTITUTE(E125,"°","º"))-1)),-1),IF(LEFT(E125,6)="TÉRREO",0,IFERROR(VALUE(LEFT(E125,FIND("º",SUBSTITUTE(E125,"°","º"))-1)),""))))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IF(R125="","",COUNTIF($C$5:$C$6004,R125))</f>
        <v/>
      </c>
      <c r="W125" s="2">
        <f>IF(R125="","",COUNTIFS($C$5:$C$6004,R125,$O$5:$O$6004,"CONCLUÍDA"))</f>
        <v/>
      </c>
      <c r="X125" s="2">
        <f>IF(R125="","",COUNTIFS($C$5:$C$6004,R125,$O$5:$O$6004,"EM ANDAMENTO"))</f>
        <v/>
      </c>
      <c r="Y125" s="2">
        <f>IF(R125="","",IF(COUNTIFS($C$5:$C$6004,R125,$O$5:$O$6004,"CONCLUÍDA",$N$5:$N$6004,"&gt;=-99")=0,"",_xlfn.MAXIFS($N$5:$N$6004,$C$5:$C$6004,R125,$O$5:$O$6004,"CONCLUÍDA")))</f>
        <v/>
      </c>
      <c r="Z125" s="2">
        <f>IF(R125="","",IF(COUNTIFS($C$5:$C$6004,R125,$O$5:$O$6004,"EM ANDAMENTO",$N$5:$N$6004,"&gt;=-99")=0,"",_xlfn.MAXIFS($N$5:$N$6004,$C$5:$C$6004,R125,$O$5:$O$6004,"EM ANDAMENTO")))</f>
        <v/>
      </c>
      <c r="AA125" s="2">
        <f>IF(OR(R125="",S125="",U125&lt;&gt;"SIM",V125=0),"",IF(W125+X125=0,"",T125&amp;": "&amp;IF(W125=V125,"concluído",IF(W125=0,"em execução"&amp;IF(Z125&lt;&gt;""," ("&amp;IF(Z125&lt;0,IF(COUNTIF($E$5:$E$6004,"SUBSOLO*")&gt;0,"subsolo",-Z125&amp;"º subsolo"),IF(Z125=0,"térreo",Z125&amp;"º pav."))&amp;")",""),IF(Y125&lt;&gt;"","até "&amp;IF(Y125&lt;0,IF(COUNTIF($E$5:$E$6004,"SUBSOLO*")&gt;0,"subsolo",-Y125&amp;"º subsolo"),IF(Y125=0,"térreo",Y125&amp;"º pav.")),W125&amp;" de "&amp;V125&amp;" concluídas")&amp;IF(Z125="","",IF(OR(Y125="",Z125&gt;Y125),", executando "&amp;IF(Z125&lt;0,IF(COUNTIF($E$5:$E$6004,"SUBSOLO*")&gt;0,"subsolo",-Z125&amp;"º subsolo"),IF(Z125=0,"térreo",Z125&amp;"º pav."))," (restam serviços no "&amp;IF(Z125&lt;0,IF(COUNTIF($E$5:$E$6004,"SUBSOLO*")&gt;0,"subsolo",-Z125&amp;"º subsolo"),IF(Z125=0,"térreo",Z125&amp;"º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26" t="n">
        <v>45866</v>
      </c>
      <c r="G126" s="126" t="n">
        <v>45867</v>
      </c>
      <c r="H126" s="126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IF(E126="","",IF(ISNUMBER(SEARCH("SUBSOLO",E126)),IFERROR(-VALUE(LEFT(E126,FIND("º",SUBSTITUTE(E126,"°","º"))-1)),-1),IF(LEFT(E126,6)="TÉRREO",0,IFERROR(VALUE(LEFT(E126,FIND("º",SUBSTITUTE(E126,"°","º"))-1)),""))))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IF(R126="","",COUNTIF($C$5:$C$6004,R126))</f>
        <v/>
      </c>
      <c r="W126" s="2">
        <f>IF(R126="","",COUNTIFS($C$5:$C$6004,R126,$O$5:$O$6004,"CONCLUÍDA"))</f>
        <v/>
      </c>
      <c r="X126" s="2">
        <f>IF(R126="","",COUNTIFS($C$5:$C$6004,R126,$O$5:$O$6004,"EM ANDAMENTO"))</f>
        <v/>
      </c>
      <c r="Y126" s="2">
        <f>IF(R126="","",IF(COUNTIFS($C$5:$C$6004,R126,$O$5:$O$6004,"CONCLUÍDA",$N$5:$N$6004,"&gt;=-99")=0,"",_xlfn.MAXIFS($N$5:$N$6004,$C$5:$C$6004,R126,$O$5:$O$6004,"CONCLUÍDA")))</f>
        <v/>
      </c>
      <c r="Z126" s="2">
        <f>IF(R126="","",IF(COUNTIFS($C$5:$C$6004,R126,$O$5:$O$6004,"EM ANDAMENTO",$N$5:$N$6004,"&gt;=-99")=0,"",_xlfn.MAXIFS($N$5:$N$6004,$C$5:$C$6004,R126,$O$5:$O$6004,"EM ANDAMENTO")))</f>
        <v/>
      </c>
      <c r="AA126" s="2">
        <f>IF(OR(R126="",S126="",U126&lt;&gt;"SIM",V126=0),"",IF(W126+X126=0,"",T126&amp;": "&amp;IF(W126=V126,"concluído",IF(W126=0,"em execução"&amp;IF(Z126&lt;&gt;""," ("&amp;IF(Z126&lt;0,IF(COUNTIF($E$5:$E$6004,"SUBSOLO*")&gt;0,"subsolo",-Z126&amp;"º subsolo"),IF(Z126=0,"térreo",Z126&amp;"º pav."))&amp;")",""),IF(Y126&lt;&gt;"","até "&amp;IF(Y126&lt;0,IF(COUNTIF($E$5:$E$6004,"SUBSOLO*")&gt;0,"subsolo",-Y126&amp;"º subsolo"),IF(Y126=0,"térreo",Y126&amp;"º pav.")),W126&amp;" de "&amp;V126&amp;" concluídas")&amp;IF(Z126="","",IF(OR(Y126="",Z126&gt;Y126),", executando "&amp;IF(Z126&lt;0,IF(COUNTIF($E$5:$E$6004,"SUBSOLO*")&gt;0,"subsolo",-Z126&amp;"º subsolo"),IF(Z126=0,"térreo",Z126&amp;"º pav."))," (restam serviços no "&amp;IF(Z126&lt;0,IF(COUNTIF($E$5:$E$6004,"SUBSOLO*")&gt;0,"subsolo",-Z126&amp;"º subsolo"),IF(Z126=0,"térreo",Z126&amp;"º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26" t="n">
        <v>45868</v>
      </c>
      <c r="G127" s="126" t="n">
        <v>45869</v>
      </c>
      <c r="H127" s="126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IF(E127="","",IF(ISNUMBER(SEARCH("SUBSOLO",E127)),IFERROR(-VALUE(LEFT(E127,FIND("º",SUBSTITUTE(E127,"°","º"))-1)),-1),IF(LEFT(E127,6)="TÉRREO",0,IFERROR(VALUE(LEFT(E127,FIND("º",SUBSTITUTE(E127,"°","º"))-1)),""))))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IF(R127="","",COUNTIF($C$5:$C$6004,R127))</f>
        <v/>
      </c>
      <c r="W127" s="2">
        <f>IF(R127="","",COUNTIFS($C$5:$C$6004,R127,$O$5:$O$6004,"CONCLUÍDA"))</f>
        <v/>
      </c>
      <c r="X127" s="2">
        <f>IF(R127="","",COUNTIFS($C$5:$C$6004,R127,$O$5:$O$6004,"EM ANDAMENTO"))</f>
        <v/>
      </c>
      <c r="Y127" s="2">
        <f>IF(R127="","",IF(COUNTIFS($C$5:$C$6004,R127,$O$5:$O$6004,"CONCLUÍDA",$N$5:$N$6004,"&gt;=-99")=0,"",_xlfn.MAXIFS($N$5:$N$6004,$C$5:$C$6004,R127,$O$5:$O$6004,"CONCLUÍDA")))</f>
        <v/>
      </c>
      <c r="Z127" s="2">
        <f>IF(R127="","",IF(COUNTIFS($C$5:$C$6004,R127,$O$5:$O$6004,"EM ANDAMENTO",$N$5:$N$6004,"&gt;=-99")=0,"",_xlfn.MAXIFS($N$5:$N$6004,$C$5:$C$6004,R127,$O$5:$O$6004,"EM ANDAMENTO")))</f>
        <v/>
      </c>
      <c r="AA127" s="2">
        <f>IF(OR(R127="",S127="",U127&lt;&gt;"SIM",V127=0),"",IF(W127+X127=0,"",T127&amp;": "&amp;IF(W127=V127,"concluído",IF(W127=0,"em execução"&amp;IF(Z127&lt;&gt;""," ("&amp;IF(Z127&lt;0,IF(COUNTIF($E$5:$E$6004,"SUBSOLO*")&gt;0,"subsolo",-Z127&amp;"º subsolo"),IF(Z127=0,"térreo",Z127&amp;"º pav."))&amp;")",""),IF(Y127&lt;&gt;"","até "&amp;IF(Y127&lt;0,IF(COUNTIF($E$5:$E$6004,"SUBSOLO*")&gt;0,"subsolo",-Y127&amp;"º subsolo"),IF(Y127=0,"térreo",Y127&amp;"º pav.")),W127&amp;" de "&amp;V127&amp;" concluídas")&amp;IF(Z127="","",IF(OR(Y127="",Z127&gt;Y127),", executando "&amp;IF(Z127&lt;0,IF(COUNTIF($E$5:$E$6004,"SUBSOLO*")&gt;0,"subsolo",-Z127&amp;"º subsolo"),IF(Z127=0,"térreo",Z127&amp;"º pav."))," (restam serviços no "&amp;IF(Z127&lt;0,IF(COUNTIF($E$5:$E$6004,"SUBSOLO*")&gt;0,"subsolo",-Z127&amp;"º subsolo"),IF(Z127=0,"térreo",Z127&amp;"º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26" t="n">
        <v>45870</v>
      </c>
      <c r="G128" s="126" t="n">
        <v>45870</v>
      </c>
      <c r="H128" s="126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IF(E128="","",IF(ISNUMBER(SEARCH("SUBSOLO",E128)),IFERROR(-VALUE(LEFT(E128,FIND("º",SUBSTITUTE(E128,"°","º"))-1)),-1),IF(LEFT(E128,6)="TÉRREO",0,IFERROR(VALUE(LEFT(E128,FIND("º",SUBSTITUTE(E128,"°","º"))-1)),""))))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IF(R128="","",COUNTIF($C$5:$C$6004,R128))</f>
        <v/>
      </c>
      <c r="W128" s="2">
        <f>IF(R128="","",COUNTIFS($C$5:$C$6004,R128,$O$5:$O$6004,"CONCLUÍDA"))</f>
        <v/>
      </c>
      <c r="X128" s="2">
        <f>IF(R128="","",COUNTIFS($C$5:$C$6004,R128,$O$5:$O$6004,"EM ANDAMENTO"))</f>
        <v/>
      </c>
      <c r="Y128" s="2">
        <f>IF(R128="","",IF(COUNTIFS($C$5:$C$6004,R128,$O$5:$O$6004,"CONCLUÍDA",$N$5:$N$6004,"&gt;=-99")=0,"",_xlfn.MAXIFS($N$5:$N$6004,$C$5:$C$6004,R128,$O$5:$O$6004,"CONCLUÍDA")))</f>
        <v/>
      </c>
      <c r="Z128" s="2">
        <f>IF(R128="","",IF(COUNTIFS($C$5:$C$6004,R128,$O$5:$O$6004,"EM ANDAMENTO",$N$5:$N$6004,"&gt;=-99")=0,"",_xlfn.MAXIFS($N$5:$N$6004,$C$5:$C$6004,R128,$O$5:$O$6004,"EM ANDAMENTO")))</f>
        <v/>
      </c>
      <c r="AA128" s="2">
        <f>IF(OR(R128="",S128="",U128&lt;&gt;"SIM",V128=0),"",IF(W128+X128=0,"",T128&amp;": "&amp;IF(W128=V128,"concluído",IF(W128=0,"em execução"&amp;IF(Z128&lt;&gt;""," ("&amp;IF(Z128&lt;0,IF(COUNTIF($E$5:$E$6004,"SUBSOLO*")&gt;0,"subsolo",-Z128&amp;"º subsolo"),IF(Z128=0,"térreo",Z128&amp;"º pav."))&amp;")",""),IF(Y128&lt;&gt;"","até "&amp;IF(Y128&lt;0,IF(COUNTIF($E$5:$E$6004,"SUBSOLO*")&gt;0,"subsolo",-Y128&amp;"º subsolo"),IF(Y128=0,"térreo",Y128&amp;"º pav.")),W128&amp;" de "&amp;V128&amp;" concluídas")&amp;IF(Z128="","",IF(OR(Y128="",Z128&gt;Y128),", executando "&amp;IF(Z128&lt;0,IF(COUNTIF($E$5:$E$6004,"SUBSOLO*")&gt;0,"subsolo",-Z128&amp;"º subsolo"),IF(Z128=0,"térreo",Z128&amp;"º pav."))," (restam serviços no "&amp;IF(Z128&lt;0,IF(COUNTIF($E$5:$E$6004,"SUBSOLO*")&gt;0,"subsolo",-Z128&amp;"º subsolo"),IF(Z128=0,"térreo",Z128&amp;"º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26" t="n">
        <v>45870</v>
      </c>
      <c r="G129" s="126" t="n">
        <v>45877</v>
      </c>
      <c r="H129" s="126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IF(E129="","",IF(ISNUMBER(SEARCH("SUBSOLO",E129)),IFERROR(-VALUE(LEFT(E129,FIND("º",SUBSTITUTE(E129,"°","º"))-1)),-1),IF(LEFT(E129,6)="TÉRREO",0,IFERROR(VALUE(LEFT(E129,FIND("º",SUBSTITUTE(E129,"°","º"))-1)),""))))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IF(R129="","",COUNTIF($C$5:$C$6004,R129))</f>
        <v/>
      </c>
      <c r="W129" s="2">
        <f>IF(R129="","",COUNTIFS($C$5:$C$6004,R129,$O$5:$O$6004,"CONCLUÍDA"))</f>
        <v/>
      </c>
      <c r="X129" s="2">
        <f>IF(R129="","",COUNTIFS($C$5:$C$6004,R129,$O$5:$O$6004,"EM ANDAMENTO"))</f>
        <v/>
      </c>
      <c r="Y129" s="2">
        <f>IF(R129="","",IF(COUNTIFS($C$5:$C$6004,R129,$O$5:$O$6004,"CONCLUÍDA",$N$5:$N$6004,"&gt;=-99")=0,"",_xlfn.MAXIFS($N$5:$N$6004,$C$5:$C$6004,R129,$O$5:$O$6004,"CONCLUÍDA")))</f>
        <v/>
      </c>
      <c r="Z129" s="2">
        <f>IF(R129="","",IF(COUNTIFS($C$5:$C$6004,R129,$O$5:$O$6004,"EM ANDAMENTO",$N$5:$N$6004,"&gt;=-99")=0,"",_xlfn.MAXIFS($N$5:$N$6004,$C$5:$C$6004,R129,$O$5:$O$6004,"EM ANDAMENTO")))</f>
        <v/>
      </c>
      <c r="AA129" s="2">
        <f>IF(OR(R129="",S129="",U129&lt;&gt;"SIM",V129=0),"",IF(W129+X129=0,"",T129&amp;": "&amp;IF(W129=V129,"concluído",IF(W129=0,"em execução"&amp;IF(Z129&lt;&gt;""," ("&amp;IF(Z129&lt;0,IF(COUNTIF($E$5:$E$6004,"SUBSOLO*")&gt;0,"subsolo",-Z129&amp;"º subsolo"),IF(Z129=0,"térreo",Z129&amp;"º pav."))&amp;")",""),IF(Y129&lt;&gt;"","até "&amp;IF(Y129&lt;0,IF(COUNTIF($E$5:$E$6004,"SUBSOLO*")&gt;0,"subsolo",-Y129&amp;"º subsolo"),IF(Y129=0,"térreo",Y129&amp;"º pav.")),W129&amp;" de "&amp;V129&amp;" concluídas")&amp;IF(Z129="","",IF(OR(Y129="",Z129&gt;Y129),", executando "&amp;IF(Z129&lt;0,IF(COUNTIF($E$5:$E$6004,"SUBSOLO*")&gt;0,"subsolo",-Z129&amp;"º subsolo"),IF(Z129=0,"térreo",Z129&amp;"º pav."))," (restam serviços no "&amp;IF(Z129&lt;0,IF(COUNTIF($E$5:$E$6004,"SUBSOLO*")&gt;0,"subsolo",-Z129&amp;"º subsolo"),IF(Z129=0,"térreo",Z129&amp;"º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26" t="n">
        <v>45880</v>
      </c>
      <c r="G130" s="126" t="n">
        <v>45880</v>
      </c>
      <c r="H130" s="126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IF(E130="","",IF(ISNUMBER(SEARCH("SUBSOLO",E130)),IFERROR(-VALUE(LEFT(E130,FIND("º",SUBSTITUTE(E130,"°","º"))-1)),-1),IF(LEFT(E130,6)="TÉRREO",0,IFERROR(VALUE(LEFT(E130,FIND("º",SUBSTITUTE(E130,"°","º"))-1)),""))))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IF(R130="","",COUNTIF($C$5:$C$6004,R130))</f>
        <v/>
      </c>
      <c r="W130" s="2">
        <f>IF(R130="","",COUNTIFS($C$5:$C$6004,R130,$O$5:$O$6004,"CONCLUÍDA"))</f>
        <v/>
      </c>
      <c r="X130" s="2">
        <f>IF(R130="","",COUNTIFS($C$5:$C$6004,R130,$O$5:$O$6004,"EM ANDAMENTO"))</f>
        <v/>
      </c>
      <c r="Y130" s="2">
        <f>IF(R130="","",IF(COUNTIFS($C$5:$C$6004,R130,$O$5:$O$6004,"CONCLUÍDA",$N$5:$N$6004,"&gt;=-99")=0,"",_xlfn.MAXIFS($N$5:$N$6004,$C$5:$C$6004,R130,$O$5:$O$6004,"CONCLUÍDA")))</f>
        <v/>
      </c>
      <c r="Z130" s="2">
        <f>IF(R130="","",IF(COUNTIFS($C$5:$C$6004,R130,$O$5:$O$6004,"EM ANDAMENTO",$N$5:$N$6004,"&gt;=-99")=0,"",_xlfn.MAXIFS($N$5:$N$6004,$C$5:$C$6004,R130,$O$5:$O$6004,"EM ANDAMENTO")))</f>
        <v/>
      </c>
      <c r="AA130" s="2">
        <f>IF(OR(R130="",S130="",U130&lt;&gt;"SIM",V130=0),"",IF(W130+X130=0,"",T130&amp;": "&amp;IF(W130=V130,"concluído",IF(W130=0,"em execução"&amp;IF(Z130&lt;&gt;""," ("&amp;IF(Z130&lt;0,IF(COUNTIF($E$5:$E$6004,"SUBSOLO*")&gt;0,"subsolo",-Z130&amp;"º subsolo"),IF(Z130=0,"térreo",Z130&amp;"º pav."))&amp;")",""),IF(Y130&lt;&gt;"","até "&amp;IF(Y130&lt;0,IF(COUNTIF($E$5:$E$6004,"SUBSOLO*")&gt;0,"subsolo",-Y130&amp;"º subsolo"),IF(Y130=0,"térreo",Y130&amp;"º pav.")),W130&amp;" de "&amp;V130&amp;" concluídas")&amp;IF(Z130="","",IF(OR(Y130="",Z130&gt;Y130),", executando "&amp;IF(Z130&lt;0,IF(COUNTIF($E$5:$E$6004,"SUBSOLO*")&gt;0,"subsolo",-Z130&amp;"º subsolo"),IF(Z130=0,"térreo",Z130&amp;"º pav."))," (restam serviços no "&amp;IF(Z130&lt;0,IF(COUNTIF($E$5:$E$6004,"SUBSOLO*")&gt;0,"subsolo",-Z130&amp;"º subsolo"),IF(Z130=0,"térreo",Z130&amp;"º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26" t="n">
        <v>45870</v>
      </c>
      <c r="G131" s="126" t="n">
        <v>45873</v>
      </c>
      <c r="H131" s="126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IF(E131="","",IF(ISNUMBER(SEARCH("SUBSOLO",E131)),IFERROR(-VALUE(LEFT(E131,FIND("º",SUBSTITUTE(E131,"°","º"))-1)),-1),IF(LEFT(E131,6)="TÉRREO",0,IFERROR(VALUE(LEFT(E131,FIND("º",SUBSTITUTE(E131,"°","º"))-1)),""))))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IF(R131="","",COUNTIF($C$5:$C$6004,R131))</f>
        <v/>
      </c>
      <c r="W131" s="2">
        <f>IF(R131="","",COUNTIFS($C$5:$C$6004,R131,$O$5:$O$6004,"CONCLUÍDA"))</f>
        <v/>
      </c>
      <c r="X131" s="2">
        <f>IF(R131="","",COUNTIFS($C$5:$C$6004,R131,$O$5:$O$6004,"EM ANDAMENTO"))</f>
        <v/>
      </c>
      <c r="Y131" s="2">
        <f>IF(R131="","",IF(COUNTIFS($C$5:$C$6004,R131,$O$5:$O$6004,"CONCLUÍDA",$N$5:$N$6004,"&gt;=-99")=0,"",_xlfn.MAXIFS($N$5:$N$6004,$C$5:$C$6004,R131,$O$5:$O$6004,"CONCLUÍDA")))</f>
        <v/>
      </c>
      <c r="Z131" s="2">
        <f>IF(R131="","",IF(COUNTIFS($C$5:$C$6004,R131,$O$5:$O$6004,"EM ANDAMENTO",$N$5:$N$6004,"&gt;=-99")=0,"",_xlfn.MAXIFS($N$5:$N$6004,$C$5:$C$6004,R131,$O$5:$O$6004,"EM ANDAMENTO")))</f>
        <v/>
      </c>
      <c r="AA131" s="2">
        <f>IF(OR(R131="",S131="",U131&lt;&gt;"SIM",V131=0),"",IF(W131+X131=0,"",T131&amp;": "&amp;IF(W131=V131,"concluído",IF(W131=0,"em execução"&amp;IF(Z131&lt;&gt;""," ("&amp;IF(Z131&lt;0,IF(COUNTIF($E$5:$E$6004,"SUBSOLO*")&gt;0,"subsolo",-Z131&amp;"º subsolo"),IF(Z131=0,"térreo",Z131&amp;"º pav."))&amp;")",""),IF(Y131&lt;&gt;"","até "&amp;IF(Y131&lt;0,IF(COUNTIF($E$5:$E$6004,"SUBSOLO*")&gt;0,"subsolo",-Y131&amp;"º subsolo"),IF(Y131=0,"térreo",Y131&amp;"º pav.")),W131&amp;" de "&amp;V131&amp;" concluídas")&amp;IF(Z131="","",IF(OR(Y131="",Z131&gt;Y131),", executando "&amp;IF(Z131&lt;0,IF(COUNTIF($E$5:$E$6004,"SUBSOLO*")&gt;0,"subsolo",-Z131&amp;"º subsolo"),IF(Z131=0,"térreo",Z131&amp;"º pav."))," (restam serviços no "&amp;IF(Z131&lt;0,IF(COUNTIF($E$5:$E$6004,"SUBSOLO*")&gt;0,"subsolo",-Z131&amp;"º subsolo"),IF(Z131=0,"térreo",Z131&amp;"º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26" t="n">
        <v>45874</v>
      </c>
      <c r="G132" s="126" t="n">
        <v>45875</v>
      </c>
      <c r="H132" s="126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IF(E132="","",IF(ISNUMBER(SEARCH("SUBSOLO",E132)),IFERROR(-VALUE(LEFT(E132,FIND("º",SUBSTITUTE(E132,"°","º"))-1)),-1),IF(LEFT(E132,6)="TÉRREO",0,IFERROR(VALUE(LEFT(E132,FIND("º",SUBSTITUTE(E132,"°","º"))-1)),""))))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IF(R132="","",COUNTIF($C$5:$C$6004,R132))</f>
        <v/>
      </c>
      <c r="W132" s="2">
        <f>IF(R132="","",COUNTIFS($C$5:$C$6004,R132,$O$5:$O$6004,"CONCLUÍDA"))</f>
        <v/>
      </c>
      <c r="X132" s="2">
        <f>IF(R132="","",COUNTIFS($C$5:$C$6004,R132,$O$5:$O$6004,"EM ANDAMENTO"))</f>
        <v/>
      </c>
      <c r="Y132" s="2">
        <f>IF(R132="","",IF(COUNTIFS($C$5:$C$6004,R132,$O$5:$O$6004,"CONCLUÍDA",$N$5:$N$6004,"&gt;=-99")=0,"",_xlfn.MAXIFS($N$5:$N$6004,$C$5:$C$6004,R132,$O$5:$O$6004,"CONCLUÍDA")))</f>
        <v/>
      </c>
      <c r="Z132" s="2">
        <f>IF(R132="","",IF(COUNTIFS($C$5:$C$6004,R132,$O$5:$O$6004,"EM ANDAMENTO",$N$5:$N$6004,"&gt;=-99")=0,"",_xlfn.MAXIFS($N$5:$N$6004,$C$5:$C$6004,R132,$O$5:$O$6004,"EM ANDAMENTO")))</f>
        <v/>
      </c>
      <c r="AA132" s="2">
        <f>IF(OR(R132="",S132="",U132&lt;&gt;"SIM",V132=0),"",IF(W132+X132=0,"",T132&amp;": "&amp;IF(W132=V132,"concluído",IF(W132=0,"em execução"&amp;IF(Z132&lt;&gt;""," ("&amp;IF(Z132&lt;0,IF(COUNTIF($E$5:$E$6004,"SUBSOLO*")&gt;0,"subsolo",-Z132&amp;"º subsolo"),IF(Z132=0,"térreo",Z132&amp;"º pav."))&amp;")",""),IF(Y132&lt;&gt;"","até "&amp;IF(Y132&lt;0,IF(COUNTIF($E$5:$E$6004,"SUBSOLO*")&gt;0,"subsolo",-Y132&amp;"º subsolo"),IF(Y132=0,"térreo",Y132&amp;"º pav.")),W132&amp;" de "&amp;V132&amp;" concluídas")&amp;IF(Z132="","",IF(OR(Y132="",Z132&gt;Y132),", executando "&amp;IF(Z132&lt;0,IF(COUNTIF($E$5:$E$6004,"SUBSOLO*")&gt;0,"subsolo",-Z132&amp;"º subsolo"),IF(Z132=0,"térreo",Z132&amp;"º pav."))," (restam serviços no "&amp;IF(Z132&lt;0,IF(COUNTIF($E$5:$E$6004,"SUBSOLO*")&gt;0,"subsolo",-Z132&amp;"º subsolo"),IF(Z132=0,"térreo",Z132&amp;"º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26" t="n">
        <v>45876</v>
      </c>
      <c r="G133" s="126" t="n">
        <v>45877</v>
      </c>
      <c r="H133" s="126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IF(E133="","",IF(ISNUMBER(SEARCH("SUBSOLO",E133)),IFERROR(-VALUE(LEFT(E133,FIND("º",SUBSTITUTE(E133,"°","º"))-1)),-1),IF(LEFT(E133,6)="TÉRREO",0,IFERROR(VALUE(LEFT(E133,FIND("º",SUBSTITUTE(E133,"°","º"))-1)),""))))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IF(R133="","",COUNTIF($C$5:$C$6004,R133))</f>
        <v/>
      </c>
      <c r="W133" s="2">
        <f>IF(R133="","",COUNTIFS($C$5:$C$6004,R133,$O$5:$O$6004,"CONCLUÍDA"))</f>
        <v/>
      </c>
      <c r="X133" s="2">
        <f>IF(R133="","",COUNTIFS($C$5:$C$6004,R133,$O$5:$O$6004,"EM ANDAMENTO"))</f>
        <v/>
      </c>
      <c r="Y133" s="2">
        <f>IF(R133="","",IF(COUNTIFS($C$5:$C$6004,R133,$O$5:$O$6004,"CONCLUÍDA",$N$5:$N$6004,"&gt;=-99")=0,"",_xlfn.MAXIFS($N$5:$N$6004,$C$5:$C$6004,R133,$O$5:$O$6004,"CONCLUÍDA")))</f>
        <v/>
      </c>
      <c r="Z133" s="2">
        <f>IF(R133="","",IF(COUNTIFS($C$5:$C$6004,R133,$O$5:$O$6004,"EM ANDAMENTO",$N$5:$N$6004,"&gt;=-99")=0,"",_xlfn.MAXIFS($N$5:$N$6004,$C$5:$C$6004,R133,$O$5:$O$6004,"EM ANDAMENTO")))</f>
        <v/>
      </c>
      <c r="AA133" s="2">
        <f>IF(OR(R133="",S133="",U133&lt;&gt;"SIM",V133=0),"",IF(W133+X133=0,"",T133&amp;": "&amp;IF(W133=V133,"concluído",IF(W133=0,"em execução"&amp;IF(Z133&lt;&gt;""," ("&amp;IF(Z133&lt;0,IF(COUNTIF($E$5:$E$6004,"SUBSOLO*")&gt;0,"subsolo",-Z133&amp;"º subsolo"),IF(Z133=0,"térreo",Z133&amp;"º pav."))&amp;")",""),IF(Y133&lt;&gt;"","até "&amp;IF(Y133&lt;0,IF(COUNTIF($E$5:$E$6004,"SUBSOLO*")&gt;0,"subsolo",-Y133&amp;"º subsolo"),IF(Y133=0,"térreo",Y133&amp;"º pav.")),W133&amp;" de "&amp;V133&amp;" concluídas")&amp;IF(Z133="","",IF(OR(Y133="",Z133&gt;Y133),", executando "&amp;IF(Z133&lt;0,IF(COUNTIF($E$5:$E$6004,"SUBSOLO*")&gt;0,"subsolo",-Z133&amp;"º subsolo"),IF(Z133=0,"térreo",Z133&amp;"º pav."))," (restam serviços no "&amp;IF(Z133&lt;0,IF(COUNTIF($E$5:$E$6004,"SUBSOLO*")&gt;0,"subsolo",-Z133&amp;"º subsolo"),IF(Z133=0,"térreo",Z133&amp;"º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26" t="n">
        <v>45880</v>
      </c>
      <c r="G134" s="126" t="n">
        <v>45880</v>
      </c>
      <c r="H134" s="126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IF(E134="","",IF(ISNUMBER(SEARCH("SUBSOLO",E134)),IFERROR(-VALUE(LEFT(E134,FIND("º",SUBSTITUTE(E134,"°","º"))-1)),-1),IF(LEFT(E134,6)="TÉRREO",0,IFERROR(VALUE(LEFT(E134,FIND("º",SUBSTITUTE(E134,"°","º"))-1)),""))))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IF(R134="","",COUNTIF($C$5:$C$6004,R134))</f>
        <v/>
      </c>
      <c r="W134" s="2">
        <f>IF(R134="","",COUNTIFS($C$5:$C$6004,R134,$O$5:$O$6004,"CONCLUÍDA"))</f>
        <v/>
      </c>
      <c r="X134" s="2">
        <f>IF(R134="","",COUNTIFS($C$5:$C$6004,R134,$O$5:$O$6004,"EM ANDAMENTO"))</f>
        <v/>
      </c>
      <c r="Y134" s="2">
        <f>IF(R134="","",IF(COUNTIFS($C$5:$C$6004,R134,$O$5:$O$6004,"CONCLUÍDA",$N$5:$N$6004,"&gt;=-99")=0,"",_xlfn.MAXIFS($N$5:$N$6004,$C$5:$C$6004,R134,$O$5:$O$6004,"CONCLUÍDA")))</f>
        <v/>
      </c>
      <c r="Z134" s="2">
        <f>IF(R134="","",IF(COUNTIFS($C$5:$C$6004,R134,$O$5:$O$6004,"EM ANDAMENTO",$N$5:$N$6004,"&gt;=-99")=0,"",_xlfn.MAXIFS($N$5:$N$6004,$C$5:$C$6004,R134,$O$5:$O$6004,"EM ANDAMENTO")))</f>
        <v/>
      </c>
      <c r="AA134" s="2">
        <f>IF(OR(R134="",S134="",U134&lt;&gt;"SIM",V134=0),"",IF(W134+X134=0,"",T134&amp;": "&amp;IF(W134=V134,"concluído",IF(W134=0,"em execução"&amp;IF(Z134&lt;&gt;""," ("&amp;IF(Z134&lt;0,IF(COUNTIF($E$5:$E$6004,"SUBSOLO*")&gt;0,"subsolo",-Z134&amp;"º subsolo"),IF(Z134=0,"térreo",Z134&amp;"º pav."))&amp;")",""),IF(Y134&lt;&gt;"","até "&amp;IF(Y134&lt;0,IF(COUNTIF($E$5:$E$6004,"SUBSOLO*")&gt;0,"subsolo",-Y134&amp;"º subsolo"),IF(Y134=0,"térreo",Y134&amp;"º pav.")),W134&amp;" de "&amp;V134&amp;" concluídas")&amp;IF(Z134="","",IF(OR(Y134="",Z134&gt;Y134),", executando "&amp;IF(Z134&lt;0,IF(COUNTIF($E$5:$E$6004,"SUBSOLO*")&gt;0,"subsolo",-Z134&amp;"º subsolo"),IF(Z134=0,"térreo",Z134&amp;"º pav."))," (restam serviços no "&amp;IF(Z134&lt;0,IF(COUNTIF($E$5:$E$6004,"SUBSOLO*")&gt;0,"subsolo",-Z134&amp;"º subsolo"),IF(Z134=0,"térreo",Z134&amp;"º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26" t="n">
        <v>45881</v>
      </c>
      <c r="G135" s="126" t="n">
        <v>45881</v>
      </c>
      <c r="H135" s="126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IF(E135="","",IF(ISNUMBER(SEARCH("SUBSOLO",E135)),IFERROR(-VALUE(LEFT(E135,FIND("º",SUBSTITUTE(E135,"°","º"))-1)),-1),IF(LEFT(E135,6)="TÉRREO",0,IFERROR(VALUE(LEFT(E135,FIND("º",SUBSTITUTE(E135,"°","º"))-1)),""))))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IF(R135="","",COUNTIF($C$5:$C$6004,R135))</f>
        <v/>
      </c>
      <c r="W135" s="2">
        <f>IF(R135="","",COUNTIFS($C$5:$C$6004,R135,$O$5:$O$6004,"CONCLUÍDA"))</f>
        <v/>
      </c>
      <c r="X135" s="2">
        <f>IF(R135="","",COUNTIFS($C$5:$C$6004,R135,$O$5:$O$6004,"EM ANDAMENTO"))</f>
        <v/>
      </c>
      <c r="Y135" s="2">
        <f>IF(R135="","",IF(COUNTIFS($C$5:$C$6004,R135,$O$5:$O$6004,"CONCLUÍDA",$N$5:$N$6004,"&gt;=-99")=0,"",_xlfn.MAXIFS($N$5:$N$6004,$C$5:$C$6004,R135,$O$5:$O$6004,"CONCLUÍDA")))</f>
        <v/>
      </c>
      <c r="Z135" s="2">
        <f>IF(R135="","",IF(COUNTIFS($C$5:$C$6004,R135,$O$5:$O$6004,"EM ANDAMENTO",$N$5:$N$6004,"&gt;=-99")=0,"",_xlfn.MAXIFS($N$5:$N$6004,$C$5:$C$6004,R135,$O$5:$O$6004,"EM ANDAMENTO")))</f>
        <v/>
      </c>
      <c r="AA135" s="2">
        <f>IF(OR(R135="",S135="",U135&lt;&gt;"SIM",V135=0),"",IF(W135+X135=0,"",T135&amp;": "&amp;IF(W135=V135,"concluído",IF(W135=0,"em execução"&amp;IF(Z135&lt;&gt;""," ("&amp;IF(Z135&lt;0,IF(COUNTIF($E$5:$E$6004,"SUBSOLO*")&gt;0,"subsolo",-Z135&amp;"º subsolo"),IF(Z135=0,"térreo",Z135&amp;"º pav."))&amp;")",""),IF(Y135&lt;&gt;"","até "&amp;IF(Y135&lt;0,IF(COUNTIF($E$5:$E$6004,"SUBSOLO*")&gt;0,"subsolo",-Y135&amp;"º subsolo"),IF(Y135=0,"térreo",Y135&amp;"º pav.")),W135&amp;" de "&amp;V135&amp;" concluídas")&amp;IF(Z135="","",IF(OR(Y135="",Z135&gt;Y135),", executando "&amp;IF(Z135&lt;0,IF(COUNTIF($E$5:$E$6004,"SUBSOLO*")&gt;0,"subsolo",-Z135&amp;"º subsolo"),IF(Z135=0,"térreo",Z135&amp;"º pav."))," (restam serviços no "&amp;IF(Z135&lt;0,IF(COUNTIF($E$5:$E$6004,"SUBSOLO*")&gt;0,"subsolo",-Z135&amp;"º subsolo"),IF(Z135=0,"térreo",Z135&amp;"º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26" t="n">
        <v>45882</v>
      </c>
      <c r="G136" s="126" t="n">
        <v>45882</v>
      </c>
      <c r="H136" s="126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IF(E136="","",IF(ISNUMBER(SEARCH("SUBSOLO",E136)),IFERROR(-VALUE(LEFT(E136,FIND("º",SUBSTITUTE(E136,"°","º"))-1)),-1),IF(LEFT(E136,6)="TÉRREO",0,IFERROR(VALUE(LEFT(E136,FIND("º",SUBSTITUTE(E136,"°","º"))-1)),""))))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IF(R136="","",COUNTIF($C$5:$C$6004,R136))</f>
        <v/>
      </c>
      <c r="W136" s="2">
        <f>IF(R136="","",COUNTIFS($C$5:$C$6004,R136,$O$5:$O$6004,"CONCLUÍDA"))</f>
        <v/>
      </c>
      <c r="X136" s="2">
        <f>IF(R136="","",COUNTIFS($C$5:$C$6004,R136,$O$5:$O$6004,"EM ANDAMENTO"))</f>
        <v/>
      </c>
      <c r="Y136" s="2">
        <f>IF(R136="","",IF(COUNTIFS($C$5:$C$6004,R136,$O$5:$O$6004,"CONCLUÍDA",$N$5:$N$6004,"&gt;=-99")=0,"",_xlfn.MAXIFS($N$5:$N$6004,$C$5:$C$6004,R136,$O$5:$O$6004,"CONCLUÍDA")))</f>
        <v/>
      </c>
      <c r="Z136" s="2">
        <f>IF(R136="","",IF(COUNTIFS($C$5:$C$6004,R136,$O$5:$O$6004,"EM ANDAMENTO",$N$5:$N$6004,"&gt;=-99")=0,"",_xlfn.MAXIFS($N$5:$N$6004,$C$5:$C$6004,R136,$O$5:$O$6004,"EM ANDAMENTO")))</f>
        <v/>
      </c>
      <c r="AA136" s="2">
        <f>IF(OR(R136="",S136="",U136&lt;&gt;"SIM",V136=0),"",IF(W136+X136=0,"",T136&amp;": "&amp;IF(W136=V136,"concluído",IF(W136=0,"em execução"&amp;IF(Z136&lt;&gt;""," ("&amp;IF(Z136&lt;0,IF(COUNTIF($E$5:$E$6004,"SUBSOLO*")&gt;0,"subsolo",-Z136&amp;"º subsolo"),IF(Z136=0,"térreo",Z136&amp;"º pav."))&amp;")",""),IF(Y136&lt;&gt;"","até "&amp;IF(Y136&lt;0,IF(COUNTIF($E$5:$E$6004,"SUBSOLO*")&gt;0,"subsolo",-Y136&amp;"º subsolo"),IF(Y136=0,"térreo",Y136&amp;"º pav.")),W136&amp;" de "&amp;V136&amp;" concluídas")&amp;IF(Z136="","",IF(OR(Y136="",Z136&gt;Y136),", executando "&amp;IF(Z136&lt;0,IF(COUNTIF($E$5:$E$6004,"SUBSOLO*")&gt;0,"subsolo",-Z136&amp;"º subsolo"),IF(Z136=0,"térreo",Z136&amp;"º pav."))," (restam serviços no "&amp;IF(Z136&lt;0,IF(COUNTIF($E$5:$E$6004,"SUBSOLO*")&gt;0,"subsolo",-Z136&amp;"º subsolo"),IF(Z136=0,"térreo",Z136&amp;"º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26" t="n">
        <v>45883</v>
      </c>
      <c r="G137" s="126" t="n">
        <v>45883</v>
      </c>
      <c r="H137" s="126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IF(E137="","",IF(ISNUMBER(SEARCH("SUBSOLO",E137)),IFERROR(-VALUE(LEFT(E137,FIND("º",SUBSTITUTE(E137,"°","º"))-1)),-1),IF(LEFT(E137,6)="TÉRREO",0,IFERROR(VALUE(LEFT(E137,FIND("º",SUBSTITUTE(E137,"°","º"))-1)),""))))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IF(R137="","",COUNTIF($C$5:$C$6004,R137))</f>
        <v/>
      </c>
      <c r="W137" s="2">
        <f>IF(R137="","",COUNTIFS($C$5:$C$6004,R137,$O$5:$O$6004,"CONCLUÍDA"))</f>
        <v/>
      </c>
      <c r="X137" s="2">
        <f>IF(R137="","",COUNTIFS($C$5:$C$6004,R137,$O$5:$O$6004,"EM ANDAMENTO"))</f>
        <v/>
      </c>
      <c r="Y137" s="2">
        <f>IF(R137="","",IF(COUNTIFS($C$5:$C$6004,R137,$O$5:$O$6004,"CONCLUÍDA",$N$5:$N$6004,"&gt;=-99")=0,"",_xlfn.MAXIFS($N$5:$N$6004,$C$5:$C$6004,R137,$O$5:$O$6004,"CONCLUÍDA")))</f>
        <v/>
      </c>
      <c r="Z137" s="2">
        <f>IF(R137="","",IF(COUNTIFS($C$5:$C$6004,R137,$O$5:$O$6004,"EM ANDAMENTO",$N$5:$N$6004,"&gt;=-99")=0,"",_xlfn.MAXIFS($N$5:$N$6004,$C$5:$C$6004,R137,$O$5:$O$6004,"EM ANDAMENTO")))</f>
        <v/>
      </c>
      <c r="AA137" s="2">
        <f>IF(OR(R137="",S137="",U137&lt;&gt;"SIM",V137=0),"",IF(W137+X137=0,"",T137&amp;": "&amp;IF(W137=V137,"concluído",IF(W137=0,"em execução"&amp;IF(Z137&lt;&gt;""," ("&amp;IF(Z137&lt;0,IF(COUNTIF($E$5:$E$6004,"SUBSOLO*")&gt;0,"subsolo",-Z137&amp;"º subsolo"),IF(Z137=0,"térreo",Z137&amp;"º pav."))&amp;")",""),IF(Y137&lt;&gt;"","até "&amp;IF(Y137&lt;0,IF(COUNTIF($E$5:$E$6004,"SUBSOLO*")&gt;0,"subsolo",-Y137&amp;"º subsolo"),IF(Y137=0,"térreo",Y137&amp;"º pav.")),W137&amp;" de "&amp;V137&amp;" concluídas")&amp;IF(Z137="","",IF(OR(Y137="",Z137&gt;Y137),", executando "&amp;IF(Z137&lt;0,IF(COUNTIF($E$5:$E$6004,"SUBSOLO*")&gt;0,"subsolo",-Z137&amp;"º subsolo"),IF(Z137=0,"térreo",Z137&amp;"º pav."))," (restam serviços no "&amp;IF(Z137&lt;0,IF(COUNTIF($E$5:$E$6004,"SUBSOLO*")&gt;0,"subsolo",-Z137&amp;"º subsolo"),IF(Z137=0,"térreo",Z137&amp;"º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26" t="n">
        <v>45884</v>
      </c>
      <c r="G138" s="126" t="n">
        <v>45884</v>
      </c>
      <c r="H138" s="126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IF(E138="","",IF(ISNUMBER(SEARCH("SUBSOLO",E138)),IFERROR(-VALUE(LEFT(E138,FIND("º",SUBSTITUTE(E138,"°","º"))-1)),-1),IF(LEFT(E138,6)="TÉRREO",0,IFERROR(VALUE(LEFT(E138,FIND("º",SUBSTITUTE(E138,"°","º"))-1)),""))))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IF(R138="","",COUNTIF($C$5:$C$6004,R138))</f>
        <v/>
      </c>
      <c r="W138" s="2">
        <f>IF(R138="","",COUNTIFS($C$5:$C$6004,R138,$O$5:$O$6004,"CONCLUÍDA"))</f>
        <v/>
      </c>
      <c r="X138" s="2">
        <f>IF(R138="","",COUNTIFS($C$5:$C$6004,R138,$O$5:$O$6004,"EM ANDAMENTO"))</f>
        <v/>
      </c>
      <c r="Y138" s="2">
        <f>IF(R138="","",IF(COUNTIFS($C$5:$C$6004,R138,$O$5:$O$6004,"CONCLUÍDA",$N$5:$N$6004,"&gt;=-99")=0,"",_xlfn.MAXIFS($N$5:$N$6004,$C$5:$C$6004,R138,$O$5:$O$6004,"CONCLUÍDA")))</f>
        <v/>
      </c>
      <c r="Z138" s="2">
        <f>IF(R138="","",IF(COUNTIFS($C$5:$C$6004,R138,$O$5:$O$6004,"EM ANDAMENTO",$N$5:$N$6004,"&gt;=-99")=0,"",_xlfn.MAXIFS($N$5:$N$6004,$C$5:$C$6004,R138,$O$5:$O$6004,"EM ANDAMENTO")))</f>
        <v/>
      </c>
      <c r="AA138" s="2">
        <f>IF(OR(R138="",S138="",U138&lt;&gt;"SIM",V138=0),"",IF(W138+X138=0,"",T138&amp;": "&amp;IF(W138=V138,"concluído",IF(W138=0,"em execução"&amp;IF(Z138&lt;&gt;""," ("&amp;IF(Z138&lt;0,IF(COUNTIF($E$5:$E$6004,"SUBSOLO*")&gt;0,"subsolo",-Z138&amp;"º subsolo"),IF(Z138=0,"térreo",Z138&amp;"º pav."))&amp;")",""),IF(Y138&lt;&gt;"","até "&amp;IF(Y138&lt;0,IF(COUNTIF($E$5:$E$6004,"SUBSOLO*")&gt;0,"subsolo",-Y138&amp;"º subsolo"),IF(Y138=0,"térreo",Y138&amp;"º pav.")),W138&amp;" de "&amp;V138&amp;" concluídas")&amp;IF(Z138="","",IF(OR(Y138="",Z138&gt;Y138),", executando "&amp;IF(Z138&lt;0,IF(COUNTIF($E$5:$E$6004,"SUBSOLO*")&gt;0,"subsolo",-Z138&amp;"º subsolo"),IF(Z138=0,"térreo",Z138&amp;"º pav."))," (restam serviços no "&amp;IF(Z138&lt;0,IF(COUNTIF($E$5:$E$6004,"SUBSOLO*")&gt;0,"subsolo",-Z138&amp;"º subsolo"),IF(Z138=0,"térreo",Z138&amp;"º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26" t="n">
        <v>45887</v>
      </c>
      <c r="G139" s="126" t="n">
        <v>45887</v>
      </c>
      <c r="H139" s="126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IF(E139="","",IF(ISNUMBER(SEARCH("SUBSOLO",E139)),IFERROR(-VALUE(LEFT(E139,FIND("º",SUBSTITUTE(E139,"°","º"))-1)),-1),IF(LEFT(E139,6)="TÉRREO",0,IFERROR(VALUE(LEFT(E139,FIND("º",SUBSTITUTE(E139,"°","º"))-1)),""))))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IF(R139="","",COUNTIF($C$5:$C$6004,R139))</f>
        <v/>
      </c>
      <c r="W139" s="2">
        <f>IF(R139="","",COUNTIFS($C$5:$C$6004,R139,$O$5:$O$6004,"CONCLUÍDA"))</f>
        <v/>
      </c>
      <c r="X139" s="2">
        <f>IF(R139="","",COUNTIFS($C$5:$C$6004,R139,$O$5:$O$6004,"EM ANDAMENTO"))</f>
        <v/>
      </c>
      <c r="Y139" s="2">
        <f>IF(R139="","",IF(COUNTIFS($C$5:$C$6004,R139,$O$5:$O$6004,"CONCLUÍDA",$N$5:$N$6004,"&gt;=-99")=0,"",_xlfn.MAXIFS($N$5:$N$6004,$C$5:$C$6004,R139,$O$5:$O$6004,"CONCLUÍDA")))</f>
        <v/>
      </c>
      <c r="Z139" s="2">
        <f>IF(R139="","",IF(COUNTIFS($C$5:$C$6004,R139,$O$5:$O$6004,"EM ANDAMENTO",$N$5:$N$6004,"&gt;=-99")=0,"",_xlfn.MAXIFS($N$5:$N$6004,$C$5:$C$6004,R139,$O$5:$O$6004,"EM ANDAMENTO")))</f>
        <v/>
      </c>
      <c r="AA139" s="2">
        <f>IF(OR(R139="",S139="",U139&lt;&gt;"SIM",V139=0),"",IF(W139+X139=0,"",T139&amp;": "&amp;IF(W139=V139,"concluído",IF(W139=0,"em execução"&amp;IF(Z139&lt;&gt;""," ("&amp;IF(Z139&lt;0,IF(COUNTIF($E$5:$E$6004,"SUBSOLO*")&gt;0,"subsolo",-Z139&amp;"º subsolo"),IF(Z139=0,"térreo",Z139&amp;"º pav."))&amp;")",""),IF(Y139&lt;&gt;"","até "&amp;IF(Y139&lt;0,IF(COUNTIF($E$5:$E$6004,"SUBSOLO*")&gt;0,"subsolo",-Y139&amp;"º subsolo"),IF(Y139=0,"térreo",Y139&amp;"º pav.")),W139&amp;" de "&amp;V139&amp;" concluídas")&amp;IF(Z139="","",IF(OR(Y139="",Z139&gt;Y139),", executando "&amp;IF(Z139&lt;0,IF(COUNTIF($E$5:$E$6004,"SUBSOLO*")&gt;0,"subsolo",-Z139&amp;"º subsolo"),IF(Z139=0,"térreo",Z139&amp;"º pav."))," (restam serviços no "&amp;IF(Z139&lt;0,IF(COUNTIF($E$5:$E$6004,"SUBSOLO*")&gt;0,"subsolo",-Z139&amp;"º subsolo"),IF(Z139=0,"térreo",Z139&amp;"º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26" t="n">
        <v>45888</v>
      </c>
      <c r="G140" s="126" t="n">
        <v>45888</v>
      </c>
      <c r="H140" s="126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IF(E140="","",IF(ISNUMBER(SEARCH("SUBSOLO",E140)),IFERROR(-VALUE(LEFT(E140,FIND("º",SUBSTITUTE(E140,"°","º"))-1)),-1),IF(LEFT(E140,6)="TÉRREO",0,IFERROR(VALUE(LEFT(E140,FIND("º",SUBSTITUTE(E140,"°","º"))-1)),""))))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IF(R140="","",COUNTIF($C$5:$C$6004,R140))</f>
        <v/>
      </c>
      <c r="W140" s="2">
        <f>IF(R140="","",COUNTIFS($C$5:$C$6004,R140,$O$5:$O$6004,"CONCLUÍDA"))</f>
        <v/>
      </c>
      <c r="X140" s="2">
        <f>IF(R140="","",COUNTIFS($C$5:$C$6004,R140,$O$5:$O$6004,"EM ANDAMENTO"))</f>
        <v/>
      </c>
      <c r="Y140" s="2">
        <f>IF(R140="","",IF(COUNTIFS($C$5:$C$6004,R140,$O$5:$O$6004,"CONCLUÍDA",$N$5:$N$6004,"&gt;=-99")=0,"",_xlfn.MAXIFS($N$5:$N$6004,$C$5:$C$6004,R140,$O$5:$O$6004,"CONCLUÍDA")))</f>
        <v/>
      </c>
      <c r="Z140" s="2">
        <f>IF(R140="","",IF(COUNTIFS($C$5:$C$6004,R140,$O$5:$O$6004,"EM ANDAMENTO",$N$5:$N$6004,"&gt;=-99")=0,"",_xlfn.MAXIFS($N$5:$N$6004,$C$5:$C$6004,R140,$O$5:$O$6004,"EM ANDAMENTO")))</f>
        <v/>
      </c>
      <c r="AA140" s="2">
        <f>IF(OR(R140="",S140="",U140&lt;&gt;"SIM",V140=0),"",IF(W140+X140=0,"",T140&amp;": "&amp;IF(W140=V140,"concluído",IF(W140=0,"em execução"&amp;IF(Z140&lt;&gt;""," ("&amp;IF(Z140&lt;0,IF(COUNTIF($E$5:$E$6004,"SUBSOLO*")&gt;0,"subsolo",-Z140&amp;"º subsolo"),IF(Z140=0,"térreo",Z140&amp;"º pav."))&amp;")",""),IF(Y140&lt;&gt;"","até "&amp;IF(Y140&lt;0,IF(COUNTIF($E$5:$E$6004,"SUBSOLO*")&gt;0,"subsolo",-Y140&amp;"º subsolo"),IF(Y140=0,"térreo",Y140&amp;"º pav.")),W140&amp;" de "&amp;V140&amp;" concluídas")&amp;IF(Z140="","",IF(OR(Y140="",Z140&gt;Y140),", executando "&amp;IF(Z140&lt;0,IF(COUNTIF($E$5:$E$6004,"SUBSOLO*")&gt;0,"subsolo",-Z140&amp;"º subsolo"),IF(Z140=0,"térreo",Z140&amp;"º pav."))," (restam serviços no "&amp;IF(Z140&lt;0,IF(COUNTIF($E$5:$E$6004,"SUBSOLO*")&gt;0,"subsolo",-Z140&amp;"º subsolo"),IF(Z140=0,"térreo",Z140&amp;"º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26" t="n">
        <v>45889</v>
      </c>
      <c r="G141" s="126" t="n">
        <v>45889</v>
      </c>
      <c r="H141" s="126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IF(E141="","",IF(ISNUMBER(SEARCH("SUBSOLO",E141)),IFERROR(-VALUE(LEFT(E141,FIND("º",SUBSTITUTE(E141,"°","º"))-1)),-1),IF(LEFT(E141,6)="TÉRREO",0,IFERROR(VALUE(LEFT(E141,FIND("º",SUBSTITUTE(E141,"°","º"))-1)),""))))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IF(R141="","",COUNTIF($C$5:$C$6004,R141))</f>
        <v/>
      </c>
      <c r="W141" s="2">
        <f>IF(R141="","",COUNTIFS($C$5:$C$6004,R141,$O$5:$O$6004,"CONCLUÍDA"))</f>
        <v/>
      </c>
      <c r="X141" s="2">
        <f>IF(R141="","",COUNTIFS($C$5:$C$6004,R141,$O$5:$O$6004,"EM ANDAMENTO"))</f>
        <v/>
      </c>
      <c r="Y141" s="2">
        <f>IF(R141="","",IF(COUNTIFS($C$5:$C$6004,R141,$O$5:$O$6004,"CONCLUÍDA",$N$5:$N$6004,"&gt;=-99")=0,"",_xlfn.MAXIFS($N$5:$N$6004,$C$5:$C$6004,R141,$O$5:$O$6004,"CONCLUÍDA")))</f>
        <v/>
      </c>
      <c r="Z141" s="2">
        <f>IF(R141="","",IF(COUNTIFS($C$5:$C$6004,R141,$O$5:$O$6004,"EM ANDAMENTO",$N$5:$N$6004,"&gt;=-99")=0,"",_xlfn.MAXIFS($N$5:$N$6004,$C$5:$C$6004,R141,$O$5:$O$6004,"EM ANDAMENTO")))</f>
        <v/>
      </c>
      <c r="AA141" s="2">
        <f>IF(OR(R141="",S141="",U141&lt;&gt;"SIM",V141=0),"",IF(W141+X141=0,"",T141&amp;": "&amp;IF(W141=V141,"concluído",IF(W141=0,"em execução"&amp;IF(Z141&lt;&gt;""," ("&amp;IF(Z141&lt;0,IF(COUNTIF($E$5:$E$6004,"SUBSOLO*")&gt;0,"subsolo",-Z141&amp;"º subsolo"),IF(Z141=0,"térreo",Z141&amp;"º pav."))&amp;")",""),IF(Y141&lt;&gt;"","até "&amp;IF(Y141&lt;0,IF(COUNTIF($E$5:$E$6004,"SUBSOLO*")&gt;0,"subsolo",-Y141&amp;"º subsolo"),IF(Y141=0,"térreo",Y141&amp;"º pav.")),W141&amp;" de "&amp;V141&amp;" concluídas")&amp;IF(Z141="","",IF(OR(Y141="",Z141&gt;Y141),", executando "&amp;IF(Z141&lt;0,IF(COUNTIF($E$5:$E$6004,"SUBSOLO*")&gt;0,"subsolo",-Z141&amp;"º subsolo"),IF(Z141=0,"térreo",Z141&amp;"º pav."))," (restam serviços no "&amp;IF(Z141&lt;0,IF(COUNTIF($E$5:$E$6004,"SUBSOLO*")&gt;0,"subsolo",-Z141&amp;"º subsolo"),IF(Z141=0,"térreo",Z141&amp;"º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26" t="n">
        <v>45877</v>
      </c>
      <c r="G142" s="126" t="n">
        <v>45877</v>
      </c>
      <c r="H142" s="126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IF(E142="","",IF(ISNUMBER(SEARCH("SUBSOLO",E142)),IFERROR(-VALUE(LEFT(E142,FIND("º",SUBSTITUTE(E142,"°","º"))-1)),-1),IF(LEFT(E142,6)="TÉRREO",0,IFERROR(VALUE(LEFT(E142,FIND("º",SUBSTITUTE(E142,"°","º"))-1)),""))))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IF(R142="","",COUNTIF($C$5:$C$6004,R142))</f>
        <v/>
      </c>
      <c r="W142" s="2">
        <f>IF(R142="","",COUNTIFS($C$5:$C$6004,R142,$O$5:$O$6004,"CONCLUÍDA"))</f>
        <v/>
      </c>
      <c r="X142" s="2">
        <f>IF(R142="","",COUNTIFS($C$5:$C$6004,R142,$O$5:$O$6004,"EM ANDAMENTO"))</f>
        <v/>
      </c>
      <c r="Y142" s="2">
        <f>IF(R142="","",IF(COUNTIFS($C$5:$C$6004,R142,$O$5:$O$6004,"CONCLUÍDA",$N$5:$N$6004,"&gt;=-99")=0,"",_xlfn.MAXIFS($N$5:$N$6004,$C$5:$C$6004,R142,$O$5:$O$6004,"CONCLUÍDA")))</f>
        <v/>
      </c>
      <c r="Z142" s="2">
        <f>IF(R142="","",IF(COUNTIFS($C$5:$C$6004,R142,$O$5:$O$6004,"EM ANDAMENTO",$N$5:$N$6004,"&gt;=-99")=0,"",_xlfn.MAXIFS($N$5:$N$6004,$C$5:$C$6004,R142,$O$5:$O$6004,"EM ANDAMENTO")))</f>
        <v/>
      </c>
      <c r="AA142" s="2">
        <f>IF(OR(R142="",S142="",U142&lt;&gt;"SIM",V142=0),"",IF(W142+X142=0,"",T142&amp;": "&amp;IF(W142=V142,"concluído",IF(W142=0,"em execução"&amp;IF(Z142&lt;&gt;""," ("&amp;IF(Z142&lt;0,IF(COUNTIF($E$5:$E$6004,"SUBSOLO*")&gt;0,"subsolo",-Z142&amp;"º subsolo"),IF(Z142=0,"térreo",Z142&amp;"º pav."))&amp;")",""),IF(Y142&lt;&gt;"","até "&amp;IF(Y142&lt;0,IF(COUNTIF($E$5:$E$6004,"SUBSOLO*")&gt;0,"subsolo",-Y142&amp;"º subsolo"),IF(Y142=0,"térreo",Y142&amp;"º pav.")),W142&amp;" de "&amp;V142&amp;" concluídas")&amp;IF(Z142="","",IF(OR(Y142="",Z142&gt;Y142),", executando "&amp;IF(Z142&lt;0,IF(COUNTIF($E$5:$E$6004,"SUBSOLO*")&gt;0,"subsolo",-Z142&amp;"º subsolo"),IF(Z142=0,"térreo",Z142&amp;"º pav."))," (restam serviços no "&amp;IF(Z142&lt;0,IF(COUNTIF($E$5:$E$6004,"SUBSOLO*")&gt;0,"subsolo",-Z142&amp;"º subsolo"),IF(Z142=0,"térreo",Z142&amp;"º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26" t="n">
        <v>45880</v>
      </c>
      <c r="G143" s="126" t="n">
        <v>45883</v>
      </c>
      <c r="H143" s="126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IF(E143="","",IF(ISNUMBER(SEARCH("SUBSOLO",E143)),IFERROR(-VALUE(LEFT(E143,FIND("º",SUBSTITUTE(E143,"°","º"))-1)),-1),IF(LEFT(E143,6)="TÉRREO",0,IFERROR(VALUE(LEFT(E143,FIND("º",SUBSTITUTE(E143,"°","º"))-1)),""))))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IF(R143="","",COUNTIF($C$5:$C$6004,R143))</f>
        <v/>
      </c>
      <c r="W143" s="2">
        <f>IF(R143="","",COUNTIFS($C$5:$C$6004,R143,$O$5:$O$6004,"CONCLUÍDA"))</f>
        <v/>
      </c>
      <c r="X143" s="2">
        <f>IF(R143="","",COUNTIFS($C$5:$C$6004,R143,$O$5:$O$6004,"EM ANDAMENTO"))</f>
        <v/>
      </c>
      <c r="Y143" s="2">
        <f>IF(R143="","",IF(COUNTIFS($C$5:$C$6004,R143,$O$5:$O$6004,"CONCLUÍDA",$N$5:$N$6004,"&gt;=-99")=0,"",_xlfn.MAXIFS($N$5:$N$6004,$C$5:$C$6004,R143,$O$5:$O$6004,"CONCLUÍDA")))</f>
        <v/>
      </c>
      <c r="Z143" s="2">
        <f>IF(R143="","",IF(COUNTIFS($C$5:$C$6004,R143,$O$5:$O$6004,"EM ANDAMENTO",$N$5:$N$6004,"&gt;=-99")=0,"",_xlfn.MAXIFS($N$5:$N$6004,$C$5:$C$6004,R143,$O$5:$O$6004,"EM ANDAMENTO")))</f>
        <v/>
      </c>
      <c r="AA143" s="2">
        <f>IF(OR(R143="",S143="",U143&lt;&gt;"SIM",V143=0),"",IF(W143+X143=0,"",T143&amp;": "&amp;IF(W143=V143,"concluído",IF(W143=0,"em execução"&amp;IF(Z143&lt;&gt;""," ("&amp;IF(Z143&lt;0,IF(COUNTIF($E$5:$E$6004,"SUBSOLO*")&gt;0,"subsolo",-Z143&amp;"º subsolo"),IF(Z143=0,"térreo",Z143&amp;"º pav."))&amp;")",""),IF(Y143&lt;&gt;"","até "&amp;IF(Y143&lt;0,IF(COUNTIF($E$5:$E$6004,"SUBSOLO*")&gt;0,"subsolo",-Y143&amp;"º subsolo"),IF(Y143=0,"térreo",Y143&amp;"º pav.")),W143&amp;" de "&amp;V143&amp;" concluídas")&amp;IF(Z143="","",IF(OR(Y143="",Z143&gt;Y143),", executando "&amp;IF(Z143&lt;0,IF(COUNTIF($E$5:$E$6004,"SUBSOLO*")&gt;0,"subsolo",-Z143&amp;"º subsolo"),IF(Z143=0,"térreo",Z143&amp;"º pav."))," (restam serviços no "&amp;IF(Z143&lt;0,IF(COUNTIF($E$5:$E$6004,"SUBSOLO*")&gt;0,"subsolo",-Z143&amp;"º subsolo"),IF(Z143=0,"térreo",Z143&amp;"º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26" t="n">
        <v>45884</v>
      </c>
      <c r="G144" s="126" t="n">
        <v>45887</v>
      </c>
      <c r="H144" s="126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IF(E144="","",IF(ISNUMBER(SEARCH("SUBSOLO",E144)),IFERROR(-VALUE(LEFT(E144,FIND("º",SUBSTITUTE(E144,"°","º"))-1)),-1),IF(LEFT(E144,6)="TÉRREO",0,IFERROR(VALUE(LEFT(E144,FIND("º",SUBSTITUTE(E144,"°","º"))-1)),""))))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IF(R144="","",COUNTIF($C$5:$C$6004,R144))</f>
        <v/>
      </c>
      <c r="W144" s="2">
        <f>IF(R144="","",COUNTIFS($C$5:$C$6004,R144,$O$5:$O$6004,"CONCLUÍDA"))</f>
        <v/>
      </c>
      <c r="X144" s="2">
        <f>IF(R144="","",COUNTIFS($C$5:$C$6004,R144,$O$5:$O$6004,"EM ANDAMENTO"))</f>
        <v/>
      </c>
      <c r="Y144" s="2">
        <f>IF(R144="","",IF(COUNTIFS($C$5:$C$6004,R144,$O$5:$O$6004,"CONCLUÍDA",$N$5:$N$6004,"&gt;=-99")=0,"",_xlfn.MAXIFS($N$5:$N$6004,$C$5:$C$6004,R144,$O$5:$O$6004,"CONCLUÍDA")))</f>
        <v/>
      </c>
      <c r="Z144" s="2">
        <f>IF(R144="","",IF(COUNTIFS($C$5:$C$6004,R144,$O$5:$O$6004,"EM ANDAMENTO",$N$5:$N$6004,"&gt;=-99")=0,"",_xlfn.MAXIFS($N$5:$N$6004,$C$5:$C$6004,R144,$O$5:$O$6004,"EM ANDAMENTO")))</f>
        <v/>
      </c>
      <c r="AA144" s="2">
        <f>IF(OR(R144="",S144="",U144&lt;&gt;"SIM",V144=0),"",IF(W144+X144=0,"",T144&amp;": "&amp;IF(W144=V144,"concluído",IF(W144=0,"em execução"&amp;IF(Z144&lt;&gt;""," ("&amp;IF(Z144&lt;0,IF(COUNTIF($E$5:$E$6004,"SUBSOLO*")&gt;0,"subsolo",-Z144&amp;"º subsolo"),IF(Z144=0,"térreo",Z144&amp;"º pav."))&amp;")",""),IF(Y144&lt;&gt;"","até "&amp;IF(Y144&lt;0,IF(COUNTIF($E$5:$E$6004,"SUBSOLO*")&gt;0,"subsolo",-Y144&amp;"º subsolo"),IF(Y144=0,"térreo",Y144&amp;"º pav.")),W144&amp;" de "&amp;V144&amp;" concluídas")&amp;IF(Z144="","",IF(OR(Y144="",Z144&gt;Y144),", executando "&amp;IF(Z144&lt;0,IF(COUNTIF($E$5:$E$6004,"SUBSOLO*")&gt;0,"subsolo",-Z144&amp;"º subsolo"),IF(Z144=0,"térreo",Z144&amp;"º pav."))," (restam serviços no "&amp;IF(Z144&lt;0,IF(COUNTIF($E$5:$E$6004,"SUBSOLO*")&gt;0,"subsolo",-Z144&amp;"º subsolo"),IF(Z144=0,"térreo",Z144&amp;"º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26" t="n">
        <v>45888</v>
      </c>
      <c r="G145" s="126" t="n">
        <v>45888</v>
      </c>
      <c r="H145" s="126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IF(E145="","",IF(ISNUMBER(SEARCH("SUBSOLO",E145)),IFERROR(-VALUE(LEFT(E145,FIND("º",SUBSTITUTE(E145,"°","º"))-1)),-1),IF(LEFT(E145,6)="TÉRREO",0,IFERROR(VALUE(LEFT(E145,FIND("º",SUBSTITUTE(E145,"°","º"))-1)),""))))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IF(R145="","",COUNTIF($C$5:$C$6004,R145))</f>
        <v/>
      </c>
      <c r="W145" s="2">
        <f>IF(R145="","",COUNTIFS($C$5:$C$6004,R145,$O$5:$O$6004,"CONCLUÍDA"))</f>
        <v/>
      </c>
      <c r="X145" s="2">
        <f>IF(R145="","",COUNTIFS($C$5:$C$6004,R145,$O$5:$O$6004,"EM ANDAMENTO"))</f>
        <v/>
      </c>
      <c r="Y145" s="2">
        <f>IF(R145="","",IF(COUNTIFS($C$5:$C$6004,R145,$O$5:$O$6004,"CONCLUÍDA",$N$5:$N$6004,"&gt;=-99")=0,"",_xlfn.MAXIFS($N$5:$N$6004,$C$5:$C$6004,R145,$O$5:$O$6004,"CONCLUÍDA")))</f>
        <v/>
      </c>
      <c r="Z145" s="2">
        <f>IF(R145="","",IF(COUNTIFS($C$5:$C$6004,R145,$O$5:$O$6004,"EM ANDAMENTO",$N$5:$N$6004,"&gt;=-99")=0,"",_xlfn.MAXIFS($N$5:$N$6004,$C$5:$C$6004,R145,$O$5:$O$6004,"EM ANDAMENTO")))</f>
        <v/>
      </c>
      <c r="AA145" s="2">
        <f>IF(OR(R145="",S145="",U145&lt;&gt;"SIM",V145=0),"",IF(W145+X145=0,"",T145&amp;": "&amp;IF(W145=V145,"concluído",IF(W145=0,"em execução"&amp;IF(Z145&lt;&gt;""," ("&amp;IF(Z145&lt;0,IF(COUNTIF($E$5:$E$6004,"SUBSOLO*")&gt;0,"subsolo",-Z145&amp;"º subsolo"),IF(Z145=0,"térreo",Z145&amp;"º pav."))&amp;")",""),IF(Y145&lt;&gt;"","até "&amp;IF(Y145&lt;0,IF(COUNTIF($E$5:$E$6004,"SUBSOLO*")&gt;0,"subsolo",-Y145&amp;"º subsolo"),IF(Y145=0,"térreo",Y145&amp;"º pav.")),W145&amp;" de "&amp;V145&amp;" concluídas")&amp;IF(Z145="","",IF(OR(Y145="",Z145&gt;Y145),", executando "&amp;IF(Z145&lt;0,IF(COUNTIF($E$5:$E$6004,"SUBSOLO*")&gt;0,"subsolo",-Z145&amp;"º subsolo"),IF(Z145=0,"térreo",Z145&amp;"º pav."))," (restam serviços no "&amp;IF(Z145&lt;0,IF(COUNTIF($E$5:$E$6004,"SUBSOLO*")&gt;0,"subsolo",-Z145&amp;"º subsolo"),IF(Z145=0,"térreo",Z145&amp;"º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26" t="n">
        <v>45889</v>
      </c>
      <c r="G146" s="126" t="n">
        <v>45895</v>
      </c>
      <c r="H146" s="126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IF(E146="","",IF(ISNUMBER(SEARCH("SUBSOLO",E146)),IFERROR(-VALUE(LEFT(E146,FIND("º",SUBSTITUTE(E146,"°","º"))-1)),-1),IF(LEFT(E146,6)="TÉRREO",0,IFERROR(VALUE(LEFT(E146,FIND("º",SUBSTITUTE(E146,"°","º"))-1)),""))))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IF(R146="","",COUNTIF($C$5:$C$6004,R146))</f>
        <v/>
      </c>
      <c r="W146" s="2">
        <f>IF(R146="","",COUNTIFS($C$5:$C$6004,R146,$O$5:$O$6004,"CONCLUÍDA"))</f>
        <v/>
      </c>
      <c r="X146" s="2">
        <f>IF(R146="","",COUNTIFS($C$5:$C$6004,R146,$O$5:$O$6004,"EM ANDAMENTO"))</f>
        <v/>
      </c>
      <c r="Y146" s="2">
        <f>IF(R146="","",IF(COUNTIFS($C$5:$C$6004,R146,$O$5:$O$6004,"CONCLUÍDA",$N$5:$N$6004,"&gt;=-99")=0,"",_xlfn.MAXIFS($N$5:$N$6004,$C$5:$C$6004,R146,$O$5:$O$6004,"CONCLUÍDA")))</f>
        <v/>
      </c>
      <c r="Z146" s="2">
        <f>IF(R146="","",IF(COUNTIFS($C$5:$C$6004,R146,$O$5:$O$6004,"EM ANDAMENTO",$N$5:$N$6004,"&gt;=-99")=0,"",_xlfn.MAXIFS($N$5:$N$6004,$C$5:$C$6004,R146,$O$5:$O$6004,"EM ANDAMENTO")))</f>
        <v/>
      </c>
      <c r="AA146" s="2">
        <f>IF(OR(R146="",S146="",U146&lt;&gt;"SIM",V146=0),"",IF(W146+X146=0,"",T146&amp;": "&amp;IF(W146=V146,"concluído",IF(W146=0,"em execução"&amp;IF(Z146&lt;&gt;""," ("&amp;IF(Z146&lt;0,IF(COUNTIF($E$5:$E$6004,"SUBSOLO*")&gt;0,"subsolo",-Z146&amp;"º subsolo"),IF(Z146=0,"térreo",Z146&amp;"º pav."))&amp;")",""),IF(Y146&lt;&gt;"","até "&amp;IF(Y146&lt;0,IF(COUNTIF($E$5:$E$6004,"SUBSOLO*")&gt;0,"subsolo",-Y146&amp;"º subsolo"),IF(Y146=0,"térreo",Y146&amp;"º pav.")),W146&amp;" de "&amp;V146&amp;" concluídas")&amp;IF(Z146="","",IF(OR(Y146="",Z146&gt;Y146),", executando "&amp;IF(Z146&lt;0,IF(COUNTIF($E$5:$E$6004,"SUBSOLO*")&gt;0,"subsolo",-Z146&amp;"º subsolo"),IF(Z146=0,"térreo",Z146&amp;"º pav."))," (restam serviços no "&amp;IF(Z146&lt;0,IF(COUNTIF($E$5:$E$6004,"SUBSOLO*")&gt;0,"subsolo",-Z146&amp;"º subsolo"),IF(Z146=0,"térreo",Z146&amp;"º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26" t="n">
        <v>45896</v>
      </c>
      <c r="G147" s="126" t="n">
        <v>45896</v>
      </c>
      <c r="H147" s="126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IF(E147="","",IF(ISNUMBER(SEARCH("SUBSOLO",E147)),IFERROR(-VALUE(LEFT(E147,FIND("º",SUBSTITUTE(E147,"°","º"))-1)),-1),IF(LEFT(E147,6)="TÉRREO",0,IFERROR(VALUE(LEFT(E147,FIND("º",SUBSTITUTE(E147,"°","º"))-1)),""))))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IF(R147="","",COUNTIF($C$5:$C$6004,R147))</f>
        <v/>
      </c>
      <c r="W147" s="2">
        <f>IF(R147="","",COUNTIFS($C$5:$C$6004,R147,$O$5:$O$6004,"CONCLUÍDA"))</f>
        <v/>
      </c>
      <c r="X147" s="2">
        <f>IF(R147="","",COUNTIFS($C$5:$C$6004,R147,$O$5:$O$6004,"EM ANDAMENTO"))</f>
        <v/>
      </c>
      <c r="Y147" s="2">
        <f>IF(R147="","",IF(COUNTIFS($C$5:$C$6004,R147,$O$5:$O$6004,"CONCLUÍDA",$N$5:$N$6004,"&gt;=-99")=0,"",_xlfn.MAXIFS($N$5:$N$6004,$C$5:$C$6004,R147,$O$5:$O$6004,"CONCLUÍDA")))</f>
        <v/>
      </c>
      <c r="Z147" s="2">
        <f>IF(R147="","",IF(COUNTIFS($C$5:$C$6004,R147,$O$5:$O$6004,"EM ANDAMENTO",$N$5:$N$6004,"&gt;=-99")=0,"",_xlfn.MAXIFS($N$5:$N$6004,$C$5:$C$6004,R147,$O$5:$O$6004,"EM ANDAMENTO")))</f>
        <v/>
      </c>
      <c r="AA147" s="2">
        <f>IF(OR(R147="",S147="",U147&lt;&gt;"SIM",V147=0),"",IF(W147+X147=0,"",T147&amp;": "&amp;IF(W147=V147,"concluído",IF(W147=0,"em execução"&amp;IF(Z147&lt;&gt;""," ("&amp;IF(Z147&lt;0,IF(COUNTIF($E$5:$E$6004,"SUBSOLO*")&gt;0,"subsolo",-Z147&amp;"º subsolo"),IF(Z147=0,"térreo",Z147&amp;"º pav."))&amp;")",""),IF(Y147&lt;&gt;"","até "&amp;IF(Y147&lt;0,IF(COUNTIF($E$5:$E$6004,"SUBSOLO*")&gt;0,"subsolo",-Y147&amp;"º subsolo"),IF(Y147=0,"térreo",Y147&amp;"º pav.")),W147&amp;" de "&amp;V147&amp;" concluídas")&amp;IF(Z147="","",IF(OR(Y147="",Z147&gt;Y147),", executando "&amp;IF(Z147&lt;0,IF(COUNTIF($E$5:$E$6004,"SUBSOLO*")&gt;0,"subsolo",-Z147&amp;"º subsolo"),IF(Z147=0,"térreo",Z147&amp;"º pav."))," (restam serviços no "&amp;IF(Z147&lt;0,IF(COUNTIF($E$5:$E$6004,"SUBSOLO*")&gt;0,"subsolo",-Z147&amp;"º subsolo"),IF(Z147=0,"térreo",Z147&amp;"º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26" t="n">
        <v>45870</v>
      </c>
      <c r="G148" s="126" t="n">
        <v>45933</v>
      </c>
      <c r="H148" s="126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IF(E148="","",IF(ISNUMBER(SEARCH("SUBSOLO",E148)),IFERROR(-VALUE(LEFT(E148,FIND("º",SUBSTITUTE(E148,"°","º"))-1)),-1),IF(LEFT(E148,6)="TÉRREO",0,IFERROR(VALUE(LEFT(E148,FIND("º",SUBSTITUTE(E148,"°","º"))-1)),""))))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IF(R148="","",COUNTIF($C$5:$C$6004,R148))</f>
        <v/>
      </c>
      <c r="W148" s="2">
        <f>IF(R148="","",COUNTIFS($C$5:$C$6004,R148,$O$5:$O$6004,"CONCLUÍDA"))</f>
        <v/>
      </c>
      <c r="X148" s="2">
        <f>IF(R148="","",COUNTIFS($C$5:$C$6004,R148,$O$5:$O$6004,"EM ANDAMENTO"))</f>
        <v/>
      </c>
      <c r="Y148" s="2">
        <f>IF(R148="","",IF(COUNTIFS($C$5:$C$6004,R148,$O$5:$O$6004,"CONCLUÍDA",$N$5:$N$6004,"&gt;=-99")=0,"",_xlfn.MAXIFS($N$5:$N$6004,$C$5:$C$6004,R148,$O$5:$O$6004,"CONCLUÍDA")))</f>
        <v/>
      </c>
      <c r="Z148" s="2">
        <f>IF(R148="","",IF(COUNTIFS($C$5:$C$6004,R148,$O$5:$O$6004,"EM ANDAMENTO",$N$5:$N$6004,"&gt;=-99")=0,"",_xlfn.MAXIFS($N$5:$N$6004,$C$5:$C$6004,R148,$O$5:$O$6004,"EM ANDAMENTO")))</f>
        <v/>
      </c>
      <c r="AA148" s="2">
        <f>IF(OR(R148="",S148="",U148&lt;&gt;"SIM",V148=0),"",IF(W148+X148=0,"",T148&amp;": "&amp;IF(W148=V148,"concluído",IF(W148=0,"em execução"&amp;IF(Z148&lt;&gt;""," ("&amp;IF(Z148&lt;0,IF(COUNTIF($E$5:$E$6004,"SUBSOLO*")&gt;0,"subsolo",-Z148&amp;"º subsolo"),IF(Z148=0,"térreo",Z148&amp;"º pav."))&amp;")",""),IF(Y148&lt;&gt;"","até "&amp;IF(Y148&lt;0,IF(COUNTIF($E$5:$E$6004,"SUBSOLO*")&gt;0,"subsolo",-Y148&amp;"º subsolo"),IF(Y148=0,"térreo",Y148&amp;"º pav.")),W148&amp;" de "&amp;V148&amp;" concluídas")&amp;IF(Z148="","",IF(OR(Y148="",Z148&gt;Y148),", executando "&amp;IF(Z148&lt;0,IF(COUNTIF($E$5:$E$6004,"SUBSOLO*")&gt;0,"subsolo",-Z148&amp;"º subsolo"),IF(Z148=0,"térreo",Z148&amp;"º pav."))," (restam serviços no "&amp;IF(Z148&lt;0,IF(COUNTIF($E$5:$E$6004,"SUBSOLO*")&gt;0,"subsolo",-Z148&amp;"º subsolo"),IF(Z148=0,"térreo",Z148&amp;"º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26" t="n">
        <v>45870</v>
      </c>
      <c r="G149" s="126" t="n">
        <v>45877</v>
      </c>
      <c r="H149" s="126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IF(E149="","",IF(ISNUMBER(SEARCH("SUBSOLO",E149)),IFERROR(-VALUE(LEFT(E149,FIND("º",SUBSTITUTE(E149,"°","º"))-1)),-1),IF(LEFT(E149,6)="TÉRREO",0,IFERROR(VALUE(LEFT(E149,FIND("º",SUBSTITUTE(E149,"°","º"))-1)),""))))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IF(R149="","",COUNTIF($C$5:$C$6004,R149))</f>
        <v/>
      </c>
      <c r="W149" s="2">
        <f>IF(R149="","",COUNTIFS($C$5:$C$6004,R149,$O$5:$O$6004,"CONCLUÍDA"))</f>
        <v/>
      </c>
      <c r="X149" s="2">
        <f>IF(R149="","",COUNTIFS($C$5:$C$6004,R149,$O$5:$O$6004,"EM ANDAMENTO"))</f>
        <v/>
      </c>
      <c r="Y149" s="2">
        <f>IF(R149="","",IF(COUNTIFS($C$5:$C$6004,R149,$O$5:$O$6004,"CONCLUÍDA",$N$5:$N$6004,"&gt;=-99")=0,"",_xlfn.MAXIFS($N$5:$N$6004,$C$5:$C$6004,R149,$O$5:$O$6004,"CONCLUÍDA")))</f>
        <v/>
      </c>
      <c r="Z149" s="2">
        <f>IF(R149="","",IF(COUNTIFS($C$5:$C$6004,R149,$O$5:$O$6004,"EM ANDAMENTO",$N$5:$N$6004,"&gt;=-99")=0,"",_xlfn.MAXIFS($N$5:$N$6004,$C$5:$C$6004,R149,$O$5:$O$6004,"EM ANDAMENTO")))</f>
        <v/>
      </c>
      <c r="AA149" s="2">
        <f>IF(OR(R149="",S149="",U149&lt;&gt;"SIM",V149=0),"",IF(W149+X149=0,"",T149&amp;": "&amp;IF(W149=V149,"concluído",IF(W149=0,"em execução"&amp;IF(Z149&lt;&gt;""," ("&amp;IF(Z149&lt;0,IF(COUNTIF($E$5:$E$6004,"SUBSOLO*")&gt;0,"subsolo",-Z149&amp;"º subsolo"),IF(Z149=0,"térreo",Z149&amp;"º pav."))&amp;")",""),IF(Y149&lt;&gt;"","até "&amp;IF(Y149&lt;0,IF(COUNTIF($E$5:$E$6004,"SUBSOLO*")&gt;0,"subsolo",-Y149&amp;"º subsolo"),IF(Y149=0,"térreo",Y149&amp;"º pav.")),W149&amp;" de "&amp;V149&amp;" concluídas")&amp;IF(Z149="","",IF(OR(Y149="",Z149&gt;Y149),", executando "&amp;IF(Z149&lt;0,IF(COUNTIF($E$5:$E$6004,"SUBSOLO*")&gt;0,"subsolo",-Z149&amp;"º subsolo"),IF(Z149=0,"térreo",Z149&amp;"º pav."))," (restam serviços no "&amp;IF(Z149&lt;0,IF(COUNTIF($E$5:$E$6004,"SUBSOLO*")&gt;0,"subsolo",-Z149&amp;"º subsolo"),IF(Z149=0,"térreo",Z149&amp;"º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26" t="n">
        <v>45880</v>
      </c>
      <c r="G150" s="126" t="n">
        <v>45884</v>
      </c>
      <c r="H150" s="126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IF(E150="","",IF(ISNUMBER(SEARCH("SUBSOLO",E150)),IFERROR(-VALUE(LEFT(E150,FIND("º",SUBSTITUTE(E150,"°","º"))-1)),-1),IF(LEFT(E150,6)="TÉRREO",0,IFERROR(VALUE(LEFT(E150,FIND("º",SUBSTITUTE(E150,"°","º"))-1)),""))))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IF(R150="","",COUNTIF($C$5:$C$6004,R150))</f>
        <v/>
      </c>
      <c r="W150" s="2">
        <f>IF(R150="","",COUNTIFS($C$5:$C$6004,R150,$O$5:$O$6004,"CONCLUÍDA"))</f>
        <v/>
      </c>
      <c r="X150" s="2">
        <f>IF(R150="","",COUNTIFS($C$5:$C$6004,R150,$O$5:$O$6004,"EM ANDAMENTO"))</f>
        <v/>
      </c>
      <c r="Y150" s="2">
        <f>IF(R150="","",IF(COUNTIFS($C$5:$C$6004,R150,$O$5:$O$6004,"CONCLUÍDA",$N$5:$N$6004,"&gt;=-99")=0,"",_xlfn.MAXIFS($N$5:$N$6004,$C$5:$C$6004,R150,$O$5:$O$6004,"CONCLUÍDA")))</f>
        <v/>
      </c>
      <c r="Z150" s="2">
        <f>IF(R150="","",IF(COUNTIFS($C$5:$C$6004,R150,$O$5:$O$6004,"EM ANDAMENTO",$N$5:$N$6004,"&gt;=-99")=0,"",_xlfn.MAXIFS($N$5:$N$6004,$C$5:$C$6004,R150,$O$5:$O$6004,"EM ANDAMENTO")))</f>
        <v/>
      </c>
      <c r="AA150" s="2">
        <f>IF(OR(R150="",S150="",U150&lt;&gt;"SIM",V150=0),"",IF(W150+X150=0,"",T150&amp;": "&amp;IF(W150=V150,"concluído",IF(W150=0,"em execução"&amp;IF(Z150&lt;&gt;""," ("&amp;IF(Z150&lt;0,IF(COUNTIF($E$5:$E$6004,"SUBSOLO*")&gt;0,"subsolo",-Z150&amp;"º subsolo"),IF(Z150=0,"térreo",Z150&amp;"º pav."))&amp;")",""),IF(Y150&lt;&gt;"","até "&amp;IF(Y150&lt;0,IF(COUNTIF($E$5:$E$6004,"SUBSOLO*")&gt;0,"subsolo",-Y150&amp;"º subsolo"),IF(Y150=0,"térreo",Y150&amp;"º pav.")),W150&amp;" de "&amp;V150&amp;" concluídas")&amp;IF(Z150="","",IF(OR(Y150="",Z150&gt;Y150),", executando "&amp;IF(Z150&lt;0,IF(COUNTIF($E$5:$E$6004,"SUBSOLO*")&gt;0,"subsolo",-Z150&amp;"º subsolo"),IF(Z150=0,"térreo",Z150&amp;"º pav."))," (restam serviços no "&amp;IF(Z150&lt;0,IF(COUNTIF($E$5:$E$6004,"SUBSOLO*")&gt;0,"subsolo",-Z150&amp;"º subsolo"),IF(Z150=0,"térreo",Z150&amp;"º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26" t="n">
        <v>45887</v>
      </c>
      <c r="G151" s="126" t="n">
        <v>45891</v>
      </c>
      <c r="H151" s="126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IF(E151="","",IF(ISNUMBER(SEARCH("SUBSOLO",E151)),IFERROR(-VALUE(LEFT(E151,FIND("º",SUBSTITUTE(E151,"°","º"))-1)),-1),IF(LEFT(E151,6)="TÉRREO",0,IFERROR(VALUE(LEFT(E151,FIND("º",SUBSTITUTE(E151,"°","º"))-1)),""))))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IF(R151="","",COUNTIF($C$5:$C$6004,R151))</f>
        <v/>
      </c>
      <c r="W151" s="2">
        <f>IF(R151="","",COUNTIFS($C$5:$C$6004,R151,$O$5:$O$6004,"CONCLUÍDA"))</f>
        <v/>
      </c>
      <c r="X151" s="2">
        <f>IF(R151="","",COUNTIFS($C$5:$C$6004,R151,$O$5:$O$6004,"EM ANDAMENTO"))</f>
        <v/>
      </c>
      <c r="Y151" s="2">
        <f>IF(R151="","",IF(COUNTIFS($C$5:$C$6004,R151,$O$5:$O$6004,"CONCLUÍDA",$N$5:$N$6004,"&gt;=-99")=0,"",_xlfn.MAXIFS($N$5:$N$6004,$C$5:$C$6004,R151,$O$5:$O$6004,"CONCLUÍDA")))</f>
        <v/>
      </c>
      <c r="Z151" s="2">
        <f>IF(R151="","",IF(COUNTIFS($C$5:$C$6004,R151,$O$5:$O$6004,"EM ANDAMENTO",$N$5:$N$6004,"&gt;=-99")=0,"",_xlfn.MAXIFS($N$5:$N$6004,$C$5:$C$6004,R151,$O$5:$O$6004,"EM ANDAMENTO")))</f>
        <v/>
      </c>
      <c r="AA151" s="2">
        <f>IF(OR(R151="",S151="",U151&lt;&gt;"SIM",V151=0),"",IF(W151+X151=0,"",T151&amp;": "&amp;IF(W151=V151,"concluído",IF(W151=0,"em execução"&amp;IF(Z151&lt;&gt;""," ("&amp;IF(Z151&lt;0,IF(COUNTIF($E$5:$E$6004,"SUBSOLO*")&gt;0,"subsolo",-Z151&amp;"º subsolo"),IF(Z151=0,"térreo",Z151&amp;"º pav."))&amp;")",""),IF(Y151&lt;&gt;"","até "&amp;IF(Y151&lt;0,IF(COUNTIF($E$5:$E$6004,"SUBSOLO*")&gt;0,"subsolo",-Y151&amp;"º subsolo"),IF(Y151=0,"térreo",Y151&amp;"º pav.")),W151&amp;" de "&amp;V151&amp;" concluídas")&amp;IF(Z151="","",IF(OR(Y151="",Z151&gt;Y151),", executando "&amp;IF(Z151&lt;0,IF(COUNTIF($E$5:$E$6004,"SUBSOLO*")&gt;0,"subsolo",-Z151&amp;"º subsolo"),IF(Z151=0,"térreo",Z151&amp;"º pav."))," (restam serviços no "&amp;IF(Z151&lt;0,IF(COUNTIF($E$5:$E$6004,"SUBSOLO*")&gt;0,"subsolo",-Z151&amp;"º subsolo"),IF(Z151=0,"térreo",Z151&amp;"º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26" t="n">
        <v>45894</v>
      </c>
      <c r="G152" s="126" t="n">
        <v>45933</v>
      </c>
      <c r="H152" s="126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IF(E152="","",IF(ISNUMBER(SEARCH("SUBSOLO",E152)),IFERROR(-VALUE(LEFT(E152,FIND("º",SUBSTITUTE(E152,"°","º"))-1)),-1),IF(LEFT(E152,6)="TÉRREO",0,IFERROR(VALUE(LEFT(E152,FIND("º",SUBSTITUTE(E152,"°","º"))-1)),""))))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IF(R152="","",COUNTIF($C$5:$C$6004,R152))</f>
        <v/>
      </c>
      <c r="W152" s="2">
        <f>IF(R152="","",COUNTIFS($C$5:$C$6004,R152,$O$5:$O$6004,"CONCLUÍDA"))</f>
        <v/>
      </c>
      <c r="X152" s="2">
        <f>IF(R152="","",COUNTIFS($C$5:$C$6004,R152,$O$5:$O$6004,"EM ANDAMENTO"))</f>
        <v/>
      </c>
      <c r="Y152" s="2">
        <f>IF(R152="","",IF(COUNTIFS($C$5:$C$6004,R152,$O$5:$O$6004,"CONCLUÍDA",$N$5:$N$6004,"&gt;=-99")=0,"",_xlfn.MAXIFS($N$5:$N$6004,$C$5:$C$6004,R152,$O$5:$O$6004,"CONCLUÍDA")))</f>
        <v/>
      </c>
      <c r="Z152" s="2">
        <f>IF(R152="","",IF(COUNTIFS($C$5:$C$6004,R152,$O$5:$O$6004,"EM ANDAMENTO",$N$5:$N$6004,"&gt;=-99")=0,"",_xlfn.MAXIFS($N$5:$N$6004,$C$5:$C$6004,R152,$O$5:$O$6004,"EM ANDAMENTO")))</f>
        <v/>
      </c>
      <c r="AA152" s="2">
        <f>IF(OR(R152="",S152="",U152&lt;&gt;"SIM",V152=0),"",IF(W152+X152=0,"",T152&amp;": "&amp;IF(W152=V152,"concluído",IF(W152=0,"em execução"&amp;IF(Z152&lt;&gt;""," ("&amp;IF(Z152&lt;0,IF(COUNTIF($E$5:$E$6004,"SUBSOLO*")&gt;0,"subsolo",-Z152&amp;"º subsolo"),IF(Z152=0,"térreo",Z152&amp;"º pav."))&amp;")",""),IF(Y152&lt;&gt;"","até "&amp;IF(Y152&lt;0,IF(COUNTIF($E$5:$E$6004,"SUBSOLO*")&gt;0,"subsolo",-Y152&amp;"º subsolo"),IF(Y152=0,"térreo",Y152&amp;"º pav.")),W152&amp;" de "&amp;V152&amp;" concluídas")&amp;IF(Z152="","",IF(OR(Y152="",Z152&gt;Y152),", executando "&amp;IF(Z152&lt;0,IF(COUNTIF($E$5:$E$6004,"SUBSOLO*")&gt;0,"subsolo",-Z152&amp;"º subsolo"),IF(Z152=0,"térreo",Z152&amp;"º pav."))," (restam serviços no "&amp;IF(Z152&lt;0,IF(COUNTIF($E$5:$E$6004,"SUBSOLO*")&gt;0,"subsolo",-Z152&amp;"º subsolo"),IF(Z152=0,"térreo",Z152&amp;"º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26" t="n">
        <v>45888</v>
      </c>
      <c r="G153" s="126" t="n">
        <v>45940</v>
      </c>
      <c r="H153" s="126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IF(E153="","",IF(ISNUMBER(SEARCH("SUBSOLO",E153)),IFERROR(-VALUE(LEFT(E153,FIND("º",SUBSTITUTE(E153,"°","º"))-1)),-1),IF(LEFT(E153,6)="TÉRREO",0,IFERROR(VALUE(LEFT(E153,FIND("º",SUBSTITUTE(E153,"°","º"))-1)),""))))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IF(R153="","",COUNTIF($C$5:$C$6004,R153))</f>
        <v/>
      </c>
      <c r="W153" s="2">
        <f>IF(R153="","",COUNTIFS($C$5:$C$6004,R153,$O$5:$O$6004,"CONCLUÍDA"))</f>
        <v/>
      </c>
      <c r="X153" s="2">
        <f>IF(R153="","",COUNTIFS($C$5:$C$6004,R153,$O$5:$O$6004,"EM ANDAMENTO"))</f>
        <v/>
      </c>
      <c r="Y153" s="2">
        <f>IF(R153="","",IF(COUNTIFS($C$5:$C$6004,R153,$O$5:$O$6004,"CONCLUÍDA",$N$5:$N$6004,"&gt;=-99")=0,"",_xlfn.MAXIFS($N$5:$N$6004,$C$5:$C$6004,R153,$O$5:$O$6004,"CONCLUÍDA")))</f>
        <v/>
      </c>
      <c r="Z153" s="2">
        <f>IF(R153="","",IF(COUNTIFS($C$5:$C$6004,R153,$O$5:$O$6004,"EM ANDAMENTO",$N$5:$N$6004,"&gt;=-99")=0,"",_xlfn.MAXIFS($N$5:$N$6004,$C$5:$C$6004,R153,$O$5:$O$6004,"EM ANDAMENTO")))</f>
        <v/>
      </c>
      <c r="AA153" s="2">
        <f>IF(OR(R153="",S153="",U153&lt;&gt;"SIM",V153=0),"",IF(W153+X153=0,"",T153&amp;": "&amp;IF(W153=V153,"concluído",IF(W153=0,"em execução"&amp;IF(Z153&lt;&gt;""," ("&amp;IF(Z153&lt;0,IF(COUNTIF($E$5:$E$6004,"SUBSOLO*")&gt;0,"subsolo",-Z153&amp;"º subsolo"),IF(Z153=0,"térreo",Z153&amp;"º pav."))&amp;")",""),IF(Y153&lt;&gt;"","até "&amp;IF(Y153&lt;0,IF(COUNTIF($E$5:$E$6004,"SUBSOLO*")&gt;0,"subsolo",-Y153&amp;"º subsolo"),IF(Y153=0,"térreo",Y153&amp;"º pav.")),W153&amp;" de "&amp;V153&amp;" concluídas")&amp;IF(Z153="","",IF(OR(Y153="",Z153&gt;Y153),", executando "&amp;IF(Z153&lt;0,IF(COUNTIF($E$5:$E$6004,"SUBSOLO*")&gt;0,"subsolo",-Z153&amp;"º subsolo"),IF(Z153=0,"térreo",Z153&amp;"º pav."))," (restam serviços no "&amp;IF(Z153&lt;0,IF(COUNTIF($E$5:$E$6004,"SUBSOLO*")&gt;0,"subsolo",-Z153&amp;"º subsolo"),IF(Z153=0,"térreo",Z153&amp;"º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26" t="n">
        <v>45888</v>
      </c>
      <c r="G154" s="126" t="n">
        <v>45890</v>
      </c>
      <c r="H154" s="126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IF(E154="","",IF(ISNUMBER(SEARCH("SUBSOLO",E154)),IFERROR(-VALUE(LEFT(E154,FIND("º",SUBSTITUTE(E154,"°","º"))-1)),-1),IF(LEFT(E154,6)="TÉRREO",0,IFERROR(VALUE(LEFT(E154,FIND("º",SUBSTITUTE(E154,"°","º"))-1)),""))))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IF(R154="","",COUNTIF($C$5:$C$6004,R154))</f>
        <v/>
      </c>
      <c r="W154" s="2">
        <f>IF(R154="","",COUNTIFS($C$5:$C$6004,R154,$O$5:$O$6004,"CONCLUÍDA"))</f>
        <v/>
      </c>
      <c r="X154" s="2">
        <f>IF(R154="","",COUNTIFS($C$5:$C$6004,R154,$O$5:$O$6004,"EM ANDAMENTO"))</f>
        <v/>
      </c>
      <c r="Y154" s="2">
        <f>IF(R154="","",IF(COUNTIFS($C$5:$C$6004,R154,$O$5:$O$6004,"CONCLUÍDA",$N$5:$N$6004,"&gt;=-99")=0,"",_xlfn.MAXIFS($N$5:$N$6004,$C$5:$C$6004,R154,$O$5:$O$6004,"CONCLUÍDA")))</f>
        <v/>
      </c>
      <c r="Z154" s="2">
        <f>IF(R154="","",IF(COUNTIFS($C$5:$C$6004,R154,$O$5:$O$6004,"EM ANDAMENTO",$N$5:$N$6004,"&gt;=-99")=0,"",_xlfn.MAXIFS($N$5:$N$6004,$C$5:$C$6004,R154,$O$5:$O$6004,"EM ANDAMENTO")))</f>
        <v/>
      </c>
      <c r="AA154" s="2">
        <f>IF(OR(R154="",S154="",U154&lt;&gt;"SIM",V154=0),"",IF(W154+X154=0,"",T154&amp;": "&amp;IF(W154=V154,"concluído",IF(W154=0,"em execução"&amp;IF(Z154&lt;&gt;""," ("&amp;IF(Z154&lt;0,IF(COUNTIF($E$5:$E$6004,"SUBSOLO*")&gt;0,"subsolo",-Z154&amp;"º subsolo"),IF(Z154=0,"térreo",Z154&amp;"º pav."))&amp;")",""),IF(Y154&lt;&gt;"","até "&amp;IF(Y154&lt;0,IF(COUNTIF($E$5:$E$6004,"SUBSOLO*")&gt;0,"subsolo",-Y154&amp;"º subsolo"),IF(Y154=0,"térreo",Y154&amp;"º pav.")),W154&amp;" de "&amp;V154&amp;" concluídas")&amp;IF(Z154="","",IF(OR(Y154="",Z154&gt;Y154),", executando "&amp;IF(Z154&lt;0,IF(COUNTIF($E$5:$E$6004,"SUBSOLO*")&gt;0,"subsolo",-Z154&amp;"º subsolo"),IF(Z154=0,"térreo",Z154&amp;"º pav."))," (restam serviços no "&amp;IF(Z154&lt;0,IF(COUNTIF($E$5:$E$6004,"SUBSOLO*")&gt;0,"subsolo",-Z154&amp;"º subsolo"),IF(Z154=0,"térreo",Z154&amp;"º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26" t="n">
        <v>45888</v>
      </c>
      <c r="G155" s="126" t="n">
        <v>45912</v>
      </c>
      <c r="H155" s="126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IF(E155="","",IF(ISNUMBER(SEARCH("SUBSOLO",E155)),IFERROR(-VALUE(LEFT(E155,FIND("º",SUBSTITUTE(E155,"°","º"))-1)),-1),IF(LEFT(E155,6)="TÉRREO",0,IFERROR(VALUE(LEFT(E155,FIND("º",SUBSTITUTE(E155,"°","º"))-1)),""))))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IF(R155="","",COUNTIF($C$5:$C$6004,R155))</f>
        <v/>
      </c>
      <c r="W155" s="2">
        <f>IF(R155="","",COUNTIFS($C$5:$C$6004,R155,$O$5:$O$6004,"CONCLUÍDA"))</f>
        <v/>
      </c>
      <c r="X155" s="2">
        <f>IF(R155="","",COUNTIFS($C$5:$C$6004,R155,$O$5:$O$6004,"EM ANDAMENTO"))</f>
        <v/>
      </c>
      <c r="Y155" s="2">
        <f>IF(R155="","",IF(COUNTIFS($C$5:$C$6004,R155,$O$5:$O$6004,"CONCLUÍDA",$N$5:$N$6004,"&gt;=-99")=0,"",_xlfn.MAXIFS($N$5:$N$6004,$C$5:$C$6004,R155,$O$5:$O$6004,"CONCLUÍDA")))</f>
        <v/>
      </c>
      <c r="Z155" s="2">
        <f>IF(R155="","",IF(COUNTIFS($C$5:$C$6004,R155,$O$5:$O$6004,"EM ANDAMENTO",$N$5:$N$6004,"&gt;=-99")=0,"",_xlfn.MAXIFS($N$5:$N$6004,$C$5:$C$6004,R155,$O$5:$O$6004,"EM ANDAMENTO")))</f>
        <v/>
      </c>
      <c r="AA155" s="2">
        <f>IF(OR(R155="",S155="",U155&lt;&gt;"SIM",V155=0),"",IF(W155+X155=0,"",T155&amp;": "&amp;IF(W155=V155,"concluído",IF(W155=0,"em execução"&amp;IF(Z155&lt;&gt;""," ("&amp;IF(Z155&lt;0,IF(COUNTIF($E$5:$E$6004,"SUBSOLO*")&gt;0,"subsolo",-Z155&amp;"º subsolo"),IF(Z155=0,"térreo",Z155&amp;"º pav."))&amp;")",""),IF(Y155&lt;&gt;"","até "&amp;IF(Y155&lt;0,IF(COUNTIF($E$5:$E$6004,"SUBSOLO*")&gt;0,"subsolo",-Y155&amp;"º subsolo"),IF(Y155=0,"térreo",Y155&amp;"º pav.")),W155&amp;" de "&amp;V155&amp;" concluídas")&amp;IF(Z155="","",IF(OR(Y155="",Z155&gt;Y155),", executando "&amp;IF(Z155&lt;0,IF(COUNTIF($E$5:$E$6004,"SUBSOLO*")&gt;0,"subsolo",-Z155&amp;"º subsolo"),IF(Z155=0,"térreo",Z155&amp;"º pav."))," (restam serviços no "&amp;IF(Z155&lt;0,IF(COUNTIF($E$5:$E$6004,"SUBSOLO*")&gt;0,"subsolo",-Z155&amp;"º subsolo"),IF(Z155=0,"térreo",Z155&amp;"º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26" t="n">
        <v>45889</v>
      </c>
      <c r="G156" s="126" t="n">
        <v>45912</v>
      </c>
      <c r="H156" s="126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IF(E156="","",IF(ISNUMBER(SEARCH("SUBSOLO",E156)),IFERROR(-VALUE(LEFT(E156,FIND("º",SUBSTITUTE(E156,"°","º"))-1)),-1),IF(LEFT(E156,6)="TÉRREO",0,IFERROR(VALUE(LEFT(E156,FIND("º",SUBSTITUTE(E156,"°","º"))-1)),""))))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IF(R156="","",COUNTIF($C$5:$C$6004,R156))</f>
        <v/>
      </c>
      <c r="W156" s="2">
        <f>IF(R156="","",COUNTIFS($C$5:$C$6004,R156,$O$5:$O$6004,"CONCLUÍDA"))</f>
        <v/>
      </c>
      <c r="X156" s="2">
        <f>IF(R156="","",COUNTIFS($C$5:$C$6004,R156,$O$5:$O$6004,"EM ANDAMENTO"))</f>
        <v/>
      </c>
      <c r="Y156" s="2">
        <f>IF(R156="","",IF(COUNTIFS($C$5:$C$6004,R156,$O$5:$O$6004,"CONCLUÍDA",$N$5:$N$6004,"&gt;=-99")=0,"",_xlfn.MAXIFS($N$5:$N$6004,$C$5:$C$6004,R156,$O$5:$O$6004,"CONCLUÍDA")))</f>
        <v/>
      </c>
      <c r="Z156" s="2">
        <f>IF(R156="","",IF(COUNTIFS($C$5:$C$6004,R156,$O$5:$O$6004,"EM ANDAMENTO",$N$5:$N$6004,"&gt;=-99")=0,"",_xlfn.MAXIFS($N$5:$N$6004,$C$5:$C$6004,R156,$O$5:$O$6004,"EM ANDAMENTO")))</f>
        <v/>
      </c>
      <c r="AA156" s="2">
        <f>IF(OR(R156="",S156="",U156&lt;&gt;"SIM",V156=0),"",IF(W156+X156=0,"",T156&amp;": "&amp;IF(W156=V156,"concluído",IF(W156=0,"em execução"&amp;IF(Z156&lt;&gt;""," ("&amp;IF(Z156&lt;0,IF(COUNTIF($E$5:$E$6004,"SUBSOLO*")&gt;0,"subsolo",-Z156&amp;"º subsolo"),IF(Z156=0,"térreo",Z156&amp;"º pav."))&amp;")",""),IF(Y156&lt;&gt;"","até "&amp;IF(Y156&lt;0,IF(COUNTIF($E$5:$E$6004,"SUBSOLO*")&gt;0,"subsolo",-Y156&amp;"º subsolo"),IF(Y156=0,"térreo",Y156&amp;"º pav.")),W156&amp;" de "&amp;V156&amp;" concluídas")&amp;IF(Z156="","",IF(OR(Y156="",Z156&gt;Y156),", executando "&amp;IF(Z156&lt;0,IF(COUNTIF($E$5:$E$6004,"SUBSOLO*")&gt;0,"subsolo",-Z156&amp;"º subsolo"),IF(Z156=0,"térreo",Z156&amp;"º pav."))," (restam serviços no "&amp;IF(Z156&lt;0,IF(COUNTIF($E$5:$E$6004,"SUBSOLO*")&gt;0,"subsolo",-Z156&amp;"º subsolo"),IF(Z156=0,"térreo",Z156&amp;"º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26" t="n">
        <v>45903</v>
      </c>
      <c r="G157" s="126" t="n">
        <v>45903</v>
      </c>
      <c r="H157" s="126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IF(E157="","",IF(ISNUMBER(SEARCH("SUBSOLO",E157)),IFERROR(-VALUE(LEFT(E157,FIND("º",SUBSTITUTE(E157,"°","º"))-1)),-1),IF(LEFT(E157,6)="TÉRREO",0,IFERROR(VALUE(LEFT(E157,FIND("º",SUBSTITUTE(E157,"°","º"))-1)),""))))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IF(R157="","",COUNTIF($C$5:$C$6004,R157))</f>
        <v/>
      </c>
      <c r="W157" s="2">
        <f>IF(R157="","",COUNTIFS($C$5:$C$6004,R157,$O$5:$O$6004,"CONCLUÍDA"))</f>
        <v/>
      </c>
      <c r="X157" s="2">
        <f>IF(R157="","",COUNTIFS($C$5:$C$6004,R157,$O$5:$O$6004,"EM ANDAMENTO"))</f>
        <v/>
      </c>
      <c r="Y157" s="2">
        <f>IF(R157="","",IF(COUNTIFS($C$5:$C$6004,R157,$O$5:$O$6004,"CONCLUÍDA",$N$5:$N$6004,"&gt;=-99")=0,"",_xlfn.MAXIFS($N$5:$N$6004,$C$5:$C$6004,R157,$O$5:$O$6004,"CONCLUÍDA")))</f>
        <v/>
      </c>
      <c r="Z157" s="2">
        <f>IF(R157="","",IF(COUNTIFS($C$5:$C$6004,R157,$O$5:$O$6004,"EM ANDAMENTO",$N$5:$N$6004,"&gt;=-99")=0,"",_xlfn.MAXIFS($N$5:$N$6004,$C$5:$C$6004,R157,$O$5:$O$6004,"EM ANDAMENTO")))</f>
        <v/>
      </c>
      <c r="AA157" s="2">
        <f>IF(OR(R157="",S157="",U157&lt;&gt;"SIM",V157=0),"",IF(W157+X157=0,"",T157&amp;": "&amp;IF(W157=V157,"concluído",IF(W157=0,"em execução"&amp;IF(Z157&lt;&gt;""," ("&amp;IF(Z157&lt;0,IF(COUNTIF($E$5:$E$6004,"SUBSOLO*")&gt;0,"subsolo",-Z157&amp;"º subsolo"),IF(Z157=0,"térreo",Z157&amp;"º pav."))&amp;")",""),IF(Y157&lt;&gt;"","até "&amp;IF(Y157&lt;0,IF(COUNTIF($E$5:$E$6004,"SUBSOLO*")&gt;0,"subsolo",-Y157&amp;"º subsolo"),IF(Y157=0,"térreo",Y157&amp;"º pav.")),W157&amp;" de "&amp;V157&amp;" concluídas")&amp;IF(Z157="","",IF(OR(Y157="",Z157&gt;Y157),", executando "&amp;IF(Z157&lt;0,IF(COUNTIF($E$5:$E$6004,"SUBSOLO*")&gt;0,"subsolo",-Z157&amp;"º subsolo"),IF(Z157=0,"térreo",Z157&amp;"º pav."))," (restam serviços no "&amp;IF(Z157&lt;0,IF(COUNTIF($E$5:$E$6004,"SUBSOLO*")&gt;0,"subsolo",-Z157&amp;"º subsolo"),IF(Z157=0,"térreo",Z157&amp;"º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26" t="n">
        <v>45912</v>
      </c>
      <c r="G158" s="126" t="n">
        <v>45912</v>
      </c>
      <c r="H158" s="126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IF(E158="","",IF(ISNUMBER(SEARCH("SUBSOLO",E158)),IFERROR(-VALUE(LEFT(E158,FIND("º",SUBSTITUTE(E158,"°","º"))-1)),-1),IF(LEFT(E158,6)="TÉRREO",0,IFERROR(VALUE(LEFT(E158,FIND("º",SUBSTITUTE(E158,"°","º"))-1)),""))))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IF(R158="","",COUNTIF($C$5:$C$6004,R158))</f>
        <v/>
      </c>
      <c r="W158" s="2">
        <f>IF(R158="","",COUNTIFS($C$5:$C$6004,R158,$O$5:$O$6004,"CONCLUÍDA"))</f>
        <v/>
      </c>
      <c r="X158" s="2">
        <f>IF(R158="","",COUNTIFS($C$5:$C$6004,R158,$O$5:$O$6004,"EM ANDAMENTO"))</f>
        <v/>
      </c>
      <c r="Y158" s="2">
        <f>IF(R158="","",IF(COUNTIFS($C$5:$C$6004,R158,$O$5:$O$6004,"CONCLUÍDA",$N$5:$N$6004,"&gt;=-99")=0,"",_xlfn.MAXIFS($N$5:$N$6004,$C$5:$C$6004,R158,$O$5:$O$6004,"CONCLUÍDA")))</f>
        <v/>
      </c>
      <c r="Z158" s="2">
        <f>IF(R158="","",IF(COUNTIFS($C$5:$C$6004,R158,$O$5:$O$6004,"EM ANDAMENTO",$N$5:$N$6004,"&gt;=-99")=0,"",_xlfn.MAXIFS($N$5:$N$6004,$C$5:$C$6004,R158,$O$5:$O$6004,"EM ANDAMENTO")))</f>
        <v/>
      </c>
      <c r="AA158" s="2">
        <f>IF(OR(R158="",S158="",U158&lt;&gt;"SIM",V158=0),"",IF(W158+X158=0,"",T158&amp;": "&amp;IF(W158=V158,"concluído",IF(W158=0,"em execução"&amp;IF(Z158&lt;&gt;""," ("&amp;IF(Z158&lt;0,IF(COUNTIF($E$5:$E$6004,"SUBSOLO*")&gt;0,"subsolo",-Z158&amp;"º subsolo"),IF(Z158=0,"térreo",Z158&amp;"º pav."))&amp;")",""),IF(Y158&lt;&gt;"","até "&amp;IF(Y158&lt;0,IF(COUNTIF($E$5:$E$6004,"SUBSOLO*")&gt;0,"subsolo",-Y158&amp;"º subsolo"),IF(Y158=0,"térreo",Y158&amp;"º pav.")),W158&amp;" de "&amp;V158&amp;" concluídas")&amp;IF(Z158="","",IF(OR(Y158="",Z158&gt;Y158),", executando "&amp;IF(Z158&lt;0,IF(COUNTIF($E$5:$E$6004,"SUBSOLO*")&gt;0,"subsolo",-Z158&amp;"º subsolo"),IF(Z158=0,"térreo",Z158&amp;"º pav."))," (restam serviços no "&amp;IF(Z158&lt;0,IF(COUNTIF($E$5:$E$6004,"SUBSOLO*")&gt;0,"subsolo",-Z158&amp;"º subsolo"),IF(Z158=0,"térreo",Z158&amp;"º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26" t="n">
        <v>45918</v>
      </c>
      <c r="G159" s="126" t="n">
        <v>45918</v>
      </c>
      <c r="H159" s="126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IF(E159="","",IF(ISNUMBER(SEARCH("SUBSOLO",E159)),IFERROR(-VALUE(LEFT(E159,FIND("º",SUBSTITUTE(E159,"°","º"))-1)),-1),IF(LEFT(E159,6)="TÉRREO",0,IFERROR(VALUE(LEFT(E159,FIND("º",SUBSTITUTE(E159,"°","º"))-1)),""))))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IF(R159="","",COUNTIF($C$5:$C$6004,R159))</f>
        <v/>
      </c>
      <c r="W159" s="2">
        <f>IF(R159="","",COUNTIFS($C$5:$C$6004,R159,$O$5:$O$6004,"CONCLUÍDA"))</f>
        <v/>
      </c>
      <c r="X159" s="2">
        <f>IF(R159="","",COUNTIFS($C$5:$C$6004,R159,$O$5:$O$6004,"EM ANDAMENTO"))</f>
        <v/>
      </c>
      <c r="Y159" s="2">
        <f>IF(R159="","",IF(COUNTIFS($C$5:$C$6004,R159,$O$5:$O$6004,"CONCLUÍDA",$N$5:$N$6004,"&gt;=-99")=0,"",_xlfn.MAXIFS($N$5:$N$6004,$C$5:$C$6004,R159,$O$5:$O$6004,"CONCLUÍDA")))</f>
        <v/>
      </c>
      <c r="Z159" s="2">
        <f>IF(R159="","",IF(COUNTIFS($C$5:$C$6004,R159,$O$5:$O$6004,"EM ANDAMENTO",$N$5:$N$6004,"&gt;=-99")=0,"",_xlfn.MAXIFS($N$5:$N$6004,$C$5:$C$6004,R159,$O$5:$O$6004,"EM ANDAMENTO")))</f>
        <v/>
      </c>
      <c r="AA159" s="2">
        <f>IF(OR(R159="",S159="",U159&lt;&gt;"SIM",V159=0),"",IF(W159+X159=0,"",T159&amp;": "&amp;IF(W159=V159,"concluído",IF(W159=0,"em execução"&amp;IF(Z159&lt;&gt;""," ("&amp;IF(Z159&lt;0,IF(COUNTIF($E$5:$E$6004,"SUBSOLO*")&gt;0,"subsolo",-Z159&amp;"º subsolo"),IF(Z159=0,"térreo",Z159&amp;"º pav."))&amp;")",""),IF(Y159&lt;&gt;"","até "&amp;IF(Y159&lt;0,IF(COUNTIF($E$5:$E$6004,"SUBSOLO*")&gt;0,"subsolo",-Y159&amp;"º subsolo"),IF(Y159=0,"térreo",Y159&amp;"º pav.")),W159&amp;" de "&amp;V159&amp;" concluídas")&amp;IF(Z159="","",IF(OR(Y159="",Z159&gt;Y159),", executando "&amp;IF(Z159&lt;0,IF(COUNTIF($E$5:$E$6004,"SUBSOLO*")&gt;0,"subsolo",-Z159&amp;"º subsolo"),IF(Z159=0,"térreo",Z159&amp;"º pav."))," (restam serviços no "&amp;IF(Z159&lt;0,IF(COUNTIF($E$5:$E$6004,"SUBSOLO*")&gt;0,"subsolo",-Z159&amp;"º subsolo"),IF(Z159=0,"térreo",Z159&amp;"º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26" t="n">
        <v>45898</v>
      </c>
      <c r="G160" s="126" t="n">
        <v>45918</v>
      </c>
      <c r="H160" s="126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IF(E160="","",IF(ISNUMBER(SEARCH("SUBSOLO",E160)),IFERROR(-VALUE(LEFT(E160,FIND("º",SUBSTITUTE(E160,"°","º"))-1)),-1),IF(LEFT(E160,6)="TÉRREO",0,IFERROR(VALUE(LEFT(E160,FIND("º",SUBSTITUTE(E160,"°","º"))-1)),""))))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IF(R160="","",COUNTIF($C$5:$C$6004,R160))</f>
        <v/>
      </c>
      <c r="W160" s="2">
        <f>IF(R160="","",COUNTIFS($C$5:$C$6004,R160,$O$5:$O$6004,"CONCLUÍDA"))</f>
        <v/>
      </c>
      <c r="X160" s="2">
        <f>IF(R160="","",COUNTIFS($C$5:$C$6004,R160,$O$5:$O$6004,"EM ANDAMENTO"))</f>
        <v/>
      </c>
      <c r="Y160" s="2">
        <f>IF(R160="","",IF(COUNTIFS($C$5:$C$6004,R160,$O$5:$O$6004,"CONCLUÍDA",$N$5:$N$6004,"&gt;=-99")=0,"",_xlfn.MAXIFS($N$5:$N$6004,$C$5:$C$6004,R160,$O$5:$O$6004,"CONCLUÍDA")))</f>
        <v/>
      </c>
      <c r="Z160" s="2">
        <f>IF(R160="","",IF(COUNTIFS($C$5:$C$6004,R160,$O$5:$O$6004,"EM ANDAMENTO",$N$5:$N$6004,"&gt;=-99")=0,"",_xlfn.MAXIFS($N$5:$N$6004,$C$5:$C$6004,R160,$O$5:$O$6004,"EM ANDAMENTO")))</f>
        <v/>
      </c>
      <c r="AA160" s="2">
        <f>IF(OR(R160="",S160="",U160&lt;&gt;"SIM",V160=0),"",IF(W160+X160=0,"",T160&amp;": "&amp;IF(W160=V160,"concluído",IF(W160=0,"em execução"&amp;IF(Z160&lt;&gt;""," ("&amp;IF(Z160&lt;0,IF(COUNTIF($E$5:$E$6004,"SUBSOLO*")&gt;0,"subsolo",-Z160&amp;"º subsolo"),IF(Z160=0,"térreo",Z160&amp;"º pav."))&amp;")",""),IF(Y160&lt;&gt;"","até "&amp;IF(Y160&lt;0,IF(COUNTIF($E$5:$E$6004,"SUBSOLO*")&gt;0,"subsolo",-Y160&amp;"º subsolo"),IF(Y160=0,"térreo",Y160&amp;"º pav.")),W160&amp;" de "&amp;V160&amp;" concluídas")&amp;IF(Z160="","",IF(OR(Y160="",Z160&gt;Y160),", executando "&amp;IF(Z160&lt;0,IF(COUNTIF($E$5:$E$6004,"SUBSOLO*")&gt;0,"subsolo",-Z160&amp;"º subsolo"),IF(Z160=0,"térreo",Z160&amp;"º pav."))," (restam serviços no "&amp;IF(Z160&lt;0,IF(COUNTIF($E$5:$E$6004,"SUBSOLO*")&gt;0,"subsolo",-Z160&amp;"º subsolo"),IF(Z160=0,"térreo",Z160&amp;"º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26" t="n">
        <v>45908</v>
      </c>
      <c r="G161" s="126" t="n">
        <v>45925</v>
      </c>
      <c r="H161" s="126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IF(E161="","",IF(ISNUMBER(SEARCH("SUBSOLO",E161)),IFERROR(-VALUE(LEFT(E161,FIND("º",SUBSTITUTE(E161,"°","º"))-1)),-1),IF(LEFT(E161,6)="TÉRREO",0,IFERROR(VALUE(LEFT(E161,FIND("º",SUBSTITUTE(E161,"°","º"))-1)),""))))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IF(R161="","",COUNTIF($C$5:$C$6004,R161))</f>
        <v/>
      </c>
      <c r="W161" s="2">
        <f>IF(R161="","",COUNTIFS($C$5:$C$6004,R161,$O$5:$O$6004,"CONCLUÍDA"))</f>
        <v/>
      </c>
      <c r="X161" s="2">
        <f>IF(R161="","",COUNTIFS($C$5:$C$6004,R161,$O$5:$O$6004,"EM ANDAMENTO"))</f>
        <v/>
      </c>
      <c r="Y161" s="2">
        <f>IF(R161="","",IF(COUNTIFS($C$5:$C$6004,R161,$O$5:$O$6004,"CONCLUÍDA",$N$5:$N$6004,"&gt;=-99")=0,"",_xlfn.MAXIFS($N$5:$N$6004,$C$5:$C$6004,R161,$O$5:$O$6004,"CONCLUÍDA")))</f>
        <v/>
      </c>
      <c r="Z161" s="2">
        <f>IF(R161="","",IF(COUNTIFS($C$5:$C$6004,R161,$O$5:$O$6004,"EM ANDAMENTO",$N$5:$N$6004,"&gt;=-99")=0,"",_xlfn.MAXIFS($N$5:$N$6004,$C$5:$C$6004,R161,$O$5:$O$6004,"EM ANDAMENTO")))</f>
        <v/>
      </c>
      <c r="AA161" s="2">
        <f>IF(OR(R161="",S161="",U161&lt;&gt;"SIM",V161=0),"",IF(W161+X161=0,"",T161&amp;": "&amp;IF(W161=V161,"concluído",IF(W161=0,"em execução"&amp;IF(Z161&lt;&gt;""," ("&amp;IF(Z161&lt;0,IF(COUNTIF($E$5:$E$6004,"SUBSOLO*")&gt;0,"subsolo",-Z161&amp;"º subsolo"),IF(Z161=0,"térreo",Z161&amp;"º pav."))&amp;")",""),IF(Y161&lt;&gt;"","até "&amp;IF(Y161&lt;0,IF(COUNTIF($E$5:$E$6004,"SUBSOLO*")&gt;0,"subsolo",-Y161&amp;"º subsolo"),IF(Y161=0,"térreo",Y161&amp;"º pav.")),W161&amp;" de "&amp;V161&amp;" concluídas")&amp;IF(Z161="","",IF(OR(Y161="",Z161&gt;Y161),", executando "&amp;IF(Z161&lt;0,IF(COUNTIF($E$5:$E$6004,"SUBSOLO*")&gt;0,"subsolo",-Z161&amp;"º subsolo"),IF(Z161=0,"térreo",Z161&amp;"º pav."))," (restam serviços no "&amp;IF(Z161&lt;0,IF(COUNTIF($E$5:$E$6004,"SUBSOLO*")&gt;0,"subsolo",-Z161&amp;"º subsolo"),IF(Z161=0,"térreo",Z161&amp;"º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26" t="n">
        <v>45918</v>
      </c>
      <c r="G162" s="126" t="n">
        <v>45918</v>
      </c>
      <c r="H162" s="126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IF(E162="","",IF(ISNUMBER(SEARCH("SUBSOLO",E162)),IFERROR(-VALUE(LEFT(E162,FIND("º",SUBSTITUTE(E162,"°","º"))-1)),-1),IF(LEFT(E162,6)="TÉRREO",0,IFERROR(VALUE(LEFT(E162,FIND("º",SUBSTITUTE(E162,"°","º"))-1)),""))))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IF(R162="","",COUNTIF($C$5:$C$6004,R162))</f>
        <v/>
      </c>
      <c r="W162" s="2">
        <f>IF(R162="","",COUNTIFS($C$5:$C$6004,R162,$O$5:$O$6004,"CONCLUÍDA"))</f>
        <v/>
      </c>
      <c r="X162" s="2">
        <f>IF(R162="","",COUNTIFS($C$5:$C$6004,R162,$O$5:$O$6004,"EM ANDAMENTO"))</f>
        <v/>
      </c>
      <c r="Y162" s="2">
        <f>IF(R162="","",IF(COUNTIFS($C$5:$C$6004,R162,$O$5:$O$6004,"CONCLUÍDA",$N$5:$N$6004,"&gt;=-99")=0,"",_xlfn.MAXIFS($N$5:$N$6004,$C$5:$C$6004,R162,$O$5:$O$6004,"CONCLUÍDA")))</f>
        <v/>
      </c>
      <c r="Z162" s="2">
        <f>IF(R162="","",IF(COUNTIFS($C$5:$C$6004,R162,$O$5:$O$6004,"EM ANDAMENTO",$N$5:$N$6004,"&gt;=-99")=0,"",_xlfn.MAXIFS($N$5:$N$6004,$C$5:$C$6004,R162,$O$5:$O$6004,"EM ANDAMENTO")))</f>
        <v/>
      </c>
      <c r="AA162" s="2">
        <f>IF(OR(R162="",S162="",U162&lt;&gt;"SIM",V162=0),"",IF(W162+X162=0,"",T162&amp;": "&amp;IF(W162=V162,"concluído",IF(W162=0,"em execução"&amp;IF(Z162&lt;&gt;""," ("&amp;IF(Z162&lt;0,IF(COUNTIF($E$5:$E$6004,"SUBSOLO*")&gt;0,"subsolo",-Z162&amp;"º subsolo"),IF(Z162=0,"térreo",Z162&amp;"º pav."))&amp;")",""),IF(Y162&lt;&gt;"","até "&amp;IF(Y162&lt;0,IF(COUNTIF($E$5:$E$6004,"SUBSOLO*")&gt;0,"subsolo",-Y162&amp;"º subsolo"),IF(Y162=0,"térreo",Y162&amp;"º pav.")),W162&amp;" de "&amp;V162&amp;" concluídas")&amp;IF(Z162="","",IF(OR(Y162="",Z162&gt;Y162),", executando "&amp;IF(Z162&lt;0,IF(COUNTIF($E$5:$E$6004,"SUBSOLO*")&gt;0,"subsolo",-Z162&amp;"º subsolo"),IF(Z162=0,"térreo",Z162&amp;"º pav."))," (restam serviços no "&amp;IF(Z162&lt;0,IF(COUNTIF($E$5:$E$6004,"SUBSOLO*")&gt;0,"subsolo",-Z162&amp;"º subsolo"),IF(Z162=0,"térreo",Z162&amp;"º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26" t="n">
        <v>45922</v>
      </c>
      <c r="G163" s="126" t="n">
        <v>45923</v>
      </c>
      <c r="H163" s="126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IF(E163="","",IF(ISNUMBER(SEARCH("SUBSOLO",E163)),IFERROR(-VALUE(LEFT(E163,FIND("º",SUBSTITUTE(E163,"°","º"))-1)),-1),IF(LEFT(E163,6)="TÉRREO",0,IFERROR(VALUE(LEFT(E163,FIND("º",SUBSTITUTE(E163,"°","º"))-1)),""))))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IF(R163="","",COUNTIF($C$5:$C$6004,R163))</f>
        <v/>
      </c>
      <c r="W163" s="2">
        <f>IF(R163="","",COUNTIFS($C$5:$C$6004,R163,$O$5:$O$6004,"CONCLUÍDA"))</f>
        <v/>
      </c>
      <c r="X163" s="2">
        <f>IF(R163="","",COUNTIFS($C$5:$C$6004,R163,$O$5:$O$6004,"EM ANDAMENTO"))</f>
        <v/>
      </c>
      <c r="Y163" s="2">
        <f>IF(R163="","",IF(COUNTIFS($C$5:$C$6004,R163,$O$5:$O$6004,"CONCLUÍDA",$N$5:$N$6004,"&gt;=-99")=0,"",_xlfn.MAXIFS($N$5:$N$6004,$C$5:$C$6004,R163,$O$5:$O$6004,"CONCLUÍDA")))</f>
        <v/>
      </c>
      <c r="Z163" s="2">
        <f>IF(R163="","",IF(COUNTIFS($C$5:$C$6004,R163,$O$5:$O$6004,"EM ANDAMENTO",$N$5:$N$6004,"&gt;=-99")=0,"",_xlfn.MAXIFS($N$5:$N$6004,$C$5:$C$6004,R163,$O$5:$O$6004,"EM ANDAMENTO")))</f>
        <v/>
      </c>
      <c r="AA163" s="2">
        <f>IF(OR(R163="",S163="",U163&lt;&gt;"SIM",V163=0),"",IF(W163+X163=0,"",T163&amp;": "&amp;IF(W163=V163,"concluído",IF(W163=0,"em execução"&amp;IF(Z163&lt;&gt;""," ("&amp;IF(Z163&lt;0,IF(COUNTIF($E$5:$E$6004,"SUBSOLO*")&gt;0,"subsolo",-Z163&amp;"º subsolo"),IF(Z163=0,"térreo",Z163&amp;"º pav."))&amp;")",""),IF(Y163&lt;&gt;"","até "&amp;IF(Y163&lt;0,IF(COUNTIF($E$5:$E$6004,"SUBSOLO*")&gt;0,"subsolo",-Y163&amp;"º subsolo"),IF(Y163=0,"térreo",Y163&amp;"º pav.")),W163&amp;" de "&amp;V163&amp;" concluídas")&amp;IF(Z163="","",IF(OR(Y163="",Z163&gt;Y163),", executando "&amp;IF(Z163&lt;0,IF(COUNTIF($E$5:$E$6004,"SUBSOLO*")&gt;0,"subsolo",-Z163&amp;"º subsolo"),IF(Z163=0,"térreo",Z163&amp;"º pav."))," (restam serviços no "&amp;IF(Z163&lt;0,IF(COUNTIF($E$5:$E$6004,"SUBSOLO*")&gt;0,"subsolo",-Z163&amp;"º subsolo"),IF(Z163=0,"térreo",Z163&amp;"º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26" t="n">
        <v>45924</v>
      </c>
      <c r="G164" s="126" t="n">
        <v>45924</v>
      </c>
      <c r="H164" s="126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IF(E164="","",IF(ISNUMBER(SEARCH("SUBSOLO",E164)),IFERROR(-VALUE(LEFT(E164,FIND("º",SUBSTITUTE(E164,"°","º"))-1)),-1),IF(LEFT(E164,6)="TÉRREO",0,IFERROR(VALUE(LEFT(E164,FIND("º",SUBSTITUTE(E164,"°","º"))-1)),""))))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IF(R164="","",COUNTIF($C$5:$C$6004,R164))</f>
        <v/>
      </c>
      <c r="W164" s="2">
        <f>IF(R164="","",COUNTIFS($C$5:$C$6004,R164,$O$5:$O$6004,"CONCLUÍDA"))</f>
        <v/>
      </c>
      <c r="X164" s="2">
        <f>IF(R164="","",COUNTIFS($C$5:$C$6004,R164,$O$5:$O$6004,"EM ANDAMENTO"))</f>
        <v/>
      </c>
      <c r="Y164" s="2">
        <f>IF(R164="","",IF(COUNTIFS($C$5:$C$6004,R164,$O$5:$O$6004,"CONCLUÍDA",$N$5:$N$6004,"&gt;=-99")=0,"",_xlfn.MAXIFS($N$5:$N$6004,$C$5:$C$6004,R164,$O$5:$O$6004,"CONCLUÍDA")))</f>
        <v/>
      </c>
      <c r="Z164" s="2">
        <f>IF(R164="","",IF(COUNTIFS($C$5:$C$6004,R164,$O$5:$O$6004,"EM ANDAMENTO",$N$5:$N$6004,"&gt;=-99")=0,"",_xlfn.MAXIFS($N$5:$N$6004,$C$5:$C$6004,R164,$O$5:$O$6004,"EM ANDAMENTO")))</f>
        <v/>
      </c>
      <c r="AA164" s="2">
        <f>IF(OR(R164="",S164="",U164&lt;&gt;"SIM",V164=0),"",IF(W164+X164=0,"",T164&amp;": "&amp;IF(W164=V164,"concluído",IF(W164=0,"em execução"&amp;IF(Z164&lt;&gt;""," ("&amp;IF(Z164&lt;0,IF(COUNTIF($E$5:$E$6004,"SUBSOLO*")&gt;0,"subsolo",-Z164&amp;"º subsolo"),IF(Z164=0,"térreo",Z164&amp;"º pav."))&amp;")",""),IF(Y164&lt;&gt;"","até "&amp;IF(Y164&lt;0,IF(COUNTIF($E$5:$E$6004,"SUBSOLO*")&gt;0,"subsolo",-Y164&amp;"º subsolo"),IF(Y164=0,"térreo",Y164&amp;"º pav.")),W164&amp;" de "&amp;V164&amp;" concluídas")&amp;IF(Z164="","",IF(OR(Y164="",Z164&gt;Y164),", executando "&amp;IF(Z164&lt;0,IF(COUNTIF($E$5:$E$6004,"SUBSOLO*")&gt;0,"subsolo",-Z164&amp;"º subsolo"),IF(Z164=0,"térreo",Z164&amp;"º pav."))," (restam serviços no "&amp;IF(Z164&lt;0,IF(COUNTIF($E$5:$E$6004,"SUBSOLO*")&gt;0,"subsolo",-Z164&amp;"º subsolo"),IF(Z164=0,"térreo",Z164&amp;"º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26" t="n">
        <v>45925</v>
      </c>
      <c r="G165" s="126" t="n">
        <v>45930</v>
      </c>
      <c r="H165" s="126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IF(E165="","",IF(ISNUMBER(SEARCH("SUBSOLO",E165)),IFERROR(-VALUE(LEFT(E165,FIND("º",SUBSTITUTE(E165,"°","º"))-1)),-1),IF(LEFT(E165,6)="TÉRREO",0,IFERROR(VALUE(LEFT(E165,FIND("º",SUBSTITUTE(E165,"°","º"))-1)),""))))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IF(R165="","",COUNTIF($C$5:$C$6004,R165))</f>
        <v/>
      </c>
      <c r="W165" s="2">
        <f>IF(R165="","",COUNTIFS($C$5:$C$6004,R165,$O$5:$O$6004,"CONCLUÍDA"))</f>
        <v/>
      </c>
      <c r="X165" s="2">
        <f>IF(R165="","",COUNTIFS($C$5:$C$6004,R165,$O$5:$O$6004,"EM ANDAMENTO"))</f>
        <v/>
      </c>
      <c r="Y165" s="2">
        <f>IF(R165="","",IF(COUNTIFS($C$5:$C$6004,R165,$O$5:$O$6004,"CONCLUÍDA",$N$5:$N$6004,"&gt;=-99")=0,"",_xlfn.MAXIFS($N$5:$N$6004,$C$5:$C$6004,R165,$O$5:$O$6004,"CONCLUÍDA")))</f>
        <v/>
      </c>
      <c r="Z165" s="2">
        <f>IF(R165="","",IF(COUNTIFS($C$5:$C$6004,R165,$O$5:$O$6004,"EM ANDAMENTO",$N$5:$N$6004,"&gt;=-99")=0,"",_xlfn.MAXIFS($N$5:$N$6004,$C$5:$C$6004,R165,$O$5:$O$6004,"EM ANDAMENTO")))</f>
        <v/>
      </c>
      <c r="AA165" s="2">
        <f>IF(OR(R165="",S165="",U165&lt;&gt;"SIM",V165=0),"",IF(W165+X165=0,"",T165&amp;": "&amp;IF(W165=V165,"concluído",IF(W165=0,"em execução"&amp;IF(Z165&lt;&gt;""," ("&amp;IF(Z165&lt;0,IF(COUNTIF($E$5:$E$6004,"SUBSOLO*")&gt;0,"subsolo",-Z165&amp;"º subsolo"),IF(Z165=0,"térreo",Z165&amp;"º pav."))&amp;")",""),IF(Y165&lt;&gt;"","até "&amp;IF(Y165&lt;0,IF(COUNTIF($E$5:$E$6004,"SUBSOLO*")&gt;0,"subsolo",-Y165&amp;"º subsolo"),IF(Y165=0,"térreo",Y165&amp;"º pav.")),W165&amp;" de "&amp;V165&amp;" concluídas")&amp;IF(Z165="","",IF(OR(Y165="",Z165&gt;Y165),", executando "&amp;IF(Z165&lt;0,IF(COUNTIF($E$5:$E$6004,"SUBSOLO*")&gt;0,"subsolo",-Z165&amp;"º subsolo"),IF(Z165=0,"térreo",Z165&amp;"º pav."))," (restam serviços no "&amp;IF(Z165&lt;0,IF(COUNTIF($E$5:$E$6004,"SUBSOLO*")&gt;0,"subsolo",-Z165&amp;"º subsolo"),IF(Z165=0,"térreo",Z165&amp;"º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26" t="n">
        <v>45931</v>
      </c>
      <c r="G166" s="126" t="n">
        <v>45931</v>
      </c>
      <c r="H166" s="126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IF(E166="","",IF(ISNUMBER(SEARCH("SUBSOLO",E166)),IFERROR(-VALUE(LEFT(E166,FIND("º",SUBSTITUTE(E166,"°","º"))-1)),-1),IF(LEFT(E166,6)="TÉRREO",0,IFERROR(VALUE(LEFT(E166,FIND("º",SUBSTITUTE(E166,"°","º"))-1)),""))))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IF(R166="","",COUNTIF($C$5:$C$6004,R166))</f>
        <v/>
      </c>
      <c r="W166" s="2">
        <f>IF(R166="","",COUNTIFS($C$5:$C$6004,R166,$O$5:$O$6004,"CONCLUÍDA"))</f>
        <v/>
      </c>
      <c r="X166" s="2">
        <f>IF(R166="","",COUNTIFS($C$5:$C$6004,R166,$O$5:$O$6004,"EM ANDAMENTO"))</f>
        <v/>
      </c>
      <c r="Y166" s="2">
        <f>IF(R166="","",IF(COUNTIFS($C$5:$C$6004,R166,$O$5:$O$6004,"CONCLUÍDA",$N$5:$N$6004,"&gt;=-99")=0,"",_xlfn.MAXIFS($N$5:$N$6004,$C$5:$C$6004,R166,$O$5:$O$6004,"CONCLUÍDA")))</f>
        <v/>
      </c>
      <c r="Z166" s="2">
        <f>IF(R166="","",IF(COUNTIFS($C$5:$C$6004,R166,$O$5:$O$6004,"EM ANDAMENTO",$N$5:$N$6004,"&gt;=-99")=0,"",_xlfn.MAXIFS($N$5:$N$6004,$C$5:$C$6004,R166,$O$5:$O$6004,"EM ANDAMENTO")))</f>
        <v/>
      </c>
      <c r="AA166" s="2">
        <f>IF(OR(R166="",S166="",U166&lt;&gt;"SIM",V166=0),"",IF(W166+X166=0,"",T166&amp;": "&amp;IF(W166=V166,"concluído",IF(W166=0,"em execução"&amp;IF(Z166&lt;&gt;""," ("&amp;IF(Z166&lt;0,IF(COUNTIF($E$5:$E$6004,"SUBSOLO*")&gt;0,"subsolo",-Z166&amp;"º subsolo"),IF(Z166=0,"térreo",Z166&amp;"º pav."))&amp;")",""),IF(Y166&lt;&gt;"","até "&amp;IF(Y166&lt;0,IF(COUNTIF($E$5:$E$6004,"SUBSOLO*")&gt;0,"subsolo",-Y166&amp;"º subsolo"),IF(Y166=0,"térreo",Y166&amp;"º pav.")),W166&amp;" de "&amp;V166&amp;" concluídas")&amp;IF(Z166="","",IF(OR(Y166="",Z166&gt;Y166),", executando "&amp;IF(Z166&lt;0,IF(COUNTIF($E$5:$E$6004,"SUBSOLO*")&gt;0,"subsolo",-Z166&amp;"º subsolo"),IF(Z166=0,"térreo",Z166&amp;"º pav."))," (restam serviços no "&amp;IF(Z166&lt;0,IF(COUNTIF($E$5:$E$6004,"SUBSOLO*")&gt;0,"subsolo",-Z166&amp;"º subsolo"),IF(Z166=0,"térreo",Z166&amp;"º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26" t="n">
        <v>45940</v>
      </c>
      <c r="G167" s="126" t="n">
        <v>45940</v>
      </c>
      <c r="H167" s="126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IF(E167="","",IF(ISNUMBER(SEARCH("SUBSOLO",E167)),IFERROR(-VALUE(LEFT(E167,FIND("º",SUBSTITUTE(E167,"°","º"))-1)),-1),IF(LEFT(E167,6)="TÉRREO",0,IFERROR(VALUE(LEFT(E167,FIND("º",SUBSTITUTE(E167,"°","º"))-1)),""))))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IF(R167="","",COUNTIF($C$5:$C$6004,R167))</f>
        <v/>
      </c>
      <c r="W167" s="2">
        <f>IF(R167="","",COUNTIFS($C$5:$C$6004,R167,$O$5:$O$6004,"CONCLUÍDA"))</f>
        <v/>
      </c>
      <c r="X167" s="2">
        <f>IF(R167="","",COUNTIFS($C$5:$C$6004,R167,$O$5:$O$6004,"EM ANDAMENTO"))</f>
        <v/>
      </c>
      <c r="Y167" s="2">
        <f>IF(R167="","",IF(COUNTIFS($C$5:$C$6004,R167,$O$5:$O$6004,"CONCLUÍDA",$N$5:$N$6004,"&gt;=-99")=0,"",_xlfn.MAXIFS($N$5:$N$6004,$C$5:$C$6004,R167,$O$5:$O$6004,"CONCLUÍDA")))</f>
        <v/>
      </c>
      <c r="Z167" s="2">
        <f>IF(R167="","",IF(COUNTIFS($C$5:$C$6004,R167,$O$5:$O$6004,"EM ANDAMENTO",$N$5:$N$6004,"&gt;=-99")=0,"",_xlfn.MAXIFS($N$5:$N$6004,$C$5:$C$6004,R167,$O$5:$O$6004,"EM ANDAMENTO")))</f>
        <v/>
      </c>
      <c r="AA167" s="2">
        <f>IF(OR(R167="",S167="",U167&lt;&gt;"SIM",V167=0),"",IF(W167+X167=0,"",T167&amp;": "&amp;IF(W167=V167,"concluído",IF(W167=0,"em execução"&amp;IF(Z167&lt;&gt;""," ("&amp;IF(Z167&lt;0,IF(COUNTIF($E$5:$E$6004,"SUBSOLO*")&gt;0,"subsolo",-Z167&amp;"º subsolo"),IF(Z167=0,"térreo",Z167&amp;"º pav."))&amp;")",""),IF(Y167&lt;&gt;"","até "&amp;IF(Y167&lt;0,IF(COUNTIF($E$5:$E$6004,"SUBSOLO*")&gt;0,"subsolo",-Y167&amp;"º subsolo"),IF(Y167=0,"térreo",Y167&amp;"º pav.")),W167&amp;" de "&amp;V167&amp;" concluídas")&amp;IF(Z167="","",IF(OR(Y167="",Z167&gt;Y167),", executando "&amp;IF(Z167&lt;0,IF(COUNTIF($E$5:$E$6004,"SUBSOLO*")&gt;0,"subsolo",-Z167&amp;"º subsolo"),IF(Z167=0,"térreo",Z167&amp;"º pav."))," (restam serviços no "&amp;IF(Z167&lt;0,IF(COUNTIF($E$5:$E$6004,"SUBSOLO*")&gt;0,"subsolo",-Z167&amp;"º subsolo"),IF(Z167=0,"térreo",Z167&amp;"º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26" t="n">
        <v>45888</v>
      </c>
      <c r="G168" s="126" t="n">
        <v>45940</v>
      </c>
      <c r="H168" s="126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IF(E168="","",IF(ISNUMBER(SEARCH("SUBSOLO",E168)),IFERROR(-VALUE(LEFT(E168,FIND("º",SUBSTITUTE(E168,"°","º"))-1)),-1),IF(LEFT(E168,6)="TÉRREO",0,IFERROR(VALUE(LEFT(E168,FIND("º",SUBSTITUTE(E168,"°","º"))-1)),""))))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IF(R168="","",COUNTIF($C$5:$C$6004,R168))</f>
        <v/>
      </c>
      <c r="W168" s="2">
        <f>IF(R168="","",COUNTIFS($C$5:$C$6004,R168,$O$5:$O$6004,"CONCLUÍDA"))</f>
        <v/>
      </c>
      <c r="X168" s="2">
        <f>IF(R168="","",COUNTIFS($C$5:$C$6004,R168,$O$5:$O$6004,"EM ANDAMENTO"))</f>
        <v/>
      </c>
      <c r="Y168" s="2">
        <f>IF(R168="","",IF(COUNTIFS($C$5:$C$6004,R168,$O$5:$O$6004,"CONCLUÍDA",$N$5:$N$6004,"&gt;=-99")=0,"",_xlfn.MAXIFS($N$5:$N$6004,$C$5:$C$6004,R168,$O$5:$O$6004,"CONCLUÍDA")))</f>
        <v/>
      </c>
      <c r="Z168" s="2">
        <f>IF(R168="","",IF(COUNTIFS($C$5:$C$6004,R168,$O$5:$O$6004,"EM ANDAMENTO",$N$5:$N$6004,"&gt;=-99")=0,"",_xlfn.MAXIFS($N$5:$N$6004,$C$5:$C$6004,R168,$O$5:$O$6004,"EM ANDAMENTO")))</f>
        <v/>
      </c>
      <c r="AA168" s="2">
        <f>IF(OR(R168="",S168="",U168&lt;&gt;"SIM",V168=0),"",IF(W168+X168=0,"",T168&amp;": "&amp;IF(W168=V168,"concluído",IF(W168=0,"em execução"&amp;IF(Z168&lt;&gt;""," ("&amp;IF(Z168&lt;0,IF(COUNTIF($E$5:$E$6004,"SUBSOLO*")&gt;0,"subsolo",-Z168&amp;"º subsolo"),IF(Z168=0,"térreo",Z168&amp;"º pav."))&amp;")",""),IF(Y168&lt;&gt;"","até "&amp;IF(Y168&lt;0,IF(COUNTIF($E$5:$E$6004,"SUBSOLO*")&gt;0,"subsolo",-Y168&amp;"º subsolo"),IF(Y168=0,"térreo",Y168&amp;"º pav.")),W168&amp;" de "&amp;V168&amp;" concluídas")&amp;IF(Z168="","",IF(OR(Y168="",Z168&gt;Y168),", executando "&amp;IF(Z168&lt;0,IF(COUNTIF($E$5:$E$6004,"SUBSOLO*")&gt;0,"subsolo",-Z168&amp;"º subsolo"),IF(Z168=0,"térreo",Z168&amp;"º pav."))," (restam serviços no "&amp;IF(Z168&lt;0,IF(COUNTIF($E$5:$E$6004,"SUBSOLO*")&gt;0,"subsolo",-Z168&amp;"º subsolo"),IF(Z168=0,"térreo",Z168&amp;"º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26" t="n">
        <v>45901</v>
      </c>
      <c r="G169" s="126" t="n">
        <v>45912</v>
      </c>
      <c r="H169" s="126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IF(E169="","",IF(ISNUMBER(SEARCH("SUBSOLO",E169)),IFERROR(-VALUE(LEFT(E169,FIND("º",SUBSTITUTE(E169,"°","º"))-1)),-1),IF(LEFT(E169,6)="TÉRREO",0,IFERROR(VALUE(LEFT(E169,FIND("º",SUBSTITUTE(E169,"°","º"))-1)),""))))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IF(R169="","",COUNTIF($C$5:$C$6004,R169))</f>
        <v/>
      </c>
      <c r="W169" s="2">
        <f>IF(R169="","",COUNTIFS($C$5:$C$6004,R169,$O$5:$O$6004,"CONCLUÍDA"))</f>
        <v/>
      </c>
      <c r="X169" s="2">
        <f>IF(R169="","",COUNTIFS($C$5:$C$6004,R169,$O$5:$O$6004,"EM ANDAMENTO"))</f>
        <v/>
      </c>
      <c r="Y169" s="2">
        <f>IF(R169="","",IF(COUNTIFS($C$5:$C$6004,R169,$O$5:$O$6004,"CONCLUÍDA",$N$5:$N$6004,"&gt;=-99")=0,"",_xlfn.MAXIFS($N$5:$N$6004,$C$5:$C$6004,R169,$O$5:$O$6004,"CONCLUÍDA")))</f>
        <v/>
      </c>
      <c r="Z169" s="2">
        <f>IF(R169="","",IF(COUNTIFS($C$5:$C$6004,R169,$O$5:$O$6004,"EM ANDAMENTO",$N$5:$N$6004,"&gt;=-99")=0,"",_xlfn.MAXIFS($N$5:$N$6004,$C$5:$C$6004,R169,$O$5:$O$6004,"EM ANDAMENTO")))</f>
        <v/>
      </c>
      <c r="AA169" s="2">
        <f>IF(OR(R169="",S169="",U169&lt;&gt;"SIM",V169=0),"",IF(W169+X169=0,"",T169&amp;": "&amp;IF(W169=V169,"concluído",IF(W169=0,"em execução"&amp;IF(Z169&lt;&gt;""," ("&amp;IF(Z169&lt;0,IF(COUNTIF($E$5:$E$6004,"SUBSOLO*")&gt;0,"subsolo",-Z169&amp;"º subsolo"),IF(Z169=0,"térreo",Z169&amp;"º pav."))&amp;")",""),IF(Y169&lt;&gt;"","até "&amp;IF(Y169&lt;0,IF(COUNTIF($E$5:$E$6004,"SUBSOLO*")&gt;0,"subsolo",-Y169&amp;"º subsolo"),IF(Y169=0,"térreo",Y169&amp;"º pav.")),W169&amp;" de "&amp;V169&amp;" concluídas")&amp;IF(Z169="","",IF(OR(Y169="",Z169&gt;Y169),", executando "&amp;IF(Z169&lt;0,IF(COUNTIF($E$5:$E$6004,"SUBSOLO*")&gt;0,"subsolo",-Z169&amp;"º subsolo"),IF(Z169=0,"térreo",Z169&amp;"º pav."))," (restam serviços no "&amp;IF(Z169&lt;0,IF(COUNTIF($E$5:$E$6004,"SUBSOLO*")&gt;0,"subsolo",-Z169&amp;"º subsolo"),IF(Z169=0,"térreo",Z169&amp;"º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26" t="n">
        <v>45901</v>
      </c>
      <c r="G170" s="126" t="n">
        <v>45911</v>
      </c>
      <c r="H170" s="126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IF(E170="","",IF(ISNUMBER(SEARCH("SUBSOLO",E170)),IFERROR(-VALUE(LEFT(E170,FIND("º",SUBSTITUTE(E170,"°","º"))-1)),-1),IF(LEFT(E170,6)="TÉRREO",0,IFERROR(VALUE(LEFT(E170,FIND("º",SUBSTITUTE(E170,"°","º"))-1)),""))))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IF(R170="","",COUNTIF($C$5:$C$6004,R170))</f>
        <v/>
      </c>
      <c r="W170" s="2">
        <f>IF(R170="","",COUNTIFS($C$5:$C$6004,R170,$O$5:$O$6004,"CONCLUÍDA"))</f>
        <v/>
      </c>
      <c r="X170" s="2">
        <f>IF(R170="","",COUNTIFS($C$5:$C$6004,R170,$O$5:$O$6004,"EM ANDAMENTO"))</f>
        <v/>
      </c>
      <c r="Y170" s="2">
        <f>IF(R170="","",IF(COUNTIFS($C$5:$C$6004,R170,$O$5:$O$6004,"CONCLUÍDA",$N$5:$N$6004,"&gt;=-99")=0,"",_xlfn.MAXIFS($N$5:$N$6004,$C$5:$C$6004,R170,$O$5:$O$6004,"CONCLUÍDA")))</f>
        <v/>
      </c>
      <c r="Z170" s="2">
        <f>IF(R170="","",IF(COUNTIFS($C$5:$C$6004,R170,$O$5:$O$6004,"EM ANDAMENTO",$N$5:$N$6004,"&gt;=-99")=0,"",_xlfn.MAXIFS($N$5:$N$6004,$C$5:$C$6004,R170,$O$5:$O$6004,"EM ANDAMENTO")))</f>
        <v/>
      </c>
      <c r="AA170" s="2">
        <f>IF(OR(R170="",S170="",U170&lt;&gt;"SIM",V170=0),"",IF(W170+X170=0,"",T170&amp;": "&amp;IF(W170=V170,"concluído",IF(W170=0,"em execução"&amp;IF(Z170&lt;&gt;""," ("&amp;IF(Z170&lt;0,IF(COUNTIF($E$5:$E$6004,"SUBSOLO*")&gt;0,"subsolo",-Z170&amp;"º subsolo"),IF(Z170=0,"térreo",Z170&amp;"º pav."))&amp;")",""),IF(Y170&lt;&gt;"","até "&amp;IF(Y170&lt;0,IF(COUNTIF($E$5:$E$6004,"SUBSOLO*")&gt;0,"subsolo",-Y170&amp;"º subsolo"),IF(Y170=0,"térreo",Y170&amp;"º pav.")),W170&amp;" de "&amp;V170&amp;" concluídas")&amp;IF(Z170="","",IF(OR(Y170="",Z170&gt;Y170),", executando "&amp;IF(Z170&lt;0,IF(COUNTIF($E$5:$E$6004,"SUBSOLO*")&gt;0,"subsolo",-Z170&amp;"º subsolo"),IF(Z170=0,"térreo",Z170&amp;"º pav."))," (restam serviços no "&amp;IF(Z170&lt;0,IF(COUNTIF($E$5:$E$6004,"SUBSOLO*")&gt;0,"subsolo",-Z170&amp;"º subsolo"),IF(Z170=0,"térreo",Z170&amp;"º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26" t="n">
        <v>45901</v>
      </c>
      <c r="G171" s="126" t="n">
        <v>45911</v>
      </c>
      <c r="H171" s="126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IF(E171="","",IF(ISNUMBER(SEARCH("SUBSOLO",E171)),IFERROR(-VALUE(LEFT(E171,FIND("º",SUBSTITUTE(E171,"°","º"))-1)),-1),IF(LEFT(E171,6)="TÉRREO",0,IFERROR(VALUE(LEFT(E171,FIND("º",SUBSTITUTE(E171,"°","º"))-1)),""))))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IF(R171="","",COUNTIF($C$5:$C$6004,R171))</f>
        <v/>
      </c>
      <c r="W171" s="2">
        <f>IF(R171="","",COUNTIFS($C$5:$C$6004,R171,$O$5:$O$6004,"CONCLUÍDA"))</f>
        <v/>
      </c>
      <c r="X171" s="2">
        <f>IF(R171="","",COUNTIFS($C$5:$C$6004,R171,$O$5:$O$6004,"EM ANDAMENTO"))</f>
        <v/>
      </c>
      <c r="Y171" s="2">
        <f>IF(R171="","",IF(COUNTIFS($C$5:$C$6004,R171,$O$5:$O$6004,"CONCLUÍDA",$N$5:$N$6004,"&gt;=-99")=0,"",_xlfn.MAXIFS($N$5:$N$6004,$C$5:$C$6004,R171,$O$5:$O$6004,"CONCLUÍDA")))</f>
        <v/>
      </c>
      <c r="Z171" s="2">
        <f>IF(R171="","",IF(COUNTIFS($C$5:$C$6004,R171,$O$5:$O$6004,"EM ANDAMENTO",$N$5:$N$6004,"&gt;=-99")=0,"",_xlfn.MAXIFS($N$5:$N$6004,$C$5:$C$6004,R171,$O$5:$O$6004,"EM ANDAMENTO")))</f>
        <v/>
      </c>
      <c r="AA171" s="2">
        <f>IF(OR(R171="",S171="",U171&lt;&gt;"SIM",V171=0),"",IF(W171+X171=0,"",T171&amp;": "&amp;IF(W171=V171,"concluído",IF(W171=0,"em execução"&amp;IF(Z171&lt;&gt;""," ("&amp;IF(Z171&lt;0,IF(COUNTIF($E$5:$E$6004,"SUBSOLO*")&gt;0,"subsolo",-Z171&amp;"º subsolo"),IF(Z171=0,"térreo",Z171&amp;"º pav."))&amp;")",""),IF(Y171&lt;&gt;"","até "&amp;IF(Y171&lt;0,IF(COUNTIF($E$5:$E$6004,"SUBSOLO*")&gt;0,"subsolo",-Y171&amp;"º subsolo"),IF(Y171=0,"térreo",Y171&amp;"º pav.")),W171&amp;" de "&amp;V171&amp;" concluídas")&amp;IF(Z171="","",IF(OR(Y171="",Z171&gt;Y171),", executando "&amp;IF(Z171&lt;0,IF(COUNTIF($E$5:$E$6004,"SUBSOLO*")&gt;0,"subsolo",-Z171&amp;"º subsolo"),IF(Z171=0,"térreo",Z171&amp;"º pav."))," (restam serviços no "&amp;IF(Z171&lt;0,IF(COUNTIF($E$5:$E$6004,"SUBSOLO*")&gt;0,"subsolo",-Z171&amp;"º subsolo"),IF(Z171=0,"térreo",Z171&amp;"º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26" t="n">
        <v>45908</v>
      </c>
      <c r="G172" s="126" t="n">
        <v>45910</v>
      </c>
      <c r="H172" s="126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IF(E172="","",IF(ISNUMBER(SEARCH("SUBSOLO",E172)),IFERROR(-VALUE(LEFT(E172,FIND("º",SUBSTITUTE(E172,"°","º"))-1)),-1),IF(LEFT(E172,6)="TÉRREO",0,IFERROR(VALUE(LEFT(E172,FIND("º",SUBSTITUTE(E172,"°","º"))-1)),""))))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IF(R172="","",COUNTIF($C$5:$C$6004,R172))</f>
        <v/>
      </c>
      <c r="W172" s="2">
        <f>IF(R172="","",COUNTIFS($C$5:$C$6004,R172,$O$5:$O$6004,"CONCLUÍDA"))</f>
        <v/>
      </c>
      <c r="X172" s="2">
        <f>IF(R172="","",COUNTIFS($C$5:$C$6004,R172,$O$5:$O$6004,"EM ANDAMENTO"))</f>
        <v/>
      </c>
      <c r="Y172" s="2">
        <f>IF(R172="","",IF(COUNTIFS($C$5:$C$6004,R172,$O$5:$O$6004,"CONCLUÍDA",$N$5:$N$6004,"&gt;=-99")=0,"",_xlfn.MAXIFS($N$5:$N$6004,$C$5:$C$6004,R172,$O$5:$O$6004,"CONCLUÍDA")))</f>
        <v/>
      </c>
      <c r="Z172" s="2">
        <f>IF(R172="","",IF(COUNTIFS($C$5:$C$6004,R172,$O$5:$O$6004,"EM ANDAMENTO",$N$5:$N$6004,"&gt;=-99")=0,"",_xlfn.MAXIFS($N$5:$N$6004,$C$5:$C$6004,R172,$O$5:$O$6004,"EM ANDAMENTO")))</f>
        <v/>
      </c>
      <c r="AA172" s="2">
        <f>IF(OR(R172="",S172="",U172&lt;&gt;"SIM",V172=0),"",IF(W172+X172=0,"",T172&amp;": "&amp;IF(W172=V172,"concluído",IF(W172=0,"em execução"&amp;IF(Z172&lt;&gt;""," ("&amp;IF(Z172&lt;0,IF(COUNTIF($E$5:$E$6004,"SUBSOLO*")&gt;0,"subsolo",-Z172&amp;"º subsolo"),IF(Z172=0,"térreo",Z172&amp;"º pav."))&amp;")",""),IF(Y172&lt;&gt;"","até "&amp;IF(Y172&lt;0,IF(COUNTIF($E$5:$E$6004,"SUBSOLO*")&gt;0,"subsolo",-Y172&amp;"º subsolo"),IF(Y172=0,"térreo",Y172&amp;"º pav.")),W172&amp;" de "&amp;V172&amp;" concluídas")&amp;IF(Z172="","",IF(OR(Y172="",Z172&gt;Y172),", executando "&amp;IF(Z172&lt;0,IF(COUNTIF($E$5:$E$6004,"SUBSOLO*")&gt;0,"subsolo",-Z172&amp;"º subsolo"),IF(Z172=0,"térreo",Z172&amp;"º pav."))," (restam serviços no "&amp;IF(Z172&lt;0,IF(COUNTIF($E$5:$E$6004,"SUBSOLO*")&gt;0,"subsolo",-Z172&amp;"º subsolo"),IF(Z172=0,"térreo",Z172&amp;"º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26" t="n">
        <v>45912</v>
      </c>
      <c r="G173" s="126" t="n">
        <v>45912</v>
      </c>
      <c r="H173" s="126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IF(E173="","",IF(ISNUMBER(SEARCH("SUBSOLO",E173)),IFERROR(-VALUE(LEFT(E173,FIND("º",SUBSTITUTE(E173,"°","º"))-1)),-1),IF(LEFT(E173,6)="TÉRREO",0,IFERROR(VALUE(LEFT(E173,FIND("º",SUBSTITUTE(E173,"°","º"))-1)),""))))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IF(R173="","",COUNTIF($C$5:$C$6004,R173))</f>
        <v/>
      </c>
      <c r="W173" s="2">
        <f>IF(R173="","",COUNTIFS($C$5:$C$6004,R173,$O$5:$O$6004,"CONCLUÍDA"))</f>
        <v/>
      </c>
      <c r="X173" s="2">
        <f>IF(R173="","",COUNTIFS($C$5:$C$6004,R173,$O$5:$O$6004,"EM ANDAMENTO"))</f>
        <v/>
      </c>
      <c r="Y173" s="2">
        <f>IF(R173="","",IF(COUNTIFS($C$5:$C$6004,R173,$O$5:$O$6004,"CONCLUÍDA",$N$5:$N$6004,"&gt;=-99")=0,"",_xlfn.MAXIFS($N$5:$N$6004,$C$5:$C$6004,R173,$O$5:$O$6004,"CONCLUÍDA")))</f>
        <v/>
      </c>
      <c r="Z173" s="2">
        <f>IF(R173="","",IF(COUNTIFS($C$5:$C$6004,R173,$O$5:$O$6004,"EM ANDAMENTO",$N$5:$N$6004,"&gt;=-99")=0,"",_xlfn.MAXIFS($N$5:$N$6004,$C$5:$C$6004,R173,$O$5:$O$6004,"EM ANDAMENTO")))</f>
        <v/>
      </c>
      <c r="AA173" s="2">
        <f>IF(OR(R173="",S173="",U173&lt;&gt;"SIM",V173=0),"",IF(W173+X173=0,"",T173&amp;": "&amp;IF(W173=V173,"concluído",IF(W173=0,"em execução"&amp;IF(Z173&lt;&gt;""," ("&amp;IF(Z173&lt;0,IF(COUNTIF($E$5:$E$6004,"SUBSOLO*")&gt;0,"subsolo",-Z173&amp;"º subsolo"),IF(Z173=0,"térreo",Z173&amp;"º pav."))&amp;")",""),IF(Y173&lt;&gt;"","até "&amp;IF(Y173&lt;0,IF(COUNTIF($E$5:$E$6004,"SUBSOLO*")&gt;0,"subsolo",-Y173&amp;"º subsolo"),IF(Y173=0,"térreo",Y173&amp;"º pav.")),W173&amp;" de "&amp;V173&amp;" concluídas")&amp;IF(Z173="","",IF(OR(Y173="",Z173&gt;Y173),", executando "&amp;IF(Z173&lt;0,IF(COUNTIF($E$5:$E$6004,"SUBSOLO*")&gt;0,"subsolo",-Z173&amp;"º subsolo"),IF(Z173=0,"térreo",Z173&amp;"º pav."))," (restam serviços no "&amp;IF(Z173&lt;0,IF(COUNTIF($E$5:$E$6004,"SUBSOLO*")&gt;0,"subsolo",-Z173&amp;"º subsolo"),IF(Z173=0,"térreo",Z173&amp;"º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26" t="n">
        <v>45901</v>
      </c>
      <c r="G174" s="126" t="n">
        <v>45912</v>
      </c>
      <c r="H174" s="126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IF(E174="","",IF(ISNUMBER(SEARCH("SUBSOLO",E174)),IFERROR(-VALUE(LEFT(E174,FIND("º",SUBSTITUTE(E174,"°","º"))-1)),-1),IF(LEFT(E174,6)="TÉRREO",0,IFERROR(VALUE(LEFT(E174,FIND("º",SUBSTITUTE(E174,"°","º"))-1)),""))))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IF(R174="","",COUNTIF($C$5:$C$6004,R174))</f>
        <v/>
      </c>
      <c r="W174" s="2">
        <f>IF(R174="","",COUNTIFS($C$5:$C$6004,R174,$O$5:$O$6004,"CONCLUÍDA"))</f>
        <v/>
      </c>
      <c r="X174" s="2">
        <f>IF(R174="","",COUNTIFS($C$5:$C$6004,R174,$O$5:$O$6004,"EM ANDAMENTO"))</f>
        <v/>
      </c>
      <c r="Y174" s="2">
        <f>IF(R174="","",IF(COUNTIFS($C$5:$C$6004,R174,$O$5:$O$6004,"CONCLUÍDA",$N$5:$N$6004,"&gt;=-99")=0,"",_xlfn.MAXIFS($N$5:$N$6004,$C$5:$C$6004,R174,$O$5:$O$6004,"CONCLUÍDA")))</f>
        <v/>
      </c>
      <c r="Z174" s="2">
        <f>IF(R174="","",IF(COUNTIFS($C$5:$C$6004,R174,$O$5:$O$6004,"EM ANDAMENTO",$N$5:$N$6004,"&gt;=-99")=0,"",_xlfn.MAXIFS($N$5:$N$6004,$C$5:$C$6004,R174,$O$5:$O$6004,"EM ANDAMENTO")))</f>
        <v/>
      </c>
      <c r="AA174" s="2">
        <f>IF(OR(R174="",S174="",U174&lt;&gt;"SIM",V174=0),"",IF(W174+X174=0,"",T174&amp;": "&amp;IF(W174=V174,"concluído",IF(W174=0,"em execução"&amp;IF(Z174&lt;&gt;""," ("&amp;IF(Z174&lt;0,IF(COUNTIF($E$5:$E$6004,"SUBSOLO*")&gt;0,"subsolo",-Z174&amp;"º subsolo"),IF(Z174=0,"térreo",Z174&amp;"º pav."))&amp;")",""),IF(Y174&lt;&gt;"","até "&amp;IF(Y174&lt;0,IF(COUNTIF($E$5:$E$6004,"SUBSOLO*")&gt;0,"subsolo",-Y174&amp;"º subsolo"),IF(Y174=0,"térreo",Y174&amp;"º pav.")),W174&amp;" de "&amp;V174&amp;" concluídas")&amp;IF(Z174="","",IF(OR(Y174="",Z174&gt;Y174),", executando "&amp;IF(Z174&lt;0,IF(COUNTIF($E$5:$E$6004,"SUBSOLO*")&gt;0,"subsolo",-Z174&amp;"º subsolo"),IF(Z174=0,"térreo",Z174&amp;"º pav."))," (restam serviços no "&amp;IF(Z174&lt;0,IF(COUNTIF($E$5:$E$6004,"SUBSOLO*")&gt;0,"subsolo",-Z174&amp;"º subsolo"),IF(Z174=0,"térreo",Z174&amp;"º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26" t="n">
        <v>45901</v>
      </c>
      <c r="G175" s="126" t="n">
        <v>45904</v>
      </c>
      <c r="H175" s="126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IF(E175="","",IF(ISNUMBER(SEARCH("SUBSOLO",E175)),IFERROR(-VALUE(LEFT(E175,FIND("º",SUBSTITUTE(E175,"°","º"))-1)),-1),IF(LEFT(E175,6)="TÉRREO",0,IFERROR(VALUE(LEFT(E175,FIND("º",SUBSTITUTE(E175,"°","º"))-1)),""))))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IF(R175="","",COUNTIF($C$5:$C$6004,R175))</f>
        <v/>
      </c>
      <c r="W175" s="2">
        <f>IF(R175="","",COUNTIFS($C$5:$C$6004,R175,$O$5:$O$6004,"CONCLUÍDA"))</f>
        <v/>
      </c>
      <c r="X175" s="2">
        <f>IF(R175="","",COUNTIFS($C$5:$C$6004,R175,$O$5:$O$6004,"EM ANDAMENTO"))</f>
        <v/>
      </c>
      <c r="Y175" s="2">
        <f>IF(R175="","",IF(COUNTIFS($C$5:$C$6004,R175,$O$5:$O$6004,"CONCLUÍDA",$N$5:$N$6004,"&gt;=-99")=0,"",_xlfn.MAXIFS($N$5:$N$6004,$C$5:$C$6004,R175,$O$5:$O$6004,"CONCLUÍDA")))</f>
        <v/>
      </c>
      <c r="Z175" s="2">
        <f>IF(R175="","",IF(COUNTIFS($C$5:$C$6004,R175,$O$5:$O$6004,"EM ANDAMENTO",$N$5:$N$6004,"&gt;=-99")=0,"",_xlfn.MAXIFS($N$5:$N$6004,$C$5:$C$6004,R175,$O$5:$O$6004,"EM ANDAMENTO")))</f>
        <v/>
      </c>
      <c r="AA175" s="2">
        <f>IF(OR(R175="",S175="",U175&lt;&gt;"SIM",V175=0),"",IF(W175+X175=0,"",T175&amp;": "&amp;IF(W175=V175,"concluído",IF(W175=0,"em execução"&amp;IF(Z175&lt;&gt;""," ("&amp;IF(Z175&lt;0,IF(COUNTIF($E$5:$E$6004,"SUBSOLO*")&gt;0,"subsolo",-Z175&amp;"º subsolo"),IF(Z175=0,"térreo",Z175&amp;"º pav."))&amp;")",""),IF(Y175&lt;&gt;"","até "&amp;IF(Y175&lt;0,IF(COUNTIF($E$5:$E$6004,"SUBSOLO*")&gt;0,"subsolo",-Y175&amp;"º subsolo"),IF(Y175=0,"térreo",Y175&amp;"º pav.")),W175&amp;" de "&amp;V175&amp;" concluídas")&amp;IF(Z175="","",IF(OR(Y175="",Z175&gt;Y175),", executando "&amp;IF(Z175&lt;0,IF(COUNTIF($E$5:$E$6004,"SUBSOLO*")&gt;0,"subsolo",-Z175&amp;"º subsolo"),IF(Z175=0,"térreo",Z175&amp;"º pav."))," (restam serviços no "&amp;IF(Z175&lt;0,IF(COUNTIF($E$5:$E$6004,"SUBSOLO*")&gt;0,"subsolo",-Z175&amp;"º subsolo"),IF(Z175=0,"térreo",Z175&amp;"º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26" t="n">
        <v>45901</v>
      </c>
      <c r="G176" s="126" t="n">
        <v>45903</v>
      </c>
      <c r="H176" s="126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IF(E176="","",IF(ISNUMBER(SEARCH("SUBSOLO",E176)),IFERROR(-VALUE(LEFT(E176,FIND("º",SUBSTITUTE(E176,"°","º"))-1)),-1),IF(LEFT(E176,6)="TÉRREO",0,IFERROR(VALUE(LEFT(E176,FIND("º",SUBSTITUTE(E176,"°","º"))-1)),""))))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IF(R176="","",COUNTIF($C$5:$C$6004,R176))</f>
        <v/>
      </c>
      <c r="W176" s="2">
        <f>IF(R176="","",COUNTIFS($C$5:$C$6004,R176,$O$5:$O$6004,"CONCLUÍDA"))</f>
        <v/>
      </c>
      <c r="X176" s="2">
        <f>IF(R176="","",COUNTIFS($C$5:$C$6004,R176,$O$5:$O$6004,"EM ANDAMENTO"))</f>
        <v/>
      </c>
      <c r="Y176" s="2">
        <f>IF(R176="","",IF(COUNTIFS($C$5:$C$6004,R176,$O$5:$O$6004,"CONCLUÍDA",$N$5:$N$6004,"&gt;=-99")=0,"",_xlfn.MAXIFS($N$5:$N$6004,$C$5:$C$6004,R176,$O$5:$O$6004,"CONCLUÍDA")))</f>
        <v/>
      </c>
      <c r="Z176" s="2">
        <f>IF(R176="","",IF(COUNTIFS($C$5:$C$6004,R176,$O$5:$O$6004,"EM ANDAMENTO",$N$5:$N$6004,"&gt;=-99")=0,"",_xlfn.MAXIFS($N$5:$N$6004,$C$5:$C$6004,R176,$O$5:$O$6004,"EM ANDAMENTO")))</f>
        <v/>
      </c>
      <c r="AA176" s="2">
        <f>IF(OR(R176="",S176="",U176&lt;&gt;"SIM",V176=0),"",IF(W176+X176=0,"",T176&amp;": "&amp;IF(W176=V176,"concluído",IF(W176=0,"em execução"&amp;IF(Z176&lt;&gt;""," ("&amp;IF(Z176&lt;0,IF(COUNTIF($E$5:$E$6004,"SUBSOLO*")&gt;0,"subsolo",-Z176&amp;"º subsolo"),IF(Z176=0,"térreo",Z176&amp;"º pav."))&amp;")",""),IF(Y176&lt;&gt;"","até "&amp;IF(Y176&lt;0,IF(COUNTIF($E$5:$E$6004,"SUBSOLO*")&gt;0,"subsolo",-Y176&amp;"º subsolo"),IF(Y176=0,"térreo",Y176&amp;"º pav.")),W176&amp;" de "&amp;V176&amp;" concluídas")&amp;IF(Z176="","",IF(OR(Y176="",Z176&gt;Y176),", executando "&amp;IF(Z176&lt;0,IF(COUNTIF($E$5:$E$6004,"SUBSOLO*")&gt;0,"subsolo",-Z176&amp;"º subsolo"),IF(Z176=0,"térreo",Z176&amp;"º pav."))," (restam serviços no "&amp;IF(Z176&lt;0,IF(COUNTIF($E$5:$E$6004,"SUBSOLO*")&gt;0,"subsolo",-Z176&amp;"º subsolo"),IF(Z176=0,"térreo",Z176&amp;"º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26" t="n">
        <v>45905</v>
      </c>
      <c r="G177" s="126" t="n">
        <v>45905</v>
      </c>
      <c r="H177" s="126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IF(E177="","",IF(ISNUMBER(SEARCH("SUBSOLO",E177)),IFERROR(-VALUE(LEFT(E177,FIND("º",SUBSTITUTE(E177,"°","º"))-1)),-1),IF(LEFT(E177,6)="TÉRREO",0,IFERROR(VALUE(LEFT(E177,FIND("º",SUBSTITUTE(E177,"°","º"))-1)),""))))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IF(R177="","",COUNTIF($C$5:$C$6004,R177))</f>
        <v/>
      </c>
      <c r="W177" s="2">
        <f>IF(R177="","",COUNTIFS($C$5:$C$6004,R177,$O$5:$O$6004,"CONCLUÍDA"))</f>
        <v/>
      </c>
      <c r="X177" s="2">
        <f>IF(R177="","",COUNTIFS($C$5:$C$6004,R177,$O$5:$O$6004,"EM ANDAMENTO"))</f>
        <v/>
      </c>
      <c r="Y177" s="2">
        <f>IF(R177="","",IF(COUNTIFS($C$5:$C$6004,R177,$O$5:$O$6004,"CONCLUÍDA",$N$5:$N$6004,"&gt;=-99")=0,"",_xlfn.MAXIFS($N$5:$N$6004,$C$5:$C$6004,R177,$O$5:$O$6004,"CONCLUÍDA")))</f>
        <v/>
      </c>
      <c r="Z177" s="2">
        <f>IF(R177="","",IF(COUNTIFS($C$5:$C$6004,R177,$O$5:$O$6004,"EM ANDAMENTO",$N$5:$N$6004,"&gt;=-99")=0,"",_xlfn.MAXIFS($N$5:$N$6004,$C$5:$C$6004,R177,$O$5:$O$6004,"EM ANDAMENTO")))</f>
        <v/>
      </c>
      <c r="AA177" s="2">
        <f>IF(OR(R177="",S177="",U177&lt;&gt;"SIM",V177=0),"",IF(W177+X177=0,"",T177&amp;": "&amp;IF(W177=V177,"concluído",IF(W177=0,"em execução"&amp;IF(Z177&lt;&gt;""," ("&amp;IF(Z177&lt;0,IF(COUNTIF($E$5:$E$6004,"SUBSOLO*")&gt;0,"subsolo",-Z177&amp;"º subsolo"),IF(Z177=0,"térreo",Z177&amp;"º pav."))&amp;")",""),IF(Y177&lt;&gt;"","até "&amp;IF(Y177&lt;0,IF(COUNTIF($E$5:$E$6004,"SUBSOLO*")&gt;0,"subsolo",-Y177&amp;"º subsolo"),IF(Y177=0,"térreo",Y177&amp;"º pav.")),W177&amp;" de "&amp;V177&amp;" concluídas")&amp;IF(Z177="","",IF(OR(Y177="",Z177&gt;Y177),", executando "&amp;IF(Z177&lt;0,IF(COUNTIF($E$5:$E$6004,"SUBSOLO*")&gt;0,"subsolo",-Z177&amp;"º subsolo"),IF(Z177=0,"térreo",Z177&amp;"º pav."))," (restam serviços no "&amp;IF(Z177&lt;0,IF(COUNTIF($E$5:$E$6004,"SUBSOLO*")&gt;0,"subsolo",-Z177&amp;"º subsolo"),IF(Z177=0,"térreo",Z177&amp;"º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26" t="n">
        <v>45901</v>
      </c>
      <c r="G178" s="126" t="n">
        <v>45905</v>
      </c>
      <c r="H178" s="126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IF(E178="","",IF(ISNUMBER(SEARCH("SUBSOLO",E178)),IFERROR(-VALUE(LEFT(E178,FIND("º",SUBSTITUTE(E178,"°","º"))-1)),-1),IF(LEFT(E178,6)="TÉRREO",0,IFERROR(VALUE(LEFT(E178,FIND("º",SUBSTITUTE(E178,"°","º"))-1)),""))))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IF(R178="","",COUNTIF($C$5:$C$6004,R178))</f>
        <v/>
      </c>
      <c r="W178" s="2">
        <f>IF(R178="","",COUNTIFS($C$5:$C$6004,R178,$O$5:$O$6004,"CONCLUÍDA"))</f>
        <v/>
      </c>
      <c r="X178" s="2">
        <f>IF(R178="","",COUNTIFS($C$5:$C$6004,R178,$O$5:$O$6004,"EM ANDAMENTO"))</f>
        <v/>
      </c>
      <c r="Y178" s="2">
        <f>IF(R178="","",IF(COUNTIFS($C$5:$C$6004,R178,$O$5:$O$6004,"CONCLUÍDA",$N$5:$N$6004,"&gt;=-99")=0,"",_xlfn.MAXIFS($N$5:$N$6004,$C$5:$C$6004,R178,$O$5:$O$6004,"CONCLUÍDA")))</f>
        <v/>
      </c>
      <c r="Z178" s="2">
        <f>IF(R178="","",IF(COUNTIFS($C$5:$C$6004,R178,$O$5:$O$6004,"EM ANDAMENTO",$N$5:$N$6004,"&gt;=-99")=0,"",_xlfn.MAXIFS($N$5:$N$6004,$C$5:$C$6004,R178,$O$5:$O$6004,"EM ANDAMENTO")))</f>
        <v/>
      </c>
      <c r="AA178" s="2">
        <f>IF(OR(R178="",S178="",U178&lt;&gt;"SIM",V178=0),"",IF(W178+X178=0,"",T178&amp;": "&amp;IF(W178=V178,"concluído",IF(W178=0,"em execução"&amp;IF(Z178&lt;&gt;""," ("&amp;IF(Z178&lt;0,IF(COUNTIF($E$5:$E$6004,"SUBSOLO*")&gt;0,"subsolo",-Z178&amp;"º subsolo"),IF(Z178=0,"térreo",Z178&amp;"º pav."))&amp;")",""),IF(Y178&lt;&gt;"","até "&amp;IF(Y178&lt;0,IF(COUNTIF($E$5:$E$6004,"SUBSOLO*")&gt;0,"subsolo",-Y178&amp;"º subsolo"),IF(Y178=0,"térreo",Y178&amp;"º pav.")),W178&amp;" de "&amp;V178&amp;" concluídas")&amp;IF(Z178="","",IF(OR(Y178="",Z178&gt;Y178),", executando "&amp;IF(Z178&lt;0,IF(COUNTIF($E$5:$E$6004,"SUBSOLO*")&gt;0,"subsolo",-Z178&amp;"º subsolo"),IF(Z178=0,"térreo",Z178&amp;"º pav."))," (restam serviços no "&amp;IF(Z178&lt;0,IF(COUNTIF($E$5:$E$6004,"SUBSOLO*")&gt;0,"subsolo",-Z178&amp;"º subsolo"),IF(Z178=0,"térreo",Z178&amp;"º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26" t="n">
        <v>45908</v>
      </c>
      <c r="G179" s="126" t="n">
        <v>45911</v>
      </c>
      <c r="H179" s="126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IF(E179="","",IF(ISNUMBER(SEARCH("SUBSOLO",E179)),IFERROR(-VALUE(LEFT(E179,FIND("º",SUBSTITUTE(E179,"°","º"))-1)),-1),IF(LEFT(E179,6)="TÉRREO",0,IFERROR(VALUE(LEFT(E179,FIND("º",SUBSTITUTE(E179,"°","º"))-1)),""))))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IF(R179="","",COUNTIF($C$5:$C$6004,R179))</f>
        <v/>
      </c>
      <c r="W179" s="2">
        <f>IF(R179="","",COUNTIFS($C$5:$C$6004,R179,$O$5:$O$6004,"CONCLUÍDA"))</f>
        <v/>
      </c>
      <c r="X179" s="2">
        <f>IF(R179="","",COUNTIFS($C$5:$C$6004,R179,$O$5:$O$6004,"EM ANDAMENTO"))</f>
        <v/>
      </c>
      <c r="Y179" s="2">
        <f>IF(R179="","",IF(COUNTIFS($C$5:$C$6004,R179,$O$5:$O$6004,"CONCLUÍDA",$N$5:$N$6004,"&gt;=-99")=0,"",_xlfn.MAXIFS($N$5:$N$6004,$C$5:$C$6004,R179,$O$5:$O$6004,"CONCLUÍDA")))</f>
        <v/>
      </c>
      <c r="Z179" s="2">
        <f>IF(R179="","",IF(COUNTIFS($C$5:$C$6004,R179,$O$5:$O$6004,"EM ANDAMENTO",$N$5:$N$6004,"&gt;=-99")=0,"",_xlfn.MAXIFS($N$5:$N$6004,$C$5:$C$6004,R179,$O$5:$O$6004,"EM ANDAMENTO")))</f>
        <v/>
      </c>
      <c r="AA179" s="2">
        <f>IF(OR(R179="",S179="",U179&lt;&gt;"SIM",V179=0),"",IF(W179+X179=0,"",T179&amp;": "&amp;IF(W179=V179,"concluído",IF(W179=0,"em execução"&amp;IF(Z179&lt;&gt;""," ("&amp;IF(Z179&lt;0,IF(COUNTIF($E$5:$E$6004,"SUBSOLO*")&gt;0,"subsolo",-Z179&amp;"º subsolo"),IF(Z179=0,"térreo",Z179&amp;"º pav."))&amp;")",""),IF(Y179&lt;&gt;"","até "&amp;IF(Y179&lt;0,IF(COUNTIF($E$5:$E$6004,"SUBSOLO*")&gt;0,"subsolo",-Y179&amp;"º subsolo"),IF(Y179=0,"térreo",Y179&amp;"º pav.")),W179&amp;" de "&amp;V179&amp;" concluídas")&amp;IF(Z179="","",IF(OR(Y179="",Z179&gt;Y179),", executando "&amp;IF(Z179&lt;0,IF(COUNTIF($E$5:$E$6004,"SUBSOLO*")&gt;0,"subsolo",-Z179&amp;"º subsolo"),IF(Z179=0,"térreo",Z179&amp;"º pav."))," (restam serviços no "&amp;IF(Z179&lt;0,IF(COUNTIF($E$5:$E$6004,"SUBSOLO*")&gt;0,"subsolo",-Z179&amp;"º subsolo"),IF(Z179=0,"térreo",Z179&amp;"º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26" t="n">
        <v>45912</v>
      </c>
      <c r="G180" s="126" t="n">
        <v>45912</v>
      </c>
      <c r="H180" s="126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IF(E180="","",IF(ISNUMBER(SEARCH("SUBSOLO",E180)),IFERROR(-VALUE(LEFT(E180,FIND("º",SUBSTITUTE(E180,"°","º"))-1)),-1),IF(LEFT(E180,6)="TÉRREO",0,IFERROR(VALUE(LEFT(E180,FIND("º",SUBSTITUTE(E180,"°","º"))-1)),""))))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IF(R180="","",COUNTIF($C$5:$C$6004,R180))</f>
        <v/>
      </c>
      <c r="W180" s="2">
        <f>IF(R180="","",COUNTIFS($C$5:$C$6004,R180,$O$5:$O$6004,"CONCLUÍDA"))</f>
        <v/>
      </c>
      <c r="X180" s="2">
        <f>IF(R180="","",COUNTIFS($C$5:$C$6004,R180,$O$5:$O$6004,"EM ANDAMENTO"))</f>
        <v/>
      </c>
      <c r="Y180" s="2">
        <f>IF(R180="","",IF(COUNTIFS($C$5:$C$6004,R180,$O$5:$O$6004,"CONCLUÍDA",$N$5:$N$6004,"&gt;=-99")=0,"",_xlfn.MAXIFS($N$5:$N$6004,$C$5:$C$6004,R180,$O$5:$O$6004,"CONCLUÍDA")))</f>
        <v/>
      </c>
      <c r="Z180" s="2">
        <f>IF(R180="","",IF(COUNTIFS($C$5:$C$6004,R180,$O$5:$O$6004,"EM ANDAMENTO",$N$5:$N$6004,"&gt;=-99")=0,"",_xlfn.MAXIFS($N$5:$N$6004,$C$5:$C$6004,R180,$O$5:$O$6004,"EM ANDAMENTO")))</f>
        <v/>
      </c>
      <c r="AA180" s="2">
        <f>IF(OR(R180="",S180="",U180&lt;&gt;"SIM",V180=0),"",IF(W180+X180=0,"",T180&amp;": "&amp;IF(W180=V180,"concluído",IF(W180=0,"em execução"&amp;IF(Z180&lt;&gt;""," ("&amp;IF(Z180&lt;0,IF(COUNTIF($E$5:$E$6004,"SUBSOLO*")&gt;0,"subsolo",-Z180&amp;"º subsolo"),IF(Z180=0,"térreo",Z180&amp;"º pav."))&amp;")",""),IF(Y180&lt;&gt;"","até "&amp;IF(Y180&lt;0,IF(COUNTIF($E$5:$E$6004,"SUBSOLO*")&gt;0,"subsolo",-Y180&amp;"º subsolo"),IF(Y180=0,"térreo",Y180&amp;"º pav.")),W180&amp;" de "&amp;V180&amp;" concluídas")&amp;IF(Z180="","",IF(OR(Y180="",Z180&gt;Y180),", executando "&amp;IF(Z180&lt;0,IF(COUNTIF($E$5:$E$6004,"SUBSOLO*")&gt;0,"subsolo",-Z180&amp;"º subsolo"),IF(Z180=0,"térreo",Z180&amp;"º pav."))," (restam serviços no "&amp;IF(Z180&lt;0,IF(COUNTIF($E$5:$E$6004,"SUBSOLO*")&gt;0,"subsolo",-Z180&amp;"º subsolo"),IF(Z180=0,"térreo",Z180&amp;"º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26" t="n">
        <v>45901</v>
      </c>
      <c r="G181" s="126" t="n">
        <v>45945</v>
      </c>
      <c r="H181" s="126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IF(E181="","",IF(ISNUMBER(SEARCH("SUBSOLO",E181)),IFERROR(-VALUE(LEFT(E181,FIND("º",SUBSTITUTE(E181,"°","º"))-1)),-1),IF(LEFT(E181,6)="TÉRREO",0,IFERROR(VALUE(LEFT(E181,FIND("º",SUBSTITUTE(E181,"°","º"))-1)),""))))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IF(R181="","",COUNTIF($C$5:$C$6004,R181))</f>
        <v/>
      </c>
      <c r="W181" s="2">
        <f>IF(R181="","",COUNTIFS($C$5:$C$6004,R181,$O$5:$O$6004,"CONCLUÍDA"))</f>
        <v/>
      </c>
      <c r="X181" s="2">
        <f>IF(R181="","",COUNTIFS($C$5:$C$6004,R181,$O$5:$O$6004,"EM ANDAMENTO"))</f>
        <v/>
      </c>
      <c r="Y181" s="2">
        <f>IF(R181="","",IF(COUNTIFS($C$5:$C$6004,R181,$O$5:$O$6004,"CONCLUÍDA",$N$5:$N$6004,"&gt;=-99")=0,"",_xlfn.MAXIFS($N$5:$N$6004,$C$5:$C$6004,R181,$O$5:$O$6004,"CONCLUÍDA")))</f>
        <v/>
      </c>
      <c r="Z181" s="2">
        <f>IF(R181="","",IF(COUNTIFS($C$5:$C$6004,R181,$O$5:$O$6004,"EM ANDAMENTO",$N$5:$N$6004,"&gt;=-99")=0,"",_xlfn.MAXIFS($N$5:$N$6004,$C$5:$C$6004,R181,$O$5:$O$6004,"EM ANDAMENTO")))</f>
        <v/>
      </c>
      <c r="AA181" s="2">
        <f>IF(OR(R181="",S181="",U181&lt;&gt;"SIM",V181=0),"",IF(W181+X181=0,"",T181&amp;": "&amp;IF(W181=V181,"concluído",IF(W181=0,"em execução"&amp;IF(Z181&lt;&gt;""," ("&amp;IF(Z181&lt;0,IF(COUNTIF($E$5:$E$6004,"SUBSOLO*")&gt;0,"subsolo",-Z181&amp;"º subsolo"),IF(Z181=0,"térreo",Z181&amp;"º pav."))&amp;")",""),IF(Y181&lt;&gt;"","até "&amp;IF(Y181&lt;0,IF(COUNTIF($E$5:$E$6004,"SUBSOLO*")&gt;0,"subsolo",-Y181&amp;"º subsolo"),IF(Y181=0,"térreo",Y181&amp;"º pav.")),W181&amp;" de "&amp;V181&amp;" concluídas")&amp;IF(Z181="","",IF(OR(Y181="",Z181&gt;Y181),", executando "&amp;IF(Z181&lt;0,IF(COUNTIF($E$5:$E$6004,"SUBSOLO*")&gt;0,"subsolo",-Z181&amp;"º subsolo"),IF(Z181=0,"térreo",Z181&amp;"º pav."))," (restam serviços no "&amp;IF(Z181&lt;0,IF(COUNTIF($E$5:$E$6004,"SUBSOLO*")&gt;0,"subsolo",-Z181&amp;"º subsolo"),IF(Z181=0,"térreo",Z181&amp;"º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26" t="n">
        <v>45901</v>
      </c>
      <c r="G182" s="126" t="n">
        <v>45905</v>
      </c>
      <c r="H182" s="126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IF(E182="","",IF(ISNUMBER(SEARCH("SUBSOLO",E182)),IFERROR(-VALUE(LEFT(E182,FIND("º",SUBSTITUTE(E182,"°","º"))-1)),-1),IF(LEFT(E182,6)="TÉRREO",0,IFERROR(VALUE(LEFT(E182,FIND("º",SUBSTITUTE(E182,"°","º"))-1)),""))))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IF(R182="","",COUNTIF($C$5:$C$6004,R182))</f>
        <v/>
      </c>
      <c r="W182" s="2">
        <f>IF(R182="","",COUNTIFS($C$5:$C$6004,R182,$O$5:$O$6004,"CONCLUÍDA"))</f>
        <v/>
      </c>
      <c r="X182" s="2">
        <f>IF(R182="","",COUNTIFS($C$5:$C$6004,R182,$O$5:$O$6004,"EM ANDAMENTO"))</f>
        <v/>
      </c>
      <c r="Y182" s="2">
        <f>IF(R182="","",IF(COUNTIFS($C$5:$C$6004,R182,$O$5:$O$6004,"CONCLUÍDA",$N$5:$N$6004,"&gt;=-99")=0,"",_xlfn.MAXIFS($N$5:$N$6004,$C$5:$C$6004,R182,$O$5:$O$6004,"CONCLUÍDA")))</f>
        <v/>
      </c>
      <c r="Z182" s="2">
        <f>IF(R182="","",IF(COUNTIFS($C$5:$C$6004,R182,$O$5:$O$6004,"EM ANDAMENTO",$N$5:$N$6004,"&gt;=-99")=0,"",_xlfn.MAXIFS($N$5:$N$6004,$C$5:$C$6004,R182,$O$5:$O$6004,"EM ANDAMENTO")))</f>
        <v/>
      </c>
      <c r="AA182" s="2">
        <f>IF(OR(R182="",S182="",U182&lt;&gt;"SIM",V182=0),"",IF(W182+X182=0,"",T182&amp;": "&amp;IF(W182=V182,"concluído",IF(W182=0,"em execução"&amp;IF(Z182&lt;&gt;""," ("&amp;IF(Z182&lt;0,IF(COUNTIF($E$5:$E$6004,"SUBSOLO*")&gt;0,"subsolo",-Z182&amp;"º subsolo"),IF(Z182=0,"térreo",Z182&amp;"º pav."))&amp;")",""),IF(Y182&lt;&gt;"","até "&amp;IF(Y182&lt;0,IF(COUNTIF($E$5:$E$6004,"SUBSOLO*")&gt;0,"subsolo",-Y182&amp;"º subsolo"),IF(Y182=0,"térreo",Y182&amp;"º pav.")),W182&amp;" de "&amp;V182&amp;" concluídas")&amp;IF(Z182="","",IF(OR(Y182="",Z182&gt;Y182),", executando "&amp;IF(Z182&lt;0,IF(COUNTIF($E$5:$E$6004,"SUBSOLO*")&gt;0,"subsolo",-Z182&amp;"º subsolo"),IF(Z182=0,"térreo",Z182&amp;"º pav."))," (restam serviços no "&amp;IF(Z182&lt;0,IF(COUNTIF($E$5:$E$6004,"SUBSOLO*")&gt;0,"subsolo",-Z182&amp;"º subsolo"),IF(Z182=0,"térreo",Z182&amp;"º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26" t="n">
        <v>45908</v>
      </c>
      <c r="G183" s="126" t="n">
        <v>45912</v>
      </c>
      <c r="H183" s="126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IF(E183="","",IF(ISNUMBER(SEARCH("SUBSOLO",E183)),IFERROR(-VALUE(LEFT(E183,FIND("º",SUBSTITUTE(E183,"°","º"))-1)),-1),IF(LEFT(E183,6)="TÉRREO",0,IFERROR(VALUE(LEFT(E183,FIND("º",SUBSTITUTE(E183,"°","º"))-1)),""))))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IF(R183="","",COUNTIF($C$5:$C$6004,R183))</f>
        <v/>
      </c>
      <c r="W183" s="2">
        <f>IF(R183="","",COUNTIFS($C$5:$C$6004,R183,$O$5:$O$6004,"CONCLUÍDA"))</f>
        <v/>
      </c>
      <c r="X183" s="2">
        <f>IF(R183="","",COUNTIFS($C$5:$C$6004,R183,$O$5:$O$6004,"EM ANDAMENTO"))</f>
        <v/>
      </c>
      <c r="Y183" s="2">
        <f>IF(R183="","",IF(COUNTIFS($C$5:$C$6004,R183,$O$5:$O$6004,"CONCLUÍDA",$N$5:$N$6004,"&gt;=-99")=0,"",_xlfn.MAXIFS($N$5:$N$6004,$C$5:$C$6004,R183,$O$5:$O$6004,"CONCLUÍDA")))</f>
        <v/>
      </c>
      <c r="Z183" s="2">
        <f>IF(R183="","",IF(COUNTIFS($C$5:$C$6004,R183,$O$5:$O$6004,"EM ANDAMENTO",$N$5:$N$6004,"&gt;=-99")=0,"",_xlfn.MAXIFS($N$5:$N$6004,$C$5:$C$6004,R183,$O$5:$O$6004,"EM ANDAMENTO")))</f>
        <v/>
      </c>
      <c r="AA183" s="2">
        <f>IF(OR(R183="",S183="",U183&lt;&gt;"SIM",V183=0),"",IF(W183+X183=0,"",T183&amp;": "&amp;IF(W183=V183,"concluído",IF(W183=0,"em execução"&amp;IF(Z183&lt;&gt;""," ("&amp;IF(Z183&lt;0,IF(COUNTIF($E$5:$E$6004,"SUBSOLO*")&gt;0,"subsolo",-Z183&amp;"º subsolo"),IF(Z183=0,"térreo",Z183&amp;"º pav."))&amp;")",""),IF(Y183&lt;&gt;"","até "&amp;IF(Y183&lt;0,IF(COUNTIF($E$5:$E$6004,"SUBSOLO*")&gt;0,"subsolo",-Y183&amp;"º subsolo"),IF(Y183=0,"térreo",Y183&amp;"º pav.")),W183&amp;" de "&amp;V183&amp;" concluídas")&amp;IF(Z183="","",IF(OR(Y183="",Z183&gt;Y183),", executando "&amp;IF(Z183&lt;0,IF(COUNTIF($E$5:$E$6004,"SUBSOLO*")&gt;0,"subsolo",-Z183&amp;"º subsolo"),IF(Z183=0,"térreo",Z183&amp;"º pav."))," (restam serviços no "&amp;IF(Z183&lt;0,IF(COUNTIF($E$5:$E$6004,"SUBSOLO*")&gt;0,"subsolo",-Z183&amp;"º subsolo"),IF(Z183=0,"térreo",Z183&amp;"º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26" t="n">
        <v>45915</v>
      </c>
      <c r="G184" s="126" t="n">
        <v>45919</v>
      </c>
      <c r="H184" s="126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IF(E184="","",IF(ISNUMBER(SEARCH("SUBSOLO",E184)),IFERROR(-VALUE(LEFT(E184,FIND("º",SUBSTITUTE(E184,"°","º"))-1)),-1),IF(LEFT(E184,6)="TÉRREO",0,IFERROR(VALUE(LEFT(E184,FIND("º",SUBSTITUTE(E184,"°","º"))-1)),""))))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IF(R184="","",COUNTIF($C$5:$C$6004,R184))</f>
        <v/>
      </c>
      <c r="W184" s="2">
        <f>IF(R184="","",COUNTIFS($C$5:$C$6004,R184,$O$5:$O$6004,"CONCLUÍDA"))</f>
        <v/>
      </c>
      <c r="X184" s="2">
        <f>IF(R184="","",COUNTIFS($C$5:$C$6004,R184,$O$5:$O$6004,"EM ANDAMENTO"))</f>
        <v/>
      </c>
      <c r="Y184" s="2">
        <f>IF(R184="","",IF(COUNTIFS($C$5:$C$6004,R184,$O$5:$O$6004,"CONCLUÍDA",$N$5:$N$6004,"&gt;=-99")=0,"",_xlfn.MAXIFS($N$5:$N$6004,$C$5:$C$6004,R184,$O$5:$O$6004,"CONCLUÍDA")))</f>
        <v/>
      </c>
      <c r="Z184" s="2">
        <f>IF(R184="","",IF(COUNTIFS($C$5:$C$6004,R184,$O$5:$O$6004,"EM ANDAMENTO",$N$5:$N$6004,"&gt;=-99")=0,"",_xlfn.MAXIFS($N$5:$N$6004,$C$5:$C$6004,R184,$O$5:$O$6004,"EM ANDAMENTO")))</f>
        <v/>
      </c>
      <c r="AA184" s="2">
        <f>IF(OR(R184="",S184="",U184&lt;&gt;"SIM",V184=0),"",IF(W184+X184=0,"",T184&amp;": "&amp;IF(W184=V184,"concluído",IF(W184=0,"em execução"&amp;IF(Z184&lt;&gt;""," ("&amp;IF(Z184&lt;0,IF(COUNTIF($E$5:$E$6004,"SUBSOLO*")&gt;0,"subsolo",-Z184&amp;"º subsolo"),IF(Z184=0,"térreo",Z184&amp;"º pav."))&amp;")",""),IF(Y184&lt;&gt;"","até "&amp;IF(Y184&lt;0,IF(COUNTIF($E$5:$E$6004,"SUBSOLO*")&gt;0,"subsolo",-Y184&amp;"º subsolo"),IF(Y184=0,"térreo",Y184&amp;"º pav.")),W184&amp;" de "&amp;V184&amp;" concluídas")&amp;IF(Z184="","",IF(OR(Y184="",Z184&gt;Y184),", executando "&amp;IF(Z184&lt;0,IF(COUNTIF($E$5:$E$6004,"SUBSOLO*")&gt;0,"subsolo",-Z184&amp;"º subsolo"),IF(Z184=0,"térreo",Z184&amp;"º pav."))," (restam serviços no "&amp;IF(Z184&lt;0,IF(COUNTIF($E$5:$E$6004,"SUBSOLO*")&gt;0,"subsolo",-Z184&amp;"º subsolo"),IF(Z184=0,"térreo",Z184&amp;"º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26" t="n">
        <v>45922</v>
      </c>
      <c r="G185" s="126" t="n">
        <v>45924</v>
      </c>
      <c r="H185" s="126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IF(E185="","",IF(ISNUMBER(SEARCH("SUBSOLO",E185)),IFERROR(-VALUE(LEFT(E185,FIND("º",SUBSTITUTE(E185,"°","º"))-1)),-1),IF(LEFT(E185,6)="TÉRREO",0,IFERROR(VALUE(LEFT(E185,FIND("º",SUBSTITUTE(E185,"°","º"))-1)),""))))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IF(R185="","",COUNTIF($C$5:$C$6004,R185))</f>
        <v/>
      </c>
      <c r="W185" s="2">
        <f>IF(R185="","",COUNTIFS($C$5:$C$6004,R185,$O$5:$O$6004,"CONCLUÍDA"))</f>
        <v/>
      </c>
      <c r="X185" s="2">
        <f>IF(R185="","",COUNTIFS($C$5:$C$6004,R185,$O$5:$O$6004,"EM ANDAMENTO"))</f>
        <v/>
      </c>
      <c r="Y185" s="2">
        <f>IF(R185="","",IF(COUNTIFS($C$5:$C$6004,R185,$O$5:$O$6004,"CONCLUÍDA",$N$5:$N$6004,"&gt;=-99")=0,"",_xlfn.MAXIFS($N$5:$N$6004,$C$5:$C$6004,R185,$O$5:$O$6004,"CONCLUÍDA")))</f>
        <v/>
      </c>
      <c r="Z185" s="2">
        <f>IF(R185="","",IF(COUNTIFS($C$5:$C$6004,R185,$O$5:$O$6004,"EM ANDAMENTO",$N$5:$N$6004,"&gt;=-99")=0,"",_xlfn.MAXIFS($N$5:$N$6004,$C$5:$C$6004,R185,$O$5:$O$6004,"EM ANDAMENTO")))</f>
        <v/>
      </c>
      <c r="AA185" s="2">
        <f>IF(OR(R185="",S185="",U185&lt;&gt;"SIM",V185=0),"",IF(W185+X185=0,"",T185&amp;": "&amp;IF(W185=V185,"concluído",IF(W185=0,"em execução"&amp;IF(Z185&lt;&gt;""," ("&amp;IF(Z185&lt;0,IF(COUNTIF($E$5:$E$6004,"SUBSOLO*")&gt;0,"subsolo",-Z185&amp;"º subsolo"),IF(Z185=0,"térreo",Z185&amp;"º pav."))&amp;")",""),IF(Y185&lt;&gt;"","até "&amp;IF(Y185&lt;0,IF(COUNTIF($E$5:$E$6004,"SUBSOLO*")&gt;0,"subsolo",-Y185&amp;"º subsolo"),IF(Y185=0,"térreo",Y185&amp;"º pav.")),W185&amp;" de "&amp;V185&amp;" concluídas")&amp;IF(Z185="","",IF(OR(Y185="",Z185&gt;Y185),", executando "&amp;IF(Z185&lt;0,IF(COUNTIF($E$5:$E$6004,"SUBSOLO*")&gt;0,"subsolo",-Z185&amp;"º subsolo"),IF(Z185=0,"térreo",Z185&amp;"º pav."))," (restam serviços no "&amp;IF(Z185&lt;0,IF(COUNTIF($E$5:$E$6004,"SUBSOLO*")&gt;0,"subsolo",-Z185&amp;"º subsolo"),IF(Z185=0,"térreo",Z185&amp;"º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26" t="n">
        <v>45908</v>
      </c>
      <c r="G186" s="126" t="n">
        <v>45909</v>
      </c>
      <c r="H186" s="126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IF(E186="","",IF(ISNUMBER(SEARCH("SUBSOLO",E186)),IFERROR(-VALUE(LEFT(E186,FIND("º",SUBSTITUTE(E186,"°","º"))-1)),-1),IF(LEFT(E186,6)="TÉRREO",0,IFERROR(VALUE(LEFT(E186,FIND("º",SUBSTITUTE(E186,"°","º"))-1)),""))))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IF(R186="","",COUNTIF($C$5:$C$6004,R186))</f>
        <v/>
      </c>
      <c r="W186" s="2">
        <f>IF(R186="","",COUNTIFS($C$5:$C$6004,R186,$O$5:$O$6004,"CONCLUÍDA"))</f>
        <v/>
      </c>
      <c r="X186" s="2">
        <f>IF(R186="","",COUNTIFS($C$5:$C$6004,R186,$O$5:$O$6004,"EM ANDAMENTO"))</f>
        <v/>
      </c>
      <c r="Y186" s="2">
        <f>IF(R186="","",IF(COUNTIFS($C$5:$C$6004,R186,$O$5:$O$6004,"CONCLUÍDA",$N$5:$N$6004,"&gt;=-99")=0,"",_xlfn.MAXIFS($N$5:$N$6004,$C$5:$C$6004,R186,$O$5:$O$6004,"CONCLUÍDA")))</f>
        <v/>
      </c>
      <c r="Z186" s="2">
        <f>IF(R186="","",IF(COUNTIFS($C$5:$C$6004,R186,$O$5:$O$6004,"EM ANDAMENTO",$N$5:$N$6004,"&gt;=-99")=0,"",_xlfn.MAXIFS($N$5:$N$6004,$C$5:$C$6004,R186,$O$5:$O$6004,"EM ANDAMENTO")))</f>
        <v/>
      </c>
      <c r="AA186" s="2">
        <f>IF(OR(R186="",S186="",U186&lt;&gt;"SIM",V186=0),"",IF(W186+X186=0,"",T186&amp;": "&amp;IF(W186=V186,"concluído",IF(W186=0,"em execução"&amp;IF(Z186&lt;&gt;""," ("&amp;IF(Z186&lt;0,IF(COUNTIF($E$5:$E$6004,"SUBSOLO*")&gt;0,"subsolo",-Z186&amp;"º subsolo"),IF(Z186=0,"térreo",Z186&amp;"º pav."))&amp;")",""),IF(Y186&lt;&gt;"","até "&amp;IF(Y186&lt;0,IF(COUNTIF($E$5:$E$6004,"SUBSOLO*")&gt;0,"subsolo",-Y186&amp;"º subsolo"),IF(Y186=0,"térreo",Y186&amp;"º pav.")),W186&amp;" de "&amp;V186&amp;" concluídas")&amp;IF(Z186="","",IF(OR(Y186="",Z186&gt;Y186),", executando "&amp;IF(Z186&lt;0,IF(COUNTIF($E$5:$E$6004,"SUBSOLO*")&gt;0,"subsolo",-Z186&amp;"º subsolo"),IF(Z186=0,"térreo",Z186&amp;"º pav."))," (restam serviços no "&amp;IF(Z186&lt;0,IF(COUNTIF($E$5:$E$6004,"SUBSOLO*")&gt;0,"subsolo",-Z186&amp;"º subsolo"),IF(Z186=0,"térreo",Z186&amp;"º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26" t="n">
        <v>45912</v>
      </c>
      <c r="G187" s="126" t="n">
        <v>45912</v>
      </c>
      <c r="H187" s="126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IF(E187="","",IF(ISNUMBER(SEARCH("SUBSOLO",E187)),IFERROR(-VALUE(LEFT(E187,FIND("º",SUBSTITUTE(E187,"°","º"))-1)),-1),IF(LEFT(E187,6)="TÉRREO",0,IFERROR(VALUE(LEFT(E187,FIND("º",SUBSTITUTE(E187,"°","º"))-1)),""))))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IF(R187="","",COUNTIF($C$5:$C$6004,R187))</f>
        <v/>
      </c>
      <c r="W187" s="2">
        <f>IF(R187="","",COUNTIFS($C$5:$C$6004,R187,$O$5:$O$6004,"CONCLUÍDA"))</f>
        <v/>
      </c>
      <c r="X187" s="2">
        <f>IF(R187="","",COUNTIFS($C$5:$C$6004,R187,$O$5:$O$6004,"EM ANDAMENTO"))</f>
        <v/>
      </c>
      <c r="Y187" s="2">
        <f>IF(R187="","",IF(COUNTIFS($C$5:$C$6004,R187,$O$5:$O$6004,"CONCLUÍDA",$N$5:$N$6004,"&gt;=-99")=0,"",_xlfn.MAXIFS($N$5:$N$6004,$C$5:$C$6004,R187,$O$5:$O$6004,"CONCLUÍDA")))</f>
        <v/>
      </c>
      <c r="Z187" s="2">
        <f>IF(R187="","",IF(COUNTIFS($C$5:$C$6004,R187,$O$5:$O$6004,"EM ANDAMENTO",$N$5:$N$6004,"&gt;=-99")=0,"",_xlfn.MAXIFS($N$5:$N$6004,$C$5:$C$6004,R187,$O$5:$O$6004,"EM ANDAMENTO")))</f>
        <v/>
      </c>
      <c r="AA187" s="2">
        <f>IF(OR(R187="",S187="",U187&lt;&gt;"SIM",V187=0),"",IF(W187+X187=0,"",T187&amp;": "&amp;IF(W187=V187,"concluído",IF(W187=0,"em execução"&amp;IF(Z187&lt;&gt;""," ("&amp;IF(Z187&lt;0,IF(COUNTIF($E$5:$E$6004,"SUBSOLO*")&gt;0,"subsolo",-Z187&amp;"º subsolo"),IF(Z187=0,"térreo",Z187&amp;"º pav."))&amp;")",""),IF(Y187&lt;&gt;"","até "&amp;IF(Y187&lt;0,IF(COUNTIF($E$5:$E$6004,"SUBSOLO*")&gt;0,"subsolo",-Y187&amp;"º subsolo"),IF(Y187=0,"térreo",Y187&amp;"º pav.")),W187&amp;" de "&amp;V187&amp;" concluídas")&amp;IF(Z187="","",IF(OR(Y187="",Z187&gt;Y187),", executando "&amp;IF(Z187&lt;0,IF(COUNTIF($E$5:$E$6004,"SUBSOLO*")&gt;0,"subsolo",-Z187&amp;"º subsolo"),IF(Z187=0,"térreo",Z187&amp;"º pav."))," (restam serviços no "&amp;IF(Z187&lt;0,IF(COUNTIF($E$5:$E$6004,"SUBSOLO*")&gt;0,"subsolo",-Z187&amp;"º subsolo"),IF(Z187=0,"térreo",Z187&amp;"º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26" t="n">
        <v>45910</v>
      </c>
      <c r="G188" s="126" t="n">
        <v>45915</v>
      </c>
      <c r="H188" s="126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IF(E188="","",IF(ISNUMBER(SEARCH("SUBSOLO",E188)),IFERROR(-VALUE(LEFT(E188,FIND("º",SUBSTITUTE(E188,"°","º"))-1)),-1),IF(LEFT(E188,6)="TÉRREO",0,IFERROR(VALUE(LEFT(E188,FIND("º",SUBSTITUTE(E188,"°","º"))-1)),""))))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IF(R188="","",COUNTIF($C$5:$C$6004,R188))</f>
        <v/>
      </c>
      <c r="W188" s="2">
        <f>IF(R188="","",COUNTIFS($C$5:$C$6004,R188,$O$5:$O$6004,"CONCLUÍDA"))</f>
        <v/>
      </c>
      <c r="X188" s="2">
        <f>IF(R188="","",COUNTIFS($C$5:$C$6004,R188,$O$5:$O$6004,"EM ANDAMENTO"))</f>
        <v/>
      </c>
      <c r="Y188" s="2">
        <f>IF(R188="","",IF(COUNTIFS($C$5:$C$6004,R188,$O$5:$O$6004,"CONCLUÍDA",$N$5:$N$6004,"&gt;=-99")=0,"",_xlfn.MAXIFS($N$5:$N$6004,$C$5:$C$6004,R188,$O$5:$O$6004,"CONCLUÍDA")))</f>
        <v/>
      </c>
      <c r="Z188" s="2">
        <f>IF(R188="","",IF(COUNTIFS($C$5:$C$6004,R188,$O$5:$O$6004,"EM ANDAMENTO",$N$5:$N$6004,"&gt;=-99")=0,"",_xlfn.MAXIFS($N$5:$N$6004,$C$5:$C$6004,R188,$O$5:$O$6004,"EM ANDAMENTO")))</f>
        <v/>
      </c>
      <c r="AA188" s="2">
        <f>IF(OR(R188="",S188="",U188&lt;&gt;"SIM",V188=0),"",IF(W188+X188=0,"",T188&amp;": "&amp;IF(W188=V188,"concluído",IF(W188=0,"em execução"&amp;IF(Z188&lt;&gt;""," ("&amp;IF(Z188&lt;0,IF(COUNTIF($E$5:$E$6004,"SUBSOLO*")&gt;0,"subsolo",-Z188&amp;"º subsolo"),IF(Z188=0,"térreo",Z188&amp;"º pav."))&amp;")",""),IF(Y188&lt;&gt;"","até "&amp;IF(Y188&lt;0,IF(COUNTIF($E$5:$E$6004,"SUBSOLO*")&gt;0,"subsolo",-Y188&amp;"º subsolo"),IF(Y188=0,"térreo",Y188&amp;"º pav.")),W188&amp;" de "&amp;V188&amp;" concluídas")&amp;IF(Z188="","",IF(OR(Y188="",Z188&gt;Y188),", executando "&amp;IF(Z188&lt;0,IF(COUNTIF($E$5:$E$6004,"SUBSOLO*")&gt;0,"subsolo",-Z188&amp;"º subsolo"),IF(Z188=0,"térreo",Z188&amp;"º pav."))," (restam serviços no "&amp;IF(Z188&lt;0,IF(COUNTIF($E$5:$E$6004,"SUBSOLO*")&gt;0,"subsolo",-Z188&amp;"º subsolo"),IF(Z188=0,"térreo",Z188&amp;"º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26" t="n">
        <v>45918</v>
      </c>
      <c r="G189" s="126" t="n">
        <v>45918</v>
      </c>
      <c r="H189" s="126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IF(E189="","",IF(ISNUMBER(SEARCH("SUBSOLO",E189)),IFERROR(-VALUE(LEFT(E189,FIND("º",SUBSTITUTE(E189,"°","º"))-1)),-1),IF(LEFT(E189,6)="TÉRREO",0,IFERROR(VALUE(LEFT(E189,FIND("º",SUBSTITUTE(E189,"°","º"))-1)),""))))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IF(R189="","",COUNTIF($C$5:$C$6004,R189))</f>
        <v/>
      </c>
      <c r="W189" s="2">
        <f>IF(R189="","",COUNTIFS($C$5:$C$6004,R189,$O$5:$O$6004,"CONCLUÍDA"))</f>
        <v/>
      </c>
      <c r="X189" s="2">
        <f>IF(R189="","",COUNTIFS($C$5:$C$6004,R189,$O$5:$O$6004,"EM ANDAMENTO"))</f>
        <v/>
      </c>
      <c r="Y189" s="2">
        <f>IF(R189="","",IF(COUNTIFS($C$5:$C$6004,R189,$O$5:$O$6004,"CONCLUÍDA",$N$5:$N$6004,"&gt;=-99")=0,"",_xlfn.MAXIFS($N$5:$N$6004,$C$5:$C$6004,R189,$O$5:$O$6004,"CONCLUÍDA")))</f>
        <v/>
      </c>
      <c r="Z189" s="2">
        <f>IF(R189="","",IF(COUNTIFS($C$5:$C$6004,R189,$O$5:$O$6004,"EM ANDAMENTO",$N$5:$N$6004,"&gt;=-99")=0,"",_xlfn.MAXIFS($N$5:$N$6004,$C$5:$C$6004,R189,$O$5:$O$6004,"EM ANDAMENTO")))</f>
        <v/>
      </c>
      <c r="AA189" s="2">
        <f>IF(OR(R189="",S189="",U189&lt;&gt;"SIM",V189=0),"",IF(W189+X189=0,"",T189&amp;": "&amp;IF(W189=V189,"concluído",IF(W189=0,"em execução"&amp;IF(Z189&lt;&gt;""," ("&amp;IF(Z189&lt;0,IF(COUNTIF($E$5:$E$6004,"SUBSOLO*")&gt;0,"subsolo",-Z189&amp;"º subsolo"),IF(Z189=0,"térreo",Z189&amp;"º pav."))&amp;")",""),IF(Y189&lt;&gt;"","até "&amp;IF(Y189&lt;0,IF(COUNTIF($E$5:$E$6004,"SUBSOLO*")&gt;0,"subsolo",-Y189&amp;"º subsolo"),IF(Y189=0,"térreo",Y189&amp;"º pav.")),W189&amp;" de "&amp;V189&amp;" concluídas")&amp;IF(Z189="","",IF(OR(Y189="",Z189&gt;Y189),", executando "&amp;IF(Z189&lt;0,IF(COUNTIF($E$5:$E$6004,"SUBSOLO*")&gt;0,"subsolo",-Z189&amp;"º subsolo"),IF(Z189=0,"térreo",Z189&amp;"º pav."))," (restam serviços no "&amp;IF(Z189&lt;0,IF(COUNTIF($E$5:$E$6004,"SUBSOLO*")&gt;0,"subsolo",-Z189&amp;"º subsolo"),IF(Z189=0,"térreo",Z189&amp;"º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26" t="n">
        <v>45923</v>
      </c>
      <c r="G190" s="126" t="n">
        <v>45926</v>
      </c>
      <c r="H190" s="126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IF(E190="","",IF(ISNUMBER(SEARCH("SUBSOLO",E190)),IFERROR(-VALUE(LEFT(E190,FIND("º",SUBSTITUTE(E190,"°","º"))-1)),-1),IF(LEFT(E190,6)="TÉRREO",0,IFERROR(VALUE(LEFT(E190,FIND("º",SUBSTITUTE(E190,"°","º"))-1)),""))))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IF(R190="","",COUNTIF($C$5:$C$6004,R190))</f>
        <v/>
      </c>
      <c r="W190" s="2">
        <f>IF(R190="","",COUNTIFS($C$5:$C$6004,R190,$O$5:$O$6004,"CONCLUÍDA"))</f>
        <v/>
      </c>
      <c r="X190" s="2">
        <f>IF(R190="","",COUNTIFS($C$5:$C$6004,R190,$O$5:$O$6004,"EM ANDAMENTO"))</f>
        <v/>
      </c>
      <c r="Y190" s="2">
        <f>IF(R190="","",IF(COUNTIFS($C$5:$C$6004,R190,$O$5:$O$6004,"CONCLUÍDA",$N$5:$N$6004,"&gt;=-99")=0,"",_xlfn.MAXIFS($N$5:$N$6004,$C$5:$C$6004,R190,$O$5:$O$6004,"CONCLUÍDA")))</f>
        <v/>
      </c>
      <c r="Z190" s="2">
        <f>IF(R190="","",IF(COUNTIFS($C$5:$C$6004,R190,$O$5:$O$6004,"EM ANDAMENTO",$N$5:$N$6004,"&gt;=-99")=0,"",_xlfn.MAXIFS($N$5:$N$6004,$C$5:$C$6004,R190,$O$5:$O$6004,"EM ANDAMENTO")))</f>
        <v/>
      </c>
      <c r="AA190" s="2">
        <f>IF(OR(R190="",S190="",U190&lt;&gt;"SIM",V190=0),"",IF(W190+X190=0,"",T190&amp;": "&amp;IF(W190=V190,"concluído",IF(W190=0,"em execução"&amp;IF(Z190&lt;&gt;""," ("&amp;IF(Z190&lt;0,IF(COUNTIF($E$5:$E$6004,"SUBSOLO*")&gt;0,"subsolo",-Z190&amp;"º subsolo"),IF(Z190=0,"térreo",Z190&amp;"º pav."))&amp;")",""),IF(Y190&lt;&gt;"","até "&amp;IF(Y190&lt;0,IF(COUNTIF($E$5:$E$6004,"SUBSOLO*")&gt;0,"subsolo",-Y190&amp;"º subsolo"),IF(Y190=0,"térreo",Y190&amp;"º pav.")),W190&amp;" de "&amp;V190&amp;" concluídas")&amp;IF(Z190="","",IF(OR(Y190="",Z190&gt;Y190),", executando "&amp;IF(Z190&lt;0,IF(COUNTIF($E$5:$E$6004,"SUBSOLO*")&gt;0,"subsolo",-Z190&amp;"º subsolo"),IF(Z190=0,"térreo",Z190&amp;"º pav."))," (restam serviços no "&amp;IF(Z190&lt;0,IF(COUNTIF($E$5:$E$6004,"SUBSOLO*")&gt;0,"subsolo",-Z190&amp;"º subsolo"),IF(Z190=0,"térreo",Z190&amp;"º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26" t="n">
        <v>45929</v>
      </c>
      <c r="G191" s="126" t="n">
        <v>45929</v>
      </c>
      <c r="H191" s="126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IF(E191="","",IF(ISNUMBER(SEARCH("SUBSOLO",E191)),IFERROR(-VALUE(LEFT(E191,FIND("º",SUBSTITUTE(E191,"°","º"))-1)),-1),IF(LEFT(E191,6)="TÉRREO",0,IFERROR(VALUE(LEFT(E191,FIND("º",SUBSTITUTE(E191,"°","º"))-1)),""))))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IF(R191="","",COUNTIF($C$5:$C$6004,R191))</f>
        <v/>
      </c>
      <c r="W191" s="2">
        <f>IF(R191="","",COUNTIFS($C$5:$C$6004,R191,$O$5:$O$6004,"CONCLUÍDA"))</f>
        <v/>
      </c>
      <c r="X191" s="2">
        <f>IF(R191="","",COUNTIFS($C$5:$C$6004,R191,$O$5:$O$6004,"EM ANDAMENTO"))</f>
        <v/>
      </c>
      <c r="Y191" s="2">
        <f>IF(R191="","",IF(COUNTIFS($C$5:$C$6004,R191,$O$5:$O$6004,"CONCLUÍDA",$N$5:$N$6004,"&gt;=-99")=0,"",_xlfn.MAXIFS($N$5:$N$6004,$C$5:$C$6004,R191,$O$5:$O$6004,"CONCLUÍDA")))</f>
        <v/>
      </c>
      <c r="Z191" s="2">
        <f>IF(R191="","",IF(COUNTIFS($C$5:$C$6004,R191,$O$5:$O$6004,"EM ANDAMENTO",$N$5:$N$6004,"&gt;=-99")=0,"",_xlfn.MAXIFS($N$5:$N$6004,$C$5:$C$6004,R191,$O$5:$O$6004,"EM ANDAMENTO")))</f>
        <v/>
      </c>
      <c r="AA191" s="2">
        <f>IF(OR(R191="",S191="",U191&lt;&gt;"SIM",V191=0),"",IF(W191+X191=0,"",T191&amp;": "&amp;IF(W191=V191,"concluído",IF(W191=0,"em execução"&amp;IF(Z191&lt;&gt;""," ("&amp;IF(Z191&lt;0,IF(COUNTIF($E$5:$E$6004,"SUBSOLO*")&gt;0,"subsolo",-Z191&amp;"º subsolo"),IF(Z191=0,"térreo",Z191&amp;"º pav."))&amp;")",""),IF(Y191&lt;&gt;"","até "&amp;IF(Y191&lt;0,IF(COUNTIF($E$5:$E$6004,"SUBSOLO*")&gt;0,"subsolo",-Y191&amp;"º subsolo"),IF(Y191=0,"térreo",Y191&amp;"º pav.")),W191&amp;" de "&amp;V191&amp;" concluídas")&amp;IF(Z191="","",IF(OR(Y191="",Z191&gt;Y191),", executando "&amp;IF(Z191&lt;0,IF(COUNTIF($E$5:$E$6004,"SUBSOLO*")&gt;0,"subsolo",-Z191&amp;"º subsolo"),IF(Z191=0,"térreo",Z191&amp;"º pav."))," (restam serviços no "&amp;IF(Z191&lt;0,IF(COUNTIF($E$5:$E$6004,"SUBSOLO*")&gt;0,"subsolo",-Z191&amp;"º subsolo"),IF(Z191=0,"térreo",Z191&amp;"º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26" t="n">
        <v>45925</v>
      </c>
      <c r="G192" s="126" t="n">
        <v>45925</v>
      </c>
      <c r="H192" s="126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IF(E192="","",IF(ISNUMBER(SEARCH("SUBSOLO",E192)),IFERROR(-VALUE(LEFT(E192,FIND("º",SUBSTITUTE(E192,"°","º"))-1)),-1),IF(LEFT(E192,6)="TÉRREO",0,IFERROR(VALUE(LEFT(E192,FIND("º",SUBSTITUTE(E192,"°","º"))-1)),""))))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IF(R192="","",COUNTIF($C$5:$C$6004,R192))</f>
        <v/>
      </c>
      <c r="W192" s="2">
        <f>IF(R192="","",COUNTIFS($C$5:$C$6004,R192,$O$5:$O$6004,"CONCLUÍDA"))</f>
        <v/>
      </c>
      <c r="X192" s="2">
        <f>IF(R192="","",COUNTIFS($C$5:$C$6004,R192,$O$5:$O$6004,"EM ANDAMENTO"))</f>
        <v/>
      </c>
      <c r="Y192" s="2">
        <f>IF(R192="","",IF(COUNTIFS($C$5:$C$6004,R192,$O$5:$O$6004,"CONCLUÍDA",$N$5:$N$6004,"&gt;=-99")=0,"",_xlfn.MAXIFS($N$5:$N$6004,$C$5:$C$6004,R192,$O$5:$O$6004,"CONCLUÍDA")))</f>
        <v/>
      </c>
      <c r="Z192" s="2">
        <f>IF(R192="","",IF(COUNTIFS($C$5:$C$6004,R192,$O$5:$O$6004,"EM ANDAMENTO",$N$5:$N$6004,"&gt;=-99")=0,"",_xlfn.MAXIFS($N$5:$N$6004,$C$5:$C$6004,R192,$O$5:$O$6004,"EM ANDAMENTO")))</f>
        <v/>
      </c>
      <c r="AA192" s="2">
        <f>IF(OR(R192="",S192="",U192&lt;&gt;"SIM",V192=0),"",IF(W192+X192=0,"",T192&amp;": "&amp;IF(W192=V192,"concluído",IF(W192=0,"em execução"&amp;IF(Z192&lt;&gt;""," ("&amp;IF(Z192&lt;0,IF(COUNTIF($E$5:$E$6004,"SUBSOLO*")&gt;0,"subsolo",-Z192&amp;"º subsolo"),IF(Z192=0,"térreo",Z192&amp;"º pav."))&amp;")",""),IF(Y192&lt;&gt;"","até "&amp;IF(Y192&lt;0,IF(COUNTIF($E$5:$E$6004,"SUBSOLO*")&gt;0,"subsolo",-Y192&amp;"º subsolo"),IF(Y192=0,"térreo",Y192&amp;"º pav.")),W192&amp;" de "&amp;V192&amp;" concluídas")&amp;IF(Z192="","",IF(OR(Y192="",Z192&gt;Y192),", executando "&amp;IF(Z192&lt;0,IF(COUNTIF($E$5:$E$6004,"SUBSOLO*")&gt;0,"subsolo",-Z192&amp;"º subsolo"),IF(Z192=0,"térreo",Z192&amp;"º pav."))," (restam serviços no "&amp;IF(Z192&lt;0,IF(COUNTIF($E$5:$E$6004,"SUBSOLO*")&gt;0,"subsolo",-Z192&amp;"º subsolo"),IF(Z192=0,"térreo",Z192&amp;"º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26" t="n">
        <v>45929</v>
      </c>
      <c r="G193" s="126" t="n">
        <v>45929</v>
      </c>
      <c r="H193" s="126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IF(E193="","",IF(ISNUMBER(SEARCH("SUBSOLO",E193)),IFERROR(-VALUE(LEFT(E193,FIND("º",SUBSTITUTE(E193,"°","º"))-1)),-1),IF(LEFT(E193,6)="TÉRREO",0,IFERROR(VALUE(LEFT(E193,FIND("º",SUBSTITUTE(E193,"°","º"))-1)),""))))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IF(R193="","",COUNTIF($C$5:$C$6004,R193))</f>
        <v/>
      </c>
      <c r="W193" s="2">
        <f>IF(R193="","",COUNTIFS($C$5:$C$6004,R193,$O$5:$O$6004,"CONCLUÍDA"))</f>
        <v/>
      </c>
      <c r="X193" s="2">
        <f>IF(R193="","",COUNTIFS($C$5:$C$6004,R193,$O$5:$O$6004,"EM ANDAMENTO"))</f>
        <v/>
      </c>
      <c r="Y193" s="2">
        <f>IF(R193="","",IF(COUNTIFS($C$5:$C$6004,R193,$O$5:$O$6004,"CONCLUÍDA",$N$5:$N$6004,"&gt;=-99")=0,"",_xlfn.MAXIFS($N$5:$N$6004,$C$5:$C$6004,R193,$O$5:$O$6004,"CONCLUÍDA")))</f>
        <v/>
      </c>
      <c r="Z193" s="2">
        <f>IF(R193="","",IF(COUNTIFS($C$5:$C$6004,R193,$O$5:$O$6004,"EM ANDAMENTO",$N$5:$N$6004,"&gt;=-99")=0,"",_xlfn.MAXIFS($N$5:$N$6004,$C$5:$C$6004,R193,$O$5:$O$6004,"EM ANDAMENTO")))</f>
        <v/>
      </c>
      <c r="AA193" s="2">
        <f>IF(OR(R193="",S193="",U193&lt;&gt;"SIM",V193=0),"",IF(W193+X193=0,"",T193&amp;": "&amp;IF(W193=V193,"concluído",IF(W193=0,"em execução"&amp;IF(Z193&lt;&gt;""," ("&amp;IF(Z193&lt;0,IF(COUNTIF($E$5:$E$6004,"SUBSOLO*")&gt;0,"subsolo",-Z193&amp;"º subsolo"),IF(Z193=0,"térreo",Z193&amp;"º pav."))&amp;")",""),IF(Y193&lt;&gt;"","até "&amp;IF(Y193&lt;0,IF(COUNTIF($E$5:$E$6004,"SUBSOLO*")&gt;0,"subsolo",-Y193&amp;"º subsolo"),IF(Y193=0,"térreo",Y193&amp;"º pav.")),W193&amp;" de "&amp;V193&amp;" concluídas")&amp;IF(Z193="","",IF(OR(Y193="",Z193&gt;Y193),", executando "&amp;IF(Z193&lt;0,IF(COUNTIF($E$5:$E$6004,"SUBSOLO*")&gt;0,"subsolo",-Z193&amp;"º subsolo"),IF(Z193=0,"térreo",Z193&amp;"º pav."))," (restam serviços no "&amp;IF(Z193&lt;0,IF(COUNTIF($E$5:$E$6004,"SUBSOLO*")&gt;0,"subsolo",-Z193&amp;"º subsolo"),IF(Z193=0,"térreo",Z193&amp;"º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26" t="n">
        <v>45915</v>
      </c>
      <c r="G194" s="126" t="n">
        <v>45938</v>
      </c>
      <c r="H194" s="126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IF(E194="","",IF(ISNUMBER(SEARCH("SUBSOLO",E194)),IFERROR(-VALUE(LEFT(E194,FIND("º",SUBSTITUTE(E194,"°","º"))-1)),-1),IF(LEFT(E194,6)="TÉRREO",0,IFERROR(VALUE(LEFT(E194,FIND("º",SUBSTITUTE(E194,"°","º"))-1)),""))))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IF(R194="","",COUNTIF($C$5:$C$6004,R194))</f>
        <v/>
      </c>
      <c r="W194" s="2">
        <f>IF(R194="","",COUNTIFS($C$5:$C$6004,R194,$O$5:$O$6004,"CONCLUÍDA"))</f>
        <v/>
      </c>
      <c r="X194" s="2">
        <f>IF(R194="","",COUNTIFS($C$5:$C$6004,R194,$O$5:$O$6004,"EM ANDAMENTO"))</f>
        <v/>
      </c>
      <c r="Y194" s="2">
        <f>IF(R194="","",IF(COUNTIFS($C$5:$C$6004,R194,$O$5:$O$6004,"CONCLUÍDA",$N$5:$N$6004,"&gt;=-99")=0,"",_xlfn.MAXIFS($N$5:$N$6004,$C$5:$C$6004,R194,$O$5:$O$6004,"CONCLUÍDA")))</f>
        <v/>
      </c>
      <c r="Z194" s="2">
        <f>IF(R194="","",IF(COUNTIFS($C$5:$C$6004,R194,$O$5:$O$6004,"EM ANDAMENTO",$N$5:$N$6004,"&gt;=-99")=0,"",_xlfn.MAXIFS($N$5:$N$6004,$C$5:$C$6004,R194,$O$5:$O$6004,"EM ANDAMENTO")))</f>
        <v/>
      </c>
      <c r="AA194" s="2">
        <f>IF(OR(R194="",S194="",U194&lt;&gt;"SIM",V194=0),"",IF(W194+X194=0,"",T194&amp;": "&amp;IF(W194=V194,"concluído",IF(W194=0,"em execução"&amp;IF(Z194&lt;&gt;""," ("&amp;IF(Z194&lt;0,IF(COUNTIF($E$5:$E$6004,"SUBSOLO*")&gt;0,"subsolo",-Z194&amp;"º subsolo"),IF(Z194=0,"térreo",Z194&amp;"º pav."))&amp;")",""),IF(Y194&lt;&gt;"","até "&amp;IF(Y194&lt;0,IF(COUNTIF($E$5:$E$6004,"SUBSOLO*")&gt;0,"subsolo",-Y194&amp;"º subsolo"),IF(Y194=0,"térreo",Y194&amp;"º pav.")),W194&amp;" de "&amp;V194&amp;" concluídas")&amp;IF(Z194="","",IF(OR(Y194="",Z194&gt;Y194),", executando "&amp;IF(Z194&lt;0,IF(COUNTIF($E$5:$E$6004,"SUBSOLO*")&gt;0,"subsolo",-Z194&amp;"º subsolo"),IF(Z194=0,"térreo",Z194&amp;"º pav."))," (restam serviços no "&amp;IF(Z194&lt;0,IF(COUNTIF($E$5:$E$6004,"SUBSOLO*")&gt;0,"subsolo",-Z194&amp;"º subsolo"),IF(Z194=0,"térreo",Z194&amp;"º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26" t="n">
        <v>45925</v>
      </c>
      <c r="G195" s="126" t="n">
        <v>45931</v>
      </c>
      <c r="H195" s="126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IF(E195="","",IF(ISNUMBER(SEARCH("SUBSOLO",E195)),IFERROR(-VALUE(LEFT(E195,FIND("º",SUBSTITUTE(E195,"°","º"))-1)),-1),IF(LEFT(E195,6)="TÉRREO",0,IFERROR(VALUE(LEFT(E195,FIND("º",SUBSTITUTE(E195,"°","º"))-1)),""))))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IF(R195="","",COUNTIF($C$5:$C$6004,R195))</f>
        <v/>
      </c>
      <c r="W195" s="2">
        <f>IF(R195="","",COUNTIFS($C$5:$C$6004,R195,$O$5:$O$6004,"CONCLUÍDA"))</f>
        <v/>
      </c>
      <c r="X195" s="2">
        <f>IF(R195="","",COUNTIFS($C$5:$C$6004,R195,$O$5:$O$6004,"EM ANDAMENTO"))</f>
        <v/>
      </c>
      <c r="Y195" s="2">
        <f>IF(R195="","",IF(COUNTIFS($C$5:$C$6004,R195,$O$5:$O$6004,"CONCLUÍDA",$N$5:$N$6004,"&gt;=-99")=0,"",_xlfn.MAXIFS($N$5:$N$6004,$C$5:$C$6004,R195,$O$5:$O$6004,"CONCLUÍDA")))</f>
        <v/>
      </c>
      <c r="Z195" s="2">
        <f>IF(R195="","",IF(COUNTIFS($C$5:$C$6004,R195,$O$5:$O$6004,"EM ANDAMENTO",$N$5:$N$6004,"&gt;=-99")=0,"",_xlfn.MAXIFS($N$5:$N$6004,$C$5:$C$6004,R195,$O$5:$O$6004,"EM ANDAMENTO")))</f>
        <v/>
      </c>
      <c r="AA195" s="2">
        <f>IF(OR(R195="",S195="",U195&lt;&gt;"SIM",V195=0),"",IF(W195+X195=0,"",T195&amp;": "&amp;IF(W195=V195,"concluído",IF(W195=0,"em execução"&amp;IF(Z195&lt;&gt;""," ("&amp;IF(Z195&lt;0,IF(COUNTIF($E$5:$E$6004,"SUBSOLO*")&gt;0,"subsolo",-Z195&amp;"º subsolo"),IF(Z195=0,"térreo",Z195&amp;"º pav."))&amp;")",""),IF(Y195&lt;&gt;"","até "&amp;IF(Y195&lt;0,IF(COUNTIF($E$5:$E$6004,"SUBSOLO*")&gt;0,"subsolo",-Y195&amp;"º subsolo"),IF(Y195=0,"térreo",Y195&amp;"º pav.")),W195&amp;" de "&amp;V195&amp;" concluídas")&amp;IF(Z195="","",IF(OR(Y195="",Z195&gt;Y195),", executando "&amp;IF(Z195&lt;0,IF(COUNTIF($E$5:$E$6004,"SUBSOLO*")&gt;0,"subsolo",-Z195&amp;"º subsolo"),IF(Z195=0,"térreo",Z195&amp;"º pav."))," (restam serviços no "&amp;IF(Z195&lt;0,IF(COUNTIF($E$5:$E$6004,"SUBSOLO*")&gt;0,"subsolo",-Z195&amp;"º subsolo"),IF(Z195=0,"térreo",Z195&amp;"º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26" t="n">
        <v>45932</v>
      </c>
      <c r="G196" s="126" t="n">
        <v>45938</v>
      </c>
      <c r="H196" s="126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IF(E196="","",IF(ISNUMBER(SEARCH("SUBSOLO",E196)),IFERROR(-VALUE(LEFT(E196,FIND("º",SUBSTITUTE(E196,"°","º"))-1)),-1),IF(LEFT(E196,6)="TÉRREO",0,IFERROR(VALUE(LEFT(E196,FIND("º",SUBSTITUTE(E196,"°","º"))-1)),""))))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IF(R196="","",COUNTIF($C$5:$C$6004,R196))</f>
        <v/>
      </c>
      <c r="W196" s="2">
        <f>IF(R196="","",COUNTIFS($C$5:$C$6004,R196,$O$5:$O$6004,"CONCLUÍDA"))</f>
        <v/>
      </c>
      <c r="X196" s="2">
        <f>IF(R196="","",COUNTIFS($C$5:$C$6004,R196,$O$5:$O$6004,"EM ANDAMENTO"))</f>
        <v/>
      </c>
      <c r="Y196" s="2">
        <f>IF(R196="","",IF(COUNTIFS($C$5:$C$6004,R196,$O$5:$O$6004,"CONCLUÍDA",$N$5:$N$6004,"&gt;=-99")=0,"",_xlfn.MAXIFS($N$5:$N$6004,$C$5:$C$6004,R196,$O$5:$O$6004,"CONCLUÍDA")))</f>
        <v/>
      </c>
      <c r="Z196" s="2">
        <f>IF(R196="","",IF(COUNTIFS($C$5:$C$6004,R196,$O$5:$O$6004,"EM ANDAMENTO",$N$5:$N$6004,"&gt;=-99")=0,"",_xlfn.MAXIFS($N$5:$N$6004,$C$5:$C$6004,R196,$O$5:$O$6004,"EM ANDAMENTO")))</f>
        <v/>
      </c>
      <c r="AA196" s="2">
        <f>IF(OR(R196="",S196="",U196&lt;&gt;"SIM",V196=0),"",IF(W196+X196=0,"",T196&amp;": "&amp;IF(W196=V196,"concluído",IF(W196=0,"em execução"&amp;IF(Z196&lt;&gt;""," ("&amp;IF(Z196&lt;0,IF(COUNTIF($E$5:$E$6004,"SUBSOLO*")&gt;0,"subsolo",-Z196&amp;"º subsolo"),IF(Z196=0,"térreo",Z196&amp;"º pav."))&amp;")",""),IF(Y196&lt;&gt;"","até "&amp;IF(Y196&lt;0,IF(COUNTIF($E$5:$E$6004,"SUBSOLO*")&gt;0,"subsolo",-Y196&amp;"º subsolo"),IF(Y196=0,"térreo",Y196&amp;"º pav.")),W196&amp;" de "&amp;V196&amp;" concluídas")&amp;IF(Z196="","",IF(OR(Y196="",Z196&gt;Y196),", executando "&amp;IF(Z196&lt;0,IF(COUNTIF($E$5:$E$6004,"SUBSOLO*")&gt;0,"subsolo",-Z196&amp;"º subsolo"),IF(Z196=0,"térreo",Z196&amp;"º pav."))," (restam serviços no "&amp;IF(Z196&lt;0,IF(COUNTIF($E$5:$E$6004,"SUBSOLO*")&gt;0,"subsolo",-Z196&amp;"º subsolo"),IF(Z196=0,"térreo",Z196&amp;"º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26" t="n">
        <v>45939</v>
      </c>
      <c r="G197" s="126" t="n">
        <v>45939</v>
      </c>
      <c r="H197" s="126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IF(E197="","",IF(ISNUMBER(SEARCH("SUBSOLO",E197)),IFERROR(-VALUE(LEFT(E197,FIND("º",SUBSTITUTE(E197,"°","º"))-1)),-1),IF(LEFT(E197,6)="TÉRREO",0,IFERROR(VALUE(LEFT(E197,FIND("º",SUBSTITUTE(E197,"°","º"))-1)),""))))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IF(R197="","",COUNTIF($C$5:$C$6004,R197))</f>
        <v/>
      </c>
      <c r="W197" s="2">
        <f>IF(R197="","",COUNTIFS($C$5:$C$6004,R197,$O$5:$O$6004,"CONCLUÍDA"))</f>
        <v/>
      </c>
      <c r="X197" s="2">
        <f>IF(R197="","",COUNTIFS($C$5:$C$6004,R197,$O$5:$O$6004,"EM ANDAMENTO"))</f>
        <v/>
      </c>
      <c r="Y197" s="2">
        <f>IF(R197="","",IF(COUNTIFS($C$5:$C$6004,R197,$O$5:$O$6004,"CONCLUÍDA",$N$5:$N$6004,"&gt;=-99")=0,"",_xlfn.MAXIFS($N$5:$N$6004,$C$5:$C$6004,R197,$O$5:$O$6004,"CONCLUÍDA")))</f>
        <v/>
      </c>
      <c r="Z197" s="2">
        <f>IF(R197="","",IF(COUNTIFS($C$5:$C$6004,R197,$O$5:$O$6004,"EM ANDAMENTO",$N$5:$N$6004,"&gt;=-99")=0,"",_xlfn.MAXIFS($N$5:$N$6004,$C$5:$C$6004,R197,$O$5:$O$6004,"EM ANDAMENTO")))</f>
        <v/>
      </c>
      <c r="AA197" s="2">
        <f>IF(OR(R197="",S197="",U197&lt;&gt;"SIM",V197=0),"",IF(W197+X197=0,"",T197&amp;": "&amp;IF(W197=V197,"concluído",IF(W197=0,"em execução"&amp;IF(Z197&lt;&gt;""," ("&amp;IF(Z197&lt;0,IF(COUNTIF($E$5:$E$6004,"SUBSOLO*")&gt;0,"subsolo",-Z197&amp;"º subsolo"),IF(Z197=0,"térreo",Z197&amp;"º pav."))&amp;")",""),IF(Y197&lt;&gt;"","até "&amp;IF(Y197&lt;0,IF(COUNTIF($E$5:$E$6004,"SUBSOLO*")&gt;0,"subsolo",-Y197&amp;"º subsolo"),IF(Y197=0,"térreo",Y197&amp;"º pav.")),W197&amp;" de "&amp;V197&amp;" concluídas")&amp;IF(Z197="","",IF(OR(Y197="",Z197&gt;Y197),", executando "&amp;IF(Z197&lt;0,IF(COUNTIF($E$5:$E$6004,"SUBSOLO*")&gt;0,"subsolo",-Z197&amp;"º subsolo"),IF(Z197=0,"térreo",Z197&amp;"º pav."))," (restam serviços no "&amp;IF(Z197&lt;0,IF(COUNTIF($E$5:$E$6004,"SUBSOLO*")&gt;0,"subsolo",-Z197&amp;"º subsolo"),IF(Z197=0,"térreo",Z197&amp;"º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26" t="n">
        <v>45940</v>
      </c>
      <c r="G198" s="126" t="n">
        <v>45940</v>
      </c>
      <c r="H198" s="126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IF(E198="","",IF(ISNUMBER(SEARCH("SUBSOLO",E198)),IFERROR(-VALUE(LEFT(E198,FIND("º",SUBSTITUTE(E198,"°","º"))-1)),-1),IF(LEFT(E198,6)="TÉRREO",0,IFERROR(VALUE(LEFT(E198,FIND("º",SUBSTITUTE(E198,"°","º"))-1)),""))))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IF(R198="","",COUNTIF($C$5:$C$6004,R198))</f>
        <v/>
      </c>
      <c r="W198" s="2">
        <f>IF(R198="","",COUNTIFS($C$5:$C$6004,R198,$O$5:$O$6004,"CONCLUÍDA"))</f>
        <v/>
      </c>
      <c r="X198" s="2">
        <f>IF(R198="","",COUNTIFS($C$5:$C$6004,R198,$O$5:$O$6004,"EM ANDAMENTO"))</f>
        <v/>
      </c>
      <c r="Y198" s="2">
        <f>IF(R198="","",IF(COUNTIFS($C$5:$C$6004,R198,$O$5:$O$6004,"CONCLUÍDA",$N$5:$N$6004,"&gt;=-99")=0,"",_xlfn.MAXIFS($N$5:$N$6004,$C$5:$C$6004,R198,$O$5:$O$6004,"CONCLUÍDA")))</f>
        <v/>
      </c>
      <c r="Z198" s="2">
        <f>IF(R198="","",IF(COUNTIFS($C$5:$C$6004,R198,$O$5:$O$6004,"EM ANDAMENTO",$N$5:$N$6004,"&gt;=-99")=0,"",_xlfn.MAXIFS($N$5:$N$6004,$C$5:$C$6004,R198,$O$5:$O$6004,"EM ANDAMENTO")))</f>
        <v/>
      </c>
      <c r="AA198" s="2">
        <f>IF(OR(R198="",S198="",U198&lt;&gt;"SIM",V198=0),"",IF(W198+X198=0,"",T198&amp;": "&amp;IF(W198=V198,"concluído",IF(W198=0,"em execução"&amp;IF(Z198&lt;&gt;""," ("&amp;IF(Z198&lt;0,IF(COUNTIF($E$5:$E$6004,"SUBSOLO*")&gt;0,"subsolo",-Z198&amp;"º subsolo"),IF(Z198=0,"térreo",Z198&amp;"º pav."))&amp;")",""),IF(Y198&lt;&gt;"","até "&amp;IF(Y198&lt;0,IF(COUNTIF($E$5:$E$6004,"SUBSOLO*")&gt;0,"subsolo",-Y198&amp;"º subsolo"),IF(Y198=0,"térreo",Y198&amp;"º pav.")),W198&amp;" de "&amp;V198&amp;" concluídas")&amp;IF(Z198="","",IF(OR(Y198="",Z198&gt;Y198),", executando "&amp;IF(Z198&lt;0,IF(COUNTIF($E$5:$E$6004,"SUBSOLO*")&gt;0,"subsolo",-Z198&amp;"º subsolo"),IF(Z198=0,"térreo",Z198&amp;"º pav."))," (restam serviços no "&amp;IF(Z198&lt;0,IF(COUNTIF($E$5:$E$6004,"SUBSOLO*")&gt;0,"subsolo",-Z198&amp;"º subsolo"),IF(Z198=0,"térreo",Z198&amp;"º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26" t="n">
        <v>45943</v>
      </c>
      <c r="G199" s="126" t="n">
        <v>45943</v>
      </c>
      <c r="H199" s="126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IF(E199="","",IF(ISNUMBER(SEARCH("SUBSOLO",E199)),IFERROR(-VALUE(LEFT(E199,FIND("º",SUBSTITUTE(E199,"°","º"))-1)),-1),IF(LEFT(E199,6)="TÉRREO",0,IFERROR(VALUE(LEFT(E199,FIND("º",SUBSTITUTE(E199,"°","º"))-1)),""))))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IF(R199="","",COUNTIF($C$5:$C$6004,R199))</f>
        <v/>
      </c>
      <c r="W199" s="2">
        <f>IF(R199="","",COUNTIFS($C$5:$C$6004,R199,$O$5:$O$6004,"CONCLUÍDA"))</f>
        <v/>
      </c>
      <c r="X199" s="2">
        <f>IF(R199="","",COUNTIFS($C$5:$C$6004,R199,$O$5:$O$6004,"EM ANDAMENTO"))</f>
        <v/>
      </c>
      <c r="Y199" s="2">
        <f>IF(R199="","",IF(COUNTIFS($C$5:$C$6004,R199,$O$5:$O$6004,"CONCLUÍDA",$N$5:$N$6004,"&gt;=-99")=0,"",_xlfn.MAXIFS($N$5:$N$6004,$C$5:$C$6004,R199,$O$5:$O$6004,"CONCLUÍDA")))</f>
        <v/>
      </c>
      <c r="Z199" s="2">
        <f>IF(R199="","",IF(COUNTIFS($C$5:$C$6004,R199,$O$5:$O$6004,"EM ANDAMENTO",$N$5:$N$6004,"&gt;=-99")=0,"",_xlfn.MAXIFS($N$5:$N$6004,$C$5:$C$6004,R199,$O$5:$O$6004,"EM ANDAMENTO")))</f>
        <v/>
      </c>
      <c r="AA199" s="2">
        <f>IF(OR(R199="",S199="",U199&lt;&gt;"SIM",V199=0),"",IF(W199+X199=0,"",T199&amp;": "&amp;IF(W199=V199,"concluído",IF(W199=0,"em execução"&amp;IF(Z199&lt;&gt;""," ("&amp;IF(Z199&lt;0,IF(COUNTIF($E$5:$E$6004,"SUBSOLO*")&gt;0,"subsolo",-Z199&amp;"º subsolo"),IF(Z199=0,"térreo",Z199&amp;"º pav."))&amp;")",""),IF(Y199&lt;&gt;"","até "&amp;IF(Y199&lt;0,IF(COUNTIF($E$5:$E$6004,"SUBSOLO*")&gt;0,"subsolo",-Y199&amp;"º subsolo"),IF(Y199=0,"térreo",Y199&amp;"º pav.")),W199&amp;" de "&amp;V199&amp;" concluídas")&amp;IF(Z199="","",IF(OR(Y199="",Z199&gt;Y199),", executando "&amp;IF(Z199&lt;0,IF(COUNTIF($E$5:$E$6004,"SUBSOLO*")&gt;0,"subsolo",-Z199&amp;"º subsolo"),IF(Z199=0,"térreo",Z199&amp;"º pav."))," (restam serviços no "&amp;IF(Z199&lt;0,IF(COUNTIF($E$5:$E$6004,"SUBSOLO*")&gt;0,"subsolo",-Z199&amp;"º subsolo"),IF(Z199=0,"térreo",Z199&amp;"º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26" t="n">
        <v>45944</v>
      </c>
      <c r="G200" s="126" t="n">
        <v>45944</v>
      </c>
      <c r="H200" s="126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IF(E200="","",IF(ISNUMBER(SEARCH("SUBSOLO",E200)),IFERROR(-VALUE(LEFT(E200,FIND("º",SUBSTITUTE(E200,"°","º"))-1)),-1),IF(LEFT(E200,6)="TÉRREO",0,IFERROR(VALUE(LEFT(E200,FIND("º",SUBSTITUTE(E200,"°","º"))-1)),""))))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IF(R200="","",COUNTIF($C$5:$C$6004,R200))</f>
        <v/>
      </c>
      <c r="W200" s="2">
        <f>IF(R200="","",COUNTIFS($C$5:$C$6004,R200,$O$5:$O$6004,"CONCLUÍDA"))</f>
        <v/>
      </c>
      <c r="X200" s="2">
        <f>IF(R200="","",COUNTIFS($C$5:$C$6004,R200,$O$5:$O$6004,"EM ANDAMENTO"))</f>
        <v/>
      </c>
      <c r="Y200" s="2">
        <f>IF(R200="","",IF(COUNTIFS($C$5:$C$6004,R200,$O$5:$O$6004,"CONCLUÍDA",$N$5:$N$6004,"&gt;=-99")=0,"",_xlfn.MAXIFS($N$5:$N$6004,$C$5:$C$6004,R200,$O$5:$O$6004,"CONCLUÍDA")))</f>
        <v/>
      </c>
      <c r="Z200" s="2">
        <f>IF(R200="","",IF(COUNTIFS($C$5:$C$6004,R200,$O$5:$O$6004,"EM ANDAMENTO",$N$5:$N$6004,"&gt;=-99")=0,"",_xlfn.MAXIFS($N$5:$N$6004,$C$5:$C$6004,R200,$O$5:$O$6004,"EM ANDAMENTO")))</f>
        <v/>
      </c>
      <c r="AA200" s="2">
        <f>IF(OR(R200="",S200="",U200&lt;&gt;"SIM",V200=0),"",IF(W200+X200=0,"",T200&amp;": "&amp;IF(W200=V200,"concluído",IF(W200=0,"em execução"&amp;IF(Z200&lt;&gt;""," ("&amp;IF(Z200&lt;0,IF(COUNTIF($E$5:$E$6004,"SUBSOLO*")&gt;0,"subsolo",-Z200&amp;"º subsolo"),IF(Z200=0,"térreo",Z200&amp;"º pav."))&amp;")",""),IF(Y200&lt;&gt;"","até "&amp;IF(Y200&lt;0,IF(COUNTIF($E$5:$E$6004,"SUBSOLO*")&gt;0,"subsolo",-Y200&amp;"º subsolo"),IF(Y200=0,"térreo",Y200&amp;"º pav.")),W200&amp;" de "&amp;V200&amp;" concluídas")&amp;IF(Z200="","",IF(OR(Y200="",Z200&gt;Y200),", executando "&amp;IF(Z200&lt;0,IF(COUNTIF($E$5:$E$6004,"SUBSOLO*")&gt;0,"subsolo",-Z200&amp;"º subsolo"),IF(Z200=0,"térreo",Z200&amp;"º pav."))," (restam serviços no "&amp;IF(Z200&lt;0,IF(COUNTIF($E$5:$E$6004,"SUBSOLO*")&gt;0,"subsolo",-Z200&amp;"º subsolo"),IF(Z200=0,"térreo",Z200&amp;"º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26" t="n">
        <v>45945</v>
      </c>
      <c r="G201" s="126" t="n">
        <v>45945</v>
      </c>
      <c r="H201" s="126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IF(E201="","",IF(ISNUMBER(SEARCH("SUBSOLO",E201)),IFERROR(-VALUE(LEFT(E201,FIND("º",SUBSTITUTE(E201,"°","º"))-1)),-1),IF(LEFT(E201,6)="TÉRREO",0,IFERROR(VALUE(LEFT(E201,FIND("º",SUBSTITUTE(E201,"°","º"))-1)),""))))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IF(R201="","",COUNTIF($C$5:$C$6004,R201))</f>
        <v/>
      </c>
      <c r="W201" s="2">
        <f>IF(R201="","",COUNTIFS($C$5:$C$6004,R201,$O$5:$O$6004,"CONCLUÍDA"))</f>
        <v/>
      </c>
      <c r="X201" s="2">
        <f>IF(R201="","",COUNTIFS($C$5:$C$6004,R201,$O$5:$O$6004,"EM ANDAMENTO"))</f>
        <v/>
      </c>
      <c r="Y201" s="2">
        <f>IF(R201="","",IF(COUNTIFS($C$5:$C$6004,R201,$O$5:$O$6004,"CONCLUÍDA",$N$5:$N$6004,"&gt;=-99")=0,"",_xlfn.MAXIFS($N$5:$N$6004,$C$5:$C$6004,R201,$O$5:$O$6004,"CONCLUÍDA")))</f>
        <v/>
      </c>
      <c r="Z201" s="2">
        <f>IF(R201="","",IF(COUNTIFS($C$5:$C$6004,R201,$O$5:$O$6004,"EM ANDAMENTO",$N$5:$N$6004,"&gt;=-99")=0,"",_xlfn.MAXIFS($N$5:$N$6004,$C$5:$C$6004,R201,$O$5:$O$6004,"EM ANDAMENTO")))</f>
        <v/>
      </c>
      <c r="AA201" s="2">
        <f>IF(OR(R201="",S201="",U201&lt;&gt;"SIM",V201=0),"",IF(W201+X201=0,"",T201&amp;": "&amp;IF(W201=V201,"concluído",IF(W201=0,"em execução"&amp;IF(Z201&lt;&gt;""," ("&amp;IF(Z201&lt;0,IF(COUNTIF($E$5:$E$6004,"SUBSOLO*")&gt;0,"subsolo",-Z201&amp;"º subsolo"),IF(Z201=0,"térreo",Z201&amp;"º pav."))&amp;")",""),IF(Y201&lt;&gt;"","até "&amp;IF(Y201&lt;0,IF(COUNTIF($E$5:$E$6004,"SUBSOLO*")&gt;0,"subsolo",-Y201&amp;"º subsolo"),IF(Y201=0,"térreo",Y201&amp;"º pav.")),W201&amp;" de "&amp;V201&amp;" concluídas")&amp;IF(Z201="","",IF(OR(Y201="",Z201&gt;Y201),", executando "&amp;IF(Z201&lt;0,IF(COUNTIF($E$5:$E$6004,"SUBSOLO*")&gt;0,"subsolo",-Z201&amp;"º subsolo"),IF(Z201=0,"térreo",Z201&amp;"º pav."))," (restam serviços no "&amp;IF(Z201&lt;0,IF(COUNTIF($E$5:$E$6004,"SUBSOLO*")&gt;0,"subsolo",-Z201&amp;"º subsolo"),IF(Z201=0,"térreo",Z201&amp;"º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26" t="n">
        <v>45915</v>
      </c>
      <c r="G202" s="126" t="n">
        <v>45989</v>
      </c>
      <c r="H202" s="126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IF(E202="","",IF(ISNUMBER(SEARCH("SUBSOLO",E202)),IFERROR(-VALUE(LEFT(E202,FIND("º",SUBSTITUTE(E202,"°","º"))-1)),-1),IF(LEFT(E202,6)="TÉRREO",0,IFERROR(VALUE(LEFT(E202,FIND("º",SUBSTITUTE(E202,"°","º"))-1)),""))))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IF(R202="","",COUNTIF($C$5:$C$6004,R202))</f>
        <v/>
      </c>
      <c r="W202" s="2">
        <f>IF(R202="","",COUNTIFS($C$5:$C$6004,R202,$O$5:$O$6004,"CONCLUÍDA"))</f>
        <v/>
      </c>
      <c r="X202" s="2">
        <f>IF(R202="","",COUNTIFS($C$5:$C$6004,R202,$O$5:$O$6004,"EM ANDAMENTO"))</f>
        <v/>
      </c>
      <c r="Y202" s="2">
        <f>IF(R202="","",IF(COUNTIFS($C$5:$C$6004,R202,$O$5:$O$6004,"CONCLUÍDA",$N$5:$N$6004,"&gt;=-99")=0,"",_xlfn.MAXIFS($N$5:$N$6004,$C$5:$C$6004,R202,$O$5:$O$6004,"CONCLUÍDA")))</f>
        <v/>
      </c>
      <c r="Z202" s="2">
        <f>IF(R202="","",IF(COUNTIFS($C$5:$C$6004,R202,$O$5:$O$6004,"EM ANDAMENTO",$N$5:$N$6004,"&gt;=-99")=0,"",_xlfn.MAXIFS($N$5:$N$6004,$C$5:$C$6004,R202,$O$5:$O$6004,"EM ANDAMENTO")))</f>
        <v/>
      </c>
      <c r="AA202" s="2">
        <f>IF(OR(R202="",S202="",U202&lt;&gt;"SIM",V202=0),"",IF(W202+X202=0,"",T202&amp;": "&amp;IF(W202=V202,"concluído",IF(W202=0,"em execução"&amp;IF(Z202&lt;&gt;""," ("&amp;IF(Z202&lt;0,IF(COUNTIF($E$5:$E$6004,"SUBSOLO*")&gt;0,"subsolo",-Z202&amp;"º subsolo"),IF(Z202=0,"térreo",Z202&amp;"º pav."))&amp;")",""),IF(Y202&lt;&gt;"","até "&amp;IF(Y202&lt;0,IF(COUNTIF($E$5:$E$6004,"SUBSOLO*")&gt;0,"subsolo",-Y202&amp;"º subsolo"),IF(Y202=0,"térreo",Y202&amp;"º pav.")),W202&amp;" de "&amp;V202&amp;" concluídas")&amp;IF(Z202="","",IF(OR(Y202="",Z202&gt;Y202),", executando "&amp;IF(Z202&lt;0,IF(COUNTIF($E$5:$E$6004,"SUBSOLO*")&gt;0,"subsolo",-Z202&amp;"º subsolo"),IF(Z202=0,"térreo",Z202&amp;"º pav."))," (restam serviços no "&amp;IF(Z202&lt;0,IF(COUNTIF($E$5:$E$6004,"SUBSOLO*")&gt;0,"subsolo",-Z202&amp;"º subsolo"),IF(Z202=0,"térreo",Z202&amp;"º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26" t="n">
        <v>45915</v>
      </c>
      <c r="G203" s="126" t="n">
        <v>45965</v>
      </c>
      <c r="H203" s="126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IF(E203="","",IF(ISNUMBER(SEARCH("SUBSOLO",E203)),IFERROR(-VALUE(LEFT(E203,FIND("º",SUBSTITUTE(E203,"°","º"))-1)),-1),IF(LEFT(E203,6)="TÉRREO",0,IFERROR(VALUE(LEFT(E203,FIND("º",SUBSTITUTE(E203,"°","º"))-1)),""))))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IF(R203="","",COUNTIF($C$5:$C$6004,R203))</f>
        <v/>
      </c>
      <c r="W203" s="2">
        <f>IF(R203="","",COUNTIFS($C$5:$C$6004,R203,$O$5:$O$6004,"CONCLUÍDA"))</f>
        <v/>
      </c>
      <c r="X203" s="2">
        <f>IF(R203="","",COUNTIFS($C$5:$C$6004,R203,$O$5:$O$6004,"EM ANDAMENTO"))</f>
        <v/>
      </c>
      <c r="Y203" s="2">
        <f>IF(R203="","",IF(COUNTIFS($C$5:$C$6004,R203,$O$5:$O$6004,"CONCLUÍDA",$N$5:$N$6004,"&gt;=-99")=0,"",_xlfn.MAXIFS($N$5:$N$6004,$C$5:$C$6004,R203,$O$5:$O$6004,"CONCLUÍDA")))</f>
        <v/>
      </c>
      <c r="Z203" s="2">
        <f>IF(R203="","",IF(COUNTIFS($C$5:$C$6004,R203,$O$5:$O$6004,"EM ANDAMENTO",$N$5:$N$6004,"&gt;=-99")=0,"",_xlfn.MAXIFS($N$5:$N$6004,$C$5:$C$6004,R203,$O$5:$O$6004,"EM ANDAMENTO")))</f>
        <v/>
      </c>
      <c r="AA203" s="2">
        <f>IF(OR(R203="",S203="",U203&lt;&gt;"SIM",V203=0),"",IF(W203+X203=0,"",T203&amp;": "&amp;IF(W203=V203,"concluído",IF(W203=0,"em execução"&amp;IF(Z203&lt;&gt;""," ("&amp;IF(Z203&lt;0,IF(COUNTIF($E$5:$E$6004,"SUBSOLO*")&gt;0,"subsolo",-Z203&amp;"º subsolo"),IF(Z203=0,"térreo",Z203&amp;"º pav."))&amp;")",""),IF(Y203&lt;&gt;"","até "&amp;IF(Y203&lt;0,IF(COUNTIF($E$5:$E$6004,"SUBSOLO*")&gt;0,"subsolo",-Y203&amp;"º subsolo"),IF(Y203=0,"térreo",Y203&amp;"º pav.")),W203&amp;" de "&amp;V203&amp;" concluídas")&amp;IF(Z203="","",IF(OR(Y203="",Z203&gt;Y203),", executando "&amp;IF(Z203&lt;0,IF(COUNTIF($E$5:$E$6004,"SUBSOLO*")&gt;0,"subsolo",-Z203&amp;"º subsolo"),IF(Z203=0,"térreo",Z203&amp;"º pav."))," (restam serviços no "&amp;IF(Z203&lt;0,IF(COUNTIF($E$5:$E$6004,"SUBSOLO*")&gt;0,"subsolo",-Z203&amp;"º subsolo"),IF(Z203=0,"térreo",Z203&amp;"º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26" t="n">
        <v>45915</v>
      </c>
      <c r="G204" s="126" t="n">
        <v>45923</v>
      </c>
      <c r="H204" s="126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IF(E204="","",IF(ISNUMBER(SEARCH("SUBSOLO",E204)),IFERROR(-VALUE(LEFT(E204,FIND("º",SUBSTITUTE(E204,"°","º"))-1)),-1),IF(LEFT(E204,6)="TÉRREO",0,IFERROR(VALUE(LEFT(E204,FIND("º",SUBSTITUTE(E204,"°","º"))-1)),""))))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IF(R204="","",COUNTIF($C$5:$C$6004,R204))</f>
        <v/>
      </c>
      <c r="W204" s="2">
        <f>IF(R204="","",COUNTIFS($C$5:$C$6004,R204,$O$5:$O$6004,"CONCLUÍDA"))</f>
        <v/>
      </c>
      <c r="X204" s="2">
        <f>IF(R204="","",COUNTIFS($C$5:$C$6004,R204,$O$5:$O$6004,"EM ANDAMENTO"))</f>
        <v/>
      </c>
      <c r="Y204" s="2">
        <f>IF(R204="","",IF(COUNTIFS($C$5:$C$6004,R204,$O$5:$O$6004,"CONCLUÍDA",$N$5:$N$6004,"&gt;=-99")=0,"",_xlfn.MAXIFS($N$5:$N$6004,$C$5:$C$6004,R204,$O$5:$O$6004,"CONCLUÍDA")))</f>
        <v/>
      </c>
      <c r="Z204" s="2">
        <f>IF(R204="","",IF(COUNTIFS($C$5:$C$6004,R204,$O$5:$O$6004,"EM ANDAMENTO",$N$5:$N$6004,"&gt;=-99")=0,"",_xlfn.MAXIFS($N$5:$N$6004,$C$5:$C$6004,R204,$O$5:$O$6004,"EM ANDAMENTO")))</f>
        <v/>
      </c>
      <c r="AA204" s="2">
        <f>IF(OR(R204="",S204="",U204&lt;&gt;"SIM",V204=0),"",IF(W204+X204=0,"",T204&amp;": "&amp;IF(W204=V204,"concluído",IF(W204=0,"em execução"&amp;IF(Z204&lt;&gt;""," ("&amp;IF(Z204&lt;0,IF(COUNTIF($E$5:$E$6004,"SUBSOLO*")&gt;0,"subsolo",-Z204&amp;"º subsolo"),IF(Z204=0,"térreo",Z204&amp;"º pav."))&amp;")",""),IF(Y204&lt;&gt;"","até "&amp;IF(Y204&lt;0,IF(COUNTIF($E$5:$E$6004,"SUBSOLO*")&gt;0,"subsolo",-Y204&amp;"º subsolo"),IF(Y204=0,"térreo",Y204&amp;"º pav.")),W204&amp;" de "&amp;V204&amp;" concluídas")&amp;IF(Z204="","",IF(OR(Y204="",Z204&gt;Y204),", executando "&amp;IF(Z204&lt;0,IF(COUNTIF($E$5:$E$6004,"SUBSOLO*")&gt;0,"subsolo",-Z204&amp;"º subsolo"),IF(Z204=0,"térreo",Z204&amp;"º pav."))," (restam serviços no "&amp;IF(Z204&lt;0,IF(COUNTIF($E$5:$E$6004,"SUBSOLO*")&gt;0,"subsolo",-Z204&amp;"º subsolo"),IF(Z204=0,"térreo",Z204&amp;"º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26" t="n">
        <v>45966</v>
      </c>
      <c r="G205" s="126" t="n">
        <v>45989</v>
      </c>
      <c r="H205" s="126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IF(E205="","",IF(ISNUMBER(SEARCH("SUBSOLO",E205)),IFERROR(-VALUE(LEFT(E205,FIND("º",SUBSTITUTE(E205,"°","º"))-1)),-1),IF(LEFT(E205,6)="TÉRREO",0,IFERROR(VALUE(LEFT(E205,FIND("º",SUBSTITUTE(E205,"°","º"))-1)),""))))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IF(R205="","",COUNTIF($C$5:$C$6004,R205))</f>
        <v/>
      </c>
      <c r="W205" s="2">
        <f>IF(R205="","",COUNTIFS($C$5:$C$6004,R205,$O$5:$O$6004,"CONCLUÍDA"))</f>
        <v/>
      </c>
      <c r="X205" s="2">
        <f>IF(R205="","",COUNTIFS($C$5:$C$6004,R205,$O$5:$O$6004,"EM ANDAMENTO"))</f>
        <v/>
      </c>
      <c r="Y205" s="2">
        <f>IF(R205="","",IF(COUNTIFS($C$5:$C$6004,R205,$O$5:$O$6004,"CONCLUÍDA",$N$5:$N$6004,"&gt;=-99")=0,"",_xlfn.MAXIFS($N$5:$N$6004,$C$5:$C$6004,R205,$O$5:$O$6004,"CONCLUÍDA")))</f>
        <v/>
      </c>
      <c r="Z205" s="2">
        <f>IF(R205="","",IF(COUNTIFS($C$5:$C$6004,R205,$O$5:$O$6004,"EM ANDAMENTO",$N$5:$N$6004,"&gt;=-99")=0,"",_xlfn.MAXIFS($N$5:$N$6004,$C$5:$C$6004,R205,$O$5:$O$6004,"EM ANDAMENTO")))</f>
        <v/>
      </c>
      <c r="AA205" s="2">
        <f>IF(OR(R205="",S205="",U205&lt;&gt;"SIM",V205=0),"",IF(W205+X205=0,"",T205&amp;": "&amp;IF(W205=V205,"concluído",IF(W205=0,"em execução"&amp;IF(Z205&lt;&gt;""," ("&amp;IF(Z205&lt;0,IF(COUNTIF($E$5:$E$6004,"SUBSOLO*")&gt;0,"subsolo",-Z205&amp;"º subsolo"),IF(Z205=0,"térreo",Z205&amp;"º pav."))&amp;")",""),IF(Y205&lt;&gt;"","até "&amp;IF(Y205&lt;0,IF(COUNTIF($E$5:$E$6004,"SUBSOLO*")&gt;0,"subsolo",-Y205&amp;"º subsolo"),IF(Y205=0,"térreo",Y205&amp;"º pav.")),W205&amp;" de "&amp;V205&amp;" concluídas")&amp;IF(Z205="","",IF(OR(Y205="",Z205&gt;Y205),", executando "&amp;IF(Z205&lt;0,IF(COUNTIF($E$5:$E$6004,"SUBSOLO*")&gt;0,"subsolo",-Z205&amp;"º subsolo"),IF(Z205=0,"térreo",Z205&amp;"º pav."))," (restam serviços no "&amp;IF(Z205&lt;0,IF(COUNTIF($E$5:$E$6004,"SUBSOLO*")&gt;0,"subsolo",-Z205&amp;"º subsolo"),IF(Z205=0,"térreo",Z205&amp;"º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26" t="n">
        <v>45924</v>
      </c>
      <c r="G206" s="126" t="n">
        <v>45964</v>
      </c>
      <c r="H206" s="126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IF(E206="","",IF(ISNUMBER(SEARCH("SUBSOLO",E206)),IFERROR(-VALUE(LEFT(E206,FIND("º",SUBSTITUTE(E206,"°","º"))-1)),-1),IF(LEFT(E206,6)="TÉRREO",0,IFERROR(VALUE(LEFT(E206,FIND("º",SUBSTITUTE(E206,"°","º"))-1)),""))))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IF(R206="","",COUNTIF($C$5:$C$6004,R206))</f>
        <v/>
      </c>
      <c r="W206" s="2">
        <f>IF(R206="","",COUNTIFS($C$5:$C$6004,R206,$O$5:$O$6004,"CONCLUÍDA"))</f>
        <v/>
      </c>
      <c r="X206" s="2">
        <f>IF(R206="","",COUNTIFS($C$5:$C$6004,R206,$O$5:$O$6004,"EM ANDAMENTO"))</f>
        <v/>
      </c>
      <c r="Y206" s="2">
        <f>IF(R206="","",IF(COUNTIFS($C$5:$C$6004,R206,$O$5:$O$6004,"CONCLUÍDA",$N$5:$N$6004,"&gt;=-99")=0,"",_xlfn.MAXIFS($N$5:$N$6004,$C$5:$C$6004,R206,$O$5:$O$6004,"CONCLUÍDA")))</f>
        <v/>
      </c>
      <c r="Z206" s="2">
        <f>IF(R206="","",IF(COUNTIFS($C$5:$C$6004,R206,$O$5:$O$6004,"EM ANDAMENTO",$N$5:$N$6004,"&gt;=-99")=0,"",_xlfn.MAXIFS($N$5:$N$6004,$C$5:$C$6004,R206,$O$5:$O$6004,"EM ANDAMENTO")))</f>
        <v/>
      </c>
      <c r="AA206" s="2">
        <f>IF(OR(R206="",S206="",U206&lt;&gt;"SIM",V206=0),"",IF(W206+X206=0,"",T206&amp;": "&amp;IF(W206=V206,"concluído",IF(W206=0,"em execução"&amp;IF(Z206&lt;&gt;""," ("&amp;IF(Z206&lt;0,IF(COUNTIF($E$5:$E$6004,"SUBSOLO*")&gt;0,"subsolo",-Z206&amp;"º subsolo"),IF(Z206=0,"térreo",Z206&amp;"º pav."))&amp;")",""),IF(Y206&lt;&gt;"","até "&amp;IF(Y206&lt;0,IF(COUNTIF($E$5:$E$6004,"SUBSOLO*")&gt;0,"subsolo",-Y206&amp;"º subsolo"),IF(Y206=0,"térreo",Y206&amp;"º pav.")),W206&amp;" de "&amp;V206&amp;" concluídas")&amp;IF(Z206="","",IF(OR(Y206="",Z206&gt;Y206),", executando "&amp;IF(Z206&lt;0,IF(COUNTIF($E$5:$E$6004,"SUBSOLO*")&gt;0,"subsolo",-Z206&amp;"º subsolo"),IF(Z206=0,"térreo",Z206&amp;"º pav."))," (restam serviços no "&amp;IF(Z206&lt;0,IF(COUNTIF($E$5:$E$6004,"SUBSOLO*")&gt;0,"subsolo",-Z206&amp;"º subsolo"),IF(Z206=0,"térreo",Z206&amp;"º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26" t="n">
        <v>45932</v>
      </c>
      <c r="G207" s="126" t="n">
        <v>45972</v>
      </c>
      <c r="H207" s="126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IF(E207="","",IF(ISNUMBER(SEARCH("SUBSOLO",E207)),IFERROR(-VALUE(LEFT(E207,FIND("º",SUBSTITUTE(E207,"°","º"))-1)),-1),IF(LEFT(E207,6)="TÉRREO",0,IFERROR(VALUE(LEFT(E207,FIND("º",SUBSTITUTE(E207,"°","º"))-1)),""))))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IF(R207="","",COUNTIF($C$5:$C$6004,R207))</f>
        <v/>
      </c>
      <c r="W207" s="2">
        <f>IF(R207="","",COUNTIFS($C$5:$C$6004,R207,$O$5:$O$6004,"CONCLUÍDA"))</f>
        <v/>
      </c>
      <c r="X207" s="2">
        <f>IF(R207="","",COUNTIFS($C$5:$C$6004,R207,$O$5:$O$6004,"EM ANDAMENTO"))</f>
        <v/>
      </c>
      <c r="Y207" s="2">
        <f>IF(R207="","",IF(COUNTIFS($C$5:$C$6004,R207,$O$5:$O$6004,"CONCLUÍDA",$N$5:$N$6004,"&gt;=-99")=0,"",_xlfn.MAXIFS($N$5:$N$6004,$C$5:$C$6004,R207,$O$5:$O$6004,"CONCLUÍDA")))</f>
        <v/>
      </c>
      <c r="Z207" s="2">
        <f>IF(R207="","",IF(COUNTIFS($C$5:$C$6004,R207,$O$5:$O$6004,"EM ANDAMENTO",$N$5:$N$6004,"&gt;=-99")=0,"",_xlfn.MAXIFS($N$5:$N$6004,$C$5:$C$6004,R207,$O$5:$O$6004,"EM ANDAMENTO")))</f>
        <v/>
      </c>
      <c r="AA207" s="2">
        <f>IF(OR(R207="",S207="",U207&lt;&gt;"SIM",V207=0),"",IF(W207+X207=0,"",T207&amp;": "&amp;IF(W207=V207,"concluído",IF(W207=0,"em execução"&amp;IF(Z207&lt;&gt;""," ("&amp;IF(Z207&lt;0,IF(COUNTIF($E$5:$E$6004,"SUBSOLO*")&gt;0,"subsolo",-Z207&amp;"º subsolo"),IF(Z207=0,"térreo",Z207&amp;"º pav."))&amp;")",""),IF(Y207&lt;&gt;"","até "&amp;IF(Y207&lt;0,IF(COUNTIF($E$5:$E$6004,"SUBSOLO*")&gt;0,"subsolo",-Y207&amp;"º subsolo"),IF(Y207=0,"térreo",Y207&amp;"º pav.")),W207&amp;" de "&amp;V207&amp;" concluídas")&amp;IF(Z207="","",IF(OR(Y207="",Z207&gt;Y207),", executando "&amp;IF(Z207&lt;0,IF(COUNTIF($E$5:$E$6004,"SUBSOLO*")&gt;0,"subsolo",-Z207&amp;"º subsolo"),IF(Z207=0,"térreo",Z207&amp;"º pav."))," (restam serviços no "&amp;IF(Z207&lt;0,IF(COUNTIF($E$5:$E$6004,"SUBSOLO*")&gt;0,"subsolo",-Z207&amp;"º subsolo"),IF(Z207=0,"térreo",Z207&amp;"º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26" t="n">
        <v>45915</v>
      </c>
      <c r="G208" s="126" t="n">
        <v>45945</v>
      </c>
      <c r="H208" s="126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IF(E208="","",IF(ISNUMBER(SEARCH("SUBSOLO",E208)),IFERROR(-VALUE(LEFT(E208,FIND("º",SUBSTITUTE(E208,"°","º"))-1)),-1),IF(LEFT(E208,6)="TÉRREO",0,IFERROR(VALUE(LEFT(E208,FIND("º",SUBSTITUTE(E208,"°","º"))-1)),""))))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IF(R208="","",COUNTIF($C$5:$C$6004,R208))</f>
        <v/>
      </c>
      <c r="W208" s="2">
        <f>IF(R208="","",COUNTIFS($C$5:$C$6004,R208,$O$5:$O$6004,"CONCLUÍDA"))</f>
        <v/>
      </c>
      <c r="X208" s="2">
        <f>IF(R208="","",COUNTIFS($C$5:$C$6004,R208,$O$5:$O$6004,"EM ANDAMENTO"))</f>
        <v/>
      </c>
      <c r="Y208" s="2">
        <f>IF(R208="","",IF(COUNTIFS($C$5:$C$6004,R208,$O$5:$O$6004,"CONCLUÍDA",$N$5:$N$6004,"&gt;=-99")=0,"",_xlfn.MAXIFS($N$5:$N$6004,$C$5:$C$6004,R208,$O$5:$O$6004,"CONCLUÍDA")))</f>
        <v/>
      </c>
      <c r="Z208" s="2">
        <f>IF(R208="","",IF(COUNTIFS($C$5:$C$6004,R208,$O$5:$O$6004,"EM ANDAMENTO",$N$5:$N$6004,"&gt;=-99")=0,"",_xlfn.MAXIFS($N$5:$N$6004,$C$5:$C$6004,R208,$O$5:$O$6004,"EM ANDAMENTO")))</f>
        <v/>
      </c>
      <c r="AA208" s="2">
        <f>IF(OR(R208="",S208="",U208&lt;&gt;"SIM",V208=0),"",IF(W208+X208=0,"",T208&amp;": "&amp;IF(W208=V208,"concluído",IF(W208=0,"em execução"&amp;IF(Z208&lt;&gt;""," ("&amp;IF(Z208&lt;0,IF(COUNTIF($E$5:$E$6004,"SUBSOLO*")&gt;0,"subsolo",-Z208&amp;"º subsolo"),IF(Z208=0,"térreo",Z208&amp;"º pav."))&amp;")",""),IF(Y208&lt;&gt;"","até "&amp;IF(Y208&lt;0,IF(COUNTIF($E$5:$E$6004,"SUBSOLO*")&gt;0,"subsolo",-Y208&amp;"º subsolo"),IF(Y208=0,"térreo",Y208&amp;"º pav.")),W208&amp;" de "&amp;V208&amp;" concluídas")&amp;IF(Z208="","",IF(OR(Y208="",Z208&gt;Y208),", executando "&amp;IF(Z208&lt;0,IF(COUNTIF($E$5:$E$6004,"SUBSOLO*")&gt;0,"subsolo",-Z208&amp;"º subsolo"),IF(Z208=0,"térreo",Z208&amp;"º pav."))," (restam serviços no "&amp;IF(Z208&lt;0,IF(COUNTIF($E$5:$E$6004,"SUBSOLO*")&gt;0,"subsolo",-Z208&amp;"º subsolo"),IF(Z208=0,"térreo",Z208&amp;"º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26" t="n">
        <v>45915</v>
      </c>
      <c r="G209" s="126" t="n">
        <v>45922</v>
      </c>
      <c r="H209" s="126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IF(E209="","",IF(ISNUMBER(SEARCH("SUBSOLO",E209)),IFERROR(-VALUE(LEFT(E209,FIND("º",SUBSTITUTE(E209,"°","º"))-1)),-1),IF(LEFT(E209,6)="TÉRREO",0,IFERROR(VALUE(LEFT(E209,FIND("º",SUBSTITUTE(E209,"°","º"))-1)),""))))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IF(R209="","",COUNTIF($C$5:$C$6004,R209))</f>
        <v/>
      </c>
      <c r="W209" s="2">
        <f>IF(R209="","",COUNTIFS($C$5:$C$6004,R209,$O$5:$O$6004,"CONCLUÍDA"))</f>
        <v/>
      </c>
      <c r="X209" s="2">
        <f>IF(R209="","",COUNTIFS($C$5:$C$6004,R209,$O$5:$O$6004,"EM ANDAMENTO"))</f>
        <v/>
      </c>
      <c r="Y209" s="2">
        <f>IF(R209="","",IF(COUNTIFS($C$5:$C$6004,R209,$O$5:$O$6004,"CONCLUÍDA",$N$5:$N$6004,"&gt;=-99")=0,"",_xlfn.MAXIFS($N$5:$N$6004,$C$5:$C$6004,R209,$O$5:$O$6004,"CONCLUÍDA")))</f>
        <v/>
      </c>
      <c r="Z209" s="2">
        <f>IF(R209="","",IF(COUNTIFS($C$5:$C$6004,R209,$O$5:$O$6004,"EM ANDAMENTO",$N$5:$N$6004,"&gt;=-99")=0,"",_xlfn.MAXIFS($N$5:$N$6004,$C$5:$C$6004,R209,$O$5:$O$6004,"EM ANDAMENTO")))</f>
        <v/>
      </c>
      <c r="AA209" s="2">
        <f>IF(OR(R209="",S209="",U209&lt;&gt;"SIM",V209=0),"",IF(W209+X209=0,"",T209&amp;": "&amp;IF(W209=V209,"concluído",IF(W209=0,"em execução"&amp;IF(Z209&lt;&gt;""," ("&amp;IF(Z209&lt;0,IF(COUNTIF($E$5:$E$6004,"SUBSOLO*")&gt;0,"subsolo",-Z209&amp;"º subsolo"),IF(Z209=0,"térreo",Z209&amp;"º pav."))&amp;")",""),IF(Y209&lt;&gt;"","até "&amp;IF(Y209&lt;0,IF(COUNTIF($E$5:$E$6004,"SUBSOLO*")&gt;0,"subsolo",-Y209&amp;"º subsolo"),IF(Y209=0,"térreo",Y209&amp;"º pav.")),W209&amp;" de "&amp;V209&amp;" concluídas")&amp;IF(Z209="","",IF(OR(Y209="",Z209&gt;Y209),", executando "&amp;IF(Z209&lt;0,IF(COUNTIF($E$5:$E$6004,"SUBSOLO*")&gt;0,"subsolo",-Z209&amp;"º subsolo"),IF(Z209=0,"térreo",Z209&amp;"º pav."))," (restam serviços no "&amp;IF(Z209&lt;0,IF(COUNTIF($E$5:$E$6004,"SUBSOLO*")&gt;0,"subsolo",-Z209&amp;"º subsolo"),IF(Z209=0,"térreo",Z209&amp;"º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26" t="n">
        <v>45922</v>
      </c>
      <c r="G210" s="126" t="n">
        <v>45929</v>
      </c>
      <c r="H210" s="126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IF(E210="","",IF(ISNUMBER(SEARCH("SUBSOLO",E210)),IFERROR(-VALUE(LEFT(E210,FIND("º",SUBSTITUTE(E210,"°","º"))-1)),-1),IF(LEFT(E210,6)="TÉRREO",0,IFERROR(VALUE(LEFT(E210,FIND("º",SUBSTITUTE(E210,"°","º"))-1)),""))))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IF(R210="","",COUNTIF($C$5:$C$6004,R210))</f>
        <v/>
      </c>
      <c r="W210" s="2">
        <f>IF(R210="","",COUNTIFS($C$5:$C$6004,R210,$O$5:$O$6004,"CONCLUÍDA"))</f>
        <v/>
      </c>
      <c r="X210" s="2">
        <f>IF(R210="","",COUNTIFS($C$5:$C$6004,R210,$O$5:$O$6004,"EM ANDAMENTO"))</f>
        <v/>
      </c>
      <c r="Y210" s="2">
        <f>IF(R210="","",IF(COUNTIFS($C$5:$C$6004,R210,$O$5:$O$6004,"CONCLUÍDA",$N$5:$N$6004,"&gt;=-99")=0,"",_xlfn.MAXIFS($N$5:$N$6004,$C$5:$C$6004,R210,$O$5:$O$6004,"CONCLUÍDA")))</f>
        <v/>
      </c>
      <c r="Z210" s="2">
        <f>IF(R210="","",IF(COUNTIFS($C$5:$C$6004,R210,$O$5:$O$6004,"EM ANDAMENTO",$N$5:$N$6004,"&gt;=-99")=0,"",_xlfn.MAXIFS($N$5:$N$6004,$C$5:$C$6004,R210,$O$5:$O$6004,"EM ANDAMENTO")))</f>
        <v/>
      </c>
      <c r="AA210" s="2">
        <f>IF(OR(R210="",S210="",U210&lt;&gt;"SIM",V210=0),"",IF(W210+X210=0,"",T210&amp;": "&amp;IF(W210=V210,"concluído",IF(W210=0,"em execução"&amp;IF(Z210&lt;&gt;""," ("&amp;IF(Z210&lt;0,IF(COUNTIF($E$5:$E$6004,"SUBSOLO*")&gt;0,"subsolo",-Z210&amp;"º subsolo"),IF(Z210=0,"térreo",Z210&amp;"º pav."))&amp;")",""),IF(Y210&lt;&gt;"","até "&amp;IF(Y210&lt;0,IF(COUNTIF($E$5:$E$6004,"SUBSOLO*")&gt;0,"subsolo",-Y210&amp;"º subsolo"),IF(Y210=0,"térreo",Y210&amp;"º pav.")),W210&amp;" de "&amp;V210&amp;" concluídas")&amp;IF(Z210="","",IF(OR(Y210="",Z210&gt;Y210),", executando "&amp;IF(Z210&lt;0,IF(COUNTIF($E$5:$E$6004,"SUBSOLO*")&gt;0,"subsolo",-Z210&amp;"º subsolo"),IF(Z210=0,"térreo",Z210&amp;"º pav."))," (restam serviços no "&amp;IF(Z210&lt;0,IF(COUNTIF($E$5:$E$6004,"SUBSOLO*")&gt;0,"subsolo",-Z210&amp;"º subsolo"),IF(Z210=0,"térreo",Z210&amp;"º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26" t="n">
        <v>45923</v>
      </c>
      <c r="G211" s="126" t="n">
        <v>45930</v>
      </c>
      <c r="H211" s="126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IF(E211="","",IF(ISNUMBER(SEARCH("SUBSOLO",E211)),IFERROR(-VALUE(LEFT(E211,FIND("º",SUBSTITUTE(E211,"°","º"))-1)),-1),IF(LEFT(E211,6)="TÉRREO",0,IFERROR(VALUE(LEFT(E211,FIND("º",SUBSTITUTE(E211,"°","º"))-1)),""))))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IF(R211="","",COUNTIF($C$5:$C$6004,R211))</f>
        <v/>
      </c>
      <c r="W211" s="2">
        <f>IF(R211="","",COUNTIFS($C$5:$C$6004,R211,$O$5:$O$6004,"CONCLUÍDA"))</f>
        <v/>
      </c>
      <c r="X211" s="2">
        <f>IF(R211="","",COUNTIFS($C$5:$C$6004,R211,$O$5:$O$6004,"EM ANDAMENTO"))</f>
        <v/>
      </c>
      <c r="Y211" s="2">
        <f>IF(R211="","",IF(COUNTIFS($C$5:$C$6004,R211,$O$5:$O$6004,"CONCLUÍDA",$N$5:$N$6004,"&gt;=-99")=0,"",_xlfn.MAXIFS($N$5:$N$6004,$C$5:$C$6004,R211,$O$5:$O$6004,"CONCLUÍDA")))</f>
        <v/>
      </c>
      <c r="Z211" s="2">
        <f>IF(R211="","",IF(COUNTIFS($C$5:$C$6004,R211,$O$5:$O$6004,"EM ANDAMENTO",$N$5:$N$6004,"&gt;=-99")=0,"",_xlfn.MAXIFS($N$5:$N$6004,$C$5:$C$6004,R211,$O$5:$O$6004,"EM ANDAMENTO")))</f>
        <v/>
      </c>
      <c r="AA211" s="2">
        <f>IF(OR(R211="",S211="",U211&lt;&gt;"SIM",V211=0),"",IF(W211+X211=0,"",T211&amp;": "&amp;IF(W211=V211,"concluído",IF(W211=0,"em execução"&amp;IF(Z211&lt;&gt;""," ("&amp;IF(Z211&lt;0,IF(COUNTIF($E$5:$E$6004,"SUBSOLO*")&gt;0,"subsolo",-Z211&amp;"º subsolo"),IF(Z211=0,"térreo",Z211&amp;"º pav."))&amp;")",""),IF(Y211&lt;&gt;"","até "&amp;IF(Y211&lt;0,IF(COUNTIF($E$5:$E$6004,"SUBSOLO*")&gt;0,"subsolo",-Y211&amp;"º subsolo"),IF(Y211=0,"térreo",Y211&amp;"º pav.")),W211&amp;" de "&amp;V211&amp;" concluídas")&amp;IF(Z211="","",IF(OR(Y211="",Z211&gt;Y211),", executando "&amp;IF(Z211&lt;0,IF(COUNTIF($E$5:$E$6004,"SUBSOLO*")&gt;0,"subsolo",-Z211&amp;"º subsolo"),IF(Z211=0,"térreo",Z211&amp;"º pav."))," (restam serviços no "&amp;IF(Z211&lt;0,IF(COUNTIF($E$5:$E$6004,"SUBSOLO*")&gt;0,"subsolo",-Z211&amp;"º subsolo"),IF(Z211=0,"térreo",Z211&amp;"º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26" t="n">
        <v>45931</v>
      </c>
      <c r="G212" s="126" t="n">
        <v>45931</v>
      </c>
      <c r="H212" s="126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IF(E212="","",IF(ISNUMBER(SEARCH("SUBSOLO",E212)),IFERROR(-VALUE(LEFT(E212,FIND("º",SUBSTITUTE(E212,"°","º"))-1)),-1),IF(LEFT(E212,6)="TÉRREO",0,IFERROR(VALUE(LEFT(E212,FIND("º",SUBSTITUTE(E212,"°","º"))-1)),""))))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IF(R212="","",COUNTIF($C$5:$C$6004,R212))</f>
        <v/>
      </c>
      <c r="W212" s="2">
        <f>IF(R212="","",COUNTIFS($C$5:$C$6004,R212,$O$5:$O$6004,"CONCLUÍDA"))</f>
        <v/>
      </c>
      <c r="X212" s="2">
        <f>IF(R212="","",COUNTIFS($C$5:$C$6004,R212,$O$5:$O$6004,"EM ANDAMENTO"))</f>
        <v/>
      </c>
      <c r="Y212" s="2">
        <f>IF(R212="","",IF(COUNTIFS($C$5:$C$6004,R212,$O$5:$O$6004,"CONCLUÍDA",$N$5:$N$6004,"&gt;=-99")=0,"",_xlfn.MAXIFS($N$5:$N$6004,$C$5:$C$6004,R212,$O$5:$O$6004,"CONCLUÍDA")))</f>
        <v/>
      </c>
      <c r="Z212" s="2">
        <f>IF(R212="","",IF(COUNTIFS($C$5:$C$6004,R212,$O$5:$O$6004,"EM ANDAMENTO",$N$5:$N$6004,"&gt;=-99")=0,"",_xlfn.MAXIFS($N$5:$N$6004,$C$5:$C$6004,R212,$O$5:$O$6004,"EM ANDAMENTO")))</f>
        <v/>
      </c>
      <c r="AA212" s="2">
        <f>IF(OR(R212="",S212="",U212&lt;&gt;"SIM",V212=0),"",IF(W212+X212=0,"",T212&amp;": "&amp;IF(W212=V212,"concluído",IF(W212=0,"em execução"&amp;IF(Z212&lt;&gt;""," ("&amp;IF(Z212&lt;0,IF(COUNTIF($E$5:$E$6004,"SUBSOLO*")&gt;0,"subsolo",-Z212&amp;"º subsolo"),IF(Z212=0,"térreo",Z212&amp;"º pav."))&amp;")",""),IF(Y212&lt;&gt;"","até "&amp;IF(Y212&lt;0,IF(COUNTIF($E$5:$E$6004,"SUBSOLO*")&gt;0,"subsolo",-Y212&amp;"º subsolo"),IF(Y212=0,"térreo",Y212&amp;"º pav.")),W212&amp;" de "&amp;V212&amp;" concluídas")&amp;IF(Z212="","",IF(OR(Y212="",Z212&gt;Y212),", executando "&amp;IF(Z212&lt;0,IF(COUNTIF($E$5:$E$6004,"SUBSOLO*")&gt;0,"subsolo",-Z212&amp;"º subsolo"),IF(Z212=0,"térreo",Z212&amp;"º pav."))," (restam serviços no "&amp;IF(Z212&lt;0,IF(COUNTIF($E$5:$E$6004,"SUBSOLO*")&gt;0,"subsolo",-Z212&amp;"º subsolo"),IF(Z212=0,"térreo",Z212&amp;"º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26" t="n">
        <v>45932</v>
      </c>
      <c r="G213" s="126" t="n">
        <v>45940</v>
      </c>
      <c r="H213" s="126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IF(E213="","",IF(ISNUMBER(SEARCH("SUBSOLO",E213)),IFERROR(-VALUE(LEFT(E213,FIND("º",SUBSTITUTE(E213,"°","º"))-1)),-1),IF(LEFT(E213,6)="TÉRREO",0,IFERROR(VALUE(LEFT(E213,FIND("º",SUBSTITUTE(E213,"°","º"))-1)),""))))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IF(R213="","",COUNTIF($C$5:$C$6004,R213))</f>
        <v/>
      </c>
      <c r="W213" s="2">
        <f>IF(R213="","",COUNTIFS($C$5:$C$6004,R213,$O$5:$O$6004,"CONCLUÍDA"))</f>
        <v/>
      </c>
      <c r="X213" s="2">
        <f>IF(R213="","",COUNTIFS($C$5:$C$6004,R213,$O$5:$O$6004,"EM ANDAMENTO"))</f>
        <v/>
      </c>
      <c r="Y213" s="2">
        <f>IF(R213="","",IF(COUNTIFS($C$5:$C$6004,R213,$O$5:$O$6004,"CONCLUÍDA",$N$5:$N$6004,"&gt;=-99")=0,"",_xlfn.MAXIFS($N$5:$N$6004,$C$5:$C$6004,R213,$O$5:$O$6004,"CONCLUÍDA")))</f>
        <v/>
      </c>
      <c r="Z213" s="2">
        <f>IF(R213="","",IF(COUNTIFS($C$5:$C$6004,R213,$O$5:$O$6004,"EM ANDAMENTO",$N$5:$N$6004,"&gt;=-99")=0,"",_xlfn.MAXIFS($N$5:$N$6004,$C$5:$C$6004,R213,$O$5:$O$6004,"EM ANDAMENTO")))</f>
        <v/>
      </c>
      <c r="AA213" s="2">
        <f>IF(OR(R213="",S213="",U213&lt;&gt;"SIM",V213=0),"",IF(W213+X213=0,"",T213&amp;": "&amp;IF(W213=V213,"concluído",IF(W213=0,"em execução"&amp;IF(Z213&lt;&gt;""," ("&amp;IF(Z213&lt;0,IF(COUNTIF($E$5:$E$6004,"SUBSOLO*")&gt;0,"subsolo",-Z213&amp;"º subsolo"),IF(Z213=0,"térreo",Z213&amp;"º pav."))&amp;")",""),IF(Y213&lt;&gt;"","até "&amp;IF(Y213&lt;0,IF(COUNTIF($E$5:$E$6004,"SUBSOLO*")&gt;0,"subsolo",-Y213&amp;"º subsolo"),IF(Y213=0,"térreo",Y213&amp;"º pav.")),W213&amp;" de "&amp;V213&amp;" concluídas")&amp;IF(Z213="","",IF(OR(Y213="",Z213&gt;Y213),", executando "&amp;IF(Z213&lt;0,IF(COUNTIF($E$5:$E$6004,"SUBSOLO*")&gt;0,"subsolo",-Z213&amp;"º subsolo"),IF(Z213=0,"térreo",Z213&amp;"º pav."))," (restam serviços no "&amp;IF(Z213&lt;0,IF(COUNTIF($E$5:$E$6004,"SUBSOLO*")&gt;0,"subsolo",-Z213&amp;"º subsolo"),IF(Z213=0,"térreo",Z213&amp;"º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26" t="n">
        <v>45933</v>
      </c>
      <c r="G214" s="126" t="n">
        <v>45943</v>
      </c>
      <c r="H214" s="126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IF(E214="","",IF(ISNUMBER(SEARCH("SUBSOLO",E214)),IFERROR(-VALUE(LEFT(E214,FIND("º",SUBSTITUTE(E214,"°","º"))-1)),-1),IF(LEFT(E214,6)="TÉRREO",0,IFERROR(VALUE(LEFT(E214,FIND("º",SUBSTITUTE(E214,"°","º"))-1)),""))))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IF(R214="","",COUNTIF($C$5:$C$6004,R214))</f>
        <v/>
      </c>
      <c r="W214" s="2">
        <f>IF(R214="","",COUNTIFS($C$5:$C$6004,R214,$O$5:$O$6004,"CONCLUÍDA"))</f>
        <v/>
      </c>
      <c r="X214" s="2">
        <f>IF(R214="","",COUNTIFS($C$5:$C$6004,R214,$O$5:$O$6004,"EM ANDAMENTO"))</f>
        <v/>
      </c>
      <c r="Y214" s="2">
        <f>IF(R214="","",IF(COUNTIFS($C$5:$C$6004,R214,$O$5:$O$6004,"CONCLUÍDA",$N$5:$N$6004,"&gt;=-99")=0,"",_xlfn.MAXIFS($N$5:$N$6004,$C$5:$C$6004,R214,$O$5:$O$6004,"CONCLUÍDA")))</f>
        <v/>
      </c>
      <c r="Z214" s="2">
        <f>IF(R214="","",IF(COUNTIFS($C$5:$C$6004,R214,$O$5:$O$6004,"EM ANDAMENTO",$N$5:$N$6004,"&gt;=-99")=0,"",_xlfn.MAXIFS($N$5:$N$6004,$C$5:$C$6004,R214,$O$5:$O$6004,"EM ANDAMENTO")))</f>
        <v/>
      </c>
      <c r="AA214" s="2">
        <f>IF(OR(R214="",S214="",U214&lt;&gt;"SIM",V214=0),"",IF(W214+X214=0,"",T214&amp;": "&amp;IF(W214=V214,"concluído",IF(W214=0,"em execução"&amp;IF(Z214&lt;&gt;""," ("&amp;IF(Z214&lt;0,IF(COUNTIF($E$5:$E$6004,"SUBSOLO*")&gt;0,"subsolo",-Z214&amp;"º subsolo"),IF(Z214=0,"térreo",Z214&amp;"º pav."))&amp;")",""),IF(Y214&lt;&gt;"","até "&amp;IF(Y214&lt;0,IF(COUNTIF($E$5:$E$6004,"SUBSOLO*")&gt;0,"subsolo",-Y214&amp;"º subsolo"),IF(Y214=0,"térreo",Y214&amp;"º pav.")),W214&amp;" de "&amp;V214&amp;" concluídas")&amp;IF(Z214="","",IF(OR(Y214="",Z214&gt;Y214),", executando "&amp;IF(Z214&lt;0,IF(COUNTIF($E$5:$E$6004,"SUBSOLO*")&gt;0,"subsolo",-Z214&amp;"º subsolo"),IF(Z214=0,"térreo",Z214&amp;"º pav."))," (restam serviços no "&amp;IF(Z214&lt;0,IF(COUNTIF($E$5:$E$6004,"SUBSOLO*")&gt;0,"subsolo",-Z214&amp;"º subsolo"),IF(Z214=0,"térreo",Z214&amp;"º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26" t="n">
        <v>45940</v>
      </c>
      <c r="G215" s="126" t="n">
        <v>45943</v>
      </c>
      <c r="H215" s="126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IF(E215="","",IF(ISNUMBER(SEARCH("SUBSOLO",E215)),IFERROR(-VALUE(LEFT(E215,FIND("º",SUBSTITUTE(E215,"°","º"))-1)),-1),IF(LEFT(E215,6)="TÉRREO",0,IFERROR(VALUE(LEFT(E215,FIND("º",SUBSTITUTE(E215,"°","º"))-1)),""))))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IF(R215="","",COUNTIF($C$5:$C$6004,R215))</f>
        <v/>
      </c>
      <c r="W215" s="2">
        <f>IF(R215="","",COUNTIFS($C$5:$C$6004,R215,$O$5:$O$6004,"CONCLUÍDA"))</f>
        <v/>
      </c>
      <c r="X215" s="2">
        <f>IF(R215="","",COUNTIFS($C$5:$C$6004,R215,$O$5:$O$6004,"EM ANDAMENTO"))</f>
        <v/>
      </c>
      <c r="Y215" s="2">
        <f>IF(R215="","",IF(COUNTIFS($C$5:$C$6004,R215,$O$5:$O$6004,"CONCLUÍDA",$N$5:$N$6004,"&gt;=-99")=0,"",_xlfn.MAXIFS($N$5:$N$6004,$C$5:$C$6004,R215,$O$5:$O$6004,"CONCLUÍDA")))</f>
        <v/>
      </c>
      <c r="Z215" s="2">
        <f>IF(R215="","",IF(COUNTIFS($C$5:$C$6004,R215,$O$5:$O$6004,"EM ANDAMENTO",$N$5:$N$6004,"&gt;=-99")=0,"",_xlfn.MAXIFS($N$5:$N$6004,$C$5:$C$6004,R215,$O$5:$O$6004,"EM ANDAMENTO")))</f>
        <v/>
      </c>
      <c r="AA215" s="2">
        <f>IF(OR(R215="",S215="",U215&lt;&gt;"SIM",V215=0),"",IF(W215+X215=0,"",T215&amp;": "&amp;IF(W215=V215,"concluído",IF(W215=0,"em execução"&amp;IF(Z215&lt;&gt;""," ("&amp;IF(Z215&lt;0,IF(COUNTIF($E$5:$E$6004,"SUBSOLO*")&gt;0,"subsolo",-Z215&amp;"º subsolo"),IF(Z215=0,"térreo",Z215&amp;"º pav."))&amp;")",""),IF(Y215&lt;&gt;"","até "&amp;IF(Y215&lt;0,IF(COUNTIF($E$5:$E$6004,"SUBSOLO*")&gt;0,"subsolo",-Y215&amp;"º subsolo"),IF(Y215=0,"térreo",Y215&amp;"º pav.")),W215&amp;" de "&amp;V215&amp;" concluídas")&amp;IF(Z215="","",IF(OR(Y215="",Z215&gt;Y215),", executando "&amp;IF(Z215&lt;0,IF(COUNTIF($E$5:$E$6004,"SUBSOLO*")&gt;0,"subsolo",-Z215&amp;"º subsolo"),IF(Z215=0,"térreo",Z215&amp;"º pav."))," (restam serviços no "&amp;IF(Z215&lt;0,IF(COUNTIF($E$5:$E$6004,"SUBSOLO*")&gt;0,"subsolo",-Z215&amp;"º subsolo"),IF(Z215=0,"térreo",Z215&amp;"º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26" t="n">
        <v>45943</v>
      </c>
      <c r="G216" s="126" t="n">
        <v>45944</v>
      </c>
      <c r="H216" s="126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IF(E216="","",IF(ISNUMBER(SEARCH("SUBSOLO",E216)),IFERROR(-VALUE(LEFT(E216,FIND("º",SUBSTITUTE(E216,"°","º"))-1)),-1),IF(LEFT(E216,6)="TÉRREO",0,IFERROR(VALUE(LEFT(E216,FIND("º",SUBSTITUTE(E216,"°","º"))-1)),""))))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IF(R216="","",COUNTIF($C$5:$C$6004,R216))</f>
        <v/>
      </c>
      <c r="W216" s="2">
        <f>IF(R216="","",COUNTIFS($C$5:$C$6004,R216,$O$5:$O$6004,"CONCLUÍDA"))</f>
        <v/>
      </c>
      <c r="X216" s="2">
        <f>IF(R216="","",COUNTIFS($C$5:$C$6004,R216,$O$5:$O$6004,"EM ANDAMENTO"))</f>
        <v/>
      </c>
      <c r="Y216" s="2">
        <f>IF(R216="","",IF(COUNTIFS($C$5:$C$6004,R216,$O$5:$O$6004,"CONCLUÍDA",$N$5:$N$6004,"&gt;=-99")=0,"",_xlfn.MAXIFS($N$5:$N$6004,$C$5:$C$6004,R216,$O$5:$O$6004,"CONCLUÍDA")))</f>
        <v/>
      </c>
      <c r="Z216" s="2">
        <f>IF(R216="","",IF(COUNTIFS($C$5:$C$6004,R216,$O$5:$O$6004,"EM ANDAMENTO",$N$5:$N$6004,"&gt;=-99")=0,"",_xlfn.MAXIFS($N$5:$N$6004,$C$5:$C$6004,R216,$O$5:$O$6004,"EM ANDAMENTO")))</f>
        <v/>
      </c>
      <c r="AA216" s="2">
        <f>IF(OR(R216="",S216="",U216&lt;&gt;"SIM",V216=0),"",IF(W216+X216=0,"",T216&amp;": "&amp;IF(W216=V216,"concluído",IF(W216=0,"em execução"&amp;IF(Z216&lt;&gt;""," ("&amp;IF(Z216&lt;0,IF(COUNTIF($E$5:$E$6004,"SUBSOLO*")&gt;0,"subsolo",-Z216&amp;"º subsolo"),IF(Z216=0,"térreo",Z216&amp;"º pav."))&amp;")",""),IF(Y216&lt;&gt;"","até "&amp;IF(Y216&lt;0,IF(COUNTIF($E$5:$E$6004,"SUBSOLO*")&gt;0,"subsolo",-Y216&amp;"º subsolo"),IF(Y216=0,"térreo",Y216&amp;"º pav.")),W216&amp;" de "&amp;V216&amp;" concluídas")&amp;IF(Z216="","",IF(OR(Y216="",Z216&gt;Y216),", executando "&amp;IF(Z216&lt;0,IF(COUNTIF($E$5:$E$6004,"SUBSOLO*")&gt;0,"subsolo",-Z216&amp;"º subsolo"),IF(Z216=0,"térreo",Z216&amp;"º pav."))," (restam serviços no "&amp;IF(Z216&lt;0,IF(COUNTIF($E$5:$E$6004,"SUBSOLO*")&gt;0,"subsolo",-Z216&amp;"º subsolo"),IF(Z216=0,"térreo",Z216&amp;"º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26" t="n">
        <v>45945</v>
      </c>
      <c r="G217" s="126" t="n">
        <v>45945</v>
      </c>
      <c r="H217" s="126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IF(E217="","",IF(ISNUMBER(SEARCH("SUBSOLO",E217)),IFERROR(-VALUE(LEFT(E217,FIND("º",SUBSTITUTE(E217,"°","º"))-1)),-1),IF(LEFT(E217,6)="TÉRREO",0,IFERROR(VALUE(LEFT(E217,FIND("º",SUBSTITUTE(E217,"°","º"))-1)),""))))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IF(R217="","",COUNTIF($C$5:$C$6004,R217))</f>
        <v/>
      </c>
      <c r="W217" s="2">
        <f>IF(R217="","",COUNTIFS($C$5:$C$6004,R217,$O$5:$O$6004,"CONCLUÍDA"))</f>
        <v/>
      </c>
      <c r="X217" s="2">
        <f>IF(R217="","",COUNTIFS($C$5:$C$6004,R217,$O$5:$O$6004,"EM ANDAMENTO"))</f>
        <v/>
      </c>
      <c r="Y217" s="2">
        <f>IF(R217="","",IF(COUNTIFS($C$5:$C$6004,R217,$O$5:$O$6004,"CONCLUÍDA",$N$5:$N$6004,"&gt;=-99")=0,"",_xlfn.MAXIFS($N$5:$N$6004,$C$5:$C$6004,R217,$O$5:$O$6004,"CONCLUÍDA")))</f>
        <v/>
      </c>
      <c r="Z217" s="2">
        <f>IF(R217="","",IF(COUNTIFS($C$5:$C$6004,R217,$O$5:$O$6004,"EM ANDAMENTO",$N$5:$N$6004,"&gt;=-99")=0,"",_xlfn.MAXIFS($N$5:$N$6004,$C$5:$C$6004,R217,$O$5:$O$6004,"EM ANDAMENTO")))</f>
        <v/>
      </c>
      <c r="AA217" s="2">
        <f>IF(OR(R217="",S217="",U217&lt;&gt;"SIM",V217=0),"",IF(W217+X217=0,"",T217&amp;": "&amp;IF(W217=V217,"concluído",IF(W217=0,"em execução"&amp;IF(Z217&lt;&gt;""," ("&amp;IF(Z217&lt;0,IF(COUNTIF($E$5:$E$6004,"SUBSOLO*")&gt;0,"subsolo",-Z217&amp;"º subsolo"),IF(Z217=0,"térreo",Z217&amp;"º pav."))&amp;")",""),IF(Y217&lt;&gt;"","até "&amp;IF(Y217&lt;0,IF(COUNTIF($E$5:$E$6004,"SUBSOLO*")&gt;0,"subsolo",-Y217&amp;"º subsolo"),IF(Y217=0,"térreo",Y217&amp;"º pav.")),W217&amp;" de "&amp;V217&amp;" concluídas")&amp;IF(Z217="","",IF(OR(Y217="",Z217&gt;Y217),", executando "&amp;IF(Z217&lt;0,IF(COUNTIF($E$5:$E$6004,"SUBSOLO*")&gt;0,"subsolo",-Z217&amp;"º subsolo"),IF(Z217=0,"térreo",Z217&amp;"º pav."))," (restam serviços no "&amp;IF(Z217&lt;0,IF(COUNTIF($E$5:$E$6004,"SUBSOLO*")&gt;0,"subsolo",-Z217&amp;"º subsolo"),IF(Z217=0,"térreo",Z217&amp;"º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26" t="n">
        <v>45937</v>
      </c>
      <c r="G218" s="126" t="n">
        <v>45967</v>
      </c>
      <c r="H218" s="126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IF(E218="","",IF(ISNUMBER(SEARCH("SUBSOLO",E218)),IFERROR(-VALUE(LEFT(E218,FIND("º",SUBSTITUTE(E218,"°","º"))-1)),-1),IF(LEFT(E218,6)="TÉRREO",0,IFERROR(VALUE(LEFT(E218,FIND("º",SUBSTITUTE(E218,"°","º"))-1)),""))))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IF(R218="","",COUNTIF($C$5:$C$6004,R218))</f>
        <v/>
      </c>
      <c r="W218" s="2">
        <f>IF(R218="","",COUNTIFS($C$5:$C$6004,R218,$O$5:$O$6004,"CONCLUÍDA"))</f>
        <v/>
      </c>
      <c r="X218" s="2">
        <f>IF(R218="","",COUNTIFS($C$5:$C$6004,R218,$O$5:$O$6004,"EM ANDAMENTO"))</f>
        <v/>
      </c>
      <c r="Y218" s="2">
        <f>IF(R218="","",IF(COUNTIFS($C$5:$C$6004,R218,$O$5:$O$6004,"CONCLUÍDA",$N$5:$N$6004,"&gt;=-99")=0,"",_xlfn.MAXIFS($N$5:$N$6004,$C$5:$C$6004,R218,$O$5:$O$6004,"CONCLUÍDA")))</f>
        <v/>
      </c>
      <c r="Z218" s="2">
        <f>IF(R218="","",IF(COUNTIFS($C$5:$C$6004,R218,$O$5:$O$6004,"EM ANDAMENTO",$N$5:$N$6004,"&gt;=-99")=0,"",_xlfn.MAXIFS($N$5:$N$6004,$C$5:$C$6004,R218,$O$5:$O$6004,"EM ANDAMENTO")))</f>
        <v/>
      </c>
      <c r="AA218" s="2">
        <f>IF(OR(R218="",S218="",U218&lt;&gt;"SIM",V218=0),"",IF(W218+X218=0,"",T218&amp;": "&amp;IF(W218=V218,"concluído",IF(W218=0,"em execução"&amp;IF(Z218&lt;&gt;""," ("&amp;IF(Z218&lt;0,IF(COUNTIF($E$5:$E$6004,"SUBSOLO*")&gt;0,"subsolo",-Z218&amp;"º subsolo"),IF(Z218=0,"térreo",Z218&amp;"º pav."))&amp;")",""),IF(Y218&lt;&gt;"","até "&amp;IF(Y218&lt;0,IF(COUNTIF($E$5:$E$6004,"SUBSOLO*")&gt;0,"subsolo",-Y218&amp;"º subsolo"),IF(Y218=0,"térreo",Y218&amp;"º pav.")),W218&amp;" de "&amp;V218&amp;" concluídas")&amp;IF(Z218="","",IF(OR(Y218="",Z218&gt;Y218),", executando "&amp;IF(Z218&lt;0,IF(COUNTIF($E$5:$E$6004,"SUBSOLO*")&gt;0,"subsolo",-Z218&amp;"º subsolo"),IF(Z218=0,"térreo",Z218&amp;"º pav."))," (restam serviços no "&amp;IF(Z218&lt;0,IF(COUNTIF($E$5:$E$6004,"SUBSOLO*")&gt;0,"subsolo",-Z218&amp;"º subsolo"),IF(Z218=0,"térreo",Z218&amp;"º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26" t="n">
        <v>45937</v>
      </c>
      <c r="G219" s="126" t="n">
        <v>45943</v>
      </c>
      <c r="H219" s="126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IF(E219="","",IF(ISNUMBER(SEARCH("SUBSOLO",E219)),IFERROR(-VALUE(LEFT(E219,FIND("º",SUBSTITUTE(E219,"°","º"))-1)),-1),IF(LEFT(E219,6)="TÉRREO",0,IFERROR(VALUE(LEFT(E219,FIND("º",SUBSTITUTE(E219,"°","º"))-1)),""))))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IF(R219="","",COUNTIF($C$5:$C$6004,R219))</f>
        <v/>
      </c>
      <c r="W219" s="2">
        <f>IF(R219="","",COUNTIFS($C$5:$C$6004,R219,$O$5:$O$6004,"CONCLUÍDA"))</f>
        <v/>
      </c>
      <c r="X219" s="2">
        <f>IF(R219="","",COUNTIFS($C$5:$C$6004,R219,$O$5:$O$6004,"EM ANDAMENTO"))</f>
        <v/>
      </c>
      <c r="Y219" s="2">
        <f>IF(R219="","",IF(COUNTIFS($C$5:$C$6004,R219,$O$5:$O$6004,"CONCLUÍDA",$N$5:$N$6004,"&gt;=-99")=0,"",_xlfn.MAXIFS($N$5:$N$6004,$C$5:$C$6004,R219,$O$5:$O$6004,"CONCLUÍDA")))</f>
        <v/>
      </c>
      <c r="Z219" s="2">
        <f>IF(R219="","",IF(COUNTIFS($C$5:$C$6004,R219,$O$5:$O$6004,"EM ANDAMENTO",$N$5:$N$6004,"&gt;=-99")=0,"",_xlfn.MAXIFS($N$5:$N$6004,$C$5:$C$6004,R219,$O$5:$O$6004,"EM ANDAMENTO")))</f>
        <v/>
      </c>
      <c r="AA219" s="2">
        <f>IF(OR(R219="",S219="",U219&lt;&gt;"SIM",V219=0),"",IF(W219+X219=0,"",T219&amp;": "&amp;IF(W219=V219,"concluído",IF(W219=0,"em execução"&amp;IF(Z219&lt;&gt;""," ("&amp;IF(Z219&lt;0,IF(COUNTIF($E$5:$E$6004,"SUBSOLO*")&gt;0,"subsolo",-Z219&amp;"º subsolo"),IF(Z219=0,"térreo",Z219&amp;"º pav."))&amp;")",""),IF(Y219&lt;&gt;"","até "&amp;IF(Y219&lt;0,IF(COUNTIF($E$5:$E$6004,"SUBSOLO*")&gt;0,"subsolo",-Y219&amp;"º subsolo"),IF(Y219=0,"térreo",Y219&amp;"º pav.")),W219&amp;" de "&amp;V219&amp;" concluídas")&amp;IF(Z219="","",IF(OR(Y219="",Z219&gt;Y219),", executando "&amp;IF(Z219&lt;0,IF(COUNTIF($E$5:$E$6004,"SUBSOLO*")&gt;0,"subsolo",-Z219&amp;"º subsolo"),IF(Z219=0,"térreo",Z219&amp;"º pav."))," (restam serviços no "&amp;IF(Z219&lt;0,IF(COUNTIF($E$5:$E$6004,"SUBSOLO*")&gt;0,"subsolo",-Z219&amp;"º subsolo"),IF(Z219=0,"térreo",Z219&amp;"º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26" t="n">
        <v>45944</v>
      </c>
      <c r="G220" s="126" t="n">
        <v>45950</v>
      </c>
      <c r="H220" s="126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IF(E220="","",IF(ISNUMBER(SEARCH("SUBSOLO",E220)),IFERROR(-VALUE(LEFT(E220,FIND("º",SUBSTITUTE(E220,"°","º"))-1)),-1),IF(LEFT(E220,6)="TÉRREO",0,IFERROR(VALUE(LEFT(E220,FIND("º",SUBSTITUTE(E220,"°","º"))-1)),""))))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IF(R220="","",COUNTIF($C$5:$C$6004,R220))</f>
        <v/>
      </c>
      <c r="W220" s="2">
        <f>IF(R220="","",COUNTIFS($C$5:$C$6004,R220,$O$5:$O$6004,"CONCLUÍDA"))</f>
        <v/>
      </c>
      <c r="X220" s="2">
        <f>IF(R220="","",COUNTIFS($C$5:$C$6004,R220,$O$5:$O$6004,"EM ANDAMENTO"))</f>
        <v/>
      </c>
      <c r="Y220" s="2">
        <f>IF(R220="","",IF(COUNTIFS($C$5:$C$6004,R220,$O$5:$O$6004,"CONCLUÍDA",$N$5:$N$6004,"&gt;=-99")=0,"",_xlfn.MAXIFS($N$5:$N$6004,$C$5:$C$6004,R220,$O$5:$O$6004,"CONCLUÍDA")))</f>
        <v/>
      </c>
      <c r="Z220" s="2">
        <f>IF(R220="","",IF(COUNTIFS($C$5:$C$6004,R220,$O$5:$O$6004,"EM ANDAMENTO",$N$5:$N$6004,"&gt;=-99")=0,"",_xlfn.MAXIFS($N$5:$N$6004,$C$5:$C$6004,R220,$O$5:$O$6004,"EM ANDAMENTO")))</f>
        <v/>
      </c>
      <c r="AA220" s="2">
        <f>IF(OR(R220="",S220="",U220&lt;&gt;"SIM",V220=0),"",IF(W220+X220=0,"",T220&amp;": "&amp;IF(W220=V220,"concluído",IF(W220=0,"em execução"&amp;IF(Z220&lt;&gt;""," ("&amp;IF(Z220&lt;0,IF(COUNTIF($E$5:$E$6004,"SUBSOLO*")&gt;0,"subsolo",-Z220&amp;"º subsolo"),IF(Z220=0,"térreo",Z220&amp;"º pav."))&amp;")",""),IF(Y220&lt;&gt;"","até "&amp;IF(Y220&lt;0,IF(COUNTIF($E$5:$E$6004,"SUBSOLO*")&gt;0,"subsolo",-Y220&amp;"º subsolo"),IF(Y220=0,"térreo",Y220&amp;"º pav.")),W220&amp;" de "&amp;V220&amp;" concluídas")&amp;IF(Z220="","",IF(OR(Y220="",Z220&gt;Y220),", executando "&amp;IF(Z220&lt;0,IF(COUNTIF($E$5:$E$6004,"SUBSOLO*")&gt;0,"subsolo",-Z220&amp;"º subsolo"),IF(Z220=0,"térreo",Z220&amp;"º pav."))," (restam serviços no "&amp;IF(Z220&lt;0,IF(COUNTIF($E$5:$E$6004,"SUBSOLO*")&gt;0,"subsolo",-Z220&amp;"º subsolo"),IF(Z220=0,"térreo",Z220&amp;"º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26" t="n">
        <v>45951</v>
      </c>
      <c r="G221" s="126" t="n">
        <v>45958</v>
      </c>
      <c r="H221" s="126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IF(E221="","",IF(ISNUMBER(SEARCH("SUBSOLO",E221)),IFERROR(-VALUE(LEFT(E221,FIND("º",SUBSTITUTE(E221,"°","º"))-1)),-1),IF(LEFT(E221,6)="TÉRREO",0,IFERROR(VALUE(LEFT(E221,FIND("º",SUBSTITUTE(E221,"°","º"))-1)),""))))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IF(R221="","",COUNTIF($C$5:$C$6004,R221))</f>
        <v/>
      </c>
      <c r="W221" s="2">
        <f>IF(R221="","",COUNTIFS($C$5:$C$6004,R221,$O$5:$O$6004,"CONCLUÍDA"))</f>
        <v/>
      </c>
      <c r="X221" s="2">
        <f>IF(R221="","",COUNTIFS($C$5:$C$6004,R221,$O$5:$O$6004,"EM ANDAMENTO"))</f>
        <v/>
      </c>
      <c r="Y221" s="2">
        <f>IF(R221="","",IF(COUNTIFS($C$5:$C$6004,R221,$O$5:$O$6004,"CONCLUÍDA",$N$5:$N$6004,"&gt;=-99")=0,"",_xlfn.MAXIFS($N$5:$N$6004,$C$5:$C$6004,R221,$O$5:$O$6004,"CONCLUÍDA")))</f>
        <v/>
      </c>
      <c r="Z221" s="2">
        <f>IF(R221="","",IF(COUNTIFS($C$5:$C$6004,R221,$O$5:$O$6004,"EM ANDAMENTO",$N$5:$N$6004,"&gt;=-99")=0,"",_xlfn.MAXIFS($N$5:$N$6004,$C$5:$C$6004,R221,$O$5:$O$6004,"EM ANDAMENTO")))</f>
        <v/>
      </c>
      <c r="AA221" s="2">
        <f>IF(OR(R221="",S221="",U221&lt;&gt;"SIM",V221=0),"",IF(W221+X221=0,"",T221&amp;": "&amp;IF(W221=V221,"concluído",IF(W221=0,"em execução"&amp;IF(Z221&lt;&gt;""," ("&amp;IF(Z221&lt;0,IF(COUNTIF($E$5:$E$6004,"SUBSOLO*")&gt;0,"subsolo",-Z221&amp;"º subsolo"),IF(Z221=0,"térreo",Z221&amp;"º pav."))&amp;")",""),IF(Y221&lt;&gt;"","até "&amp;IF(Y221&lt;0,IF(COUNTIF($E$5:$E$6004,"SUBSOLO*")&gt;0,"subsolo",-Y221&amp;"º subsolo"),IF(Y221=0,"térreo",Y221&amp;"º pav.")),W221&amp;" de "&amp;V221&amp;" concluídas")&amp;IF(Z221="","",IF(OR(Y221="",Z221&gt;Y221),", executando "&amp;IF(Z221&lt;0,IF(COUNTIF($E$5:$E$6004,"SUBSOLO*")&gt;0,"subsolo",-Z221&amp;"º subsolo"),IF(Z221=0,"térreo",Z221&amp;"º pav."))," (restam serviços no "&amp;IF(Z221&lt;0,IF(COUNTIF($E$5:$E$6004,"SUBSOLO*")&gt;0,"subsolo",-Z221&amp;"º subsolo"),IF(Z221=0,"térreo",Z221&amp;"º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26" t="n">
        <v>45952</v>
      </c>
      <c r="G222" s="126" t="n">
        <v>45960</v>
      </c>
      <c r="H222" s="126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IF(E222="","",IF(ISNUMBER(SEARCH("SUBSOLO",E222)),IFERROR(-VALUE(LEFT(E222,FIND("º",SUBSTITUTE(E222,"°","º"))-1)),-1),IF(LEFT(E222,6)="TÉRREO",0,IFERROR(VALUE(LEFT(E222,FIND("º",SUBSTITUTE(E222,"°","º"))-1)),""))))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IF(R222="","",COUNTIF($C$5:$C$6004,R222))</f>
        <v/>
      </c>
      <c r="W222" s="2">
        <f>IF(R222="","",COUNTIFS($C$5:$C$6004,R222,$O$5:$O$6004,"CONCLUÍDA"))</f>
        <v/>
      </c>
      <c r="X222" s="2">
        <f>IF(R222="","",COUNTIFS($C$5:$C$6004,R222,$O$5:$O$6004,"EM ANDAMENTO"))</f>
        <v/>
      </c>
      <c r="Y222" s="2">
        <f>IF(R222="","",IF(COUNTIFS($C$5:$C$6004,R222,$O$5:$O$6004,"CONCLUÍDA",$N$5:$N$6004,"&gt;=-99")=0,"",_xlfn.MAXIFS($N$5:$N$6004,$C$5:$C$6004,R222,$O$5:$O$6004,"CONCLUÍDA")))</f>
        <v/>
      </c>
      <c r="Z222" s="2">
        <f>IF(R222="","",IF(COUNTIFS($C$5:$C$6004,R222,$O$5:$O$6004,"EM ANDAMENTO",$N$5:$N$6004,"&gt;=-99")=0,"",_xlfn.MAXIFS($N$5:$N$6004,$C$5:$C$6004,R222,$O$5:$O$6004,"EM ANDAMENTO")))</f>
        <v/>
      </c>
      <c r="AA222" s="2">
        <f>IF(OR(R222="",S222="",U222&lt;&gt;"SIM",V222=0),"",IF(W222+X222=0,"",T222&amp;": "&amp;IF(W222=V222,"concluído",IF(W222=0,"em execução"&amp;IF(Z222&lt;&gt;""," ("&amp;IF(Z222&lt;0,IF(COUNTIF($E$5:$E$6004,"SUBSOLO*")&gt;0,"subsolo",-Z222&amp;"º subsolo"),IF(Z222=0,"térreo",Z222&amp;"º pav."))&amp;")",""),IF(Y222&lt;&gt;"","até "&amp;IF(Y222&lt;0,IF(COUNTIF($E$5:$E$6004,"SUBSOLO*")&gt;0,"subsolo",-Y222&amp;"º subsolo"),IF(Y222=0,"térreo",Y222&amp;"º pav.")),W222&amp;" de "&amp;V222&amp;" concluídas")&amp;IF(Z222="","",IF(OR(Y222="",Z222&gt;Y222),", executando "&amp;IF(Z222&lt;0,IF(COUNTIF($E$5:$E$6004,"SUBSOLO*")&gt;0,"subsolo",-Z222&amp;"º subsolo"),IF(Z222=0,"térreo",Z222&amp;"º pav."))," (restam serviços no "&amp;IF(Z222&lt;0,IF(COUNTIF($E$5:$E$6004,"SUBSOLO*")&gt;0,"subsolo",-Z222&amp;"º subsolo"),IF(Z222=0,"térreo",Z222&amp;"º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26" t="n">
        <v>45957</v>
      </c>
      <c r="G223" s="126" t="n">
        <v>45964</v>
      </c>
      <c r="H223" s="126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IF(E223="","",IF(ISNUMBER(SEARCH("SUBSOLO",E223)),IFERROR(-VALUE(LEFT(E223,FIND("º",SUBSTITUTE(E223,"°","º"))-1)),-1),IF(LEFT(E223,6)="TÉRREO",0,IFERROR(VALUE(LEFT(E223,FIND("º",SUBSTITUTE(E223,"°","º"))-1)),""))))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IF(R223="","",COUNTIF($C$5:$C$6004,R223))</f>
        <v/>
      </c>
      <c r="W223" s="2">
        <f>IF(R223="","",COUNTIFS($C$5:$C$6004,R223,$O$5:$O$6004,"CONCLUÍDA"))</f>
        <v/>
      </c>
      <c r="X223" s="2">
        <f>IF(R223="","",COUNTIFS($C$5:$C$6004,R223,$O$5:$O$6004,"EM ANDAMENTO"))</f>
        <v/>
      </c>
      <c r="Y223" s="2">
        <f>IF(R223="","",IF(COUNTIFS($C$5:$C$6004,R223,$O$5:$O$6004,"CONCLUÍDA",$N$5:$N$6004,"&gt;=-99")=0,"",_xlfn.MAXIFS($N$5:$N$6004,$C$5:$C$6004,R223,$O$5:$O$6004,"CONCLUÍDA")))</f>
        <v/>
      </c>
      <c r="Z223" s="2">
        <f>IF(R223="","",IF(COUNTIFS($C$5:$C$6004,R223,$O$5:$O$6004,"EM ANDAMENTO",$N$5:$N$6004,"&gt;=-99")=0,"",_xlfn.MAXIFS($N$5:$N$6004,$C$5:$C$6004,R223,$O$5:$O$6004,"EM ANDAMENTO")))</f>
        <v/>
      </c>
      <c r="AA223" s="2">
        <f>IF(OR(R223="",S223="",U223&lt;&gt;"SIM",V223=0),"",IF(W223+X223=0,"",T223&amp;": "&amp;IF(W223=V223,"concluído",IF(W223=0,"em execução"&amp;IF(Z223&lt;&gt;""," ("&amp;IF(Z223&lt;0,IF(COUNTIF($E$5:$E$6004,"SUBSOLO*")&gt;0,"subsolo",-Z223&amp;"º subsolo"),IF(Z223=0,"térreo",Z223&amp;"º pav."))&amp;")",""),IF(Y223&lt;&gt;"","até "&amp;IF(Y223&lt;0,IF(COUNTIF($E$5:$E$6004,"SUBSOLO*")&gt;0,"subsolo",-Y223&amp;"º subsolo"),IF(Y223=0,"térreo",Y223&amp;"º pav.")),W223&amp;" de "&amp;V223&amp;" concluídas")&amp;IF(Z223="","",IF(OR(Y223="",Z223&gt;Y223),", executando "&amp;IF(Z223&lt;0,IF(COUNTIF($E$5:$E$6004,"SUBSOLO*")&gt;0,"subsolo",-Z223&amp;"º subsolo"),IF(Z223=0,"térreo",Z223&amp;"º pav."))," (restam serviços no "&amp;IF(Z223&lt;0,IF(COUNTIF($E$5:$E$6004,"SUBSOLO*")&gt;0,"subsolo",-Z223&amp;"º subsolo"),IF(Z223=0,"térreo",Z223&amp;"º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26" t="n">
        <v>45965</v>
      </c>
      <c r="G224" s="126" t="n">
        <v>45965</v>
      </c>
      <c r="H224" s="126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IF(E224="","",IF(ISNUMBER(SEARCH("SUBSOLO",E224)),IFERROR(-VALUE(LEFT(E224,FIND("º",SUBSTITUTE(E224,"°","º"))-1)),-1),IF(LEFT(E224,6)="TÉRREO",0,IFERROR(VALUE(LEFT(E224,FIND("º",SUBSTITUTE(E224,"°","º"))-1)),""))))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IF(R224="","",COUNTIF($C$5:$C$6004,R224))</f>
        <v/>
      </c>
      <c r="W224" s="2">
        <f>IF(R224="","",COUNTIFS($C$5:$C$6004,R224,$O$5:$O$6004,"CONCLUÍDA"))</f>
        <v/>
      </c>
      <c r="X224" s="2">
        <f>IF(R224="","",COUNTIFS($C$5:$C$6004,R224,$O$5:$O$6004,"EM ANDAMENTO"))</f>
        <v/>
      </c>
      <c r="Y224" s="2">
        <f>IF(R224="","",IF(COUNTIFS($C$5:$C$6004,R224,$O$5:$O$6004,"CONCLUÍDA",$N$5:$N$6004,"&gt;=-99")=0,"",_xlfn.MAXIFS($N$5:$N$6004,$C$5:$C$6004,R224,$O$5:$O$6004,"CONCLUÍDA")))</f>
        <v/>
      </c>
      <c r="Z224" s="2">
        <f>IF(R224="","",IF(COUNTIFS($C$5:$C$6004,R224,$O$5:$O$6004,"EM ANDAMENTO",$N$5:$N$6004,"&gt;=-99")=0,"",_xlfn.MAXIFS($N$5:$N$6004,$C$5:$C$6004,R224,$O$5:$O$6004,"EM ANDAMENTO")))</f>
        <v/>
      </c>
      <c r="AA224" s="2">
        <f>IF(OR(R224="",S224="",U224&lt;&gt;"SIM",V224=0),"",IF(W224+X224=0,"",T224&amp;": "&amp;IF(W224=V224,"concluído",IF(W224=0,"em execução"&amp;IF(Z224&lt;&gt;""," ("&amp;IF(Z224&lt;0,IF(COUNTIF($E$5:$E$6004,"SUBSOLO*")&gt;0,"subsolo",-Z224&amp;"º subsolo"),IF(Z224=0,"térreo",Z224&amp;"º pav."))&amp;")",""),IF(Y224&lt;&gt;"","até "&amp;IF(Y224&lt;0,IF(COUNTIF($E$5:$E$6004,"SUBSOLO*")&gt;0,"subsolo",-Y224&amp;"º subsolo"),IF(Y224=0,"térreo",Y224&amp;"º pav.")),W224&amp;" de "&amp;V224&amp;" concluídas")&amp;IF(Z224="","",IF(OR(Y224="",Z224&gt;Y224),", executando "&amp;IF(Z224&lt;0,IF(COUNTIF($E$5:$E$6004,"SUBSOLO*")&gt;0,"subsolo",-Z224&amp;"º subsolo"),IF(Z224=0,"térreo",Z224&amp;"º pav."))," (restam serviços no "&amp;IF(Z224&lt;0,IF(COUNTIF($E$5:$E$6004,"SUBSOLO*")&gt;0,"subsolo",-Z224&amp;"º subsolo"),IF(Z224=0,"térreo",Z224&amp;"º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26" t="n">
        <v>45966</v>
      </c>
      <c r="G225" s="126" t="n">
        <v>45966</v>
      </c>
      <c r="H225" s="126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IF(E225="","",IF(ISNUMBER(SEARCH("SUBSOLO",E225)),IFERROR(-VALUE(LEFT(E225,FIND("º",SUBSTITUTE(E225,"°","º"))-1)),-1),IF(LEFT(E225,6)="TÉRREO",0,IFERROR(VALUE(LEFT(E225,FIND("º",SUBSTITUTE(E225,"°","º"))-1)),""))))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IF(R225="","",COUNTIF($C$5:$C$6004,R225))</f>
        <v/>
      </c>
      <c r="W225" s="2">
        <f>IF(R225="","",COUNTIFS($C$5:$C$6004,R225,$O$5:$O$6004,"CONCLUÍDA"))</f>
        <v/>
      </c>
      <c r="X225" s="2">
        <f>IF(R225="","",COUNTIFS($C$5:$C$6004,R225,$O$5:$O$6004,"EM ANDAMENTO"))</f>
        <v/>
      </c>
      <c r="Y225" s="2">
        <f>IF(R225="","",IF(COUNTIFS($C$5:$C$6004,R225,$O$5:$O$6004,"CONCLUÍDA",$N$5:$N$6004,"&gt;=-99")=0,"",_xlfn.MAXIFS($N$5:$N$6004,$C$5:$C$6004,R225,$O$5:$O$6004,"CONCLUÍDA")))</f>
        <v/>
      </c>
      <c r="Z225" s="2">
        <f>IF(R225="","",IF(COUNTIFS($C$5:$C$6004,R225,$O$5:$O$6004,"EM ANDAMENTO",$N$5:$N$6004,"&gt;=-99")=0,"",_xlfn.MAXIFS($N$5:$N$6004,$C$5:$C$6004,R225,$O$5:$O$6004,"EM ANDAMENTO")))</f>
        <v/>
      </c>
      <c r="AA225" s="2">
        <f>IF(OR(R225="",S225="",U225&lt;&gt;"SIM",V225=0),"",IF(W225+X225=0,"",T225&amp;": "&amp;IF(W225=V225,"concluído",IF(W225=0,"em execução"&amp;IF(Z225&lt;&gt;""," ("&amp;IF(Z225&lt;0,IF(COUNTIF($E$5:$E$6004,"SUBSOLO*")&gt;0,"subsolo",-Z225&amp;"º subsolo"),IF(Z225=0,"térreo",Z225&amp;"º pav."))&amp;")",""),IF(Y225&lt;&gt;"","até "&amp;IF(Y225&lt;0,IF(COUNTIF($E$5:$E$6004,"SUBSOLO*")&gt;0,"subsolo",-Y225&amp;"º subsolo"),IF(Y225=0,"térreo",Y225&amp;"º pav.")),W225&amp;" de "&amp;V225&amp;" concluídas")&amp;IF(Z225="","",IF(OR(Y225="",Z225&gt;Y225),", executando "&amp;IF(Z225&lt;0,IF(COUNTIF($E$5:$E$6004,"SUBSOLO*")&gt;0,"subsolo",-Z225&amp;"º subsolo"),IF(Z225=0,"térreo",Z225&amp;"º pav."))," (restam serviços no "&amp;IF(Z225&lt;0,IF(COUNTIF($E$5:$E$6004,"SUBSOLO*")&gt;0,"subsolo",-Z225&amp;"º subsolo"),IF(Z225=0,"térreo",Z225&amp;"º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26" t="n">
        <v>45967</v>
      </c>
      <c r="G226" s="126" t="n">
        <v>45967</v>
      </c>
      <c r="H226" s="126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IF(E226="","",IF(ISNUMBER(SEARCH("SUBSOLO",E226)),IFERROR(-VALUE(LEFT(E226,FIND("º",SUBSTITUTE(E226,"°","º"))-1)),-1),IF(LEFT(E226,6)="TÉRREO",0,IFERROR(VALUE(LEFT(E226,FIND("º",SUBSTITUTE(E226,"°","º"))-1)),""))))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IF(R226="","",COUNTIF($C$5:$C$6004,R226))</f>
        <v/>
      </c>
      <c r="W226" s="2">
        <f>IF(R226="","",COUNTIFS($C$5:$C$6004,R226,$O$5:$O$6004,"CONCLUÍDA"))</f>
        <v/>
      </c>
      <c r="X226" s="2">
        <f>IF(R226="","",COUNTIFS($C$5:$C$6004,R226,$O$5:$O$6004,"EM ANDAMENTO"))</f>
        <v/>
      </c>
      <c r="Y226" s="2">
        <f>IF(R226="","",IF(COUNTIFS($C$5:$C$6004,R226,$O$5:$O$6004,"CONCLUÍDA",$N$5:$N$6004,"&gt;=-99")=0,"",_xlfn.MAXIFS($N$5:$N$6004,$C$5:$C$6004,R226,$O$5:$O$6004,"CONCLUÍDA")))</f>
        <v/>
      </c>
      <c r="Z226" s="2">
        <f>IF(R226="","",IF(COUNTIFS($C$5:$C$6004,R226,$O$5:$O$6004,"EM ANDAMENTO",$N$5:$N$6004,"&gt;=-99")=0,"",_xlfn.MAXIFS($N$5:$N$6004,$C$5:$C$6004,R226,$O$5:$O$6004,"EM ANDAMENTO")))</f>
        <v/>
      </c>
      <c r="AA226" s="2">
        <f>IF(OR(R226="",S226="",U226&lt;&gt;"SIM",V226=0),"",IF(W226+X226=0,"",T226&amp;": "&amp;IF(W226=V226,"concluído",IF(W226=0,"em execução"&amp;IF(Z226&lt;&gt;""," ("&amp;IF(Z226&lt;0,IF(COUNTIF($E$5:$E$6004,"SUBSOLO*")&gt;0,"subsolo",-Z226&amp;"º subsolo"),IF(Z226=0,"térreo",Z226&amp;"º pav."))&amp;")",""),IF(Y226&lt;&gt;"","até "&amp;IF(Y226&lt;0,IF(COUNTIF($E$5:$E$6004,"SUBSOLO*")&gt;0,"subsolo",-Y226&amp;"º subsolo"),IF(Y226=0,"térreo",Y226&amp;"º pav.")),W226&amp;" de "&amp;V226&amp;" concluídas")&amp;IF(Z226="","",IF(OR(Y226="",Z226&gt;Y226),", executando "&amp;IF(Z226&lt;0,IF(COUNTIF($E$5:$E$6004,"SUBSOLO*")&gt;0,"subsolo",-Z226&amp;"º subsolo"),IF(Z226=0,"térreo",Z226&amp;"º pav."))," (restam serviços no "&amp;IF(Z226&lt;0,IF(COUNTIF($E$5:$E$6004,"SUBSOLO*")&gt;0,"subsolo",-Z226&amp;"º subsolo"),IF(Z226=0,"térreo",Z226&amp;"º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26" t="n">
        <v>45937</v>
      </c>
      <c r="G227" s="126" t="n">
        <v>45967</v>
      </c>
      <c r="H227" s="126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IF(E227="","",IF(ISNUMBER(SEARCH("SUBSOLO",E227)),IFERROR(-VALUE(LEFT(E227,FIND("º",SUBSTITUTE(E227,"°","º"))-1)),-1),IF(LEFT(E227,6)="TÉRREO",0,IFERROR(VALUE(LEFT(E227,FIND("º",SUBSTITUTE(E227,"°","º"))-1)),""))))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IF(R227="","",COUNTIF($C$5:$C$6004,R227))</f>
        <v/>
      </c>
      <c r="W227" s="2">
        <f>IF(R227="","",COUNTIFS($C$5:$C$6004,R227,$O$5:$O$6004,"CONCLUÍDA"))</f>
        <v/>
      </c>
      <c r="X227" s="2">
        <f>IF(R227="","",COUNTIFS($C$5:$C$6004,R227,$O$5:$O$6004,"EM ANDAMENTO"))</f>
        <v/>
      </c>
      <c r="Y227" s="2">
        <f>IF(R227="","",IF(COUNTIFS($C$5:$C$6004,R227,$O$5:$O$6004,"CONCLUÍDA",$N$5:$N$6004,"&gt;=-99")=0,"",_xlfn.MAXIFS($N$5:$N$6004,$C$5:$C$6004,R227,$O$5:$O$6004,"CONCLUÍDA")))</f>
        <v/>
      </c>
      <c r="Z227" s="2">
        <f>IF(R227="","",IF(COUNTIFS($C$5:$C$6004,R227,$O$5:$O$6004,"EM ANDAMENTO",$N$5:$N$6004,"&gt;=-99")=0,"",_xlfn.MAXIFS($N$5:$N$6004,$C$5:$C$6004,R227,$O$5:$O$6004,"EM ANDAMENTO")))</f>
        <v/>
      </c>
      <c r="AA227" s="2">
        <f>IF(OR(R227="",S227="",U227&lt;&gt;"SIM",V227=0),"",IF(W227+X227=0,"",T227&amp;": "&amp;IF(W227=V227,"concluído",IF(W227=0,"em execução"&amp;IF(Z227&lt;&gt;""," ("&amp;IF(Z227&lt;0,IF(COUNTIF($E$5:$E$6004,"SUBSOLO*")&gt;0,"subsolo",-Z227&amp;"º subsolo"),IF(Z227=0,"térreo",Z227&amp;"º pav."))&amp;")",""),IF(Y227&lt;&gt;"","até "&amp;IF(Y227&lt;0,IF(COUNTIF($E$5:$E$6004,"SUBSOLO*")&gt;0,"subsolo",-Y227&amp;"º subsolo"),IF(Y227=0,"térreo",Y227&amp;"º pav.")),W227&amp;" de "&amp;V227&amp;" concluídas")&amp;IF(Z227="","",IF(OR(Y227="",Z227&gt;Y227),", executando "&amp;IF(Z227&lt;0,IF(COUNTIF($E$5:$E$6004,"SUBSOLO*")&gt;0,"subsolo",-Z227&amp;"º subsolo"),IF(Z227=0,"térreo",Z227&amp;"º pav."))," (restam serviços no "&amp;IF(Z227&lt;0,IF(COUNTIF($E$5:$E$6004,"SUBSOLO*")&gt;0,"subsolo",-Z227&amp;"º subsolo"),IF(Z227=0,"térreo",Z227&amp;"º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26" t="n">
        <v>45946</v>
      </c>
      <c r="G228" s="126" t="n">
        <v>45989</v>
      </c>
      <c r="H228" s="126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IF(E228="","",IF(ISNUMBER(SEARCH("SUBSOLO",E228)),IFERROR(-VALUE(LEFT(E228,FIND("º",SUBSTITUTE(E228,"°","º"))-1)),-1),IF(LEFT(E228,6)="TÉRREO",0,IFERROR(VALUE(LEFT(E228,FIND("º",SUBSTITUTE(E228,"°","º"))-1)),""))))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IF(R228="","",COUNTIF($C$5:$C$6004,R228))</f>
        <v/>
      </c>
      <c r="W228" s="2">
        <f>IF(R228="","",COUNTIFS($C$5:$C$6004,R228,$O$5:$O$6004,"CONCLUÍDA"))</f>
        <v/>
      </c>
      <c r="X228" s="2">
        <f>IF(R228="","",COUNTIFS($C$5:$C$6004,R228,$O$5:$O$6004,"EM ANDAMENTO"))</f>
        <v/>
      </c>
      <c r="Y228" s="2">
        <f>IF(R228="","",IF(COUNTIFS($C$5:$C$6004,R228,$O$5:$O$6004,"CONCLUÍDA",$N$5:$N$6004,"&gt;=-99")=0,"",_xlfn.MAXIFS($N$5:$N$6004,$C$5:$C$6004,R228,$O$5:$O$6004,"CONCLUÍDA")))</f>
        <v/>
      </c>
      <c r="Z228" s="2">
        <f>IF(R228="","",IF(COUNTIFS($C$5:$C$6004,R228,$O$5:$O$6004,"EM ANDAMENTO",$N$5:$N$6004,"&gt;=-99")=0,"",_xlfn.MAXIFS($N$5:$N$6004,$C$5:$C$6004,R228,$O$5:$O$6004,"EM ANDAMENTO")))</f>
        <v/>
      </c>
      <c r="AA228" s="2">
        <f>IF(OR(R228="",S228="",U228&lt;&gt;"SIM",V228=0),"",IF(W228+X228=0,"",T228&amp;": "&amp;IF(W228=V228,"concluído",IF(W228=0,"em execução"&amp;IF(Z228&lt;&gt;""," ("&amp;IF(Z228&lt;0,IF(COUNTIF($E$5:$E$6004,"SUBSOLO*")&gt;0,"subsolo",-Z228&amp;"º subsolo"),IF(Z228=0,"térreo",Z228&amp;"º pav."))&amp;")",""),IF(Y228&lt;&gt;"","até "&amp;IF(Y228&lt;0,IF(COUNTIF($E$5:$E$6004,"SUBSOLO*")&gt;0,"subsolo",-Y228&amp;"º subsolo"),IF(Y228=0,"térreo",Y228&amp;"º pav.")),W228&amp;" de "&amp;V228&amp;" concluídas")&amp;IF(Z228="","",IF(OR(Y228="",Z228&gt;Y228),", executando "&amp;IF(Z228&lt;0,IF(COUNTIF($E$5:$E$6004,"SUBSOLO*")&gt;0,"subsolo",-Z228&amp;"º subsolo"),IF(Z228=0,"térreo",Z228&amp;"º pav."))," (restam serviços no "&amp;IF(Z228&lt;0,IF(COUNTIF($E$5:$E$6004,"SUBSOLO*")&gt;0,"subsolo",-Z228&amp;"º subsolo"),IF(Z228=0,"térreo",Z228&amp;"º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26" t="n">
        <v>45946</v>
      </c>
      <c r="G229" s="126" t="n">
        <v>45957</v>
      </c>
      <c r="H229" s="126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IF(E229="","",IF(ISNUMBER(SEARCH("SUBSOLO",E229)),IFERROR(-VALUE(LEFT(E229,FIND("º",SUBSTITUTE(E229,"°","º"))-1)),-1),IF(LEFT(E229,6)="TÉRREO",0,IFERROR(VALUE(LEFT(E229,FIND("º",SUBSTITUTE(E229,"°","º"))-1)),""))))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IF(R229="","",COUNTIF($C$5:$C$6004,R229))</f>
        <v/>
      </c>
      <c r="W229" s="2">
        <f>IF(R229="","",COUNTIFS($C$5:$C$6004,R229,$O$5:$O$6004,"CONCLUÍDA"))</f>
        <v/>
      </c>
      <c r="X229" s="2">
        <f>IF(R229="","",COUNTIFS($C$5:$C$6004,R229,$O$5:$O$6004,"EM ANDAMENTO"))</f>
        <v/>
      </c>
      <c r="Y229" s="2">
        <f>IF(R229="","",IF(COUNTIFS($C$5:$C$6004,R229,$O$5:$O$6004,"CONCLUÍDA",$N$5:$N$6004,"&gt;=-99")=0,"",_xlfn.MAXIFS($N$5:$N$6004,$C$5:$C$6004,R229,$O$5:$O$6004,"CONCLUÍDA")))</f>
        <v/>
      </c>
      <c r="Z229" s="2">
        <f>IF(R229="","",IF(COUNTIFS($C$5:$C$6004,R229,$O$5:$O$6004,"EM ANDAMENTO",$N$5:$N$6004,"&gt;=-99")=0,"",_xlfn.MAXIFS($N$5:$N$6004,$C$5:$C$6004,R229,$O$5:$O$6004,"EM ANDAMENTO")))</f>
        <v/>
      </c>
      <c r="AA229" s="2">
        <f>IF(OR(R229="",S229="",U229&lt;&gt;"SIM",V229=0),"",IF(W229+X229=0,"",T229&amp;": "&amp;IF(W229=V229,"concluído",IF(W229=0,"em execução"&amp;IF(Z229&lt;&gt;""," ("&amp;IF(Z229&lt;0,IF(COUNTIF($E$5:$E$6004,"SUBSOLO*")&gt;0,"subsolo",-Z229&amp;"º subsolo"),IF(Z229=0,"térreo",Z229&amp;"º pav."))&amp;")",""),IF(Y229&lt;&gt;"","até "&amp;IF(Y229&lt;0,IF(COUNTIF($E$5:$E$6004,"SUBSOLO*")&gt;0,"subsolo",-Y229&amp;"º subsolo"),IF(Y229=0,"térreo",Y229&amp;"º pav.")),W229&amp;" de "&amp;V229&amp;" concluídas")&amp;IF(Z229="","",IF(OR(Y229="",Z229&gt;Y229),", executando "&amp;IF(Z229&lt;0,IF(COUNTIF($E$5:$E$6004,"SUBSOLO*")&gt;0,"subsolo",-Z229&amp;"º subsolo"),IF(Z229=0,"térreo",Z229&amp;"º pav."))," (restam serviços no "&amp;IF(Z229&lt;0,IF(COUNTIF($E$5:$E$6004,"SUBSOLO*")&gt;0,"subsolo",-Z229&amp;"º subsolo"),IF(Z229=0,"térreo",Z229&amp;"º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26" t="n">
        <v>45957</v>
      </c>
      <c r="G230" s="126" t="n">
        <v>45966</v>
      </c>
      <c r="H230" s="126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IF(E230="","",IF(ISNUMBER(SEARCH("SUBSOLO",E230)),IFERROR(-VALUE(LEFT(E230,FIND("º",SUBSTITUTE(E230,"°","º"))-1)),-1),IF(LEFT(E230,6)="TÉRREO",0,IFERROR(VALUE(LEFT(E230,FIND("º",SUBSTITUTE(E230,"°","º"))-1)),""))))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IF(R230="","",COUNTIF($C$5:$C$6004,R230))</f>
        <v/>
      </c>
      <c r="W230" s="2">
        <f>IF(R230="","",COUNTIFS($C$5:$C$6004,R230,$O$5:$O$6004,"CONCLUÍDA"))</f>
        <v/>
      </c>
      <c r="X230" s="2">
        <f>IF(R230="","",COUNTIFS($C$5:$C$6004,R230,$O$5:$O$6004,"EM ANDAMENTO"))</f>
        <v/>
      </c>
      <c r="Y230" s="2">
        <f>IF(R230="","",IF(COUNTIFS($C$5:$C$6004,R230,$O$5:$O$6004,"CONCLUÍDA",$N$5:$N$6004,"&gt;=-99")=0,"",_xlfn.MAXIFS($N$5:$N$6004,$C$5:$C$6004,R230,$O$5:$O$6004,"CONCLUÍDA")))</f>
        <v/>
      </c>
      <c r="Z230" s="2">
        <f>IF(R230="","",IF(COUNTIFS($C$5:$C$6004,R230,$O$5:$O$6004,"EM ANDAMENTO",$N$5:$N$6004,"&gt;=-99")=0,"",_xlfn.MAXIFS($N$5:$N$6004,$C$5:$C$6004,R230,$O$5:$O$6004,"EM ANDAMENTO")))</f>
        <v/>
      </c>
      <c r="AA230" s="2">
        <f>IF(OR(R230="",S230="",U230&lt;&gt;"SIM",V230=0),"",IF(W230+X230=0,"",T230&amp;": "&amp;IF(W230=V230,"concluído",IF(W230=0,"em execução"&amp;IF(Z230&lt;&gt;""," ("&amp;IF(Z230&lt;0,IF(COUNTIF($E$5:$E$6004,"SUBSOLO*")&gt;0,"subsolo",-Z230&amp;"º subsolo"),IF(Z230=0,"térreo",Z230&amp;"º pav."))&amp;")",""),IF(Y230&lt;&gt;"","até "&amp;IF(Y230&lt;0,IF(COUNTIF($E$5:$E$6004,"SUBSOLO*")&gt;0,"subsolo",-Y230&amp;"º subsolo"),IF(Y230=0,"térreo",Y230&amp;"º pav.")),W230&amp;" de "&amp;V230&amp;" concluídas")&amp;IF(Z230="","",IF(OR(Y230="",Z230&gt;Y230),", executando "&amp;IF(Z230&lt;0,IF(COUNTIF($E$5:$E$6004,"SUBSOLO*")&gt;0,"subsolo",-Z230&amp;"º subsolo"),IF(Z230=0,"térreo",Z230&amp;"º pav."))," (restam serviços no "&amp;IF(Z230&lt;0,IF(COUNTIF($E$5:$E$6004,"SUBSOLO*")&gt;0,"subsolo",-Z230&amp;"º subsolo"),IF(Z230=0,"térreo",Z230&amp;"º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26" t="n">
        <v>45958</v>
      </c>
      <c r="G231" s="126" t="n">
        <v>45968</v>
      </c>
      <c r="H231" s="126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IF(E231="","",IF(ISNUMBER(SEARCH("SUBSOLO",E231)),IFERROR(-VALUE(LEFT(E231,FIND("º",SUBSTITUTE(E231,"°","º"))-1)),-1),IF(LEFT(E231,6)="TÉRREO",0,IFERROR(VALUE(LEFT(E231,FIND("º",SUBSTITUTE(E231,"°","º"))-1)),""))))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IF(R231="","",COUNTIF($C$5:$C$6004,R231))</f>
        <v/>
      </c>
      <c r="W231" s="2">
        <f>IF(R231="","",COUNTIFS($C$5:$C$6004,R231,$O$5:$O$6004,"CONCLUÍDA"))</f>
        <v/>
      </c>
      <c r="X231" s="2">
        <f>IF(R231="","",COUNTIFS($C$5:$C$6004,R231,$O$5:$O$6004,"EM ANDAMENTO"))</f>
        <v/>
      </c>
      <c r="Y231" s="2">
        <f>IF(R231="","",IF(COUNTIFS($C$5:$C$6004,R231,$O$5:$O$6004,"CONCLUÍDA",$N$5:$N$6004,"&gt;=-99")=0,"",_xlfn.MAXIFS($N$5:$N$6004,$C$5:$C$6004,R231,$O$5:$O$6004,"CONCLUÍDA")))</f>
        <v/>
      </c>
      <c r="Z231" s="2">
        <f>IF(R231="","",IF(COUNTIFS($C$5:$C$6004,R231,$O$5:$O$6004,"EM ANDAMENTO",$N$5:$N$6004,"&gt;=-99")=0,"",_xlfn.MAXIFS($N$5:$N$6004,$C$5:$C$6004,R231,$O$5:$O$6004,"EM ANDAMENTO")))</f>
        <v/>
      </c>
      <c r="AA231" s="2">
        <f>IF(OR(R231="",S231="",U231&lt;&gt;"SIM",V231=0),"",IF(W231+X231=0,"",T231&amp;": "&amp;IF(W231=V231,"concluído",IF(W231=0,"em execução"&amp;IF(Z231&lt;&gt;""," ("&amp;IF(Z231&lt;0,IF(COUNTIF($E$5:$E$6004,"SUBSOLO*")&gt;0,"subsolo",-Z231&amp;"º subsolo"),IF(Z231=0,"térreo",Z231&amp;"º pav."))&amp;")",""),IF(Y231&lt;&gt;"","até "&amp;IF(Y231&lt;0,IF(COUNTIF($E$5:$E$6004,"SUBSOLO*")&gt;0,"subsolo",-Y231&amp;"º subsolo"),IF(Y231=0,"térreo",Y231&amp;"º pav.")),W231&amp;" de "&amp;V231&amp;" concluídas")&amp;IF(Z231="","",IF(OR(Y231="",Z231&gt;Y231),", executando "&amp;IF(Z231&lt;0,IF(COUNTIF($E$5:$E$6004,"SUBSOLO*")&gt;0,"subsolo",-Z231&amp;"º subsolo"),IF(Z231=0,"térreo",Z231&amp;"º pav."))," (restam serviços no "&amp;IF(Z231&lt;0,IF(COUNTIF($E$5:$E$6004,"SUBSOLO*")&gt;0,"subsolo",-Z231&amp;"º subsolo"),IF(Z231=0,"térreo",Z231&amp;"º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26" t="n">
        <v>45971</v>
      </c>
      <c r="G232" s="126" t="n">
        <v>45971</v>
      </c>
      <c r="H232" s="126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IF(E232="","",IF(ISNUMBER(SEARCH("SUBSOLO",E232)),IFERROR(-VALUE(LEFT(E232,FIND("º",SUBSTITUTE(E232,"°","º"))-1)),-1),IF(LEFT(E232,6)="TÉRREO",0,IFERROR(VALUE(LEFT(E232,FIND("º",SUBSTITUTE(E232,"°","º"))-1)),""))))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IF(R232="","",COUNTIF($C$5:$C$6004,R232))</f>
        <v/>
      </c>
      <c r="W232" s="2">
        <f>IF(R232="","",COUNTIFS($C$5:$C$6004,R232,$O$5:$O$6004,"CONCLUÍDA"))</f>
        <v/>
      </c>
      <c r="X232" s="2">
        <f>IF(R232="","",COUNTIFS($C$5:$C$6004,R232,$O$5:$O$6004,"EM ANDAMENTO"))</f>
        <v/>
      </c>
      <c r="Y232" s="2">
        <f>IF(R232="","",IF(COUNTIFS($C$5:$C$6004,R232,$O$5:$O$6004,"CONCLUÍDA",$N$5:$N$6004,"&gt;=-99")=0,"",_xlfn.MAXIFS($N$5:$N$6004,$C$5:$C$6004,R232,$O$5:$O$6004,"CONCLUÍDA")))</f>
        <v/>
      </c>
      <c r="Z232" s="2">
        <f>IF(R232="","",IF(COUNTIFS($C$5:$C$6004,R232,$O$5:$O$6004,"EM ANDAMENTO",$N$5:$N$6004,"&gt;=-99")=0,"",_xlfn.MAXIFS($N$5:$N$6004,$C$5:$C$6004,R232,$O$5:$O$6004,"EM ANDAMENTO")))</f>
        <v/>
      </c>
      <c r="AA232" s="2">
        <f>IF(OR(R232="",S232="",U232&lt;&gt;"SIM",V232=0),"",IF(W232+X232=0,"",T232&amp;": "&amp;IF(W232=V232,"concluído",IF(W232=0,"em execução"&amp;IF(Z232&lt;&gt;""," ("&amp;IF(Z232&lt;0,IF(COUNTIF($E$5:$E$6004,"SUBSOLO*")&gt;0,"subsolo",-Z232&amp;"º subsolo"),IF(Z232=0,"térreo",Z232&amp;"º pav."))&amp;")",""),IF(Y232&lt;&gt;"","até "&amp;IF(Y232&lt;0,IF(COUNTIF($E$5:$E$6004,"SUBSOLO*")&gt;0,"subsolo",-Y232&amp;"º subsolo"),IF(Y232=0,"térreo",Y232&amp;"º pav.")),W232&amp;" de "&amp;V232&amp;" concluídas")&amp;IF(Z232="","",IF(OR(Y232="",Z232&gt;Y232),", executando "&amp;IF(Z232&lt;0,IF(COUNTIF($E$5:$E$6004,"SUBSOLO*")&gt;0,"subsolo",-Z232&amp;"º subsolo"),IF(Z232=0,"térreo",Z232&amp;"º pav."))," (restam serviços no "&amp;IF(Z232&lt;0,IF(COUNTIF($E$5:$E$6004,"SUBSOLO*")&gt;0,"subsolo",-Z232&amp;"º subsolo"),IF(Z232=0,"térreo",Z232&amp;"º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26" t="n">
        <v>45972</v>
      </c>
      <c r="G233" s="126" t="n">
        <v>45981</v>
      </c>
      <c r="H233" s="126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IF(E233="","",IF(ISNUMBER(SEARCH("SUBSOLO",E233)),IFERROR(-VALUE(LEFT(E233,FIND("º",SUBSTITUTE(E233,"°","º"))-1)),-1),IF(LEFT(E233,6)="TÉRREO",0,IFERROR(VALUE(LEFT(E233,FIND("º",SUBSTITUTE(E233,"°","º"))-1)),""))))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IF(R233="","",COUNTIF($C$5:$C$6004,R233))</f>
        <v/>
      </c>
      <c r="W233" s="2">
        <f>IF(R233="","",COUNTIFS($C$5:$C$6004,R233,$O$5:$O$6004,"CONCLUÍDA"))</f>
        <v/>
      </c>
      <c r="X233" s="2">
        <f>IF(R233="","",COUNTIFS($C$5:$C$6004,R233,$O$5:$O$6004,"EM ANDAMENTO"))</f>
        <v/>
      </c>
      <c r="Y233" s="2">
        <f>IF(R233="","",IF(COUNTIFS($C$5:$C$6004,R233,$O$5:$O$6004,"CONCLUÍDA",$N$5:$N$6004,"&gt;=-99")=0,"",_xlfn.MAXIFS($N$5:$N$6004,$C$5:$C$6004,R233,$O$5:$O$6004,"CONCLUÍDA")))</f>
        <v/>
      </c>
      <c r="Z233" s="2">
        <f>IF(R233="","",IF(COUNTIFS($C$5:$C$6004,R233,$O$5:$O$6004,"EM ANDAMENTO",$N$5:$N$6004,"&gt;=-99")=0,"",_xlfn.MAXIFS($N$5:$N$6004,$C$5:$C$6004,R233,$O$5:$O$6004,"EM ANDAMENTO")))</f>
        <v/>
      </c>
      <c r="AA233" s="2">
        <f>IF(OR(R233="",S233="",U233&lt;&gt;"SIM",V233=0),"",IF(W233+X233=0,"",T233&amp;": "&amp;IF(W233=V233,"concluído",IF(W233=0,"em execução"&amp;IF(Z233&lt;&gt;""," ("&amp;IF(Z233&lt;0,IF(COUNTIF($E$5:$E$6004,"SUBSOLO*")&gt;0,"subsolo",-Z233&amp;"º subsolo"),IF(Z233=0,"térreo",Z233&amp;"º pav."))&amp;")",""),IF(Y233&lt;&gt;"","até "&amp;IF(Y233&lt;0,IF(COUNTIF($E$5:$E$6004,"SUBSOLO*")&gt;0,"subsolo",-Y233&amp;"º subsolo"),IF(Y233=0,"térreo",Y233&amp;"º pav.")),W233&amp;" de "&amp;V233&amp;" concluídas")&amp;IF(Z233="","",IF(OR(Y233="",Z233&gt;Y233),", executando "&amp;IF(Z233&lt;0,IF(COUNTIF($E$5:$E$6004,"SUBSOLO*")&gt;0,"subsolo",-Z233&amp;"º subsolo"),IF(Z233=0,"térreo",Z233&amp;"º pav."))," (restam serviços no "&amp;IF(Z233&lt;0,IF(COUNTIF($E$5:$E$6004,"SUBSOLO*")&gt;0,"subsolo",-Z233&amp;"º subsolo"),IF(Z233=0,"térreo",Z233&amp;"º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26" t="n">
        <v>45973</v>
      </c>
      <c r="G234" s="126" t="n">
        <v>45982</v>
      </c>
      <c r="H234" s="126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IF(E234="","",IF(ISNUMBER(SEARCH("SUBSOLO",E234)),IFERROR(-VALUE(LEFT(E234,FIND("º",SUBSTITUTE(E234,"°","º"))-1)),-1),IF(LEFT(E234,6)="TÉRREO",0,IFERROR(VALUE(LEFT(E234,FIND("º",SUBSTITUTE(E234,"°","º"))-1)),""))))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IF(R234="","",COUNTIF($C$5:$C$6004,R234))</f>
        <v/>
      </c>
      <c r="W234" s="2">
        <f>IF(R234="","",COUNTIFS($C$5:$C$6004,R234,$O$5:$O$6004,"CONCLUÍDA"))</f>
        <v/>
      </c>
      <c r="X234" s="2">
        <f>IF(R234="","",COUNTIFS($C$5:$C$6004,R234,$O$5:$O$6004,"EM ANDAMENTO"))</f>
        <v/>
      </c>
      <c r="Y234" s="2">
        <f>IF(R234="","",IF(COUNTIFS($C$5:$C$6004,R234,$O$5:$O$6004,"CONCLUÍDA",$N$5:$N$6004,"&gt;=-99")=0,"",_xlfn.MAXIFS($N$5:$N$6004,$C$5:$C$6004,R234,$O$5:$O$6004,"CONCLUÍDA")))</f>
        <v/>
      </c>
      <c r="Z234" s="2">
        <f>IF(R234="","",IF(COUNTIFS($C$5:$C$6004,R234,$O$5:$O$6004,"EM ANDAMENTO",$N$5:$N$6004,"&gt;=-99")=0,"",_xlfn.MAXIFS($N$5:$N$6004,$C$5:$C$6004,R234,$O$5:$O$6004,"EM ANDAMENTO")))</f>
        <v/>
      </c>
      <c r="AA234" s="2">
        <f>IF(OR(R234="",S234="",U234&lt;&gt;"SIM",V234=0),"",IF(W234+X234=0,"",T234&amp;": "&amp;IF(W234=V234,"concluído",IF(W234=0,"em execução"&amp;IF(Z234&lt;&gt;""," ("&amp;IF(Z234&lt;0,IF(COUNTIF($E$5:$E$6004,"SUBSOLO*")&gt;0,"subsolo",-Z234&amp;"º subsolo"),IF(Z234=0,"térreo",Z234&amp;"º pav."))&amp;")",""),IF(Y234&lt;&gt;"","até "&amp;IF(Y234&lt;0,IF(COUNTIF($E$5:$E$6004,"SUBSOLO*")&gt;0,"subsolo",-Y234&amp;"º subsolo"),IF(Y234=0,"térreo",Y234&amp;"º pav.")),W234&amp;" de "&amp;V234&amp;" concluídas")&amp;IF(Z234="","",IF(OR(Y234="",Z234&gt;Y234),", executando "&amp;IF(Z234&lt;0,IF(COUNTIF($E$5:$E$6004,"SUBSOLO*")&gt;0,"subsolo",-Z234&amp;"º subsolo"),IF(Z234=0,"térreo",Z234&amp;"º pav."))," (restam serviços no "&amp;IF(Z234&lt;0,IF(COUNTIF($E$5:$E$6004,"SUBSOLO*")&gt;0,"subsolo",-Z234&amp;"º subsolo"),IF(Z234=0,"térreo",Z234&amp;"º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26" t="n">
        <v>45981</v>
      </c>
      <c r="G235" s="126" t="n">
        <v>45985</v>
      </c>
      <c r="H235" s="126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IF(E235="","",IF(ISNUMBER(SEARCH("SUBSOLO",E235)),IFERROR(-VALUE(LEFT(E235,FIND("º",SUBSTITUTE(E235,"°","º"))-1)),-1),IF(LEFT(E235,6)="TÉRREO",0,IFERROR(VALUE(LEFT(E235,FIND("º",SUBSTITUTE(E235,"°","º"))-1)),""))))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IF(R235="","",COUNTIF($C$5:$C$6004,R235))</f>
        <v/>
      </c>
      <c r="W235" s="2">
        <f>IF(R235="","",COUNTIFS($C$5:$C$6004,R235,$O$5:$O$6004,"CONCLUÍDA"))</f>
        <v/>
      </c>
      <c r="X235" s="2">
        <f>IF(R235="","",COUNTIFS($C$5:$C$6004,R235,$O$5:$O$6004,"EM ANDAMENTO"))</f>
        <v/>
      </c>
      <c r="Y235" s="2">
        <f>IF(R235="","",IF(COUNTIFS($C$5:$C$6004,R235,$O$5:$O$6004,"CONCLUÍDA",$N$5:$N$6004,"&gt;=-99")=0,"",_xlfn.MAXIFS($N$5:$N$6004,$C$5:$C$6004,R235,$O$5:$O$6004,"CONCLUÍDA")))</f>
        <v/>
      </c>
      <c r="Z235" s="2">
        <f>IF(R235="","",IF(COUNTIFS($C$5:$C$6004,R235,$O$5:$O$6004,"EM ANDAMENTO",$N$5:$N$6004,"&gt;=-99")=0,"",_xlfn.MAXIFS($N$5:$N$6004,$C$5:$C$6004,R235,$O$5:$O$6004,"EM ANDAMENTO")))</f>
        <v/>
      </c>
      <c r="AA235" s="2">
        <f>IF(OR(R235="",S235="",U235&lt;&gt;"SIM",V235=0),"",IF(W235+X235=0,"",T235&amp;": "&amp;IF(W235=V235,"concluído",IF(W235=0,"em execução"&amp;IF(Z235&lt;&gt;""," ("&amp;IF(Z235&lt;0,IF(COUNTIF($E$5:$E$6004,"SUBSOLO*")&gt;0,"subsolo",-Z235&amp;"º subsolo"),IF(Z235=0,"térreo",Z235&amp;"º pav."))&amp;")",""),IF(Y235&lt;&gt;"","até "&amp;IF(Y235&lt;0,IF(COUNTIF($E$5:$E$6004,"SUBSOLO*")&gt;0,"subsolo",-Y235&amp;"º subsolo"),IF(Y235=0,"térreo",Y235&amp;"º pav.")),W235&amp;" de "&amp;V235&amp;" concluídas")&amp;IF(Z235="","",IF(OR(Y235="",Z235&gt;Y235),", executando "&amp;IF(Z235&lt;0,IF(COUNTIF($E$5:$E$6004,"SUBSOLO*")&gt;0,"subsolo",-Z235&amp;"º subsolo"),IF(Z235=0,"térreo",Z235&amp;"º pav."))," (restam serviços no "&amp;IF(Z235&lt;0,IF(COUNTIF($E$5:$E$6004,"SUBSOLO*")&gt;0,"subsolo",-Z235&amp;"º subsolo"),IF(Z235=0,"térreo",Z235&amp;"º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26" t="n">
        <v>45985</v>
      </c>
      <c r="G236" s="126" t="n">
        <v>45987</v>
      </c>
      <c r="H236" s="126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IF(E236="","",IF(ISNUMBER(SEARCH("SUBSOLO",E236)),IFERROR(-VALUE(LEFT(E236,FIND("º",SUBSTITUTE(E236,"°","º"))-1)),-1),IF(LEFT(E236,6)="TÉRREO",0,IFERROR(VALUE(LEFT(E236,FIND("º",SUBSTITUTE(E236,"°","º"))-1)),""))))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IF(R236="","",COUNTIF($C$5:$C$6004,R236))</f>
        <v/>
      </c>
      <c r="W236" s="2">
        <f>IF(R236="","",COUNTIFS($C$5:$C$6004,R236,$O$5:$O$6004,"CONCLUÍDA"))</f>
        <v/>
      </c>
      <c r="X236" s="2">
        <f>IF(R236="","",COUNTIFS($C$5:$C$6004,R236,$O$5:$O$6004,"EM ANDAMENTO"))</f>
        <v/>
      </c>
      <c r="Y236" s="2">
        <f>IF(R236="","",IF(COUNTIFS($C$5:$C$6004,R236,$O$5:$O$6004,"CONCLUÍDA",$N$5:$N$6004,"&gt;=-99")=0,"",_xlfn.MAXIFS($N$5:$N$6004,$C$5:$C$6004,R236,$O$5:$O$6004,"CONCLUÍDA")))</f>
        <v/>
      </c>
      <c r="Z236" s="2">
        <f>IF(R236="","",IF(COUNTIFS($C$5:$C$6004,R236,$O$5:$O$6004,"EM ANDAMENTO",$N$5:$N$6004,"&gt;=-99")=0,"",_xlfn.MAXIFS($N$5:$N$6004,$C$5:$C$6004,R236,$O$5:$O$6004,"EM ANDAMENTO")))</f>
        <v/>
      </c>
      <c r="AA236" s="2">
        <f>IF(OR(R236="",S236="",U236&lt;&gt;"SIM",V236=0),"",IF(W236+X236=0,"",T236&amp;": "&amp;IF(W236=V236,"concluído",IF(W236=0,"em execução"&amp;IF(Z236&lt;&gt;""," ("&amp;IF(Z236&lt;0,IF(COUNTIF($E$5:$E$6004,"SUBSOLO*")&gt;0,"subsolo",-Z236&amp;"º subsolo"),IF(Z236=0,"térreo",Z236&amp;"º pav."))&amp;")",""),IF(Y236&lt;&gt;"","até "&amp;IF(Y236&lt;0,IF(COUNTIF($E$5:$E$6004,"SUBSOLO*")&gt;0,"subsolo",-Y236&amp;"º subsolo"),IF(Y236=0,"térreo",Y236&amp;"º pav.")),W236&amp;" de "&amp;V236&amp;" concluídas")&amp;IF(Z236="","",IF(OR(Y236="",Z236&gt;Y236),", executando "&amp;IF(Z236&lt;0,IF(COUNTIF($E$5:$E$6004,"SUBSOLO*")&gt;0,"subsolo",-Z236&amp;"º subsolo"),IF(Z236=0,"térreo",Z236&amp;"º pav."))," (restam serviços no "&amp;IF(Z236&lt;0,IF(COUNTIF($E$5:$E$6004,"SUBSOLO*")&gt;0,"subsolo",-Z236&amp;"º subsolo"),IF(Z236=0,"térreo",Z236&amp;"º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26" t="n">
        <v>45988</v>
      </c>
      <c r="G237" s="126" t="n">
        <v>45989</v>
      </c>
      <c r="H237" s="126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IF(E237="","",IF(ISNUMBER(SEARCH("SUBSOLO",E237)),IFERROR(-VALUE(LEFT(E237,FIND("º",SUBSTITUTE(E237,"°","º"))-1)),-1),IF(LEFT(E237,6)="TÉRREO",0,IFERROR(VALUE(LEFT(E237,FIND("º",SUBSTITUTE(E237,"°","º"))-1)),""))))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IF(R237="","",COUNTIF($C$5:$C$6004,R237))</f>
        <v/>
      </c>
      <c r="W237" s="2">
        <f>IF(R237="","",COUNTIFS($C$5:$C$6004,R237,$O$5:$O$6004,"CONCLUÍDA"))</f>
        <v/>
      </c>
      <c r="X237" s="2">
        <f>IF(R237="","",COUNTIFS($C$5:$C$6004,R237,$O$5:$O$6004,"EM ANDAMENTO"))</f>
        <v/>
      </c>
      <c r="Y237" s="2">
        <f>IF(R237="","",IF(COUNTIFS($C$5:$C$6004,R237,$O$5:$O$6004,"CONCLUÍDA",$N$5:$N$6004,"&gt;=-99")=0,"",_xlfn.MAXIFS($N$5:$N$6004,$C$5:$C$6004,R237,$O$5:$O$6004,"CONCLUÍDA")))</f>
        <v/>
      </c>
      <c r="Z237" s="2">
        <f>IF(R237="","",IF(COUNTIFS($C$5:$C$6004,R237,$O$5:$O$6004,"EM ANDAMENTO",$N$5:$N$6004,"&gt;=-99")=0,"",_xlfn.MAXIFS($N$5:$N$6004,$C$5:$C$6004,R237,$O$5:$O$6004,"EM ANDAMENTO")))</f>
        <v/>
      </c>
      <c r="AA237" s="2">
        <f>IF(OR(R237="",S237="",U237&lt;&gt;"SIM",V237=0),"",IF(W237+X237=0,"",T237&amp;": "&amp;IF(W237=V237,"concluído",IF(W237=0,"em execução"&amp;IF(Z237&lt;&gt;""," ("&amp;IF(Z237&lt;0,IF(COUNTIF($E$5:$E$6004,"SUBSOLO*")&gt;0,"subsolo",-Z237&amp;"º subsolo"),IF(Z237=0,"térreo",Z237&amp;"º pav."))&amp;")",""),IF(Y237&lt;&gt;"","até "&amp;IF(Y237&lt;0,IF(COUNTIF($E$5:$E$6004,"SUBSOLO*")&gt;0,"subsolo",-Y237&amp;"º subsolo"),IF(Y237=0,"térreo",Y237&amp;"º pav.")),W237&amp;" de "&amp;V237&amp;" concluídas")&amp;IF(Z237="","",IF(OR(Y237="",Z237&gt;Y237),", executando "&amp;IF(Z237&lt;0,IF(COUNTIF($E$5:$E$6004,"SUBSOLO*")&gt;0,"subsolo",-Z237&amp;"º subsolo"),IF(Z237=0,"térreo",Z237&amp;"º pav."))," (restam serviços no "&amp;IF(Z237&lt;0,IF(COUNTIF($E$5:$E$6004,"SUBSOLO*")&gt;0,"subsolo",-Z237&amp;"º subsolo"),IF(Z237=0,"térreo",Z237&amp;"º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26" t="n">
        <v>45964</v>
      </c>
      <c r="G238" s="126" t="n">
        <v>45989</v>
      </c>
      <c r="H238" s="126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IF(E238="","",IF(ISNUMBER(SEARCH("SUBSOLO",E238)),IFERROR(-VALUE(LEFT(E238,FIND("º",SUBSTITUTE(E238,"°","º"))-1)),-1),IF(LEFT(E238,6)="TÉRREO",0,IFERROR(VALUE(LEFT(E238,FIND("º",SUBSTITUTE(E238,"°","º"))-1)),""))))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IF(R238="","",COUNTIF($C$5:$C$6004,R238))</f>
        <v/>
      </c>
      <c r="W238" s="2">
        <f>IF(R238="","",COUNTIFS($C$5:$C$6004,R238,$O$5:$O$6004,"CONCLUÍDA"))</f>
        <v/>
      </c>
      <c r="X238" s="2">
        <f>IF(R238="","",COUNTIFS($C$5:$C$6004,R238,$O$5:$O$6004,"EM ANDAMENTO"))</f>
        <v/>
      </c>
      <c r="Y238" s="2">
        <f>IF(R238="","",IF(COUNTIFS($C$5:$C$6004,R238,$O$5:$O$6004,"CONCLUÍDA",$N$5:$N$6004,"&gt;=-99")=0,"",_xlfn.MAXIFS($N$5:$N$6004,$C$5:$C$6004,R238,$O$5:$O$6004,"CONCLUÍDA")))</f>
        <v/>
      </c>
      <c r="Z238" s="2">
        <f>IF(R238="","",IF(COUNTIFS($C$5:$C$6004,R238,$O$5:$O$6004,"EM ANDAMENTO",$N$5:$N$6004,"&gt;=-99")=0,"",_xlfn.MAXIFS($N$5:$N$6004,$C$5:$C$6004,R238,$O$5:$O$6004,"EM ANDAMENTO")))</f>
        <v/>
      </c>
      <c r="AA238" s="2">
        <f>IF(OR(R238="",S238="",U238&lt;&gt;"SIM",V238=0),"",IF(W238+X238=0,"",T238&amp;": "&amp;IF(W238=V238,"concluído",IF(W238=0,"em execução"&amp;IF(Z238&lt;&gt;""," ("&amp;IF(Z238&lt;0,IF(COUNTIF($E$5:$E$6004,"SUBSOLO*")&gt;0,"subsolo",-Z238&amp;"º subsolo"),IF(Z238=0,"térreo",Z238&amp;"º pav."))&amp;")",""),IF(Y238&lt;&gt;"","até "&amp;IF(Y238&lt;0,IF(COUNTIF($E$5:$E$6004,"SUBSOLO*")&gt;0,"subsolo",-Y238&amp;"º subsolo"),IF(Y238=0,"térreo",Y238&amp;"º pav.")),W238&amp;" de "&amp;V238&amp;" concluídas")&amp;IF(Z238="","",IF(OR(Y238="",Z238&gt;Y238),", executando "&amp;IF(Z238&lt;0,IF(COUNTIF($E$5:$E$6004,"SUBSOLO*")&gt;0,"subsolo",-Z238&amp;"º subsolo"),IF(Z238=0,"térreo",Z238&amp;"º pav."))," (restam serviços no "&amp;IF(Z238&lt;0,IF(COUNTIF($E$5:$E$6004,"SUBSOLO*")&gt;0,"subsolo",-Z238&amp;"º subsolo"),IF(Z238=0,"térreo",Z238&amp;"º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26" t="n">
        <v>45964</v>
      </c>
      <c r="G239" s="126" t="n">
        <v>45982</v>
      </c>
      <c r="H239" s="126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IF(E239="","",IF(ISNUMBER(SEARCH("SUBSOLO",E239)),IFERROR(-VALUE(LEFT(E239,FIND("º",SUBSTITUTE(E239,"°","º"))-1)),-1),IF(LEFT(E239,6)="TÉRREO",0,IFERROR(VALUE(LEFT(E239,FIND("º",SUBSTITUTE(E239,"°","º"))-1)),""))))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IF(R239="","",COUNTIF($C$5:$C$6004,R239))</f>
        <v/>
      </c>
      <c r="W239" s="2">
        <f>IF(R239="","",COUNTIFS($C$5:$C$6004,R239,$O$5:$O$6004,"CONCLUÍDA"))</f>
        <v/>
      </c>
      <c r="X239" s="2">
        <f>IF(R239="","",COUNTIFS($C$5:$C$6004,R239,$O$5:$O$6004,"EM ANDAMENTO"))</f>
        <v/>
      </c>
      <c r="Y239" s="2">
        <f>IF(R239="","",IF(COUNTIFS($C$5:$C$6004,R239,$O$5:$O$6004,"CONCLUÍDA",$N$5:$N$6004,"&gt;=-99")=0,"",_xlfn.MAXIFS($N$5:$N$6004,$C$5:$C$6004,R239,$O$5:$O$6004,"CONCLUÍDA")))</f>
        <v/>
      </c>
      <c r="Z239" s="2">
        <f>IF(R239="","",IF(COUNTIFS($C$5:$C$6004,R239,$O$5:$O$6004,"EM ANDAMENTO",$N$5:$N$6004,"&gt;=-99")=0,"",_xlfn.MAXIFS($N$5:$N$6004,$C$5:$C$6004,R239,$O$5:$O$6004,"EM ANDAMENTO")))</f>
        <v/>
      </c>
      <c r="AA239" s="2">
        <f>IF(OR(R239="",S239="",U239&lt;&gt;"SIM",V239=0),"",IF(W239+X239=0,"",T239&amp;": "&amp;IF(W239=V239,"concluído",IF(W239=0,"em execução"&amp;IF(Z239&lt;&gt;""," ("&amp;IF(Z239&lt;0,IF(COUNTIF($E$5:$E$6004,"SUBSOLO*")&gt;0,"subsolo",-Z239&amp;"º subsolo"),IF(Z239=0,"térreo",Z239&amp;"º pav."))&amp;")",""),IF(Y239&lt;&gt;"","até "&amp;IF(Y239&lt;0,IF(COUNTIF($E$5:$E$6004,"SUBSOLO*")&gt;0,"subsolo",-Y239&amp;"º subsolo"),IF(Y239=0,"térreo",Y239&amp;"º pav.")),W239&amp;" de "&amp;V239&amp;" concluídas")&amp;IF(Z239="","",IF(OR(Y239="",Z239&gt;Y239),", executando "&amp;IF(Z239&lt;0,IF(COUNTIF($E$5:$E$6004,"SUBSOLO*")&gt;0,"subsolo",-Z239&amp;"º subsolo"),IF(Z239=0,"térreo",Z239&amp;"º pav."))," (restam serviços no "&amp;IF(Z239&lt;0,IF(COUNTIF($E$5:$E$6004,"SUBSOLO*")&gt;0,"subsolo",-Z239&amp;"º subsolo"),IF(Z239=0,"térreo",Z239&amp;"º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26" t="n">
        <v>45985</v>
      </c>
      <c r="G240" s="126" t="n">
        <v>45989</v>
      </c>
      <c r="H240" s="126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IF(E240="","",IF(ISNUMBER(SEARCH("SUBSOLO",E240)),IFERROR(-VALUE(LEFT(E240,FIND("º",SUBSTITUTE(E240,"°","º"))-1)),-1),IF(LEFT(E240,6)="TÉRREO",0,IFERROR(VALUE(LEFT(E240,FIND("º",SUBSTITUTE(E240,"°","º"))-1)),""))))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IF(R240="","",COUNTIF($C$5:$C$6004,R240))</f>
        <v/>
      </c>
      <c r="W240" s="2">
        <f>IF(R240="","",COUNTIFS($C$5:$C$6004,R240,$O$5:$O$6004,"CONCLUÍDA"))</f>
        <v/>
      </c>
      <c r="X240" s="2">
        <f>IF(R240="","",COUNTIFS($C$5:$C$6004,R240,$O$5:$O$6004,"EM ANDAMENTO"))</f>
        <v/>
      </c>
      <c r="Y240" s="2">
        <f>IF(R240="","",IF(COUNTIFS($C$5:$C$6004,R240,$O$5:$O$6004,"CONCLUÍDA",$N$5:$N$6004,"&gt;=-99")=0,"",_xlfn.MAXIFS($N$5:$N$6004,$C$5:$C$6004,R240,$O$5:$O$6004,"CONCLUÍDA")))</f>
        <v/>
      </c>
      <c r="Z240" s="2">
        <f>IF(R240="","",IF(COUNTIFS($C$5:$C$6004,R240,$O$5:$O$6004,"EM ANDAMENTO",$N$5:$N$6004,"&gt;=-99")=0,"",_xlfn.MAXIFS($N$5:$N$6004,$C$5:$C$6004,R240,$O$5:$O$6004,"EM ANDAMENTO")))</f>
        <v/>
      </c>
      <c r="AA240" s="2">
        <f>IF(OR(R240="",S240="",U240&lt;&gt;"SIM",V240=0),"",IF(W240+X240=0,"",T240&amp;": "&amp;IF(W240=V240,"concluído",IF(W240=0,"em execução"&amp;IF(Z240&lt;&gt;""," ("&amp;IF(Z240&lt;0,IF(COUNTIF($E$5:$E$6004,"SUBSOLO*")&gt;0,"subsolo",-Z240&amp;"º subsolo"),IF(Z240=0,"térreo",Z240&amp;"º pav."))&amp;")",""),IF(Y240&lt;&gt;"","até "&amp;IF(Y240&lt;0,IF(COUNTIF($E$5:$E$6004,"SUBSOLO*")&gt;0,"subsolo",-Y240&amp;"º subsolo"),IF(Y240=0,"térreo",Y240&amp;"º pav.")),W240&amp;" de "&amp;V240&amp;" concluídas")&amp;IF(Z240="","",IF(OR(Y240="",Z240&gt;Y240),", executando "&amp;IF(Z240&lt;0,IF(COUNTIF($E$5:$E$6004,"SUBSOLO*")&gt;0,"subsolo",-Z240&amp;"º subsolo"),IF(Z240=0,"térreo",Z240&amp;"º pav."))," (restam serviços no "&amp;IF(Z240&lt;0,IF(COUNTIF($E$5:$E$6004,"SUBSOLO*")&gt;0,"subsolo",-Z240&amp;"º subsolo"),IF(Z240=0,"térreo",Z240&amp;"º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26" t="n">
        <v>45964</v>
      </c>
      <c r="G241" s="126" t="n">
        <v>45989</v>
      </c>
      <c r="H241" s="126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IF(E241="","",IF(ISNUMBER(SEARCH("SUBSOLO",E241)),IFERROR(-VALUE(LEFT(E241,FIND("º",SUBSTITUTE(E241,"°","º"))-1)),-1),IF(LEFT(E241,6)="TÉRREO",0,IFERROR(VALUE(LEFT(E241,FIND("º",SUBSTITUTE(E241,"°","º"))-1)),""))))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IF(R241="","",COUNTIF($C$5:$C$6004,R241))</f>
        <v/>
      </c>
      <c r="W241" s="2">
        <f>IF(R241="","",COUNTIFS($C$5:$C$6004,R241,$O$5:$O$6004,"CONCLUÍDA"))</f>
        <v/>
      </c>
      <c r="X241" s="2">
        <f>IF(R241="","",COUNTIFS($C$5:$C$6004,R241,$O$5:$O$6004,"EM ANDAMENTO"))</f>
        <v/>
      </c>
      <c r="Y241" s="2">
        <f>IF(R241="","",IF(COUNTIFS($C$5:$C$6004,R241,$O$5:$O$6004,"CONCLUÍDA",$N$5:$N$6004,"&gt;=-99")=0,"",_xlfn.MAXIFS($N$5:$N$6004,$C$5:$C$6004,R241,$O$5:$O$6004,"CONCLUÍDA")))</f>
        <v/>
      </c>
      <c r="Z241" s="2">
        <f>IF(R241="","",IF(COUNTIFS($C$5:$C$6004,R241,$O$5:$O$6004,"EM ANDAMENTO",$N$5:$N$6004,"&gt;=-99")=0,"",_xlfn.MAXIFS($N$5:$N$6004,$C$5:$C$6004,R241,$O$5:$O$6004,"EM ANDAMENTO")))</f>
        <v/>
      </c>
      <c r="AA241" s="2">
        <f>IF(OR(R241="",S241="",U241&lt;&gt;"SIM",V241=0),"",IF(W241+X241=0,"",T241&amp;": "&amp;IF(W241=V241,"concluído",IF(W241=0,"em execução"&amp;IF(Z241&lt;&gt;""," ("&amp;IF(Z241&lt;0,IF(COUNTIF($E$5:$E$6004,"SUBSOLO*")&gt;0,"subsolo",-Z241&amp;"º subsolo"),IF(Z241=0,"térreo",Z241&amp;"º pav."))&amp;")",""),IF(Y241&lt;&gt;"","até "&amp;IF(Y241&lt;0,IF(COUNTIF($E$5:$E$6004,"SUBSOLO*")&gt;0,"subsolo",-Y241&amp;"º subsolo"),IF(Y241=0,"térreo",Y241&amp;"º pav.")),W241&amp;" de "&amp;V241&amp;" concluídas")&amp;IF(Z241="","",IF(OR(Y241="",Z241&gt;Y241),", executando "&amp;IF(Z241&lt;0,IF(COUNTIF($E$5:$E$6004,"SUBSOLO*")&gt;0,"subsolo",-Z241&amp;"º subsolo"),IF(Z241=0,"térreo",Z241&amp;"º pav."))," (restam serviços no "&amp;IF(Z241&lt;0,IF(COUNTIF($E$5:$E$6004,"SUBSOLO*")&gt;0,"subsolo",-Z241&amp;"º subsolo"),IF(Z241=0,"térreo",Z241&amp;"º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26" t="n">
        <v>45972</v>
      </c>
      <c r="G242" s="126" t="n">
        <v>45972</v>
      </c>
      <c r="H242" s="126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IF(E242="","",IF(ISNUMBER(SEARCH("SUBSOLO",E242)),IFERROR(-VALUE(LEFT(E242,FIND("º",SUBSTITUTE(E242,"°","º"))-1)),-1),IF(LEFT(E242,6)="TÉRREO",0,IFERROR(VALUE(LEFT(E242,FIND("º",SUBSTITUTE(E242,"°","º"))-1)),""))))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IF(R242="","",COUNTIF($C$5:$C$6004,R242))</f>
        <v/>
      </c>
      <c r="W242" s="2">
        <f>IF(R242="","",COUNTIFS($C$5:$C$6004,R242,$O$5:$O$6004,"CONCLUÍDA"))</f>
        <v/>
      </c>
      <c r="X242" s="2">
        <f>IF(R242="","",COUNTIFS($C$5:$C$6004,R242,$O$5:$O$6004,"EM ANDAMENTO"))</f>
        <v/>
      </c>
      <c r="Y242" s="2">
        <f>IF(R242="","",IF(COUNTIFS($C$5:$C$6004,R242,$O$5:$O$6004,"CONCLUÍDA",$N$5:$N$6004,"&gt;=-99")=0,"",_xlfn.MAXIFS($N$5:$N$6004,$C$5:$C$6004,R242,$O$5:$O$6004,"CONCLUÍDA")))</f>
        <v/>
      </c>
      <c r="Z242" s="2">
        <f>IF(R242="","",IF(COUNTIFS($C$5:$C$6004,R242,$O$5:$O$6004,"EM ANDAMENTO",$N$5:$N$6004,"&gt;=-99")=0,"",_xlfn.MAXIFS($N$5:$N$6004,$C$5:$C$6004,R242,$O$5:$O$6004,"EM ANDAMENTO")))</f>
        <v/>
      </c>
      <c r="AA242" s="2">
        <f>IF(OR(R242="",S242="",U242&lt;&gt;"SIM",V242=0),"",IF(W242+X242=0,"",T242&amp;": "&amp;IF(W242=V242,"concluído",IF(W242=0,"em execução"&amp;IF(Z242&lt;&gt;""," ("&amp;IF(Z242&lt;0,IF(COUNTIF($E$5:$E$6004,"SUBSOLO*")&gt;0,"subsolo",-Z242&amp;"º subsolo"),IF(Z242=0,"térreo",Z242&amp;"º pav."))&amp;")",""),IF(Y242&lt;&gt;"","até "&amp;IF(Y242&lt;0,IF(COUNTIF($E$5:$E$6004,"SUBSOLO*")&gt;0,"subsolo",-Y242&amp;"º subsolo"),IF(Y242=0,"térreo",Y242&amp;"º pav.")),W242&amp;" de "&amp;V242&amp;" concluídas")&amp;IF(Z242="","",IF(OR(Y242="",Z242&gt;Y242),", executando "&amp;IF(Z242&lt;0,IF(COUNTIF($E$5:$E$6004,"SUBSOLO*")&gt;0,"subsolo",-Z242&amp;"º subsolo"),IF(Z242=0,"térreo",Z242&amp;"º pav."))," (restam serviços no "&amp;IF(Z242&lt;0,IF(COUNTIF($E$5:$E$6004,"SUBSOLO*")&gt;0,"subsolo",-Z242&amp;"º subsolo"),IF(Z242=0,"térreo",Z242&amp;"º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26" t="n">
        <v>45964</v>
      </c>
      <c r="G243" s="126" t="n">
        <v>45968</v>
      </c>
      <c r="H243" s="126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IF(E243="","",IF(ISNUMBER(SEARCH("SUBSOLO",E243)),IFERROR(-VALUE(LEFT(E243,FIND("º",SUBSTITUTE(E243,"°","º"))-1)),-1),IF(LEFT(E243,6)="TÉRREO",0,IFERROR(VALUE(LEFT(E243,FIND("º",SUBSTITUTE(E243,"°","º"))-1)),""))))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IF(R243="","",COUNTIF($C$5:$C$6004,R243))</f>
        <v/>
      </c>
      <c r="W243" s="2">
        <f>IF(R243="","",COUNTIFS($C$5:$C$6004,R243,$O$5:$O$6004,"CONCLUÍDA"))</f>
        <v/>
      </c>
      <c r="X243" s="2">
        <f>IF(R243="","",COUNTIFS($C$5:$C$6004,R243,$O$5:$O$6004,"EM ANDAMENTO"))</f>
        <v/>
      </c>
      <c r="Y243" s="2">
        <f>IF(R243="","",IF(COUNTIFS($C$5:$C$6004,R243,$O$5:$O$6004,"CONCLUÍDA",$N$5:$N$6004,"&gt;=-99")=0,"",_xlfn.MAXIFS($N$5:$N$6004,$C$5:$C$6004,R243,$O$5:$O$6004,"CONCLUÍDA")))</f>
        <v/>
      </c>
      <c r="Z243" s="2">
        <f>IF(R243="","",IF(COUNTIFS($C$5:$C$6004,R243,$O$5:$O$6004,"EM ANDAMENTO",$N$5:$N$6004,"&gt;=-99")=0,"",_xlfn.MAXIFS($N$5:$N$6004,$C$5:$C$6004,R243,$O$5:$O$6004,"EM ANDAMENTO")))</f>
        <v/>
      </c>
      <c r="AA243" s="2">
        <f>IF(OR(R243="",S243="",U243&lt;&gt;"SIM",V243=0),"",IF(W243+X243=0,"",T243&amp;": "&amp;IF(W243=V243,"concluído",IF(W243=0,"em execução"&amp;IF(Z243&lt;&gt;""," ("&amp;IF(Z243&lt;0,IF(COUNTIF($E$5:$E$6004,"SUBSOLO*")&gt;0,"subsolo",-Z243&amp;"º subsolo"),IF(Z243=0,"térreo",Z243&amp;"º pav."))&amp;")",""),IF(Y243&lt;&gt;"","até "&amp;IF(Y243&lt;0,IF(COUNTIF($E$5:$E$6004,"SUBSOLO*")&gt;0,"subsolo",-Y243&amp;"º subsolo"),IF(Y243=0,"térreo",Y243&amp;"º pav.")),W243&amp;" de "&amp;V243&amp;" concluídas")&amp;IF(Z243="","",IF(OR(Y243="",Z243&gt;Y243),", executando "&amp;IF(Z243&lt;0,IF(COUNTIF($E$5:$E$6004,"SUBSOLO*")&gt;0,"subsolo",-Z243&amp;"º subsolo"),IF(Z243=0,"térreo",Z243&amp;"º pav."))," (restam serviços no "&amp;IF(Z243&lt;0,IF(COUNTIF($E$5:$E$6004,"SUBSOLO*")&gt;0,"subsolo",-Z243&amp;"º subsolo"),IF(Z243=0,"térreo",Z243&amp;"º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26" t="n">
        <v>45971</v>
      </c>
      <c r="G244" s="126" t="n">
        <v>45986</v>
      </c>
      <c r="H244" s="126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IF(E244="","",IF(ISNUMBER(SEARCH("SUBSOLO",E244)),IFERROR(-VALUE(LEFT(E244,FIND("º",SUBSTITUTE(E244,"°","º"))-1)),-1),IF(LEFT(E244,6)="TÉRREO",0,IFERROR(VALUE(LEFT(E244,FIND("º",SUBSTITUTE(E244,"°","º"))-1)),""))))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IF(R244="","",COUNTIF($C$5:$C$6004,R244))</f>
        <v/>
      </c>
      <c r="W244" s="2">
        <f>IF(R244="","",COUNTIFS($C$5:$C$6004,R244,$O$5:$O$6004,"CONCLUÍDA"))</f>
        <v/>
      </c>
      <c r="X244" s="2">
        <f>IF(R244="","",COUNTIFS($C$5:$C$6004,R244,$O$5:$O$6004,"EM ANDAMENTO"))</f>
        <v/>
      </c>
      <c r="Y244" s="2">
        <f>IF(R244="","",IF(COUNTIFS($C$5:$C$6004,R244,$O$5:$O$6004,"CONCLUÍDA",$N$5:$N$6004,"&gt;=-99")=0,"",_xlfn.MAXIFS($N$5:$N$6004,$C$5:$C$6004,R244,$O$5:$O$6004,"CONCLUÍDA")))</f>
        <v/>
      </c>
      <c r="Z244" s="2">
        <f>IF(R244="","",IF(COUNTIFS($C$5:$C$6004,R244,$O$5:$O$6004,"EM ANDAMENTO",$N$5:$N$6004,"&gt;=-99")=0,"",_xlfn.MAXIFS($N$5:$N$6004,$C$5:$C$6004,R244,$O$5:$O$6004,"EM ANDAMENTO")))</f>
        <v/>
      </c>
      <c r="AA244" s="2">
        <f>IF(OR(R244="",S244="",U244&lt;&gt;"SIM",V244=0),"",IF(W244+X244=0,"",T244&amp;": "&amp;IF(W244=V244,"concluído",IF(W244=0,"em execução"&amp;IF(Z244&lt;&gt;""," ("&amp;IF(Z244&lt;0,IF(COUNTIF($E$5:$E$6004,"SUBSOLO*")&gt;0,"subsolo",-Z244&amp;"º subsolo"),IF(Z244=0,"térreo",Z244&amp;"º pav."))&amp;")",""),IF(Y244&lt;&gt;"","até "&amp;IF(Y244&lt;0,IF(COUNTIF($E$5:$E$6004,"SUBSOLO*")&gt;0,"subsolo",-Y244&amp;"º subsolo"),IF(Y244=0,"térreo",Y244&amp;"º pav.")),W244&amp;" de "&amp;V244&amp;" concluídas")&amp;IF(Z244="","",IF(OR(Y244="",Z244&gt;Y244),", executando "&amp;IF(Z244&lt;0,IF(COUNTIF($E$5:$E$6004,"SUBSOLO*")&gt;0,"subsolo",-Z244&amp;"º subsolo"),IF(Z244=0,"térreo",Z244&amp;"º pav."))," (restam serviços no "&amp;IF(Z244&lt;0,IF(COUNTIF($E$5:$E$6004,"SUBSOLO*")&gt;0,"subsolo",-Z244&amp;"º subsolo"),IF(Z244=0,"térreo",Z244&amp;"º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26" t="n">
        <v>45964</v>
      </c>
      <c r="G245" s="126" t="n">
        <v>45975</v>
      </c>
      <c r="H245" s="126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IF(E245="","",IF(ISNUMBER(SEARCH("SUBSOLO",E245)),IFERROR(-VALUE(LEFT(E245,FIND("º",SUBSTITUTE(E245,"°","º"))-1)),-1),IF(LEFT(E245,6)="TÉRREO",0,IFERROR(VALUE(LEFT(E245,FIND("º",SUBSTITUTE(E245,"°","º"))-1)),""))))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IF(R245="","",COUNTIF($C$5:$C$6004,R245))</f>
        <v/>
      </c>
      <c r="W245" s="2">
        <f>IF(R245="","",COUNTIFS($C$5:$C$6004,R245,$O$5:$O$6004,"CONCLUÍDA"))</f>
        <v/>
      </c>
      <c r="X245" s="2">
        <f>IF(R245="","",COUNTIFS($C$5:$C$6004,R245,$O$5:$O$6004,"EM ANDAMENTO"))</f>
        <v/>
      </c>
      <c r="Y245" s="2">
        <f>IF(R245="","",IF(COUNTIFS($C$5:$C$6004,R245,$O$5:$O$6004,"CONCLUÍDA",$N$5:$N$6004,"&gt;=-99")=0,"",_xlfn.MAXIFS($N$5:$N$6004,$C$5:$C$6004,R245,$O$5:$O$6004,"CONCLUÍDA")))</f>
        <v/>
      </c>
      <c r="Z245" s="2">
        <f>IF(R245="","",IF(COUNTIFS($C$5:$C$6004,R245,$O$5:$O$6004,"EM ANDAMENTO",$N$5:$N$6004,"&gt;=-99")=0,"",_xlfn.MAXIFS($N$5:$N$6004,$C$5:$C$6004,R245,$O$5:$O$6004,"EM ANDAMENTO")))</f>
        <v/>
      </c>
      <c r="AA245" s="2">
        <f>IF(OR(R245="",S245="",U245&lt;&gt;"SIM",V245=0),"",IF(W245+X245=0,"",T245&amp;": "&amp;IF(W245=V245,"concluído",IF(W245=0,"em execução"&amp;IF(Z245&lt;&gt;""," ("&amp;IF(Z245&lt;0,IF(COUNTIF($E$5:$E$6004,"SUBSOLO*")&gt;0,"subsolo",-Z245&amp;"º subsolo"),IF(Z245=0,"térreo",Z245&amp;"º pav."))&amp;")",""),IF(Y245&lt;&gt;"","até "&amp;IF(Y245&lt;0,IF(COUNTIF($E$5:$E$6004,"SUBSOLO*")&gt;0,"subsolo",-Y245&amp;"º subsolo"),IF(Y245=0,"térreo",Y245&amp;"º pav.")),W245&amp;" de "&amp;V245&amp;" concluídas")&amp;IF(Z245="","",IF(OR(Y245="",Z245&gt;Y245),", executando "&amp;IF(Z245&lt;0,IF(COUNTIF($E$5:$E$6004,"SUBSOLO*")&gt;0,"subsolo",-Z245&amp;"º subsolo"),IF(Z245=0,"térreo",Z245&amp;"º pav."))," (restam serviços no "&amp;IF(Z245&lt;0,IF(COUNTIF($E$5:$E$6004,"SUBSOLO*")&gt;0,"subsolo",-Z245&amp;"º subsolo"),IF(Z245=0,"térreo",Z245&amp;"º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26" t="n">
        <v>45978</v>
      </c>
      <c r="G246" s="126" t="n">
        <v>45988</v>
      </c>
      <c r="H246" s="126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IF(E246="","",IF(ISNUMBER(SEARCH("SUBSOLO",E246)),IFERROR(-VALUE(LEFT(E246,FIND("º",SUBSTITUTE(E246,"°","º"))-1)),-1),IF(LEFT(E246,6)="TÉRREO",0,IFERROR(VALUE(LEFT(E246,FIND("º",SUBSTITUTE(E246,"°","º"))-1)),""))))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IF(R246="","",COUNTIF($C$5:$C$6004,R246))</f>
        <v/>
      </c>
      <c r="W246" s="2">
        <f>IF(R246="","",COUNTIFS($C$5:$C$6004,R246,$O$5:$O$6004,"CONCLUÍDA"))</f>
        <v/>
      </c>
      <c r="X246" s="2">
        <f>IF(R246="","",COUNTIFS($C$5:$C$6004,R246,$O$5:$O$6004,"EM ANDAMENTO"))</f>
        <v/>
      </c>
      <c r="Y246" s="2">
        <f>IF(R246="","",IF(COUNTIFS($C$5:$C$6004,R246,$O$5:$O$6004,"CONCLUÍDA",$N$5:$N$6004,"&gt;=-99")=0,"",_xlfn.MAXIFS($N$5:$N$6004,$C$5:$C$6004,R246,$O$5:$O$6004,"CONCLUÍDA")))</f>
        <v/>
      </c>
      <c r="Z246" s="2">
        <f>IF(R246="","",IF(COUNTIFS($C$5:$C$6004,R246,$O$5:$O$6004,"EM ANDAMENTO",$N$5:$N$6004,"&gt;=-99")=0,"",_xlfn.MAXIFS($N$5:$N$6004,$C$5:$C$6004,R246,$O$5:$O$6004,"EM ANDAMENTO")))</f>
        <v/>
      </c>
      <c r="AA246" s="2">
        <f>IF(OR(R246="",S246="",U246&lt;&gt;"SIM",V246=0),"",IF(W246+X246=0,"",T246&amp;": "&amp;IF(W246=V246,"concluído",IF(W246=0,"em execução"&amp;IF(Z246&lt;&gt;""," ("&amp;IF(Z246&lt;0,IF(COUNTIF($E$5:$E$6004,"SUBSOLO*")&gt;0,"subsolo",-Z246&amp;"º subsolo"),IF(Z246=0,"térreo",Z246&amp;"º pav."))&amp;")",""),IF(Y246&lt;&gt;"","até "&amp;IF(Y246&lt;0,IF(COUNTIF($E$5:$E$6004,"SUBSOLO*")&gt;0,"subsolo",-Y246&amp;"º subsolo"),IF(Y246=0,"térreo",Y246&amp;"º pav.")),W246&amp;" de "&amp;V246&amp;" concluídas")&amp;IF(Z246="","",IF(OR(Y246="",Z246&gt;Y246),", executando "&amp;IF(Z246&lt;0,IF(COUNTIF($E$5:$E$6004,"SUBSOLO*")&gt;0,"subsolo",-Z246&amp;"º subsolo"),IF(Z246=0,"térreo",Z246&amp;"º pav."))," (restam serviços no "&amp;IF(Z246&lt;0,IF(COUNTIF($E$5:$E$6004,"SUBSOLO*")&gt;0,"subsolo",-Z246&amp;"º subsolo"),IF(Z246=0,"térreo",Z246&amp;"º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26" t="n">
        <v>45980</v>
      </c>
      <c r="G247" s="126" t="n">
        <v>45980</v>
      </c>
      <c r="H247" s="126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IF(E247="","",IF(ISNUMBER(SEARCH("SUBSOLO",E247)),IFERROR(-VALUE(LEFT(E247,FIND("º",SUBSTITUTE(E247,"°","º"))-1)),-1),IF(LEFT(E247,6)="TÉRREO",0,IFERROR(VALUE(LEFT(E247,FIND("º",SUBSTITUTE(E247,"°","º"))-1)),""))))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IF(R247="","",COUNTIF($C$5:$C$6004,R247))</f>
        <v/>
      </c>
      <c r="W247" s="2">
        <f>IF(R247="","",COUNTIFS($C$5:$C$6004,R247,$O$5:$O$6004,"CONCLUÍDA"))</f>
        <v/>
      </c>
      <c r="X247" s="2">
        <f>IF(R247="","",COUNTIFS($C$5:$C$6004,R247,$O$5:$O$6004,"EM ANDAMENTO"))</f>
        <v/>
      </c>
      <c r="Y247" s="2">
        <f>IF(R247="","",IF(COUNTIFS($C$5:$C$6004,R247,$O$5:$O$6004,"CONCLUÍDA",$N$5:$N$6004,"&gt;=-99")=0,"",_xlfn.MAXIFS($N$5:$N$6004,$C$5:$C$6004,R247,$O$5:$O$6004,"CONCLUÍDA")))</f>
        <v/>
      </c>
      <c r="Z247" s="2">
        <f>IF(R247="","",IF(COUNTIFS($C$5:$C$6004,R247,$O$5:$O$6004,"EM ANDAMENTO",$N$5:$N$6004,"&gt;=-99")=0,"",_xlfn.MAXIFS($N$5:$N$6004,$C$5:$C$6004,R247,$O$5:$O$6004,"EM ANDAMENTO")))</f>
        <v/>
      </c>
      <c r="AA247" s="2">
        <f>IF(OR(R247="",S247="",U247&lt;&gt;"SIM",V247=0),"",IF(W247+X247=0,"",T247&amp;": "&amp;IF(W247=V247,"concluído",IF(W247=0,"em execução"&amp;IF(Z247&lt;&gt;""," ("&amp;IF(Z247&lt;0,IF(COUNTIF($E$5:$E$6004,"SUBSOLO*")&gt;0,"subsolo",-Z247&amp;"º subsolo"),IF(Z247=0,"térreo",Z247&amp;"º pav."))&amp;")",""),IF(Y247&lt;&gt;"","até "&amp;IF(Y247&lt;0,IF(COUNTIF($E$5:$E$6004,"SUBSOLO*")&gt;0,"subsolo",-Y247&amp;"º subsolo"),IF(Y247=0,"térreo",Y247&amp;"º pav.")),W247&amp;" de "&amp;V247&amp;" concluídas")&amp;IF(Z247="","",IF(OR(Y247="",Z247&gt;Y247),", executando "&amp;IF(Z247&lt;0,IF(COUNTIF($E$5:$E$6004,"SUBSOLO*")&gt;0,"subsolo",-Z247&amp;"º subsolo"),IF(Z247=0,"térreo",Z247&amp;"º pav."))," (restam serviços no "&amp;IF(Z247&lt;0,IF(COUNTIF($E$5:$E$6004,"SUBSOLO*")&gt;0,"subsolo",-Z247&amp;"º subsolo"),IF(Z247=0,"térreo",Z247&amp;"º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26" t="n">
        <v>45989</v>
      </c>
      <c r="G248" s="126" t="n">
        <v>45989</v>
      </c>
      <c r="H248" s="126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IF(E248="","",IF(ISNUMBER(SEARCH("SUBSOLO",E248)),IFERROR(-VALUE(LEFT(E248,FIND("º",SUBSTITUTE(E248,"°","º"))-1)),-1),IF(LEFT(E248,6)="TÉRREO",0,IFERROR(VALUE(LEFT(E248,FIND("º",SUBSTITUTE(E248,"°","º"))-1)),""))))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IF(R248="","",COUNTIF($C$5:$C$6004,R248))</f>
        <v/>
      </c>
      <c r="W248" s="2">
        <f>IF(R248="","",COUNTIFS($C$5:$C$6004,R248,$O$5:$O$6004,"CONCLUÍDA"))</f>
        <v/>
      </c>
      <c r="X248" s="2">
        <f>IF(R248="","",COUNTIFS($C$5:$C$6004,R248,$O$5:$O$6004,"EM ANDAMENTO"))</f>
        <v/>
      </c>
      <c r="Y248" s="2">
        <f>IF(R248="","",IF(COUNTIFS($C$5:$C$6004,R248,$O$5:$O$6004,"CONCLUÍDA",$N$5:$N$6004,"&gt;=-99")=0,"",_xlfn.MAXIFS($N$5:$N$6004,$C$5:$C$6004,R248,$O$5:$O$6004,"CONCLUÍDA")))</f>
        <v/>
      </c>
      <c r="Z248" s="2">
        <f>IF(R248="","",IF(COUNTIFS($C$5:$C$6004,R248,$O$5:$O$6004,"EM ANDAMENTO",$N$5:$N$6004,"&gt;=-99")=0,"",_xlfn.MAXIFS($N$5:$N$6004,$C$5:$C$6004,R248,$O$5:$O$6004,"EM ANDAMENTO")))</f>
        <v/>
      </c>
      <c r="AA248" s="2">
        <f>IF(OR(R248="",S248="",U248&lt;&gt;"SIM",V248=0),"",IF(W248+X248=0,"",T248&amp;": "&amp;IF(W248=V248,"concluído",IF(W248=0,"em execução"&amp;IF(Z248&lt;&gt;""," ("&amp;IF(Z248&lt;0,IF(COUNTIF($E$5:$E$6004,"SUBSOLO*")&gt;0,"subsolo",-Z248&amp;"º subsolo"),IF(Z248=0,"térreo",Z248&amp;"º pav."))&amp;")",""),IF(Y248&lt;&gt;"","até "&amp;IF(Y248&lt;0,IF(COUNTIF($E$5:$E$6004,"SUBSOLO*")&gt;0,"subsolo",-Y248&amp;"º subsolo"),IF(Y248=0,"térreo",Y248&amp;"º pav.")),W248&amp;" de "&amp;V248&amp;" concluídas")&amp;IF(Z248="","",IF(OR(Y248="",Z248&gt;Y248),", executando "&amp;IF(Z248&lt;0,IF(COUNTIF($E$5:$E$6004,"SUBSOLO*")&gt;0,"subsolo",-Z248&amp;"º subsolo"),IF(Z248=0,"térreo",Z248&amp;"º pav."))," (restam serviços no "&amp;IF(Z248&lt;0,IF(COUNTIF($E$5:$E$6004,"SUBSOLO*")&gt;0,"subsolo",-Z248&amp;"º subsolo"),IF(Z248=0,"térreo",Z248&amp;"º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26" t="n">
        <v>45964</v>
      </c>
      <c r="G249" s="126" t="n">
        <v>45968</v>
      </c>
      <c r="H249" s="126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IF(E249="","",IF(ISNUMBER(SEARCH("SUBSOLO",E249)),IFERROR(-VALUE(LEFT(E249,FIND("º",SUBSTITUTE(E249,"°","º"))-1)),-1),IF(LEFT(E249,6)="TÉRREO",0,IFERROR(VALUE(LEFT(E249,FIND("º",SUBSTITUTE(E249,"°","º"))-1)),""))))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IF(R249="","",COUNTIF($C$5:$C$6004,R249))</f>
        <v/>
      </c>
      <c r="W249" s="2">
        <f>IF(R249="","",COUNTIFS($C$5:$C$6004,R249,$O$5:$O$6004,"CONCLUÍDA"))</f>
        <v/>
      </c>
      <c r="X249" s="2">
        <f>IF(R249="","",COUNTIFS($C$5:$C$6004,R249,$O$5:$O$6004,"EM ANDAMENTO"))</f>
        <v/>
      </c>
      <c r="Y249" s="2">
        <f>IF(R249="","",IF(COUNTIFS($C$5:$C$6004,R249,$O$5:$O$6004,"CONCLUÍDA",$N$5:$N$6004,"&gt;=-99")=0,"",_xlfn.MAXIFS($N$5:$N$6004,$C$5:$C$6004,R249,$O$5:$O$6004,"CONCLUÍDA")))</f>
        <v/>
      </c>
      <c r="Z249" s="2">
        <f>IF(R249="","",IF(COUNTIFS($C$5:$C$6004,R249,$O$5:$O$6004,"EM ANDAMENTO",$N$5:$N$6004,"&gt;=-99")=0,"",_xlfn.MAXIFS($N$5:$N$6004,$C$5:$C$6004,R249,$O$5:$O$6004,"EM ANDAMENTO")))</f>
        <v/>
      </c>
      <c r="AA249" s="2">
        <f>IF(OR(R249="",S249="",U249&lt;&gt;"SIM",V249=0),"",IF(W249+X249=0,"",T249&amp;": "&amp;IF(W249=V249,"concluído",IF(W249=0,"em execução"&amp;IF(Z249&lt;&gt;""," ("&amp;IF(Z249&lt;0,IF(COUNTIF($E$5:$E$6004,"SUBSOLO*")&gt;0,"subsolo",-Z249&amp;"º subsolo"),IF(Z249=0,"térreo",Z249&amp;"º pav."))&amp;")",""),IF(Y249&lt;&gt;"","até "&amp;IF(Y249&lt;0,IF(COUNTIF($E$5:$E$6004,"SUBSOLO*")&gt;0,"subsolo",-Y249&amp;"º subsolo"),IF(Y249=0,"térreo",Y249&amp;"º pav.")),W249&amp;" de "&amp;V249&amp;" concluídas")&amp;IF(Z249="","",IF(OR(Y249="",Z249&gt;Y249),", executando "&amp;IF(Z249&lt;0,IF(COUNTIF($E$5:$E$6004,"SUBSOLO*")&gt;0,"subsolo",-Z249&amp;"º subsolo"),IF(Z249=0,"térreo",Z249&amp;"º pav."))," (restam serviços no "&amp;IF(Z249&lt;0,IF(COUNTIF($E$5:$E$6004,"SUBSOLO*")&gt;0,"subsolo",-Z249&amp;"º subsolo"),IF(Z249=0,"térreo",Z249&amp;"º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26" t="n">
        <v>45971</v>
      </c>
      <c r="G250" s="126" t="n">
        <v>46059</v>
      </c>
      <c r="H250" s="126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IF(E250="","",IF(ISNUMBER(SEARCH("SUBSOLO",E250)),IFERROR(-VALUE(LEFT(E250,FIND("º",SUBSTITUTE(E250,"°","º"))-1)),-1),IF(LEFT(E250,6)="TÉRREO",0,IFERROR(VALUE(LEFT(E250,FIND("º",SUBSTITUTE(E250,"°","º"))-1)),""))))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IF(R250="","",COUNTIF($C$5:$C$6004,R250))</f>
        <v/>
      </c>
      <c r="W250" s="2">
        <f>IF(R250="","",COUNTIFS($C$5:$C$6004,R250,$O$5:$O$6004,"CONCLUÍDA"))</f>
        <v/>
      </c>
      <c r="X250" s="2">
        <f>IF(R250="","",COUNTIFS($C$5:$C$6004,R250,$O$5:$O$6004,"EM ANDAMENTO"))</f>
        <v/>
      </c>
      <c r="Y250" s="2">
        <f>IF(R250="","",IF(COUNTIFS($C$5:$C$6004,R250,$O$5:$O$6004,"CONCLUÍDA",$N$5:$N$6004,"&gt;=-99")=0,"",_xlfn.MAXIFS($N$5:$N$6004,$C$5:$C$6004,R250,$O$5:$O$6004,"CONCLUÍDA")))</f>
        <v/>
      </c>
      <c r="Z250" s="2">
        <f>IF(R250="","",IF(COUNTIFS($C$5:$C$6004,R250,$O$5:$O$6004,"EM ANDAMENTO",$N$5:$N$6004,"&gt;=-99")=0,"",_xlfn.MAXIFS($N$5:$N$6004,$C$5:$C$6004,R250,$O$5:$O$6004,"EM ANDAMENTO")))</f>
        <v/>
      </c>
      <c r="AA250" s="2">
        <f>IF(OR(R250="",S250="",U250&lt;&gt;"SIM",V250=0),"",IF(W250+X250=0,"",T250&amp;": "&amp;IF(W250=V250,"concluído",IF(W250=0,"em execução"&amp;IF(Z250&lt;&gt;""," ("&amp;IF(Z250&lt;0,IF(COUNTIF($E$5:$E$6004,"SUBSOLO*")&gt;0,"subsolo",-Z250&amp;"º subsolo"),IF(Z250=0,"térreo",Z250&amp;"º pav."))&amp;")",""),IF(Y250&lt;&gt;"","até "&amp;IF(Y250&lt;0,IF(COUNTIF($E$5:$E$6004,"SUBSOLO*")&gt;0,"subsolo",-Y250&amp;"º subsolo"),IF(Y250=0,"térreo",Y250&amp;"º pav.")),W250&amp;" de "&amp;V250&amp;" concluídas")&amp;IF(Z250="","",IF(OR(Y250="",Z250&gt;Y250),", executando "&amp;IF(Z250&lt;0,IF(COUNTIF($E$5:$E$6004,"SUBSOLO*")&gt;0,"subsolo",-Z250&amp;"º subsolo"),IF(Z250=0,"térreo",Z250&amp;"º pav."))," (restam serviços no "&amp;IF(Z250&lt;0,IF(COUNTIF($E$5:$E$6004,"SUBSOLO*")&gt;0,"subsolo",-Z250&amp;"º subsolo"),IF(Z250=0,"térreo",Z250&amp;"º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26" t="n">
        <v>45971</v>
      </c>
      <c r="G251" s="126" t="n">
        <v>45989</v>
      </c>
      <c r="H251" s="126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IF(E251="","",IF(ISNUMBER(SEARCH("SUBSOLO",E251)),IFERROR(-VALUE(LEFT(E251,FIND("º",SUBSTITUTE(E251,"°","º"))-1)),-1),IF(LEFT(E251,6)="TÉRREO",0,IFERROR(VALUE(LEFT(E251,FIND("º",SUBSTITUTE(E251,"°","º"))-1)),""))))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IF(R251="","",COUNTIF($C$5:$C$6004,R251))</f>
        <v/>
      </c>
      <c r="W251" s="2">
        <f>IF(R251="","",COUNTIFS($C$5:$C$6004,R251,$O$5:$O$6004,"CONCLUÍDA"))</f>
        <v/>
      </c>
      <c r="X251" s="2">
        <f>IF(R251="","",COUNTIFS($C$5:$C$6004,R251,$O$5:$O$6004,"EM ANDAMENTO"))</f>
        <v/>
      </c>
      <c r="Y251" s="2">
        <f>IF(R251="","",IF(COUNTIFS($C$5:$C$6004,R251,$O$5:$O$6004,"CONCLUÍDA",$N$5:$N$6004,"&gt;=-99")=0,"",_xlfn.MAXIFS($N$5:$N$6004,$C$5:$C$6004,R251,$O$5:$O$6004,"CONCLUÍDA")))</f>
        <v/>
      </c>
      <c r="Z251" s="2">
        <f>IF(R251="","",IF(COUNTIFS($C$5:$C$6004,R251,$O$5:$O$6004,"EM ANDAMENTO",$N$5:$N$6004,"&gt;=-99")=0,"",_xlfn.MAXIFS($N$5:$N$6004,$C$5:$C$6004,R251,$O$5:$O$6004,"EM ANDAMENTO")))</f>
        <v/>
      </c>
      <c r="AA251" s="2">
        <f>IF(OR(R251="",S251="",U251&lt;&gt;"SIM",V251=0),"",IF(W251+X251=0,"",T251&amp;": "&amp;IF(W251=V251,"concluído",IF(W251=0,"em execução"&amp;IF(Z251&lt;&gt;""," ("&amp;IF(Z251&lt;0,IF(COUNTIF($E$5:$E$6004,"SUBSOLO*")&gt;0,"subsolo",-Z251&amp;"º subsolo"),IF(Z251=0,"térreo",Z251&amp;"º pav."))&amp;")",""),IF(Y251&lt;&gt;"","até "&amp;IF(Y251&lt;0,IF(COUNTIF($E$5:$E$6004,"SUBSOLO*")&gt;0,"subsolo",-Y251&amp;"º subsolo"),IF(Y251=0,"térreo",Y251&amp;"º pav.")),W251&amp;" de "&amp;V251&amp;" concluídas")&amp;IF(Z251="","",IF(OR(Y251="",Z251&gt;Y251),", executando "&amp;IF(Z251&lt;0,IF(COUNTIF($E$5:$E$6004,"SUBSOLO*")&gt;0,"subsolo",-Z251&amp;"º subsolo"),IF(Z251=0,"térreo",Z251&amp;"º pav."))," (restam serviços no "&amp;IF(Z251&lt;0,IF(COUNTIF($E$5:$E$6004,"SUBSOLO*")&gt;0,"subsolo",-Z251&amp;"º subsolo"),IF(Z251=0,"térreo",Z251&amp;"º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26" t="n">
        <v>45992</v>
      </c>
      <c r="G252" s="126" t="n">
        <v>46059</v>
      </c>
      <c r="H252" s="126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IF(E252="","",IF(ISNUMBER(SEARCH("SUBSOLO",E252)),IFERROR(-VALUE(LEFT(E252,FIND("º",SUBSTITUTE(E252,"°","º"))-1)),-1),IF(LEFT(E252,6)="TÉRREO",0,IFERROR(VALUE(LEFT(E252,FIND("º",SUBSTITUTE(E252,"°","º"))-1)),""))))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IF(R252="","",COUNTIF($C$5:$C$6004,R252))</f>
        <v/>
      </c>
      <c r="W252" s="2">
        <f>IF(R252="","",COUNTIFS($C$5:$C$6004,R252,$O$5:$O$6004,"CONCLUÍDA"))</f>
        <v/>
      </c>
      <c r="X252" s="2">
        <f>IF(R252="","",COUNTIFS($C$5:$C$6004,R252,$O$5:$O$6004,"EM ANDAMENTO"))</f>
        <v/>
      </c>
      <c r="Y252" s="2">
        <f>IF(R252="","",IF(COUNTIFS($C$5:$C$6004,R252,$O$5:$O$6004,"CONCLUÍDA",$N$5:$N$6004,"&gt;=-99")=0,"",_xlfn.MAXIFS($N$5:$N$6004,$C$5:$C$6004,R252,$O$5:$O$6004,"CONCLUÍDA")))</f>
        <v/>
      </c>
      <c r="Z252" s="2">
        <f>IF(R252="","",IF(COUNTIFS($C$5:$C$6004,R252,$O$5:$O$6004,"EM ANDAMENTO",$N$5:$N$6004,"&gt;=-99")=0,"",_xlfn.MAXIFS($N$5:$N$6004,$C$5:$C$6004,R252,$O$5:$O$6004,"EM ANDAMENTO")))</f>
        <v/>
      </c>
      <c r="AA252" s="2">
        <f>IF(OR(R252="",S252="",U252&lt;&gt;"SIM",V252=0),"",IF(W252+X252=0,"",T252&amp;": "&amp;IF(W252=V252,"concluído",IF(W252=0,"em execução"&amp;IF(Z252&lt;&gt;""," ("&amp;IF(Z252&lt;0,IF(COUNTIF($E$5:$E$6004,"SUBSOLO*")&gt;0,"subsolo",-Z252&amp;"º subsolo"),IF(Z252=0,"térreo",Z252&amp;"º pav."))&amp;")",""),IF(Y252&lt;&gt;"","até "&amp;IF(Y252&lt;0,IF(COUNTIF($E$5:$E$6004,"SUBSOLO*")&gt;0,"subsolo",-Y252&amp;"º subsolo"),IF(Y252=0,"térreo",Y252&amp;"º pav.")),W252&amp;" de "&amp;V252&amp;" concluídas")&amp;IF(Z252="","",IF(OR(Y252="",Z252&gt;Y252),", executando "&amp;IF(Z252&lt;0,IF(COUNTIF($E$5:$E$6004,"SUBSOLO*")&gt;0,"subsolo",-Z252&amp;"º subsolo"),IF(Z252=0,"térreo",Z252&amp;"º pav."))," (restam serviços no "&amp;IF(Z252&lt;0,IF(COUNTIF($E$5:$E$6004,"SUBSOLO*")&gt;0,"subsolo",-Z252&amp;"º subsolo"),IF(Z252=0,"térreo",Z252&amp;"º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26" t="n">
        <v>45971</v>
      </c>
      <c r="G253" s="126" t="n">
        <v>46006</v>
      </c>
      <c r="H253" s="126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IF(E253="","",IF(ISNUMBER(SEARCH("SUBSOLO",E253)),IFERROR(-VALUE(LEFT(E253,FIND("º",SUBSTITUTE(E253,"°","º"))-1)),-1),IF(LEFT(E253,6)="TÉRREO",0,IFERROR(VALUE(LEFT(E253,FIND("º",SUBSTITUTE(E253,"°","º"))-1)),""))))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IF(R253="","",COUNTIF($C$5:$C$6004,R253))</f>
        <v/>
      </c>
      <c r="W253" s="2">
        <f>IF(R253="","",COUNTIFS($C$5:$C$6004,R253,$O$5:$O$6004,"CONCLUÍDA"))</f>
        <v/>
      </c>
      <c r="X253" s="2">
        <f>IF(R253="","",COUNTIFS($C$5:$C$6004,R253,$O$5:$O$6004,"EM ANDAMENTO"))</f>
        <v/>
      </c>
      <c r="Y253" s="2">
        <f>IF(R253="","",IF(COUNTIFS($C$5:$C$6004,R253,$O$5:$O$6004,"CONCLUÍDA",$N$5:$N$6004,"&gt;=-99")=0,"",_xlfn.MAXIFS($N$5:$N$6004,$C$5:$C$6004,R253,$O$5:$O$6004,"CONCLUÍDA")))</f>
        <v/>
      </c>
      <c r="Z253" s="2">
        <f>IF(R253="","",IF(COUNTIFS($C$5:$C$6004,R253,$O$5:$O$6004,"EM ANDAMENTO",$N$5:$N$6004,"&gt;=-99")=0,"",_xlfn.MAXIFS($N$5:$N$6004,$C$5:$C$6004,R253,$O$5:$O$6004,"EM ANDAMENTO")))</f>
        <v/>
      </c>
      <c r="AA253" s="2">
        <f>IF(OR(R253="",S253="",U253&lt;&gt;"SIM",V253=0),"",IF(W253+X253=0,"",T253&amp;": "&amp;IF(W253=V253,"concluído",IF(W253=0,"em execução"&amp;IF(Z253&lt;&gt;""," ("&amp;IF(Z253&lt;0,IF(COUNTIF($E$5:$E$6004,"SUBSOLO*")&gt;0,"subsolo",-Z253&amp;"º subsolo"),IF(Z253=0,"térreo",Z253&amp;"º pav."))&amp;")",""),IF(Y253&lt;&gt;"","até "&amp;IF(Y253&lt;0,IF(COUNTIF($E$5:$E$6004,"SUBSOLO*")&gt;0,"subsolo",-Y253&amp;"º subsolo"),IF(Y253=0,"térreo",Y253&amp;"º pav.")),W253&amp;" de "&amp;V253&amp;" concluídas")&amp;IF(Z253="","",IF(OR(Y253="",Z253&gt;Y253),", executando "&amp;IF(Z253&lt;0,IF(COUNTIF($E$5:$E$6004,"SUBSOLO*")&gt;0,"subsolo",-Z253&amp;"º subsolo"),IF(Z253=0,"térreo",Z253&amp;"º pav."))," (restam serviços no "&amp;IF(Z253&lt;0,IF(COUNTIF($E$5:$E$6004,"SUBSOLO*")&gt;0,"subsolo",-Z253&amp;"º subsolo"),IF(Z253=0,"térreo",Z253&amp;"º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26" t="n">
        <v>45971</v>
      </c>
      <c r="G254" s="126" t="n">
        <v>45973</v>
      </c>
      <c r="H254" s="126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IF(E254="","",IF(ISNUMBER(SEARCH("SUBSOLO",E254)),IFERROR(-VALUE(LEFT(E254,FIND("º",SUBSTITUTE(E254,"°","º"))-1)),-1),IF(LEFT(E254,6)="TÉRREO",0,IFERROR(VALUE(LEFT(E254,FIND("º",SUBSTITUTE(E254,"°","º"))-1)),""))))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IF(R254="","",COUNTIF($C$5:$C$6004,R254))</f>
        <v/>
      </c>
      <c r="W254" s="2">
        <f>IF(R254="","",COUNTIFS($C$5:$C$6004,R254,$O$5:$O$6004,"CONCLUÍDA"))</f>
        <v/>
      </c>
      <c r="X254" s="2">
        <f>IF(R254="","",COUNTIFS($C$5:$C$6004,R254,$O$5:$O$6004,"EM ANDAMENTO"))</f>
        <v/>
      </c>
      <c r="Y254" s="2">
        <f>IF(R254="","",IF(COUNTIFS($C$5:$C$6004,R254,$O$5:$O$6004,"CONCLUÍDA",$N$5:$N$6004,"&gt;=-99")=0,"",_xlfn.MAXIFS($N$5:$N$6004,$C$5:$C$6004,R254,$O$5:$O$6004,"CONCLUÍDA")))</f>
        <v/>
      </c>
      <c r="Z254" s="2">
        <f>IF(R254="","",IF(COUNTIFS($C$5:$C$6004,R254,$O$5:$O$6004,"EM ANDAMENTO",$N$5:$N$6004,"&gt;=-99")=0,"",_xlfn.MAXIFS($N$5:$N$6004,$C$5:$C$6004,R254,$O$5:$O$6004,"EM ANDAMENTO")))</f>
        <v/>
      </c>
      <c r="AA254" s="2">
        <f>IF(OR(R254="",S254="",U254&lt;&gt;"SIM",V254=0),"",IF(W254+X254=0,"",T254&amp;": "&amp;IF(W254=V254,"concluído",IF(W254=0,"em execução"&amp;IF(Z254&lt;&gt;""," ("&amp;IF(Z254&lt;0,IF(COUNTIF($E$5:$E$6004,"SUBSOLO*")&gt;0,"subsolo",-Z254&amp;"º subsolo"),IF(Z254=0,"térreo",Z254&amp;"º pav."))&amp;")",""),IF(Y254&lt;&gt;"","até "&amp;IF(Y254&lt;0,IF(COUNTIF($E$5:$E$6004,"SUBSOLO*")&gt;0,"subsolo",-Y254&amp;"º subsolo"),IF(Y254=0,"térreo",Y254&amp;"º pav.")),W254&amp;" de "&amp;V254&amp;" concluídas")&amp;IF(Z254="","",IF(OR(Y254="",Z254&gt;Y254),", executando "&amp;IF(Z254&lt;0,IF(COUNTIF($E$5:$E$6004,"SUBSOLO*")&gt;0,"subsolo",-Z254&amp;"º subsolo"),IF(Z254=0,"térreo",Z254&amp;"º pav."))," (restam serviços no "&amp;IF(Z254&lt;0,IF(COUNTIF($E$5:$E$6004,"SUBSOLO*")&gt;0,"subsolo",-Z254&amp;"º subsolo"),IF(Z254=0,"térreo",Z254&amp;"º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26" t="n">
        <v>45971</v>
      </c>
      <c r="G255" s="126" t="n">
        <v>45979</v>
      </c>
      <c r="H255" s="126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IF(E255="","",IF(ISNUMBER(SEARCH("SUBSOLO",E255)),IFERROR(-VALUE(LEFT(E255,FIND("º",SUBSTITUTE(E255,"°","º"))-1)),-1),IF(LEFT(E255,6)="TÉRREO",0,IFERROR(VALUE(LEFT(E255,FIND("º",SUBSTITUTE(E255,"°","º"))-1)),""))))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IF(R255="","",COUNTIF($C$5:$C$6004,R255))</f>
        <v/>
      </c>
      <c r="W255" s="2">
        <f>IF(R255="","",COUNTIFS($C$5:$C$6004,R255,$O$5:$O$6004,"CONCLUÍDA"))</f>
        <v/>
      </c>
      <c r="X255" s="2">
        <f>IF(R255="","",COUNTIFS($C$5:$C$6004,R255,$O$5:$O$6004,"EM ANDAMENTO"))</f>
        <v/>
      </c>
      <c r="Y255" s="2">
        <f>IF(R255="","",IF(COUNTIFS($C$5:$C$6004,R255,$O$5:$O$6004,"CONCLUÍDA",$N$5:$N$6004,"&gt;=-99")=0,"",_xlfn.MAXIFS($N$5:$N$6004,$C$5:$C$6004,R255,$O$5:$O$6004,"CONCLUÍDA")))</f>
        <v/>
      </c>
      <c r="Z255" s="2">
        <f>IF(R255="","",IF(COUNTIFS($C$5:$C$6004,R255,$O$5:$O$6004,"EM ANDAMENTO",$N$5:$N$6004,"&gt;=-99")=0,"",_xlfn.MAXIFS($N$5:$N$6004,$C$5:$C$6004,R255,$O$5:$O$6004,"EM ANDAMENTO")))</f>
        <v/>
      </c>
      <c r="AA255" s="2">
        <f>IF(OR(R255="",S255="",U255&lt;&gt;"SIM",V255=0),"",IF(W255+X255=0,"",T255&amp;": "&amp;IF(W255=V255,"concluído",IF(W255=0,"em execução"&amp;IF(Z255&lt;&gt;""," ("&amp;IF(Z255&lt;0,IF(COUNTIF($E$5:$E$6004,"SUBSOLO*")&gt;0,"subsolo",-Z255&amp;"º subsolo"),IF(Z255=0,"térreo",Z255&amp;"º pav."))&amp;")",""),IF(Y255&lt;&gt;"","até "&amp;IF(Y255&lt;0,IF(COUNTIF($E$5:$E$6004,"SUBSOLO*")&gt;0,"subsolo",-Y255&amp;"º subsolo"),IF(Y255=0,"térreo",Y255&amp;"º pav.")),W255&amp;" de "&amp;V255&amp;" concluídas")&amp;IF(Z255="","",IF(OR(Y255="",Z255&gt;Y255),", executando "&amp;IF(Z255&lt;0,IF(COUNTIF($E$5:$E$6004,"SUBSOLO*")&gt;0,"subsolo",-Z255&amp;"º subsolo"),IF(Z255=0,"térreo",Z255&amp;"º pav."))," (restam serviços no "&amp;IF(Z255&lt;0,IF(COUNTIF($E$5:$E$6004,"SUBSOLO*")&gt;0,"subsolo",-Z255&amp;"º subsolo"),IF(Z255=0,"térreo",Z255&amp;"º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26" t="n">
        <v>45971</v>
      </c>
      <c r="G256" s="126" t="n">
        <v>45971</v>
      </c>
      <c r="H256" s="126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IF(E256="","",IF(ISNUMBER(SEARCH("SUBSOLO",E256)),IFERROR(-VALUE(LEFT(E256,FIND("º",SUBSTITUTE(E256,"°","º"))-1)),-1),IF(LEFT(E256,6)="TÉRREO",0,IFERROR(VALUE(LEFT(E256,FIND("º",SUBSTITUTE(E256,"°","º"))-1)),""))))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IF(R256="","",COUNTIF($C$5:$C$6004,R256))</f>
        <v/>
      </c>
      <c r="W256" s="2">
        <f>IF(R256="","",COUNTIFS($C$5:$C$6004,R256,$O$5:$O$6004,"CONCLUÍDA"))</f>
        <v/>
      </c>
      <c r="X256" s="2">
        <f>IF(R256="","",COUNTIFS($C$5:$C$6004,R256,$O$5:$O$6004,"EM ANDAMENTO"))</f>
        <v/>
      </c>
      <c r="Y256" s="2">
        <f>IF(R256="","",IF(COUNTIFS($C$5:$C$6004,R256,$O$5:$O$6004,"CONCLUÍDA",$N$5:$N$6004,"&gt;=-99")=0,"",_xlfn.MAXIFS($N$5:$N$6004,$C$5:$C$6004,R256,$O$5:$O$6004,"CONCLUÍDA")))</f>
        <v/>
      </c>
      <c r="Z256" s="2">
        <f>IF(R256="","",IF(COUNTIFS($C$5:$C$6004,R256,$O$5:$O$6004,"EM ANDAMENTO",$N$5:$N$6004,"&gt;=-99")=0,"",_xlfn.MAXIFS($N$5:$N$6004,$C$5:$C$6004,R256,$O$5:$O$6004,"EM ANDAMENTO")))</f>
        <v/>
      </c>
      <c r="AA256" s="2">
        <f>IF(OR(R256="",S256="",U256&lt;&gt;"SIM",V256=0),"",IF(W256+X256=0,"",T256&amp;": "&amp;IF(W256=V256,"concluído",IF(W256=0,"em execução"&amp;IF(Z256&lt;&gt;""," ("&amp;IF(Z256&lt;0,IF(COUNTIF($E$5:$E$6004,"SUBSOLO*")&gt;0,"subsolo",-Z256&amp;"º subsolo"),IF(Z256=0,"térreo",Z256&amp;"º pav."))&amp;")",""),IF(Y256&lt;&gt;"","até "&amp;IF(Y256&lt;0,IF(COUNTIF($E$5:$E$6004,"SUBSOLO*")&gt;0,"subsolo",-Y256&amp;"º subsolo"),IF(Y256=0,"térreo",Y256&amp;"º pav.")),W256&amp;" de "&amp;V256&amp;" concluídas")&amp;IF(Z256="","",IF(OR(Y256="",Z256&gt;Y256),", executando "&amp;IF(Z256&lt;0,IF(COUNTIF($E$5:$E$6004,"SUBSOLO*")&gt;0,"subsolo",-Z256&amp;"º subsolo"),IF(Z256=0,"térreo",Z256&amp;"º pav."))," (restam serviços no "&amp;IF(Z256&lt;0,IF(COUNTIF($E$5:$E$6004,"SUBSOLO*")&gt;0,"subsolo",-Z256&amp;"º subsolo"),IF(Z256=0,"térreo",Z256&amp;"º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26" t="n">
        <v>45971</v>
      </c>
      <c r="G257" s="126" t="n">
        <v>45971</v>
      </c>
      <c r="H257" s="126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IF(E257="","",IF(ISNUMBER(SEARCH("SUBSOLO",E257)),IFERROR(-VALUE(LEFT(E257,FIND("º",SUBSTITUTE(E257,"°","º"))-1)),-1),IF(LEFT(E257,6)="TÉRREO",0,IFERROR(VALUE(LEFT(E257,FIND("º",SUBSTITUTE(E257,"°","º"))-1)),""))))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IF(R257="","",COUNTIF($C$5:$C$6004,R257))</f>
        <v/>
      </c>
      <c r="W257" s="2">
        <f>IF(R257="","",COUNTIFS($C$5:$C$6004,R257,$O$5:$O$6004,"CONCLUÍDA"))</f>
        <v/>
      </c>
      <c r="X257" s="2">
        <f>IF(R257="","",COUNTIFS($C$5:$C$6004,R257,$O$5:$O$6004,"EM ANDAMENTO"))</f>
        <v/>
      </c>
      <c r="Y257" s="2">
        <f>IF(R257="","",IF(COUNTIFS($C$5:$C$6004,R257,$O$5:$O$6004,"CONCLUÍDA",$N$5:$N$6004,"&gt;=-99")=0,"",_xlfn.MAXIFS($N$5:$N$6004,$C$5:$C$6004,R257,$O$5:$O$6004,"CONCLUÍDA")))</f>
        <v/>
      </c>
      <c r="Z257" s="2">
        <f>IF(R257="","",IF(COUNTIFS($C$5:$C$6004,R257,$O$5:$O$6004,"EM ANDAMENTO",$N$5:$N$6004,"&gt;=-99")=0,"",_xlfn.MAXIFS($N$5:$N$6004,$C$5:$C$6004,R257,$O$5:$O$6004,"EM ANDAMENTO")))</f>
        <v/>
      </c>
      <c r="AA257" s="2">
        <f>IF(OR(R257="",S257="",U257&lt;&gt;"SIM",V257=0),"",IF(W257+X257=0,"",T257&amp;": "&amp;IF(W257=V257,"concluído",IF(W257=0,"em execução"&amp;IF(Z257&lt;&gt;""," ("&amp;IF(Z257&lt;0,IF(COUNTIF($E$5:$E$6004,"SUBSOLO*")&gt;0,"subsolo",-Z257&amp;"º subsolo"),IF(Z257=0,"térreo",Z257&amp;"º pav."))&amp;")",""),IF(Y257&lt;&gt;"","até "&amp;IF(Y257&lt;0,IF(COUNTIF($E$5:$E$6004,"SUBSOLO*")&gt;0,"subsolo",-Y257&amp;"º subsolo"),IF(Y257=0,"térreo",Y257&amp;"º pav.")),W257&amp;" de "&amp;V257&amp;" concluídas")&amp;IF(Z257="","",IF(OR(Y257="",Z257&gt;Y257),", executando "&amp;IF(Z257&lt;0,IF(COUNTIF($E$5:$E$6004,"SUBSOLO*")&gt;0,"subsolo",-Z257&amp;"º subsolo"),IF(Z257=0,"térreo",Z257&amp;"º pav."))," (restam serviços no "&amp;IF(Z257&lt;0,IF(COUNTIF($E$5:$E$6004,"SUBSOLO*")&gt;0,"subsolo",-Z257&amp;"º subsolo"),IF(Z257=0,"térreo",Z257&amp;"º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26" t="n">
        <v>45971</v>
      </c>
      <c r="G258" s="126" t="n">
        <v>45989</v>
      </c>
      <c r="H258" s="126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IF(E258="","",IF(ISNUMBER(SEARCH("SUBSOLO",E258)),IFERROR(-VALUE(LEFT(E258,FIND("º",SUBSTITUTE(E258,"°","º"))-1)),-1),IF(LEFT(E258,6)="TÉRREO",0,IFERROR(VALUE(LEFT(E258,FIND("º",SUBSTITUTE(E258,"°","º"))-1)),""))))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IF(R258="","",COUNTIF($C$5:$C$6004,R258))</f>
        <v/>
      </c>
      <c r="W258" s="2">
        <f>IF(R258="","",COUNTIFS($C$5:$C$6004,R258,$O$5:$O$6004,"CONCLUÍDA"))</f>
        <v/>
      </c>
      <c r="X258" s="2">
        <f>IF(R258="","",COUNTIFS($C$5:$C$6004,R258,$O$5:$O$6004,"EM ANDAMENTO"))</f>
        <v/>
      </c>
      <c r="Y258" s="2">
        <f>IF(R258="","",IF(COUNTIFS($C$5:$C$6004,R258,$O$5:$O$6004,"CONCLUÍDA",$N$5:$N$6004,"&gt;=-99")=0,"",_xlfn.MAXIFS($N$5:$N$6004,$C$5:$C$6004,R258,$O$5:$O$6004,"CONCLUÍDA")))</f>
        <v/>
      </c>
      <c r="Z258" s="2">
        <f>IF(R258="","",IF(COUNTIFS($C$5:$C$6004,R258,$O$5:$O$6004,"EM ANDAMENTO",$N$5:$N$6004,"&gt;=-99")=0,"",_xlfn.MAXIFS($N$5:$N$6004,$C$5:$C$6004,R258,$O$5:$O$6004,"EM ANDAMENTO")))</f>
        <v/>
      </c>
      <c r="AA258" s="2">
        <f>IF(OR(R258="",S258="",U258&lt;&gt;"SIM",V258=0),"",IF(W258+X258=0,"",T258&amp;": "&amp;IF(W258=V258,"concluído",IF(W258=0,"em execução"&amp;IF(Z258&lt;&gt;""," ("&amp;IF(Z258&lt;0,IF(COUNTIF($E$5:$E$6004,"SUBSOLO*")&gt;0,"subsolo",-Z258&amp;"º subsolo"),IF(Z258=0,"térreo",Z258&amp;"º pav."))&amp;")",""),IF(Y258&lt;&gt;"","até "&amp;IF(Y258&lt;0,IF(COUNTIF($E$5:$E$6004,"SUBSOLO*")&gt;0,"subsolo",-Y258&amp;"º subsolo"),IF(Y258=0,"térreo",Y258&amp;"º pav.")),W258&amp;" de "&amp;V258&amp;" concluídas")&amp;IF(Z258="","",IF(OR(Y258="",Z258&gt;Y258),", executando "&amp;IF(Z258&lt;0,IF(COUNTIF($E$5:$E$6004,"SUBSOLO*")&gt;0,"subsolo",-Z258&amp;"º subsolo"),IF(Z258=0,"térreo",Z258&amp;"º pav."))," (restam serviços no "&amp;IF(Z258&lt;0,IF(COUNTIF($E$5:$E$6004,"SUBSOLO*")&gt;0,"subsolo",-Z258&amp;"º subsolo"),IF(Z258=0,"térreo",Z258&amp;"º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26" t="n">
        <v>45971</v>
      </c>
      <c r="G259" s="126" t="n">
        <v>46003</v>
      </c>
      <c r="H259" s="126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IF(E259="","",IF(ISNUMBER(SEARCH("SUBSOLO",E259)),IFERROR(-VALUE(LEFT(E259,FIND("º",SUBSTITUTE(E259,"°","º"))-1)),-1),IF(LEFT(E259,6)="TÉRREO",0,IFERROR(VALUE(LEFT(E259,FIND("º",SUBSTITUTE(E259,"°","º"))-1)),""))))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IF(R259="","",COUNTIF($C$5:$C$6004,R259))</f>
        <v/>
      </c>
      <c r="W259" s="2">
        <f>IF(R259="","",COUNTIFS($C$5:$C$6004,R259,$O$5:$O$6004,"CONCLUÍDA"))</f>
        <v/>
      </c>
      <c r="X259" s="2">
        <f>IF(R259="","",COUNTIFS($C$5:$C$6004,R259,$O$5:$O$6004,"EM ANDAMENTO"))</f>
        <v/>
      </c>
      <c r="Y259" s="2">
        <f>IF(R259="","",IF(COUNTIFS($C$5:$C$6004,R259,$O$5:$O$6004,"CONCLUÍDA",$N$5:$N$6004,"&gt;=-99")=0,"",_xlfn.MAXIFS($N$5:$N$6004,$C$5:$C$6004,R259,$O$5:$O$6004,"CONCLUÍDA")))</f>
        <v/>
      </c>
      <c r="Z259" s="2">
        <f>IF(R259="","",IF(COUNTIFS($C$5:$C$6004,R259,$O$5:$O$6004,"EM ANDAMENTO",$N$5:$N$6004,"&gt;=-99")=0,"",_xlfn.MAXIFS($N$5:$N$6004,$C$5:$C$6004,R259,$O$5:$O$6004,"EM ANDAMENTO")))</f>
        <v/>
      </c>
      <c r="AA259" s="2">
        <f>IF(OR(R259="",S259="",U259&lt;&gt;"SIM",V259=0),"",IF(W259+X259=0,"",T259&amp;": "&amp;IF(W259=V259,"concluído",IF(W259=0,"em execução"&amp;IF(Z259&lt;&gt;""," ("&amp;IF(Z259&lt;0,IF(COUNTIF($E$5:$E$6004,"SUBSOLO*")&gt;0,"subsolo",-Z259&amp;"º subsolo"),IF(Z259=0,"térreo",Z259&amp;"º pav."))&amp;")",""),IF(Y259&lt;&gt;"","até "&amp;IF(Y259&lt;0,IF(COUNTIF($E$5:$E$6004,"SUBSOLO*")&gt;0,"subsolo",-Y259&amp;"º subsolo"),IF(Y259=0,"térreo",Y259&amp;"º pav.")),W259&amp;" de "&amp;V259&amp;" concluídas")&amp;IF(Z259="","",IF(OR(Y259="",Z259&gt;Y259),", executando "&amp;IF(Z259&lt;0,IF(COUNTIF($E$5:$E$6004,"SUBSOLO*")&gt;0,"subsolo",-Z259&amp;"º subsolo"),IF(Z259=0,"térreo",Z259&amp;"º pav."))," (restam serviços no "&amp;IF(Z259&lt;0,IF(COUNTIF($E$5:$E$6004,"SUBSOLO*")&gt;0,"subsolo",-Z259&amp;"º subsolo"),IF(Z259=0,"térreo",Z259&amp;"º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26" t="n">
        <v>45971</v>
      </c>
      <c r="G260" s="126" t="n">
        <v>46003</v>
      </c>
      <c r="H260" s="126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IF(E260="","",IF(ISNUMBER(SEARCH("SUBSOLO",E260)),IFERROR(-VALUE(LEFT(E260,FIND("º",SUBSTITUTE(E260,"°","º"))-1)),-1),IF(LEFT(E260,6)="TÉRREO",0,IFERROR(VALUE(LEFT(E260,FIND("º",SUBSTITUTE(E260,"°","º"))-1)),""))))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IF(R260="","",COUNTIF($C$5:$C$6004,R260))</f>
        <v/>
      </c>
      <c r="W260" s="2">
        <f>IF(R260="","",COUNTIFS($C$5:$C$6004,R260,$O$5:$O$6004,"CONCLUÍDA"))</f>
        <v/>
      </c>
      <c r="X260" s="2">
        <f>IF(R260="","",COUNTIFS($C$5:$C$6004,R260,$O$5:$O$6004,"EM ANDAMENTO"))</f>
        <v/>
      </c>
      <c r="Y260" s="2">
        <f>IF(R260="","",IF(COUNTIFS($C$5:$C$6004,R260,$O$5:$O$6004,"CONCLUÍDA",$N$5:$N$6004,"&gt;=-99")=0,"",_xlfn.MAXIFS($N$5:$N$6004,$C$5:$C$6004,R260,$O$5:$O$6004,"CONCLUÍDA")))</f>
        <v/>
      </c>
      <c r="Z260" s="2">
        <f>IF(R260="","",IF(COUNTIFS($C$5:$C$6004,R260,$O$5:$O$6004,"EM ANDAMENTO",$N$5:$N$6004,"&gt;=-99")=0,"",_xlfn.MAXIFS($N$5:$N$6004,$C$5:$C$6004,R260,$O$5:$O$6004,"EM ANDAMENTO")))</f>
        <v/>
      </c>
      <c r="AA260" s="2">
        <f>IF(OR(R260="",S260="",U260&lt;&gt;"SIM",V260=0),"",IF(W260+X260=0,"",T260&amp;": "&amp;IF(W260=V260,"concluído",IF(W260=0,"em execução"&amp;IF(Z260&lt;&gt;""," ("&amp;IF(Z260&lt;0,IF(COUNTIF($E$5:$E$6004,"SUBSOLO*")&gt;0,"subsolo",-Z260&amp;"º subsolo"),IF(Z260=0,"térreo",Z260&amp;"º pav."))&amp;")",""),IF(Y260&lt;&gt;"","até "&amp;IF(Y260&lt;0,IF(COUNTIF($E$5:$E$6004,"SUBSOLO*")&gt;0,"subsolo",-Y260&amp;"º subsolo"),IF(Y260=0,"térreo",Y260&amp;"º pav.")),W260&amp;" de "&amp;V260&amp;" concluídas")&amp;IF(Z260="","",IF(OR(Y260="",Z260&gt;Y260),", executando "&amp;IF(Z260&lt;0,IF(COUNTIF($E$5:$E$6004,"SUBSOLO*")&gt;0,"subsolo",-Z260&amp;"º subsolo"),IF(Z260=0,"térreo",Z260&amp;"º pav."))," (restam serviços no "&amp;IF(Z260&lt;0,IF(COUNTIF($E$5:$E$6004,"SUBSOLO*")&gt;0,"subsolo",-Z260&amp;"º subsolo"),IF(Z260=0,"térreo",Z260&amp;"º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26" t="n">
        <v>45996</v>
      </c>
      <c r="G261" s="126" t="n">
        <v>45996</v>
      </c>
      <c r="H261" s="126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IF(E261="","",IF(ISNUMBER(SEARCH("SUBSOLO",E261)),IFERROR(-VALUE(LEFT(E261,FIND("º",SUBSTITUTE(E261,"°","º"))-1)),-1),IF(LEFT(E261,6)="TÉRREO",0,IFERROR(VALUE(LEFT(E261,FIND("º",SUBSTITUTE(E261,"°","º"))-1)),""))))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IF(R261="","",COUNTIF($C$5:$C$6004,R261))</f>
        <v/>
      </c>
      <c r="W261" s="2">
        <f>IF(R261="","",COUNTIFS($C$5:$C$6004,R261,$O$5:$O$6004,"CONCLUÍDA"))</f>
        <v/>
      </c>
      <c r="X261" s="2">
        <f>IF(R261="","",COUNTIFS($C$5:$C$6004,R261,$O$5:$O$6004,"EM ANDAMENTO"))</f>
        <v/>
      </c>
      <c r="Y261" s="2">
        <f>IF(R261="","",IF(COUNTIFS($C$5:$C$6004,R261,$O$5:$O$6004,"CONCLUÍDA",$N$5:$N$6004,"&gt;=-99")=0,"",_xlfn.MAXIFS($N$5:$N$6004,$C$5:$C$6004,R261,$O$5:$O$6004,"CONCLUÍDA")))</f>
        <v/>
      </c>
      <c r="Z261" s="2">
        <f>IF(R261="","",IF(COUNTIFS($C$5:$C$6004,R261,$O$5:$O$6004,"EM ANDAMENTO",$N$5:$N$6004,"&gt;=-99")=0,"",_xlfn.MAXIFS($N$5:$N$6004,$C$5:$C$6004,R261,$O$5:$O$6004,"EM ANDAMENTO")))</f>
        <v/>
      </c>
      <c r="AA261" s="2">
        <f>IF(OR(R261="",S261="",U261&lt;&gt;"SIM",V261=0),"",IF(W261+X261=0,"",T261&amp;": "&amp;IF(W261=V261,"concluído",IF(W261=0,"em execução"&amp;IF(Z261&lt;&gt;""," ("&amp;IF(Z261&lt;0,IF(COUNTIF($E$5:$E$6004,"SUBSOLO*")&gt;0,"subsolo",-Z261&amp;"º subsolo"),IF(Z261=0,"térreo",Z261&amp;"º pav."))&amp;")",""),IF(Y261&lt;&gt;"","até "&amp;IF(Y261&lt;0,IF(COUNTIF($E$5:$E$6004,"SUBSOLO*")&gt;0,"subsolo",-Y261&amp;"º subsolo"),IF(Y261=0,"térreo",Y261&amp;"º pav.")),W261&amp;" de "&amp;V261&amp;" concluídas")&amp;IF(Z261="","",IF(OR(Y261="",Z261&gt;Y261),", executando "&amp;IF(Z261&lt;0,IF(COUNTIF($E$5:$E$6004,"SUBSOLO*")&gt;0,"subsolo",-Z261&amp;"º subsolo"),IF(Z261=0,"térreo",Z261&amp;"º pav."))," (restam serviços no "&amp;IF(Z261&lt;0,IF(COUNTIF($E$5:$E$6004,"SUBSOLO*")&gt;0,"subsolo",-Z261&amp;"º subsolo"),IF(Z261=0,"térreo",Z261&amp;"º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26" t="n">
        <v>46001</v>
      </c>
      <c r="G262" s="126" t="n">
        <v>46001</v>
      </c>
      <c r="H262" s="126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IF(E262="","",IF(ISNUMBER(SEARCH("SUBSOLO",E262)),IFERROR(-VALUE(LEFT(E262,FIND("º",SUBSTITUTE(E262,"°","º"))-1)),-1),IF(LEFT(E262,6)="TÉRREO",0,IFERROR(VALUE(LEFT(E262,FIND("º",SUBSTITUTE(E262,"°","º"))-1)),""))))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IF(R262="","",COUNTIF($C$5:$C$6004,R262))</f>
        <v/>
      </c>
      <c r="W262" s="2">
        <f>IF(R262="","",COUNTIFS($C$5:$C$6004,R262,$O$5:$O$6004,"CONCLUÍDA"))</f>
        <v/>
      </c>
      <c r="X262" s="2">
        <f>IF(R262="","",COUNTIFS($C$5:$C$6004,R262,$O$5:$O$6004,"EM ANDAMENTO"))</f>
        <v/>
      </c>
      <c r="Y262" s="2">
        <f>IF(R262="","",IF(COUNTIFS($C$5:$C$6004,R262,$O$5:$O$6004,"CONCLUÍDA",$N$5:$N$6004,"&gt;=-99")=0,"",_xlfn.MAXIFS($N$5:$N$6004,$C$5:$C$6004,R262,$O$5:$O$6004,"CONCLUÍDA")))</f>
        <v/>
      </c>
      <c r="Z262" s="2">
        <f>IF(R262="","",IF(COUNTIFS($C$5:$C$6004,R262,$O$5:$O$6004,"EM ANDAMENTO",$N$5:$N$6004,"&gt;=-99")=0,"",_xlfn.MAXIFS($N$5:$N$6004,$C$5:$C$6004,R262,$O$5:$O$6004,"EM ANDAMENTO")))</f>
        <v/>
      </c>
      <c r="AA262" s="2">
        <f>IF(OR(R262="",S262="",U262&lt;&gt;"SIM",V262=0),"",IF(W262+X262=0,"",T262&amp;": "&amp;IF(W262=V262,"concluído",IF(W262=0,"em execução"&amp;IF(Z262&lt;&gt;""," ("&amp;IF(Z262&lt;0,IF(COUNTIF($E$5:$E$6004,"SUBSOLO*")&gt;0,"subsolo",-Z262&amp;"º subsolo"),IF(Z262=0,"térreo",Z262&amp;"º pav."))&amp;")",""),IF(Y262&lt;&gt;"","até "&amp;IF(Y262&lt;0,IF(COUNTIF($E$5:$E$6004,"SUBSOLO*")&gt;0,"subsolo",-Y262&amp;"º subsolo"),IF(Y262=0,"térreo",Y262&amp;"º pav.")),W262&amp;" de "&amp;V262&amp;" concluídas")&amp;IF(Z262="","",IF(OR(Y262="",Z262&gt;Y262),", executando "&amp;IF(Z262&lt;0,IF(COUNTIF($E$5:$E$6004,"SUBSOLO*")&gt;0,"subsolo",-Z262&amp;"º subsolo"),IF(Z262=0,"térreo",Z262&amp;"º pav."))," (restam serviços no "&amp;IF(Z262&lt;0,IF(COUNTIF($E$5:$E$6004,"SUBSOLO*")&gt;0,"subsolo",-Z262&amp;"º subsolo"),IF(Z262=0,"térreo",Z262&amp;"º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26" t="n">
        <v>46001</v>
      </c>
      <c r="G263" s="126" t="n">
        <v>46001</v>
      </c>
      <c r="H263" s="126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IF(E263="","",IF(ISNUMBER(SEARCH("SUBSOLO",E263)),IFERROR(-VALUE(LEFT(E263,FIND("º",SUBSTITUTE(E263,"°","º"))-1)),-1),IF(LEFT(E263,6)="TÉRREO",0,IFERROR(VALUE(LEFT(E263,FIND("º",SUBSTITUTE(E263,"°","º"))-1)),""))))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IF(R263="","",COUNTIF($C$5:$C$6004,R263))</f>
        <v/>
      </c>
      <c r="W263" s="2">
        <f>IF(R263="","",COUNTIFS($C$5:$C$6004,R263,$O$5:$O$6004,"CONCLUÍDA"))</f>
        <v/>
      </c>
      <c r="X263" s="2">
        <f>IF(R263="","",COUNTIFS($C$5:$C$6004,R263,$O$5:$O$6004,"EM ANDAMENTO"))</f>
        <v/>
      </c>
      <c r="Y263" s="2">
        <f>IF(R263="","",IF(COUNTIFS($C$5:$C$6004,R263,$O$5:$O$6004,"CONCLUÍDA",$N$5:$N$6004,"&gt;=-99")=0,"",_xlfn.MAXIFS($N$5:$N$6004,$C$5:$C$6004,R263,$O$5:$O$6004,"CONCLUÍDA")))</f>
        <v/>
      </c>
      <c r="Z263" s="2">
        <f>IF(R263="","",IF(COUNTIFS($C$5:$C$6004,R263,$O$5:$O$6004,"EM ANDAMENTO",$N$5:$N$6004,"&gt;=-99")=0,"",_xlfn.MAXIFS($N$5:$N$6004,$C$5:$C$6004,R263,$O$5:$O$6004,"EM ANDAMENTO")))</f>
        <v/>
      </c>
      <c r="AA263" s="2">
        <f>IF(OR(R263="",S263="",U263&lt;&gt;"SIM",V263=0),"",IF(W263+X263=0,"",T263&amp;": "&amp;IF(W263=V263,"concluído",IF(W263=0,"em execução"&amp;IF(Z263&lt;&gt;""," ("&amp;IF(Z263&lt;0,IF(COUNTIF($E$5:$E$6004,"SUBSOLO*")&gt;0,"subsolo",-Z263&amp;"º subsolo"),IF(Z263=0,"térreo",Z263&amp;"º pav."))&amp;")",""),IF(Y263&lt;&gt;"","até "&amp;IF(Y263&lt;0,IF(COUNTIF($E$5:$E$6004,"SUBSOLO*")&gt;0,"subsolo",-Y263&amp;"º subsolo"),IF(Y263=0,"térreo",Y263&amp;"º pav.")),W263&amp;" de "&amp;V263&amp;" concluídas")&amp;IF(Z263="","",IF(OR(Y263="",Z263&gt;Y263),", executando "&amp;IF(Z263&lt;0,IF(COUNTIF($E$5:$E$6004,"SUBSOLO*")&gt;0,"subsolo",-Z263&amp;"º subsolo"),IF(Z263=0,"térreo",Z263&amp;"º pav."))," (restam serviços no "&amp;IF(Z263&lt;0,IF(COUNTIF($E$5:$E$6004,"SUBSOLO*")&gt;0,"subsolo",-Z263&amp;"º subsolo"),IF(Z263=0,"térreo",Z263&amp;"º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26" t="n">
        <v>46006</v>
      </c>
      <c r="G264" s="126" t="n">
        <v>46006</v>
      </c>
      <c r="H264" s="126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IF(E264="","",IF(ISNUMBER(SEARCH("SUBSOLO",E264)),IFERROR(-VALUE(LEFT(E264,FIND("º",SUBSTITUTE(E264,"°","º"))-1)),-1),IF(LEFT(E264,6)="TÉRREO",0,IFERROR(VALUE(LEFT(E264,FIND("º",SUBSTITUTE(E264,"°","º"))-1)),""))))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IF(R264="","",COUNTIF($C$5:$C$6004,R264))</f>
        <v/>
      </c>
      <c r="W264" s="2">
        <f>IF(R264="","",COUNTIFS($C$5:$C$6004,R264,$O$5:$O$6004,"CONCLUÍDA"))</f>
        <v/>
      </c>
      <c r="X264" s="2">
        <f>IF(R264="","",COUNTIFS($C$5:$C$6004,R264,$O$5:$O$6004,"EM ANDAMENTO"))</f>
        <v/>
      </c>
      <c r="Y264" s="2">
        <f>IF(R264="","",IF(COUNTIFS($C$5:$C$6004,R264,$O$5:$O$6004,"CONCLUÍDA",$N$5:$N$6004,"&gt;=-99")=0,"",_xlfn.MAXIFS($N$5:$N$6004,$C$5:$C$6004,R264,$O$5:$O$6004,"CONCLUÍDA")))</f>
        <v/>
      </c>
      <c r="Z264" s="2">
        <f>IF(R264="","",IF(COUNTIFS($C$5:$C$6004,R264,$O$5:$O$6004,"EM ANDAMENTO",$N$5:$N$6004,"&gt;=-99")=0,"",_xlfn.MAXIFS($N$5:$N$6004,$C$5:$C$6004,R264,$O$5:$O$6004,"EM ANDAMENTO")))</f>
        <v/>
      </c>
      <c r="AA264" s="2">
        <f>IF(OR(R264="",S264="",U264&lt;&gt;"SIM",V264=0),"",IF(W264+X264=0,"",T264&amp;": "&amp;IF(W264=V264,"concluído",IF(W264=0,"em execução"&amp;IF(Z264&lt;&gt;""," ("&amp;IF(Z264&lt;0,IF(COUNTIF($E$5:$E$6004,"SUBSOLO*")&gt;0,"subsolo",-Z264&amp;"º subsolo"),IF(Z264=0,"térreo",Z264&amp;"º pav."))&amp;")",""),IF(Y264&lt;&gt;"","até "&amp;IF(Y264&lt;0,IF(COUNTIF($E$5:$E$6004,"SUBSOLO*")&gt;0,"subsolo",-Y264&amp;"º subsolo"),IF(Y264=0,"térreo",Y264&amp;"º pav.")),W264&amp;" de "&amp;V264&amp;" concluídas")&amp;IF(Z264="","",IF(OR(Y264="",Z264&gt;Y264),", executando "&amp;IF(Z264&lt;0,IF(COUNTIF($E$5:$E$6004,"SUBSOLO*")&gt;0,"subsolo",-Z264&amp;"º subsolo"),IF(Z264=0,"térreo",Z264&amp;"º pav."))," (restam serviços no "&amp;IF(Z264&lt;0,IF(COUNTIF($E$5:$E$6004,"SUBSOLO*")&gt;0,"subsolo",-Z264&amp;"º subsolo"),IF(Z264=0,"térreo",Z264&amp;"º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26" t="n">
        <v>45994</v>
      </c>
      <c r="G265" s="126" t="n">
        <v>45995</v>
      </c>
      <c r="H265" s="126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IF(E265="","",IF(ISNUMBER(SEARCH("SUBSOLO",E265)),IFERROR(-VALUE(LEFT(E265,FIND("º",SUBSTITUTE(E265,"°","º"))-1)),-1),IF(LEFT(E265,6)="TÉRREO",0,IFERROR(VALUE(LEFT(E265,FIND("º",SUBSTITUTE(E265,"°","º"))-1)),""))))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IF(R265="","",COUNTIF($C$5:$C$6004,R265))</f>
        <v/>
      </c>
      <c r="W265" s="2">
        <f>IF(R265="","",COUNTIFS($C$5:$C$6004,R265,$O$5:$O$6004,"CONCLUÍDA"))</f>
        <v/>
      </c>
      <c r="X265" s="2">
        <f>IF(R265="","",COUNTIFS($C$5:$C$6004,R265,$O$5:$O$6004,"EM ANDAMENTO"))</f>
        <v/>
      </c>
      <c r="Y265" s="2">
        <f>IF(R265="","",IF(COUNTIFS($C$5:$C$6004,R265,$O$5:$O$6004,"CONCLUÍDA",$N$5:$N$6004,"&gt;=-99")=0,"",_xlfn.MAXIFS($N$5:$N$6004,$C$5:$C$6004,R265,$O$5:$O$6004,"CONCLUÍDA")))</f>
        <v/>
      </c>
      <c r="Z265" s="2">
        <f>IF(R265="","",IF(COUNTIFS($C$5:$C$6004,R265,$O$5:$O$6004,"EM ANDAMENTO",$N$5:$N$6004,"&gt;=-99")=0,"",_xlfn.MAXIFS($N$5:$N$6004,$C$5:$C$6004,R265,$O$5:$O$6004,"EM ANDAMENTO")))</f>
        <v/>
      </c>
      <c r="AA265" s="2">
        <f>IF(OR(R265="",S265="",U265&lt;&gt;"SIM",V265=0),"",IF(W265+X265=0,"",T265&amp;": "&amp;IF(W265=V265,"concluído",IF(W265=0,"em execução"&amp;IF(Z265&lt;&gt;""," ("&amp;IF(Z265&lt;0,IF(COUNTIF($E$5:$E$6004,"SUBSOLO*")&gt;0,"subsolo",-Z265&amp;"º subsolo"),IF(Z265=0,"térreo",Z265&amp;"º pav."))&amp;")",""),IF(Y265&lt;&gt;"","até "&amp;IF(Y265&lt;0,IF(COUNTIF($E$5:$E$6004,"SUBSOLO*")&gt;0,"subsolo",-Y265&amp;"º subsolo"),IF(Y265=0,"térreo",Y265&amp;"º pav.")),W265&amp;" de "&amp;V265&amp;" concluídas")&amp;IF(Z265="","",IF(OR(Y265="",Z265&gt;Y265),", executando "&amp;IF(Z265&lt;0,IF(COUNTIF($E$5:$E$6004,"SUBSOLO*")&gt;0,"subsolo",-Z265&amp;"º subsolo"),IF(Z265=0,"térreo",Z265&amp;"º pav."))," (restam serviços no "&amp;IF(Z265&lt;0,IF(COUNTIF($E$5:$E$6004,"SUBSOLO*")&gt;0,"subsolo",-Z265&amp;"º subsolo"),IF(Z265=0,"térreo",Z265&amp;"º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26" t="n">
        <v>46002</v>
      </c>
      <c r="G266" s="126" t="n">
        <v>46003</v>
      </c>
      <c r="H266" s="126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IF(E266="","",IF(ISNUMBER(SEARCH("SUBSOLO",E266)),IFERROR(-VALUE(LEFT(E266,FIND("º",SUBSTITUTE(E266,"°","º"))-1)),-1),IF(LEFT(E266,6)="TÉRREO",0,IFERROR(VALUE(LEFT(E266,FIND("º",SUBSTITUTE(E266,"°","º"))-1)),""))))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IF(R266="","",COUNTIF($C$5:$C$6004,R266))</f>
        <v/>
      </c>
      <c r="W266" s="2">
        <f>IF(R266="","",COUNTIFS($C$5:$C$6004,R266,$O$5:$O$6004,"CONCLUÍDA"))</f>
        <v/>
      </c>
      <c r="X266" s="2">
        <f>IF(R266="","",COUNTIFS($C$5:$C$6004,R266,$O$5:$O$6004,"EM ANDAMENTO"))</f>
        <v/>
      </c>
      <c r="Y266" s="2">
        <f>IF(R266="","",IF(COUNTIFS($C$5:$C$6004,R266,$O$5:$O$6004,"CONCLUÍDA",$N$5:$N$6004,"&gt;=-99")=0,"",_xlfn.MAXIFS($N$5:$N$6004,$C$5:$C$6004,R266,$O$5:$O$6004,"CONCLUÍDA")))</f>
        <v/>
      </c>
      <c r="Z266" s="2">
        <f>IF(R266="","",IF(COUNTIFS($C$5:$C$6004,R266,$O$5:$O$6004,"EM ANDAMENTO",$N$5:$N$6004,"&gt;=-99")=0,"",_xlfn.MAXIFS($N$5:$N$6004,$C$5:$C$6004,R266,$O$5:$O$6004,"EM ANDAMENTO")))</f>
        <v/>
      </c>
      <c r="AA266" s="2">
        <f>IF(OR(R266="",S266="",U266&lt;&gt;"SIM",V266=0),"",IF(W266+X266=0,"",T266&amp;": "&amp;IF(W266=V266,"concluído",IF(W266=0,"em execução"&amp;IF(Z266&lt;&gt;""," ("&amp;IF(Z266&lt;0,IF(COUNTIF($E$5:$E$6004,"SUBSOLO*")&gt;0,"subsolo",-Z266&amp;"º subsolo"),IF(Z266=0,"térreo",Z266&amp;"º pav."))&amp;")",""),IF(Y266&lt;&gt;"","até "&amp;IF(Y266&lt;0,IF(COUNTIF($E$5:$E$6004,"SUBSOLO*")&gt;0,"subsolo",-Y266&amp;"º subsolo"),IF(Y266=0,"térreo",Y266&amp;"º pav.")),W266&amp;" de "&amp;V266&amp;" concluídas")&amp;IF(Z266="","",IF(OR(Y266="",Z266&gt;Y266),", executando "&amp;IF(Z266&lt;0,IF(COUNTIF($E$5:$E$6004,"SUBSOLO*")&gt;0,"subsolo",-Z266&amp;"º subsolo"),IF(Z266=0,"térreo",Z266&amp;"º pav."))," (restam serviços no "&amp;IF(Z266&lt;0,IF(COUNTIF($E$5:$E$6004,"SUBSOLO*")&gt;0,"subsolo",-Z266&amp;"º subsolo"),IF(Z266=0,"térreo",Z266&amp;"º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26" t="n">
        <v>45988</v>
      </c>
      <c r="G267" s="126" t="n">
        <v>46000</v>
      </c>
      <c r="H267" s="126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IF(E267="","",IF(ISNUMBER(SEARCH("SUBSOLO",E267)),IFERROR(-VALUE(LEFT(E267,FIND("º",SUBSTITUTE(E267,"°","º"))-1)),-1),IF(LEFT(E267,6)="TÉRREO",0,IFERROR(VALUE(LEFT(E267,FIND("º",SUBSTITUTE(E267,"°","º"))-1)),""))))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IF(R267="","",COUNTIF($C$5:$C$6004,R267))</f>
        <v/>
      </c>
      <c r="W267" s="2">
        <f>IF(R267="","",COUNTIFS($C$5:$C$6004,R267,$O$5:$O$6004,"CONCLUÍDA"))</f>
        <v/>
      </c>
      <c r="X267" s="2">
        <f>IF(R267="","",COUNTIFS($C$5:$C$6004,R267,$O$5:$O$6004,"EM ANDAMENTO"))</f>
        <v/>
      </c>
      <c r="Y267" s="2">
        <f>IF(R267="","",IF(COUNTIFS($C$5:$C$6004,R267,$O$5:$O$6004,"CONCLUÍDA",$N$5:$N$6004,"&gt;=-99")=0,"",_xlfn.MAXIFS($N$5:$N$6004,$C$5:$C$6004,R267,$O$5:$O$6004,"CONCLUÍDA")))</f>
        <v/>
      </c>
      <c r="Z267" s="2">
        <f>IF(R267="","",IF(COUNTIFS($C$5:$C$6004,R267,$O$5:$O$6004,"EM ANDAMENTO",$N$5:$N$6004,"&gt;=-99")=0,"",_xlfn.MAXIFS($N$5:$N$6004,$C$5:$C$6004,R267,$O$5:$O$6004,"EM ANDAMENTO")))</f>
        <v/>
      </c>
      <c r="AA267" s="2">
        <f>IF(OR(R267="",S267="",U267&lt;&gt;"SIM",V267=0),"",IF(W267+X267=0,"",T267&amp;": "&amp;IF(W267=V267,"concluído",IF(W267=0,"em execução"&amp;IF(Z267&lt;&gt;""," ("&amp;IF(Z267&lt;0,IF(COUNTIF($E$5:$E$6004,"SUBSOLO*")&gt;0,"subsolo",-Z267&amp;"º subsolo"),IF(Z267=0,"térreo",Z267&amp;"º pav."))&amp;")",""),IF(Y267&lt;&gt;"","até "&amp;IF(Y267&lt;0,IF(COUNTIF($E$5:$E$6004,"SUBSOLO*")&gt;0,"subsolo",-Y267&amp;"º subsolo"),IF(Y267=0,"térreo",Y267&amp;"º pav.")),W267&amp;" de "&amp;V267&amp;" concluídas")&amp;IF(Z267="","",IF(OR(Y267="",Z267&gt;Y267),", executando "&amp;IF(Z267&lt;0,IF(COUNTIF($E$5:$E$6004,"SUBSOLO*")&gt;0,"subsolo",-Z267&amp;"º subsolo"),IF(Z267=0,"térreo",Z267&amp;"º pav."))," (restam serviços no "&amp;IF(Z267&lt;0,IF(COUNTIF($E$5:$E$6004,"SUBSOLO*")&gt;0,"subsolo",-Z267&amp;"º subsolo"),IF(Z267=0,"térreo",Z267&amp;"º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26" t="n">
        <v>45995</v>
      </c>
      <c r="G268" s="126" t="n">
        <v>46006</v>
      </c>
      <c r="H268" s="126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IF(E268="","",IF(ISNUMBER(SEARCH("SUBSOLO",E268)),IFERROR(-VALUE(LEFT(E268,FIND("º",SUBSTITUTE(E268,"°","º"))-1)),-1),IF(LEFT(E268,6)="TÉRREO",0,IFERROR(VALUE(LEFT(E268,FIND("º",SUBSTITUTE(E268,"°","º"))-1)),""))))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IF(R268="","",COUNTIF($C$5:$C$6004,R268))</f>
        <v/>
      </c>
      <c r="W268" s="2">
        <f>IF(R268="","",COUNTIFS($C$5:$C$6004,R268,$O$5:$O$6004,"CONCLUÍDA"))</f>
        <v/>
      </c>
      <c r="X268" s="2">
        <f>IF(R268="","",COUNTIFS($C$5:$C$6004,R268,$O$5:$O$6004,"EM ANDAMENTO"))</f>
        <v/>
      </c>
      <c r="Y268" s="2">
        <f>IF(R268="","",IF(COUNTIFS($C$5:$C$6004,R268,$O$5:$O$6004,"CONCLUÍDA",$N$5:$N$6004,"&gt;=-99")=0,"",_xlfn.MAXIFS($N$5:$N$6004,$C$5:$C$6004,R268,$O$5:$O$6004,"CONCLUÍDA")))</f>
        <v/>
      </c>
      <c r="Z268" s="2">
        <f>IF(R268="","",IF(COUNTIFS($C$5:$C$6004,R268,$O$5:$O$6004,"EM ANDAMENTO",$N$5:$N$6004,"&gt;=-99")=0,"",_xlfn.MAXIFS($N$5:$N$6004,$C$5:$C$6004,R268,$O$5:$O$6004,"EM ANDAMENTO")))</f>
        <v/>
      </c>
      <c r="AA268" s="2">
        <f>IF(OR(R268="",S268="",U268&lt;&gt;"SIM",V268=0),"",IF(W268+X268=0,"",T268&amp;": "&amp;IF(W268=V268,"concluído",IF(W268=0,"em execução"&amp;IF(Z268&lt;&gt;""," ("&amp;IF(Z268&lt;0,IF(COUNTIF($E$5:$E$6004,"SUBSOLO*")&gt;0,"subsolo",-Z268&amp;"º subsolo"),IF(Z268=0,"térreo",Z268&amp;"º pav."))&amp;")",""),IF(Y268&lt;&gt;"","até "&amp;IF(Y268&lt;0,IF(COUNTIF($E$5:$E$6004,"SUBSOLO*")&gt;0,"subsolo",-Y268&amp;"º subsolo"),IF(Y268=0,"térreo",Y268&amp;"º pav.")),W268&amp;" de "&amp;V268&amp;" concluídas")&amp;IF(Z268="","",IF(OR(Y268="",Z268&gt;Y268),", executando "&amp;IF(Z268&lt;0,IF(COUNTIF($E$5:$E$6004,"SUBSOLO*")&gt;0,"subsolo",-Z268&amp;"º subsolo"),IF(Z268=0,"térreo",Z268&amp;"º pav."))," (restam serviços no "&amp;IF(Z268&lt;0,IF(COUNTIF($E$5:$E$6004,"SUBSOLO*")&gt;0,"subsolo",-Z268&amp;"º subsolo"),IF(Z268=0,"térreo",Z268&amp;"º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26" t="n">
        <v>45999</v>
      </c>
      <c r="G269" s="126" t="n">
        <v>46001</v>
      </c>
      <c r="H269" s="126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IF(E269="","",IF(ISNUMBER(SEARCH("SUBSOLO",E269)),IFERROR(-VALUE(LEFT(E269,FIND("º",SUBSTITUTE(E269,"°","º"))-1)),-1),IF(LEFT(E269,6)="TÉRREO",0,IFERROR(VALUE(LEFT(E269,FIND("º",SUBSTITUTE(E269,"°","º"))-1)),""))))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IF(R269="","",COUNTIF($C$5:$C$6004,R269))</f>
        <v/>
      </c>
      <c r="W269" s="2">
        <f>IF(R269="","",COUNTIFS($C$5:$C$6004,R269,$O$5:$O$6004,"CONCLUÍDA"))</f>
        <v/>
      </c>
      <c r="X269" s="2">
        <f>IF(R269="","",COUNTIFS($C$5:$C$6004,R269,$O$5:$O$6004,"EM ANDAMENTO"))</f>
        <v/>
      </c>
      <c r="Y269" s="2">
        <f>IF(R269="","",IF(COUNTIFS($C$5:$C$6004,R269,$O$5:$O$6004,"CONCLUÍDA",$N$5:$N$6004,"&gt;=-99")=0,"",_xlfn.MAXIFS($N$5:$N$6004,$C$5:$C$6004,R269,$O$5:$O$6004,"CONCLUÍDA")))</f>
        <v/>
      </c>
      <c r="Z269" s="2">
        <f>IF(R269="","",IF(COUNTIFS($C$5:$C$6004,R269,$O$5:$O$6004,"EM ANDAMENTO",$N$5:$N$6004,"&gt;=-99")=0,"",_xlfn.MAXIFS($N$5:$N$6004,$C$5:$C$6004,R269,$O$5:$O$6004,"EM ANDAMENTO")))</f>
        <v/>
      </c>
      <c r="AA269" s="2">
        <f>IF(OR(R269="",S269="",U269&lt;&gt;"SIM",V269=0),"",IF(W269+X269=0,"",T269&amp;": "&amp;IF(W269=V269,"concluído",IF(W269=0,"em execução"&amp;IF(Z269&lt;&gt;""," ("&amp;IF(Z269&lt;0,IF(COUNTIF($E$5:$E$6004,"SUBSOLO*")&gt;0,"subsolo",-Z269&amp;"º subsolo"),IF(Z269=0,"térreo",Z269&amp;"º pav."))&amp;")",""),IF(Y269&lt;&gt;"","até "&amp;IF(Y269&lt;0,IF(COUNTIF($E$5:$E$6004,"SUBSOLO*")&gt;0,"subsolo",-Y269&amp;"º subsolo"),IF(Y269=0,"térreo",Y269&amp;"º pav.")),W269&amp;" de "&amp;V269&amp;" concluídas")&amp;IF(Z269="","",IF(OR(Y269="",Z269&gt;Y269),", executando "&amp;IF(Z269&lt;0,IF(COUNTIF($E$5:$E$6004,"SUBSOLO*")&gt;0,"subsolo",-Z269&amp;"º subsolo"),IF(Z269=0,"térreo",Z269&amp;"º pav."))," (restam serviços no "&amp;IF(Z269&lt;0,IF(COUNTIF($E$5:$E$6004,"SUBSOLO*")&gt;0,"subsolo",-Z269&amp;"º subsolo"),IF(Z269=0,"térreo",Z269&amp;"º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26" t="n">
        <v>45971</v>
      </c>
      <c r="G270" s="126" t="n">
        <v>46008</v>
      </c>
      <c r="H270" s="126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IF(E270="","",IF(ISNUMBER(SEARCH("SUBSOLO",E270)),IFERROR(-VALUE(LEFT(E270,FIND("º",SUBSTITUTE(E270,"°","º"))-1)),-1),IF(LEFT(E270,6)="TÉRREO",0,IFERROR(VALUE(LEFT(E270,FIND("º",SUBSTITUTE(E270,"°","º"))-1)),""))))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IF(R270="","",COUNTIF($C$5:$C$6004,R270))</f>
        <v/>
      </c>
      <c r="W270" s="2">
        <f>IF(R270="","",COUNTIFS($C$5:$C$6004,R270,$O$5:$O$6004,"CONCLUÍDA"))</f>
        <v/>
      </c>
      <c r="X270" s="2">
        <f>IF(R270="","",COUNTIFS($C$5:$C$6004,R270,$O$5:$O$6004,"EM ANDAMENTO"))</f>
        <v/>
      </c>
      <c r="Y270" s="2">
        <f>IF(R270="","",IF(COUNTIFS($C$5:$C$6004,R270,$O$5:$O$6004,"CONCLUÍDA",$N$5:$N$6004,"&gt;=-99")=0,"",_xlfn.MAXIFS($N$5:$N$6004,$C$5:$C$6004,R270,$O$5:$O$6004,"CONCLUÍDA")))</f>
        <v/>
      </c>
      <c r="Z270" s="2">
        <f>IF(R270="","",IF(COUNTIFS($C$5:$C$6004,R270,$O$5:$O$6004,"EM ANDAMENTO",$N$5:$N$6004,"&gt;=-99")=0,"",_xlfn.MAXIFS($N$5:$N$6004,$C$5:$C$6004,R270,$O$5:$O$6004,"EM ANDAMENTO")))</f>
        <v/>
      </c>
      <c r="AA270" s="2">
        <f>IF(OR(R270="",S270="",U270&lt;&gt;"SIM",V270=0),"",IF(W270+X270=0,"",T270&amp;": "&amp;IF(W270=V270,"concluído",IF(W270=0,"em execução"&amp;IF(Z270&lt;&gt;""," ("&amp;IF(Z270&lt;0,IF(COUNTIF($E$5:$E$6004,"SUBSOLO*")&gt;0,"subsolo",-Z270&amp;"º subsolo"),IF(Z270=0,"térreo",Z270&amp;"º pav."))&amp;")",""),IF(Y270&lt;&gt;"","até "&amp;IF(Y270&lt;0,IF(COUNTIF($E$5:$E$6004,"SUBSOLO*")&gt;0,"subsolo",-Y270&amp;"º subsolo"),IF(Y270=0,"térreo",Y270&amp;"º pav.")),W270&amp;" de "&amp;V270&amp;" concluídas")&amp;IF(Z270="","",IF(OR(Y270="",Z270&gt;Y270),", executando "&amp;IF(Z270&lt;0,IF(COUNTIF($E$5:$E$6004,"SUBSOLO*")&gt;0,"subsolo",-Z270&amp;"º subsolo"),IF(Z270=0,"térreo",Z270&amp;"º pav."))," (restam serviços no "&amp;IF(Z270&lt;0,IF(COUNTIF($E$5:$E$6004,"SUBSOLO*")&gt;0,"subsolo",-Z270&amp;"º subsolo"),IF(Z270=0,"térreo",Z270&amp;"º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26" t="n">
        <v>45978</v>
      </c>
      <c r="G271" s="126" t="n">
        <v>45989</v>
      </c>
      <c r="H271" s="126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IF(E271="","",IF(ISNUMBER(SEARCH("SUBSOLO",E271)),IFERROR(-VALUE(LEFT(E271,FIND("º",SUBSTITUTE(E271,"°","º"))-1)),-1),IF(LEFT(E271,6)="TÉRREO",0,IFERROR(VALUE(LEFT(E271,FIND("º",SUBSTITUTE(E271,"°","º"))-1)),""))))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IF(R271="","",COUNTIF($C$5:$C$6004,R271))</f>
        <v/>
      </c>
      <c r="W271" s="2">
        <f>IF(R271="","",COUNTIFS($C$5:$C$6004,R271,$O$5:$O$6004,"CONCLUÍDA"))</f>
        <v/>
      </c>
      <c r="X271" s="2">
        <f>IF(R271="","",COUNTIFS($C$5:$C$6004,R271,$O$5:$O$6004,"EM ANDAMENTO"))</f>
        <v/>
      </c>
      <c r="Y271" s="2">
        <f>IF(R271="","",IF(COUNTIFS($C$5:$C$6004,R271,$O$5:$O$6004,"CONCLUÍDA",$N$5:$N$6004,"&gt;=-99")=0,"",_xlfn.MAXIFS($N$5:$N$6004,$C$5:$C$6004,R271,$O$5:$O$6004,"CONCLUÍDA")))</f>
        <v/>
      </c>
      <c r="Z271" s="2">
        <f>IF(R271="","",IF(COUNTIFS($C$5:$C$6004,R271,$O$5:$O$6004,"EM ANDAMENTO",$N$5:$N$6004,"&gt;=-99")=0,"",_xlfn.MAXIFS($N$5:$N$6004,$C$5:$C$6004,R271,$O$5:$O$6004,"EM ANDAMENTO")))</f>
        <v/>
      </c>
      <c r="AA271" s="2">
        <f>IF(OR(R271="",S271="",U271&lt;&gt;"SIM",V271=0),"",IF(W271+X271=0,"",T271&amp;": "&amp;IF(W271=V271,"concluído",IF(W271=0,"em execução"&amp;IF(Z271&lt;&gt;""," ("&amp;IF(Z271&lt;0,IF(COUNTIF($E$5:$E$6004,"SUBSOLO*")&gt;0,"subsolo",-Z271&amp;"º subsolo"),IF(Z271=0,"térreo",Z271&amp;"º pav."))&amp;")",""),IF(Y271&lt;&gt;"","até "&amp;IF(Y271&lt;0,IF(COUNTIF($E$5:$E$6004,"SUBSOLO*")&gt;0,"subsolo",-Y271&amp;"º subsolo"),IF(Y271=0,"térreo",Y271&amp;"º pav.")),W271&amp;" de "&amp;V271&amp;" concluídas")&amp;IF(Z271="","",IF(OR(Y271="",Z271&gt;Y271),", executando "&amp;IF(Z271&lt;0,IF(COUNTIF($E$5:$E$6004,"SUBSOLO*")&gt;0,"subsolo",-Z271&amp;"º subsolo"),IF(Z271=0,"térreo",Z271&amp;"º pav."))," (restam serviços no "&amp;IF(Z271&lt;0,IF(COUNTIF($E$5:$E$6004,"SUBSOLO*")&gt;0,"subsolo",-Z271&amp;"º subsolo"),IF(Z271=0,"térreo",Z271&amp;"º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26" t="n">
        <v>45978</v>
      </c>
      <c r="G272" s="126" t="n">
        <v>45989</v>
      </c>
      <c r="H272" s="126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IF(E272="","",IF(ISNUMBER(SEARCH("SUBSOLO",E272)),IFERROR(-VALUE(LEFT(E272,FIND("º",SUBSTITUTE(E272,"°","º"))-1)),-1),IF(LEFT(E272,6)="TÉRREO",0,IFERROR(VALUE(LEFT(E272,FIND("º",SUBSTITUTE(E272,"°","º"))-1)),""))))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IF(R272="","",COUNTIF($C$5:$C$6004,R272))</f>
        <v/>
      </c>
      <c r="W272" s="2">
        <f>IF(R272="","",COUNTIFS($C$5:$C$6004,R272,$O$5:$O$6004,"CONCLUÍDA"))</f>
        <v/>
      </c>
      <c r="X272" s="2">
        <f>IF(R272="","",COUNTIFS($C$5:$C$6004,R272,$O$5:$O$6004,"EM ANDAMENTO"))</f>
        <v/>
      </c>
      <c r="Y272" s="2">
        <f>IF(R272="","",IF(COUNTIFS($C$5:$C$6004,R272,$O$5:$O$6004,"CONCLUÍDA",$N$5:$N$6004,"&gt;=-99")=0,"",_xlfn.MAXIFS($N$5:$N$6004,$C$5:$C$6004,R272,$O$5:$O$6004,"CONCLUÍDA")))</f>
        <v/>
      </c>
      <c r="Z272" s="2">
        <f>IF(R272="","",IF(COUNTIFS($C$5:$C$6004,R272,$O$5:$O$6004,"EM ANDAMENTO",$N$5:$N$6004,"&gt;=-99")=0,"",_xlfn.MAXIFS($N$5:$N$6004,$C$5:$C$6004,R272,$O$5:$O$6004,"EM ANDAMENTO")))</f>
        <v/>
      </c>
      <c r="AA272" s="2">
        <f>IF(OR(R272="",S272="",U272&lt;&gt;"SIM",V272=0),"",IF(W272+X272=0,"",T272&amp;": "&amp;IF(W272=V272,"concluído",IF(W272=0,"em execução"&amp;IF(Z272&lt;&gt;""," ("&amp;IF(Z272&lt;0,IF(COUNTIF($E$5:$E$6004,"SUBSOLO*")&gt;0,"subsolo",-Z272&amp;"º subsolo"),IF(Z272=0,"térreo",Z272&amp;"º pav."))&amp;")",""),IF(Y272&lt;&gt;"","até "&amp;IF(Y272&lt;0,IF(COUNTIF($E$5:$E$6004,"SUBSOLO*")&gt;0,"subsolo",-Y272&amp;"º subsolo"),IF(Y272=0,"térreo",Y272&amp;"º pav.")),W272&amp;" de "&amp;V272&amp;" concluídas")&amp;IF(Z272="","",IF(OR(Y272="",Z272&gt;Y272),", executando "&amp;IF(Z272&lt;0,IF(COUNTIF($E$5:$E$6004,"SUBSOLO*")&gt;0,"subsolo",-Z272&amp;"º subsolo"),IF(Z272=0,"térreo",Z272&amp;"º pav."))," (restam serviços no "&amp;IF(Z272&lt;0,IF(COUNTIF($E$5:$E$6004,"SUBSOLO*")&gt;0,"subsolo",-Z272&amp;"º subsolo"),IF(Z272=0,"térreo",Z272&amp;"º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26" t="n">
        <v>45987</v>
      </c>
      <c r="G273" s="126" t="n">
        <v>46010</v>
      </c>
      <c r="H273" s="126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IF(E273="","",IF(ISNUMBER(SEARCH("SUBSOLO",E273)),IFERROR(-VALUE(LEFT(E273,FIND("º",SUBSTITUTE(E273,"°","º"))-1)),-1),IF(LEFT(E273,6)="TÉRREO",0,IFERROR(VALUE(LEFT(E273,FIND("º",SUBSTITUTE(E273,"°","º"))-1)),""))))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IF(R273="","",COUNTIF($C$5:$C$6004,R273))</f>
        <v/>
      </c>
      <c r="W273" s="2">
        <f>IF(R273="","",COUNTIFS($C$5:$C$6004,R273,$O$5:$O$6004,"CONCLUÍDA"))</f>
        <v/>
      </c>
      <c r="X273" s="2">
        <f>IF(R273="","",COUNTIFS($C$5:$C$6004,R273,$O$5:$O$6004,"EM ANDAMENTO"))</f>
        <v/>
      </c>
      <c r="Y273" s="2">
        <f>IF(R273="","",IF(COUNTIFS($C$5:$C$6004,R273,$O$5:$O$6004,"CONCLUÍDA",$N$5:$N$6004,"&gt;=-99")=0,"",_xlfn.MAXIFS($N$5:$N$6004,$C$5:$C$6004,R273,$O$5:$O$6004,"CONCLUÍDA")))</f>
        <v/>
      </c>
      <c r="Z273" s="2">
        <f>IF(R273="","",IF(COUNTIFS($C$5:$C$6004,R273,$O$5:$O$6004,"EM ANDAMENTO",$N$5:$N$6004,"&gt;=-99")=0,"",_xlfn.MAXIFS($N$5:$N$6004,$C$5:$C$6004,R273,$O$5:$O$6004,"EM ANDAMENTO")))</f>
        <v/>
      </c>
      <c r="AA273" s="2">
        <f>IF(OR(R273="",S273="",U273&lt;&gt;"SIM",V273=0),"",IF(W273+X273=0,"",T273&amp;": "&amp;IF(W273=V273,"concluído",IF(W273=0,"em execução"&amp;IF(Z273&lt;&gt;""," ("&amp;IF(Z273&lt;0,IF(COUNTIF($E$5:$E$6004,"SUBSOLO*")&gt;0,"subsolo",-Z273&amp;"º subsolo"),IF(Z273=0,"térreo",Z273&amp;"º pav."))&amp;")",""),IF(Y273&lt;&gt;"","até "&amp;IF(Y273&lt;0,IF(COUNTIF($E$5:$E$6004,"SUBSOLO*")&gt;0,"subsolo",-Y273&amp;"º subsolo"),IF(Y273=0,"térreo",Y273&amp;"º pav.")),W273&amp;" de "&amp;V273&amp;" concluídas")&amp;IF(Z273="","",IF(OR(Y273="",Z273&gt;Y273),", executando "&amp;IF(Z273&lt;0,IF(COUNTIF($E$5:$E$6004,"SUBSOLO*")&gt;0,"subsolo",-Z273&amp;"º subsolo"),IF(Z273=0,"térreo",Z273&amp;"º pav."))," (restam serviços no "&amp;IF(Z273&lt;0,IF(COUNTIF($E$5:$E$6004,"SUBSOLO*")&gt;0,"subsolo",-Z273&amp;"º subsolo"),IF(Z273=0,"térreo",Z273&amp;"º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26" t="n">
        <v>45987</v>
      </c>
      <c r="G274" s="126" t="n">
        <v>46001</v>
      </c>
      <c r="H274" s="126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IF(E274="","",IF(ISNUMBER(SEARCH("SUBSOLO",E274)),IFERROR(-VALUE(LEFT(E274,FIND("º",SUBSTITUTE(E274,"°","º"))-1)),-1),IF(LEFT(E274,6)="TÉRREO",0,IFERROR(VALUE(LEFT(E274,FIND("º",SUBSTITUTE(E274,"°","º"))-1)),""))))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IF(R274="","",COUNTIF($C$5:$C$6004,R274))</f>
        <v/>
      </c>
      <c r="W274" s="2">
        <f>IF(R274="","",COUNTIFS($C$5:$C$6004,R274,$O$5:$O$6004,"CONCLUÍDA"))</f>
        <v/>
      </c>
      <c r="X274" s="2">
        <f>IF(R274="","",COUNTIFS($C$5:$C$6004,R274,$O$5:$O$6004,"EM ANDAMENTO"))</f>
        <v/>
      </c>
      <c r="Y274" s="2">
        <f>IF(R274="","",IF(COUNTIFS($C$5:$C$6004,R274,$O$5:$O$6004,"CONCLUÍDA",$N$5:$N$6004,"&gt;=-99")=0,"",_xlfn.MAXIFS($N$5:$N$6004,$C$5:$C$6004,R274,$O$5:$O$6004,"CONCLUÍDA")))</f>
        <v/>
      </c>
      <c r="Z274" s="2">
        <f>IF(R274="","",IF(COUNTIFS($C$5:$C$6004,R274,$O$5:$O$6004,"EM ANDAMENTO",$N$5:$N$6004,"&gt;=-99")=0,"",_xlfn.MAXIFS($N$5:$N$6004,$C$5:$C$6004,R274,$O$5:$O$6004,"EM ANDAMENTO")))</f>
        <v/>
      </c>
      <c r="AA274" s="2">
        <f>IF(OR(R274="",S274="",U274&lt;&gt;"SIM",V274=0),"",IF(W274+X274=0,"",T274&amp;": "&amp;IF(W274=V274,"concluído",IF(W274=0,"em execução"&amp;IF(Z274&lt;&gt;""," ("&amp;IF(Z274&lt;0,IF(COUNTIF($E$5:$E$6004,"SUBSOLO*")&gt;0,"subsolo",-Z274&amp;"º subsolo"),IF(Z274=0,"térreo",Z274&amp;"º pav."))&amp;")",""),IF(Y274&lt;&gt;"","até "&amp;IF(Y274&lt;0,IF(COUNTIF($E$5:$E$6004,"SUBSOLO*")&gt;0,"subsolo",-Y274&amp;"º subsolo"),IF(Y274=0,"térreo",Y274&amp;"º pav.")),W274&amp;" de "&amp;V274&amp;" concluídas")&amp;IF(Z274="","",IF(OR(Y274="",Z274&gt;Y274),", executando "&amp;IF(Z274&lt;0,IF(COUNTIF($E$5:$E$6004,"SUBSOLO*")&gt;0,"subsolo",-Z274&amp;"º subsolo"),IF(Z274=0,"térreo",Z274&amp;"º pav."))," (restam serviços no "&amp;IF(Z274&lt;0,IF(COUNTIF($E$5:$E$6004,"SUBSOLO*")&gt;0,"subsolo",-Z274&amp;"º subsolo"),IF(Z274=0,"térreo",Z274&amp;"º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26" t="n">
        <v>45994</v>
      </c>
      <c r="G275" s="126" t="n">
        <v>45994</v>
      </c>
      <c r="H275" s="126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IF(E275="","",IF(ISNUMBER(SEARCH("SUBSOLO",E275)),IFERROR(-VALUE(LEFT(E275,FIND("º",SUBSTITUTE(E275,"°","º"))-1)),-1),IF(LEFT(E275,6)="TÉRREO",0,IFERROR(VALUE(LEFT(E275,FIND("º",SUBSTITUTE(E275,"°","º"))-1)),""))))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IF(R275="","",COUNTIF($C$5:$C$6004,R275))</f>
        <v/>
      </c>
      <c r="W275" s="2">
        <f>IF(R275="","",COUNTIFS($C$5:$C$6004,R275,$O$5:$O$6004,"CONCLUÍDA"))</f>
        <v/>
      </c>
      <c r="X275" s="2">
        <f>IF(R275="","",COUNTIFS($C$5:$C$6004,R275,$O$5:$O$6004,"EM ANDAMENTO"))</f>
        <v/>
      </c>
      <c r="Y275" s="2">
        <f>IF(R275="","",IF(COUNTIFS($C$5:$C$6004,R275,$O$5:$O$6004,"CONCLUÍDA",$N$5:$N$6004,"&gt;=-99")=0,"",_xlfn.MAXIFS($N$5:$N$6004,$C$5:$C$6004,R275,$O$5:$O$6004,"CONCLUÍDA")))</f>
        <v/>
      </c>
      <c r="Z275" s="2">
        <f>IF(R275="","",IF(COUNTIFS($C$5:$C$6004,R275,$O$5:$O$6004,"EM ANDAMENTO",$N$5:$N$6004,"&gt;=-99")=0,"",_xlfn.MAXIFS($N$5:$N$6004,$C$5:$C$6004,R275,$O$5:$O$6004,"EM ANDAMENTO")))</f>
        <v/>
      </c>
      <c r="AA275" s="2">
        <f>IF(OR(R275="",S275="",U275&lt;&gt;"SIM",V275=0),"",IF(W275+X275=0,"",T275&amp;": "&amp;IF(W275=V275,"concluído",IF(W275=0,"em execução"&amp;IF(Z275&lt;&gt;""," ("&amp;IF(Z275&lt;0,IF(COUNTIF($E$5:$E$6004,"SUBSOLO*")&gt;0,"subsolo",-Z275&amp;"º subsolo"),IF(Z275=0,"térreo",Z275&amp;"º pav."))&amp;")",""),IF(Y275&lt;&gt;"","até "&amp;IF(Y275&lt;0,IF(COUNTIF($E$5:$E$6004,"SUBSOLO*")&gt;0,"subsolo",-Y275&amp;"º subsolo"),IF(Y275=0,"térreo",Y275&amp;"º pav.")),W275&amp;" de "&amp;V275&amp;" concluídas")&amp;IF(Z275="","",IF(OR(Y275="",Z275&gt;Y275),", executando "&amp;IF(Z275&lt;0,IF(COUNTIF($E$5:$E$6004,"SUBSOLO*")&gt;0,"subsolo",-Z275&amp;"º subsolo"),IF(Z275=0,"térreo",Z275&amp;"º pav."))," (restam serviços no "&amp;IF(Z275&lt;0,IF(COUNTIF($E$5:$E$6004,"SUBSOLO*")&gt;0,"subsolo",-Z275&amp;"º subsolo"),IF(Z275=0,"térreo",Z275&amp;"º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26" t="n">
        <v>45999</v>
      </c>
      <c r="G276" s="126" t="n">
        <v>45999</v>
      </c>
      <c r="H276" s="126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IF(E276="","",IF(ISNUMBER(SEARCH("SUBSOLO",E276)),IFERROR(-VALUE(LEFT(E276,FIND("º",SUBSTITUTE(E276,"°","º"))-1)),-1),IF(LEFT(E276,6)="TÉRREO",0,IFERROR(VALUE(LEFT(E276,FIND("º",SUBSTITUTE(E276,"°","º"))-1)),""))))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IF(R276="","",COUNTIF($C$5:$C$6004,R276))</f>
        <v/>
      </c>
      <c r="W276" s="2">
        <f>IF(R276="","",COUNTIFS($C$5:$C$6004,R276,$O$5:$O$6004,"CONCLUÍDA"))</f>
        <v/>
      </c>
      <c r="X276" s="2">
        <f>IF(R276="","",COUNTIFS($C$5:$C$6004,R276,$O$5:$O$6004,"EM ANDAMENTO"))</f>
        <v/>
      </c>
      <c r="Y276" s="2">
        <f>IF(R276="","",IF(COUNTIFS($C$5:$C$6004,R276,$O$5:$O$6004,"CONCLUÍDA",$N$5:$N$6004,"&gt;=-99")=0,"",_xlfn.MAXIFS($N$5:$N$6004,$C$5:$C$6004,R276,$O$5:$O$6004,"CONCLUÍDA")))</f>
        <v/>
      </c>
      <c r="Z276" s="2">
        <f>IF(R276="","",IF(COUNTIFS($C$5:$C$6004,R276,$O$5:$O$6004,"EM ANDAMENTO",$N$5:$N$6004,"&gt;=-99")=0,"",_xlfn.MAXIFS($N$5:$N$6004,$C$5:$C$6004,R276,$O$5:$O$6004,"EM ANDAMENTO")))</f>
        <v/>
      </c>
      <c r="AA276" s="2">
        <f>IF(OR(R276="",S276="",U276&lt;&gt;"SIM",V276=0),"",IF(W276+X276=0,"",T276&amp;": "&amp;IF(W276=V276,"concluído",IF(W276=0,"em execução"&amp;IF(Z276&lt;&gt;""," ("&amp;IF(Z276&lt;0,IF(COUNTIF($E$5:$E$6004,"SUBSOLO*")&gt;0,"subsolo",-Z276&amp;"º subsolo"),IF(Z276=0,"térreo",Z276&amp;"º pav."))&amp;")",""),IF(Y276&lt;&gt;"","até "&amp;IF(Y276&lt;0,IF(COUNTIF($E$5:$E$6004,"SUBSOLO*")&gt;0,"subsolo",-Y276&amp;"º subsolo"),IF(Y276=0,"térreo",Y276&amp;"º pav.")),W276&amp;" de "&amp;V276&amp;" concluídas")&amp;IF(Z276="","",IF(OR(Y276="",Z276&gt;Y276),", executando "&amp;IF(Z276&lt;0,IF(COUNTIF($E$5:$E$6004,"SUBSOLO*")&gt;0,"subsolo",-Z276&amp;"º subsolo"),IF(Z276=0,"térreo",Z276&amp;"º pav."))," (restam serviços no "&amp;IF(Z276&lt;0,IF(COUNTIF($E$5:$E$6004,"SUBSOLO*")&gt;0,"subsolo",-Z276&amp;"º subsolo"),IF(Z276=0,"térreo",Z276&amp;"º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26" t="n">
        <v>46003</v>
      </c>
      <c r="G277" s="126" t="n">
        <v>46003</v>
      </c>
      <c r="H277" s="126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IF(E277="","",IF(ISNUMBER(SEARCH("SUBSOLO",E277)),IFERROR(-VALUE(LEFT(E277,FIND("º",SUBSTITUTE(E277,"°","º"))-1)),-1),IF(LEFT(E277,6)="TÉRREO",0,IFERROR(VALUE(LEFT(E277,FIND("º",SUBSTITUTE(E277,"°","º"))-1)),""))))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IF(R277="","",COUNTIF($C$5:$C$6004,R277))</f>
        <v/>
      </c>
      <c r="W277" s="2">
        <f>IF(R277="","",COUNTIFS($C$5:$C$6004,R277,$O$5:$O$6004,"CONCLUÍDA"))</f>
        <v/>
      </c>
      <c r="X277" s="2">
        <f>IF(R277="","",COUNTIFS($C$5:$C$6004,R277,$O$5:$O$6004,"EM ANDAMENTO"))</f>
        <v/>
      </c>
      <c r="Y277" s="2">
        <f>IF(R277="","",IF(COUNTIFS($C$5:$C$6004,R277,$O$5:$O$6004,"CONCLUÍDA",$N$5:$N$6004,"&gt;=-99")=0,"",_xlfn.MAXIFS($N$5:$N$6004,$C$5:$C$6004,R277,$O$5:$O$6004,"CONCLUÍDA")))</f>
        <v/>
      </c>
      <c r="Z277" s="2">
        <f>IF(R277="","",IF(COUNTIFS($C$5:$C$6004,R277,$O$5:$O$6004,"EM ANDAMENTO",$N$5:$N$6004,"&gt;=-99")=0,"",_xlfn.MAXIFS($N$5:$N$6004,$C$5:$C$6004,R277,$O$5:$O$6004,"EM ANDAMENTO")))</f>
        <v/>
      </c>
      <c r="AA277" s="2">
        <f>IF(OR(R277="",S277="",U277&lt;&gt;"SIM",V277=0),"",IF(W277+X277=0,"",T277&amp;": "&amp;IF(W277=V277,"concluído",IF(W277=0,"em execução"&amp;IF(Z277&lt;&gt;""," ("&amp;IF(Z277&lt;0,IF(COUNTIF($E$5:$E$6004,"SUBSOLO*")&gt;0,"subsolo",-Z277&amp;"º subsolo"),IF(Z277=0,"térreo",Z277&amp;"º pav."))&amp;")",""),IF(Y277&lt;&gt;"","até "&amp;IF(Y277&lt;0,IF(COUNTIF($E$5:$E$6004,"SUBSOLO*")&gt;0,"subsolo",-Y277&amp;"º subsolo"),IF(Y277=0,"térreo",Y277&amp;"º pav.")),W277&amp;" de "&amp;V277&amp;" concluídas")&amp;IF(Z277="","",IF(OR(Y277="",Z277&gt;Y277),", executando "&amp;IF(Z277&lt;0,IF(COUNTIF($E$5:$E$6004,"SUBSOLO*")&gt;0,"subsolo",-Z277&amp;"º subsolo"),IF(Z277=0,"térreo",Z277&amp;"º pav."))," (restam serviços no "&amp;IF(Z277&lt;0,IF(COUNTIF($E$5:$E$6004,"SUBSOLO*")&gt;0,"subsolo",-Z277&amp;"º subsolo"),IF(Z277=0,"térreo",Z277&amp;"º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26" t="n">
        <v>45992</v>
      </c>
      <c r="G278" s="126" t="n">
        <v>46000</v>
      </c>
      <c r="H278" s="126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IF(E278="","",IF(ISNUMBER(SEARCH("SUBSOLO",E278)),IFERROR(-VALUE(LEFT(E278,FIND("º",SUBSTITUTE(E278,"°","º"))-1)),-1),IF(LEFT(E278,6)="TÉRREO",0,IFERROR(VALUE(LEFT(E278,FIND("º",SUBSTITUTE(E278,"°","º"))-1)),""))))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IF(R278="","",COUNTIF($C$5:$C$6004,R278))</f>
        <v/>
      </c>
      <c r="W278" s="2">
        <f>IF(R278="","",COUNTIFS($C$5:$C$6004,R278,$O$5:$O$6004,"CONCLUÍDA"))</f>
        <v/>
      </c>
      <c r="X278" s="2">
        <f>IF(R278="","",COUNTIFS($C$5:$C$6004,R278,$O$5:$O$6004,"EM ANDAMENTO"))</f>
        <v/>
      </c>
      <c r="Y278" s="2">
        <f>IF(R278="","",IF(COUNTIFS($C$5:$C$6004,R278,$O$5:$O$6004,"CONCLUÍDA",$N$5:$N$6004,"&gt;=-99")=0,"",_xlfn.MAXIFS($N$5:$N$6004,$C$5:$C$6004,R278,$O$5:$O$6004,"CONCLUÍDA")))</f>
        <v/>
      </c>
      <c r="Z278" s="2">
        <f>IF(R278="","",IF(COUNTIFS($C$5:$C$6004,R278,$O$5:$O$6004,"EM ANDAMENTO",$N$5:$N$6004,"&gt;=-99")=0,"",_xlfn.MAXIFS($N$5:$N$6004,$C$5:$C$6004,R278,$O$5:$O$6004,"EM ANDAMENTO")))</f>
        <v/>
      </c>
      <c r="AA278" s="2">
        <f>IF(OR(R278="",S278="",U278&lt;&gt;"SIM",V278=0),"",IF(W278+X278=0,"",T278&amp;": "&amp;IF(W278=V278,"concluído",IF(W278=0,"em execução"&amp;IF(Z278&lt;&gt;""," ("&amp;IF(Z278&lt;0,IF(COUNTIF($E$5:$E$6004,"SUBSOLO*")&gt;0,"subsolo",-Z278&amp;"º subsolo"),IF(Z278=0,"térreo",Z278&amp;"º pav."))&amp;")",""),IF(Y278&lt;&gt;"","até "&amp;IF(Y278&lt;0,IF(COUNTIF($E$5:$E$6004,"SUBSOLO*")&gt;0,"subsolo",-Y278&amp;"º subsolo"),IF(Y278=0,"térreo",Y278&amp;"º pav.")),W278&amp;" de "&amp;V278&amp;" concluídas")&amp;IF(Z278="","",IF(OR(Y278="",Z278&gt;Y278),", executando "&amp;IF(Z278&lt;0,IF(COUNTIF($E$5:$E$6004,"SUBSOLO*")&gt;0,"subsolo",-Z278&amp;"º subsolo"),IF(Z278=0,"térreo",Z278&amp;"º pav."))," (restam serviços no "&amp;IF(Z278&lt;0,IF(COUNTIF($E$5:$E$6004,"SUBSOLO*")&gt;0,"subsolo",-Z278&amp;"º subsolo"),IF(Z278=0,"térreo",Z278&amp;"º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26" t="n">
        <v>45995</v>
      </c>
      <c r="G279" s="126" t="n">
        <v>46009</v>
      </c>
      <c r="H279" s="126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IF(E279="","",IF(ISNUMBER(SEARCH("SUBSOLO",E279)),IFERROR(-VALUE(LEFT(E279,FIND("º",SUBSTITUTE(E279,"°","º"))-1)),-1),IF(LEFT(E279,6)="TÉRREO",0,IFERROR(VALUE(LEFT(E279,FIND("º",SUBSTITUTE(E279,"°","º"))-1)),""))))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IF(R279="","",COUNTIF($C$5:$C$6004,R279))</f>
        <v/>
      </c>
      <c r="W279" s="2">
        <f>IF(R279="","",COUNTIFS($C$5:$C$6004,R279,$O$5:$O$6004,"CONCLUÍDA"))</f>
        <v/>
      </c>
      <c r="X279" s="2">
        <f>IF(R279="","",COUNTIFS($C$5:$C$6004,R279,$O$5:$O$6004,"EM ANDAMENTO"))</f>
        <v/>
      </c>
      <c r="Y279" s="2">
        <f>IF(R279="","",IF(COUNTIFS($C$5:$C$6004,R279,$O$5:$O$6004,"CONCLUÍDA",$N$5:$N$6004,"&gt;=-99")=0,"",_xlfn.MAXIFS($N$5:$N$6004,$C$5:$C$6004,R279,$O$5:$O$6004,"CONCLUÍDA")))</f>
        <v/>
      </c>
      <c r="Z279" s="2">
        <f>IF(R279="","",IF(COUNTIFS($C$5:$C$6004,R279,$O$5:$O$6004,"EM ANDAMENTO",$N$5:$N$6004,"&gt;=-99")=0,"",_xlfn.MAXIFS($N$5:$N$6004,$C$5:$C$6004,R279,$O$5:$O$6004,"EM ANDAMENTO")))</f>
        <v/>
      </c>
      <c r="AA279" s="2">
        <f>IF(OR(R279="",S279="",U279&lt;&gt;"SIM",V279=0),"",IF(W279+X279=0,"",T279&amp;": "&amp;IF(W279=V279,"concluído",IF(W279=0,"em execução"&amp;IF(Z279&lt;&gt;""," ("&amp;IF(Z279&lt;0,IF(COUNTIF($E$5:$E$6004,"SUBSOLO*")&gt;0,"subsolo",-Z279&amp;"º subsolo"),IF(Z279=0,"térreo",Z279&amp;"º pav."))&amp;")",""),IF(Y279&lt;&gt;"","até "&amp;IF(Y279&lt;0,IF(COUNTIF($E$5:$E$6004,"SUBSOLO*")&gt;0,"subsolo",-Y279&amp;"º subsolo"),IF(Y279=0,"térreo",Y279&amp;"º pav.")),W279&amp;" de "&amp;V279&amp;" concluídas")&amp;IF(Z279="","",IF(OR(Y279="",Z279&gt;Y279),", executando "&amp;IF(Z279&lt;0,IF(COUNTIF($E$5:$E$6004,"SUBSOLO*")&gt;0,"subsolo",-Z279&amp;"º subsolo"),IF(Z279=0,"térreo",Z279&amp;"º pav."))," (restam serviços no "&amp;IF(Z279&lt;0,IF(COUNTIF($E$5:$E$6004,"SUBSOLO*")&gt;0,"subsolo",-Z279&amp;"º subsolo"),IF(Z279=0,"térreo",Z279&amp;"º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26" t="n">
        <v>46001</v>
      </c>
      <c r="G280" s="126" t="n">
        <v>46009</v>
      </c>
      <c r="H280" s="126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IF(E280="","",IF(ISNUMBER(SEARCH("SUBSOLO",E280)),IFERROR(-VALUE(LEFT(E280,FIND("º",SUBSTITUTE(E280,"°","º"))-1)),-1),IF(LEFT(E280,6)="TÉRREO",0,IFERROR(VALUE(LEFT(E280,FIND("º",SUBSTITUTE(E280,"°","º"))-1)),""))))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IF(R280="","",COUNTIF($C$5:$C$6004,R280))</f>
        <v/>
      </c>
      <c r="W280" s="2">
        <f>IF(R280="","",COUNTIFS($C$5:$C$6004,R280,$O$5:$O$6004,"CONCLUÍDA"))</f>
        <v/>
      </c>
      <c r="X280" s="2">
        <f>IF(R280="","",COUNTIFS($C$5:$C$6004,R280,$O$5:$O$6004,"EM ANDAMENTO"))</f>
        <v/>
      </c>
      <c r="Y280" s="2">
        <f>IF(R280="","",IF(COUNTIFS($C$5:$C$6004,R280,$O$5:$O$6004,"CONCLUÍDA",$N$5:$N$6004,"&gt;=-99")=0,"",_xlfn.MAXIFS($N$5:$N$6004,$C$5:$C$6004,R280,$O$5:$O$6004,"CONCLUÍDA")))</f>
        <v/>
      </c>
      <c r="Z280" s="2">
        <f>IF(R280="","",IF(COUNTIFS($C$5:$C$6004,R280,$O$5:$O$6004,"EM ANDAMENTO",$N$5:$N$6004,"&gt;=-99")=0,"",_xlfn.MAXIFS($N$5:$N$6004,$C$5:$C$6004,R280,$O$5:$O$6004,"EM ANDAMENTO")))</f>
        <v/>
      </c>
      <c r="AA280" s="2">
        <f>IF(OR(R280="",S280="",U280&lt;&gt;"SIM",V280=0),"",IF(W280+X280=0,"",T280&amp;": "&amp;IF(W280=V280,"concluído",IF(W280=0,"em execução"&amp;IF(Z280&lt;&gt;""," ("&amp;IF(Z280&lt;0,IF(COUNTIF($E$5:$E$6004,"SUBSOLO*")&gt;0,"subsolo",-Z280&amp;"º subsolo"),IF(Z280=0,"térreo",Z280&amp;"º pav."))&amp;")",""),IF(Y280&lt;&gt;"","até "&amp;IF(Y280&lt;0,IF(COUNTIF($E$5:$E$6004,"SUBSOLO*")&gt;0,"subsolo",-Y280&amp;"º subsolo"),IF(Y280=0,"térreo",Y280&amp;"º pav.")),W280&amp;" de "&amp;V280&amp;" concluídas")&amp;IF(Z280="","",IF(OR(Y280="",Z280&gt;Y280),", executando "&amp;IF(Z280&lt;0,IF(COUNTIF($E$5:$E$6004,"SUBSOLO*")&gt;0,"subsolo",-Z280&amp;"º subsolo"),IF(Z280=0,"térreo",Z280&amp;"º pav."))," (restam serviços no "&amp;IF(Z280&lt;0,IF(COUNTIF($E$5:$E$6004,"SUBSOLO*")&gt;0,"subsolo",-Z280&amp;"º subsolo"),IF(Z280=0,"térreo",Z280&amp;"º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26" t="n">
        <v>46003</v>
      </c>
      <c r="G281" s="126" t="n">
        <v>46003</v>
      </c>
      <c r="H281" s="126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IF(E281="","",IF(ISNUMBER(SEARCH("SUBSOLO",E281)),IFERROR(-VALUE(LEFT(E281,FIND("º",SUBSTITUTE(E281,"°","º"))-1)),-1),IF(LEFT(E281,6)="TÉRREO",0,IFERROR(VALUE(LEFT(E281,FIND("º",SUBSTITUTE(E281,"°","º"))-1)),""))))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IF(R281="","",COUNTIF($C$5:$C$6004,R281))</f>
        <v/>
      </c>
      <c r="W281" s="2">
        <f>IF(R281="","",COUNTIFS($C$5:$C$6004,R281,$O$5:$O$6004,"CONCLUÍDA"))</f>
        <v/>
      </c>
      <c r="X281" s="2">
        <f>IF(R281="","",COUNTIFS($C$5:$C$6004,R281,$O$5:$O$6004,"EM ANDAMENTO"))</f>
        <v/>
      </c>
      <c r="Y281" s="2">
        <f>IF(R281="","",IF(COUNTIFS($C$5:$C$6004,R281,$O$5:$O$6004,"CONCLUÍDA",$N$5:$N$6004,"&gt;=-99")=0,"",_xlfn.MAXIFS($N$5:$N$6004,$C$5:$C$6004,R281,$O$5:$O$6004,"CONCLUÍDA")))</f>
        <v/>
      </c>
      <c r="Z281" s="2">
        <f>IF(R281="","",IF(COUNTIFS($C$5:$C$6004,R281,$O$5:$O$6004,"EM ANDAMENTO",$N$5:$N$6004,"&gt;=-99")=0,"",_xlfn.MAXIFS($N$5:$N$6004,$C$5:$C$6004,R281,$O$5:$O$6004,"EM ANDAMENTO")))</f>
        <v/>
      </c>
      <c r="AA281" s="2">
        <f>IF(OR(R281="",S281="",U281&lt;&gt;"SIM",V281=0),"",IF(W281+X281=0,"",T281&amp;": "&amp;IF(W281=V281,"concluído",IF(W281=0,"em execução"&amp;IF(Z281&lt;&gt;""," ("&amp;IF(Z281&lt;0,IF(COUNTIF($E$5:$E$6004,"SUBSOLO*")&gt;0,"subsolo",-Z281&amp;"º subsolo"),IF(Z281=0,"térreo",Z281&amp;"º pav."))&amp;")",""),IF(Y281&lt;&gt;"","até "&amp;IF(Y281&lt;0,IF(COUNTIF($E$5:$E$6004,"SUBSOLO*")&gt;0,"subsolo",-Y281&amp;"º subsolo"),IF(Y281=0,"térreo",Y281&amp;"º pav.")),W281&amp;" de "&amp;V281&amp;" concluídas")&amp;IF(Z281="","",IF(OR(Y281="",Z281&gt;Y281),", executando "&amp;IF(Z281&lt;0,IF(COUNTIF($E$5:$E$6004,"SUBSOLO*")&gt;0,"subsolo",-Z281&amp;"º subsolo"),IF(Z281=0,"térreo",Z281&amp;"º pav."))," (restam serviços no "&amp;IF(Z281&lt;0,IF(COUNTIF($E$5:$E$6004,"SUBSOLO*")&gt;0,"subsolo",-Z281&amp;"º subsolo"),IF(Z281=0,"térreo",Z281&amp;"º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26" t="n">
        <v>45988</v>
      </c>
      <c r="G282" s="126" t="n">
        <v>46003</v>
      </c>
      <c r="H282" s="126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IF(E282="","",IF(ISNUMBER(SEARCH("SUBSOLO",E282)),IFERROR(-VALUE(LEFT(E282,FIND("º",SUBSTITUTE(E282,"°","º"))-1)),-1),IF(LEFT(E282,6)="TÉRREO",0,IFERROR(VALUE(LEFT(E282,FIND("º",SUBSTITUTE(E282,"°","º"))-1)),""))))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IF(R282="","",COUNTIF($C$5:$C$6004,R282))</f>
        <v/>
      </c>
      <c r="W282" s="2">
        <f>IF(R282="","",COUNTIFS($C$5:$C$6004,R282,$O$5:$O$6004,"CONCLUÍDA"))</f>
        <v/>
      </c>
      <c r="X282" s="2">
        <f>IF(R282="","",COUNTIFS($C$5:$C$6004,R282,$O$5:$O$6004,"EM ANDAMENTO"))</f>
        <v/>
      </c>
      <c r="Y282" s="2">
        <f>IF(R282="","",IF(COUNTIFS($C$5:$C$6004,R282,$O$5:$O$6004,"CONCLUÍDA",$N$5:$N$6004,"&gt;=-99")=0,"",_xlfn.MAXIFS($N$5:$N$6004,$C$5:$C$6004,R282,$O$5:$O$6004,"CONCLUÍDA")))</f>
        <v/>
      </c>
      <c r="Z282" s="2">
        <f>IF(R282="","",IF(COUNTIFS($C$5:$C$6004,R282,$O$5:$O$6004,"EM ANDAMENTO",$N$5:$N$6004,"&gt;=-99")=0,"",_xlfn.MAXIFS($N$5:$N$6004,$C$5:$C$6004,R282,$O$5:$O$6004,"EM ANDAMENTO")))</f>
        <v/>
      </c>
      <c r="AA282" s="2">
        <f>IF(OR(R282="",S282="",U282&lt;&gt;"SIM",V282=0),"",IF(W282+X282=0,"",T282&amp;": "&amp;IF(W282=V282,"concluído",IF(W282=0,"em execução"&amp;IF(Z282&lt;&gt;""," ("&amp;IF(Z282&lt;0,IF(COUNTIF($E$5:$E$6004,"SUBSOLO*")&gt;0,"subsolo",-Z282&amp;"º subsolo"),IF(Z282=0,"térreo",Z282&amp;"º pav."))&amp;")",""),IF(Y282&lt;&gt;"","até "&amp;IF(Y282&lt;0,IF(COUNTIF($E$5:$E$6004,"SUBSOLO*")&gt;0,"subsolo",-Y282&amp;"º subsolo"),IF(Y282=0,"térreo",Y282&amp;"º pav.")),W282&amp;" de "&amp;V282&amp;" concluídas")&amp;IF(Z282="","",IF(OR(Y282="",Z282&gt;Y282),", executando "&amp;IF(Z282&lt;0,IF(COUNTIF($E$5:$E$6004,"SUBSOLO*")&gt;0,"subsolo",-Z282&amp;"º subsolo"),IF(Z282=0,"térreo",Z282&amp;"º pav."))," (restam serviços no "&amp;IF(Z282&lt;0,IF(COUNTIF($E$5:$E$6004,"SUBSOLO*")&gt;0,"subsolo",-Z282&amp;"º subsolo"),IF(Z282=0,"térreo",Z282&amp;"º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26" t="n">
        <v>45996</v>
      </c>
      <c r="G283" s="126" t="n">
        <v>46003</v>
      </c>
      <c r="H283" s="126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IF(E283="","",IF(ISNUMBER(SEARCH("SUBSOLO",E283)),IFERROR(-VALUE(LEFT(E283,FIND("º",SUBSTITUTE(E283,"°","º"))-1)),-1),IF(LEFT(E283,6)="TÉRREO",0,IFERROR(VALUE(LEFT(E283,FIND("º",SUBSTITUTE(E283,"°","º"))-1)),""))))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IF(R283="","",COUNTIF($C$5:$C$6004,R283))</f>
        <v/>
      </c>
      <c r="W283" s="2">
        <f>IF(R283="","",COUNTIFS($C$5:$C$6004,R283,$O$5:$O$6004,"CONCLUÍDA"))</f>
        <v/>
      </c>
      <c r="X283" s="2">
        <f>IF(R283="","",COUNTIFS($C$5:$C$6004,R283,$O$5:$O$6004,"EM ANDAMENTO"))</f>
        <v/>
      </c>
      <c r="Y283" s="2">
        <f>IF(R283="","",IF(COUNTIFS($C$5:$C$6004,R283,$O$5:$O$6004,"CONCLUÍDA",$N$5:$N$6004,"&gt;=-99")=0,"",_xlfn.MAXIFS($N$5:$N$6004,$C$5:$C$6004,R283,$O$5:$O$6004,"CONCLUÍDA")))</f>
        <v/>
      </c>
      <c r="Z283" s="2">
        <f>IF(R283="","",IF(COUNTIFS($C$5:$C$6004,R283,$O$5:$O$6004,"EM ANDAMENTO",$N$5:$N$6004,"&gt;=-99")=0,"",_xlfn.MAXIFS($N$5:$N$6004,$C$5:$C$6004,R283,$O$5:$O$6004,"EM ANDAMENTO")))</f>
        <v/>
      </c>
      <c r="AA283" s="2">
        <f>IF(OR(R283="",S283="",U283&lt;&gt;"SIM",V283=0),"",IF(W283+X283=0,"",T283&amp;": "&amp;IF(W283=V283,"concluído",IF(W283=0,"em execução"&amp;IF(Z283&lt;&gt;""," ("&amp;IF(Z283&lt;0,IF(COUNTIF($E$5:$E$6004,"SUBSOLO*")&gt;0,"subsolo",-Z283&amp;"º subsolo"),IF(Z283=0,"térreo",Z283&amp;"º pav."))&amp;")",""),IF(Y283&lt;&gt;"","até "&amp;IF(Y283&lt;0,IF(COUNTIF($E$5:$E$6004,"SUBSOLO*")&gt;0,"subsolo",-Y283&amp;"º subsolo"),IF(Y283=0,"térreo",Y283&amp;"º pav.")),W283&amp;" de "&amp;V283&amp;" concluídas")&amp;IF(Z283="","",IF(OR(Y283="",Z283&gt;Y283),", executando "&amp;IF(Z283&lt;0,IF(COUNTIF($E$5:$E$6004,"SUBSOLO*")&gt;0,"subsolo",-Z283&amp;"º subsolo"),IF(Z283=0,"térreo",Z283&amp;"º pav."))," (restam serviços no "&amp;IF(Z283&lt;0,IF(COUNTIF($E$5:$E$6004,"SUBSOLO*")&gt;0,"subsolo",-Z283&amp;"º subsolo"),IF(Z283=0,"térreo",Z283&amp;"º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26" t="n">
        <v>46001</v>
      </c>
      <c r="G284" s="126" t="n">
        <v>46009</v>
      </c>
      <c r="H284" s="126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IF(E284="","",IF(ISNUMBER(SEARCH("SUBSOLO",E284)),IFERROR(-VALUE(LEFT(E284,FIND("º",SUBSTITUTE(E284,"°","º"))-1)),-1),IF(LEFT(E284,6)="TÉRREO",0,IFERROR(VALUE(LEFT(E284,FIND("º",SUBSTITUTE(E284,"°","º"))-1)),""))))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IF(R284="","",COUNTIF($C$5:$C$6004,R284))</f>
        <v/>
      </c>
      <c r="W284" s="2">
        <f>IF(R284="","",COUNTIFS($C$5:$C$6004,R284,$O$5:$O$6004,"CONCLUÍDA"))</f>
        <v/>
      </c>
      <c r="X284" s="2">
        <f>IF(R284="","",COUNTIFS($C$5:$C$6004,R284,$O$5:$O$6004,"EM ANDAMENTO"))</f>
        <v/>
      </c>
      <c r="Y284" s="2">
        <f>IF(R284="","",IF(COUNTIFS($C$5:$C$6004,R284,$O$5:$O$6004,"CONCLUÍDA",$N$5:$N$6004,"&gt;=-99")=0,"",_xlfn.MAXIFS($N$5:$N$6004,$C$5:$C$6004,R284,$O$5:$O$6004,"CONCLUÍDA")))</f>
        <v/>
      </c>
      <c r="Z284" s="2">
        <f>IF(R284="","",IF(COUNTIFS($C$5:$C$6004,R284,$O$5:$O$6004,"EM ANDAMENTO",$N$5:$N$6004,"&gt;=-99")=0,"",_xlfn.MAXIFS($N$5:$N$6004,$C$5:$C$6004,R284,$O$5:$O$6004,"EM ANDAMENTO")))</f>
        <v/>
      </c>
      <c r="AA284" s="2">
        <f>IF(OR(R284="",S284="",U284&lt;&gt;"SIM",V284=0),"",IF(W284+X284=0,"",T284&amp;": "&amp;IF(W284=V284,"concluído",IF(W284=0,"em execução"&amp;IF(Z284&lt;&gt;""," ("&amp;IF(Z284&lt;0,IF(COUNTIF($E$5:$E$6004,"SUBSOLO*")&gt;0,"subsolo",-Z284&amp;"º subsolo"),IF(Z284=0,"térreo",Z284&amp;"º pav."))&amp;")",""),IF(Y284&lt;&gt;"","até "&amp;IF(Y284&lt;0,IF(COUNTIF($E$5:$E$6004,"SUBSOLO*")&gt;0,"subsolo",-Y284&amp;"º subsolo"),IF(Y284=0,"térreo",Y284&amp;"º pav.")),W284&amp;" de "&amp;V284&amp;" concluídas")&amp;IF(Z284="","",IF(OR(Y284="",Z284&gt;Y284),", executando "&amp;IF(Z284&lt;0,IF(COUNTIF($E$5:$E$6004,"SUBSOLO*")&gt;0,"subsolo",-Z284&amp;"º subsolo"),IF(Z284=0,"térreo",Z284&amp;"º pav."))," (restam serviços no "&amp;IF(Z284&lt;0,IF(COUNTIF($E$5:$E$6004,"SUBSOLO*")&gt;0,"subsolo",-Z284&amp;"º subsolo"),IF(Z284=0,"térreo",Z284&amp;"º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26" t="n">
        <v>46007</v>
      </c>
      <c r="G285" s="126" t="n">
        <v>46007</v>
      </c>
      <c r="H285" s="126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IF(E285="","",IF(ISNUMBER(SEARCH("SUBSOLO",E285)),IFERROR(-VALUE(LEFT(E285,FIND("º",SUBSTITUTE(E285,"°","º"))-1)),-1),IF(LEFT(E285,6)="TÉRREO",0,IFERROR(VALUE(LEFT(E285,FIND("º",SUBSTITUTE(E285,"°","º"))-1)),""))))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IF(R285="","",COUNTIF($C$5:$C$6004,R285))</f>
        <v/>
      </c>
      <c r="W285" s="2">
        <f>IF(R285="","",COUNTIFS($C$5:$C$6004,R285,$O$5:$O$6004,"CONCLUÍDA"))</f>
        <v/>
      </c>
      <c r="X285" s="2">
        <f>IF(R285="","",COUNTIFS($C$5:$C$6004,R285,$O$5:$O$6004,"EM ANDAMENTO"))</f>
        <v/>
      </c>
      <c r="Y285" s="2">
        <f>IF(R285="","",IF(COUNTIFS($C$5:$C$6004,R285,$O$5:$O$6004,"CONCLUÍDA",$N$5:$N$6004,"&gt;=-99")=0,"",_xlfn.MAXIFS($N$5:$N$6004,$C$5:$C$6004,R285,$O$5:$O$6004,"CONCLUÍDA")))</f>
        <v/>
      </c>
      <c r="Z285" s="2">
        <f>IF(R285="","",IF(COUNTIFS($C$5:$C$6004,R285,$O$5:$O$6004,"EM ANDAMENTO",$N$5:$N$6004,"&gt;=-99")=0,"",_xlfn.MAXIFS($N$5:$N$6004,$C$5:$C$6004,R285,$O$5:$O$6004,"EM ANDAMENTO")))</f>
        <v/>
      </c>
      <c r="AA285" s="2">
        <f>IF(OR(R285="",S285="",U285&lt;&gt;"SIM",V285=0),"",IF(W285+X285=0,"",T285&amp;": "&amp;IF(W285=V285,"concluído",IF(W285=0,"em execução"&amp;IF(Z285&lt;&gt;""," ("&amp;IF(Z285&lt;0,IF(COUNTIF($E$5:$E$6004,"SUBSOLO*")&gt;0,"subsolo",-Z285&amp;"º subsolo"),IF(Z285=0,"térreo",Z285&amp;"º pav."))&amp;")",""),IF(Y285&lt;&gt;"","até "&amp;IF(Y285&lt;0,IF(COUNTIF($E$5:$E$6004,"SUBSOLO*")&gt;0,"subsolo",-Y285&amp;"º subsolo"),IF(Y285=0,"térreo",Y285&amp;"º pav.")),W285&amp;" de "&amp;V285&amp;" concluídas")&amp;IF(Z285="","",IF(OR(Y285="",Z285&gt;Y285),", executando "&amp;IF(Z285&lt;0,IF(COUNTIF($E$5:$E$6004,"SUBSOLO*")&gt;0,"subsolo",-Z285&amp;"º subsolo"),IF(Z285=0,"térreo",Z285&amp;"º pav."))," (restam serviços no "&amp;IF(Z285&lt;0,IF(COUNTIF($E$5:$E$6004,"SUBSOLO*")&gt;0,"subsolo",-Z285&amp;"º subsolo"),IF(Z285=0,"térreo",Z285&amp;"º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26" t="n">
        <v>46010</v>
      </c>
      <c r="G286" s="126" t="n">
        <v>46010</v>
      </c>
      <c r="H286" s="126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IF(E286="","",IF(ISNUMBER(SEARCH("SUBSOLO",E286)),IFERROR(-VALUE(LEFT(E286,FIND("º",SUBSTITUTE(E286,"°","º"))-1)),-1),IF(LEFT(E286,6)="TÉRREO",0,IFERROR(VALUE(LEFT(E286,FIND("º",SUBSTITUTE(E286,"°","º"))-1)),""))))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IF(R286="","",COUNTIF($C$5:$C$6004,R286))</f>
        <v/>
      </c>
      <c r="W286" s="2">
        <f>IF(R286="","",COUNTIFS($C$5:$C$6004,R286,$O$5:$O$6004,"CONCLUÍDA"))</f>
        <v/>
      </c>
      <c r="X286" s="2">
        <f>IF(R286="","",COUNTIFS($C$5:$C$6004,R286,$O$5:$O$6004,"EM ANDAMENTO"))</f>
        <v/>
      </c>
      <c r="Y286" s="2">
        <f>IF(R286="","",IF(COUNTIFS($C$5:$C$6004,R286,$O$5:$O$6004,"CONCLUÍDA",$N$5:$N$6004,"&gt;=-99")=0,"",_xlfn.MAXIFS($N$5:$N$6004,$C$5:$C$6004,R286,$O$5:$O$6004,"CONCLUÍDA")))</f>
        <v/>
      </c>
      <c r="Z286" s="2">
        <f>IF(R286="","",IF(COUNTIFS($C$5:$C$6004,R286,$O$5:$O$6004,"EM ANDAMENTO",$N$5:$N$6004,"&gt;=-99")=0,"",_xlfn.MAXIFS($N$5:$N$6004,$C$5:$C$6004,R286,$O$5:$O$6004,"EM ANDAMENTO")))</f>
        <v/>
      </c>
      <c r="AA286" s="2">
        <f>IF(OR(R286="",S286="",U286&lt;&gt;"SIM",V286=0),"",IF(W286+X286=0,"",T286&amp;": "&amp;IF(W286=V286,"concluído",IF(W286=0,"em execução"&amp;IF(Z286&lt;&gt;""," ("&amp;IF(Z286&lt;0,IF(COUNTIF($E$5:$E$6004,"SUBSOLO*")&gt;0,"subsolo",-Z286&amp;"º subsolo"),IF(Z286=0,"térreo",Z286&amp;"º pav."))&amp;")",""),IF(Y286&lt;&gt;"","até "&amp;IF(Y286&lt;0,IF(COUNTIF($E$5:$E$6004,"SUBSOLO*")&gt;0,"subsolo",-Y286&amp;"º subsolo"),IF(Y286=0,"térreo",Y286&amp;"º pav.")),W286&amp;" de "&amp;V286&amp;" concluídas")&amp;IF(Z286="","",IF(OR(Y286="",Z286&gt;Y286),", executando "&amp;IF(Z286&lt;0,IF(COUNTIF($E$5:$E$6004,"SUBSOLO*")&gt;0,"subsolo",-Z286&amp;"º subsolo"),IF(Z286=0,"térreo",Z286&amp;"º pav."))," (restam serviços no "&amp;IF(Z286&lt;0,IF(COUNTIF($E$5:$E$6004,"SUBSOLO*")&gt;0,"subsolo",-Z286&amp;"º subsolo"),IF(Z286=0,"térreo",Z286&amp;"º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26" t="n">
        <v>45992</v>
      </c>
      <c r="G287" s="126" t="n">
        <v>46010</v>
      </c>
      <c r="H287" s="126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IF(E287="","",IF(ISNUMBER(SEARCH("SUBSOLO",E287)),IFERROR(-VALUE(LEFT(E287,FIND("º",SUBSTITUTE(E287,"°","º"))-1)),-1),IF(LEFT(E287,6)="TÉRREO",0,IFERROR(VALUE(LEFT(E287,FIND("º",SUBSTITUTE(E287,"°","º"))-1)),""))))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IF(R287="","",COUNTIF($C$5:$C$6004,R287))</f>
        <v/>
      </c>
      <c r="W287" s="2">
        <f>IF(R287="","",COUNTIFS($C$5:$C$6004,R287,$O$5:$O$6004,"CONCLUÍDA"))</f>
        <v/>
      </c>
      <c r="X287" s="2">
        <f>IF(R287="","",COUNTIFS($C$5:$C$6004,R287,$O$5:$O$6004,"EM ANDAMENTO"))</f>
        <v/>
      </c>
      <c r="Y287" s="2">
        <f>IF(R287="","",IF(COUNTIFS($C$5:$C$6004,R287,$O$5:$O$6004,"CONCLUÍDA",$N$5:$N$6004,"&gt;=-99")=0,"",_xlfn.MAXIFS($N$5:$N$6004,$C$5:$C$6004,R287,$O$5:$O$6004,"CONCLUÍDA")))</f>
        <v/>
      </c>
      <c r="Z287" s="2">
        <f>IF(R287="","",IF(COUNTIFS($C$5:$C$6004,R287,$O$5:$O$6004,"EM ANDAMENTO",$N$5:$N$6004,"&gt;=-99")=0,"",_xlfn.MAXIFS($N$5:$N$6004,$C$5:$C$6004,R287,$O$5:$O$6004,"EM ANDAMENTO")))</f>
        <v/>
      </c>
      <c r="AA287" s="2">
        <f>IF(OR(R287="",S287="",U287&lt;&gt;"SIM",V287=0),"",IF(W287+X287=0,"",T287&amp;": "&amp;IF(W287=V287,"concluído",IF(W287=0,"em execução"&amp;IF(Z287&lt;&gt;""," ("&amp;IF(Z287&lt;0,IF(COUNTIF($E$5:$E$6004,"SUBSOLO*")&gt;0,"subsolo",-Z287&amp;"º subsolo"),IF(Z287=0,"térreo",Z287&amp;"º pav."))&amp;")",""),IF(Y287&lt;&gt;"","até "&amp;IF(Y287&lt;0,IF(COUNTIF($E$5:$E$6004,"SUBSOLO*")&gt;0,"subsolo",-Y287&amp;"º subsolo"),IF(Y287=0,"térreo",Y287&amp;"º pav.")),W287&amp;" de "&amp;V287&amp;" concluídas")&amp;IF(Z287="","",IF(OR(Y287="",Z287&gt;Y287),", executando "&amp;IF(Z287&lt;0,IF(COUNTIF($E$5:$E$6004,"SUBSOLO*")&gt;0,"subsolo",-Z287&amp;"º subsolo"),IF(Z287=0,"térreo",Z287&amp;"º pav."))," (restam serviços no "&amp;IF(Z287&lt;0,IF(COUNTIF($E$5:$E$6004,"SUBSOLO*")&gt;0,"subsolo",-Z287&amp;"º subsolo"),IF(Z287=0,"térreo",Z287&amp;"º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26" t="n">
        <v>45992</v>
      </c>
      <c r="G288" s="126" t="n">
        <v>45996</v>
      </c>
      <c r="H288" s="126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IF(E288="","",IF(ISNUMBER(SEARCH("SUBSOLO",E288)),IFERROR(-VALUE(LEFT(E288,FIND("º",SUBSTITUTE(E288,"°","º"))-1)),-1),IF(LEFT(E288,6)="TÉRREO",0,IFERROR(VALUE(LEFT(E288,FIND("º",SUBSTITUTE(E288,"°","º"))-1)),""))))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IF(R288="","",COUNTIF($C$5:$C$6004,R288))</f>
        <v/>
      </c>
      <c r="W288" s="2">
        <f>IF(R288="","",COUNTIFS($C$5:$C$6004,R288,$O$5:$O$6004,"CONCLUÍDA"))</f>
        <v/>
      </c>
      <c r="X288" s="2">
        <f>IF(R288="","",COUNTIFS($C$5:$C$6004,R288,$O$5:$O$6004,"EM ANDAMENTO"))</f>
        <v/>
      </c>
      <c r="Y288" s="2">
        <f>IF(R288="","",IF(COUNTIFS($C$5:$C$6004,R288,$O$5:$O$6004,"CONCLUÍDA",$N$5:$N$6004,"&gt;=-99")=0,"",_xlfn.MAXIFS($N$5:$N$6004,$C$5:$C$6004,R288,$O$5:$O$6004,"CONCLUÍDA")))</f>
        <v/>
      </c>
      <c r="Z288" s="2">
        <f>IF(R288="","",IF(COUNTIFS($C$5:$C$6004,R288,$O$5:$O$6004,"EM ANDAMENTO",$N$5:$N$6004,"&gt;=-99")=0,"",_xlfn.MAXIFS($N$5:$N$6004,$C$5:$C$6004,R288,$O$5:$O$6004,"EM ANDAMENTO")))</f>
        <v/>
      </c>
      <c r="AA288" s="2">
        <f>IF(OR(R288="",S288="",U288&lt;&gt;"SIM",V288=0),"",IF(W288+X288=0,"",T288&amp;": "&amp;IF(W288=V288,"concluído",IF(W288=0,"em execução"&amp;IF(Z288&lt;&gt;""," ("&amp;IF(Z288&lt;0,IF(COUNTIF($E$5:$E$6004,"SUBSOLO*")&gt;0,"subsolo",-Z288&amp;"º subsolo"),IF(Z288=0,"térreo",Z288&amp;"º pav."))&amp;")",""),IF(Y288&lt;&gt;"","até "&amp;IF(Y288&lt;0,IF(COUNTIF($E$5:$E$6004,"SUBSOLO*")&gt;0,"subsolo",-Y288&amp;"º subsolo"),IF(Y288=0,"térreo",Y288&amp;"º pav.")),W288&amp;" de "&amp;V288&amp;" concluídas")&amp;IF(Z288="","",IF(OR(Y288="",Z288&gt;Y288),", executando "&amp;IF(Z288&lt;0,IF(COUNTIF($E$5:$E$6004,"SUBSOLO*")&gt;0,"subsolo",-Z288&amp;"º subsolo"),IF(Z288=0,"térreo",Z288&amp;"º pav."))," (restam serviços no "&amp;IF(Z288&lt;0,IF(COUNTIF($E$5:$E$6004,"SUBSOLO*")&gt;0,"subsolo",-Z288&amp;"º subsolo"),IF(Z288=0,"térreo",Z288&amp;"º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26" t="n">
        <v>45996</v>
      </c>
      <c r="G289" s="126" t="n">
        <v>46001</v>
      </c>
      <c r="H289" s="126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IF(E289="","",IF(ISNUMBER(SEARCH("SUBSOLO",E289)),IFERROR(-VALUE(LEFT(E289,FIND("º",SUBSTITUTE(E289,"°","º"))-1)),-1),IF(LEFT(E289,6)="TÉRREO",0,IFERROR(VALUE(LEFT(E289,FIND("º",SUBSTITUTE(E289,"°","º"))-1)),""))))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IF(R289="","",COUNTIF($C$5:$C$6004,R289))</f>
        <v/>
      </c>
      <c r="W289" s="2">
        <f>IF(R289="","",COUNTIFS($C$5:$C$6004,R289,$O$5:$O$6004,"CONCLUÍDA"))</f>
        <v/>
      </c>
      <c r="X289" s="2">
        <f>IF(R289="","",COUNTIFS($C$5:$C$6004,R289,$O$5:$O$6004,"EM ANDAMENTO"))</f>
        <v/>
      </c>
      <c r="Y289" s="2">
        <f>IF(R289="","",IF(COUNTIFS($C$5:$C$6004,R289,$O$5:$O$6004,"CONCLUÍDA",$N$5:$N$6004,"&gt;=-99")=0,"",_xlfn.MAXIFS($N$5:$N$6004,$C$5:$C$6004,R289,$O$5:$O$6004,"CONCLUÍDA")))</f>
        <v/>
      </c>
      <c r="Z289" s="2">
        <f>IF(R289="","",IF(COUNTIFS($C$5:$C$6004,R289,$O$5:$O$6004,"EM ANDAMENTO",$N$5:$N$6004,"&gt;=-99")=0,"",_xlfn.MAXIFS($N$5:$N$6004,$C$5:$C$6004,R289,$O$5:$O$6004,"EM ANDAMENTO")))</f>
        <v/>
      </c>
      <c r="AA289" s="2">
        <f>IF(OR(R289="",S289="",U289&lt;&gt;"SIM",V289=0),"",IF(W289+X289=0,"",T289&amp;": "&amp;IF(W289=V289,"concluído",IF(W289=0,"em execução"&amp;IF(Z289&lt;&gt;""," ("&amp;IF(Z289&lt;0,IF(COUNTIF($E$5:$E$6004,"SUBSOLO*")&gt;0,"subsolo",-Z289&amp;"º subsolo"),IF(Z289=0,"térreo",Z289&amp;"º pav."))&amp;")",""),IF(Y289&lt;&gt;"","até "&amp;IF(Y289&lt;0,IF(COUNTIF($E$5:$E$6004,"SUBSOLO*")&gt;0,"subsolo",-Y289&amp;"º subsolo"),IF(Y289=0,"térreo",Y289&amp;"º pav.")),W289&amp;" de "&amp;V289&amp;" concluídas")&amp;IF(Z289="","",IF(OR(Y289="",Z289&gt;Y289),", executando "&amp;IF(Z289&lt;0,IF(COUNTIF($E$5:$E$6004,"SUBSOLO*")&gt;0,"subsolo",-Z289&amp;"º subsolo"),IF(Z289=0,"térreo",Z289&amp;"º pav."))," (restam serviços no "&amp;IF(Z289&lt;0,IF(COUNTIF($E$5:$E$6004,"SUBSOLO*")&gt;0,"subsolo",-Z289&amp;"º subsolo"),IF(Z289=0,"térreo",Z289&amp;"º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26" t="n">
        <v>45999</v>
      </c>
      <c r="G290" s="126" t="n">
        <v>46002</v>
      </c>
      <c r="H290" s="126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IF(E290="","",IF(ISNUMBER(SEARCH("SUBSOLO",E290)),IFERROR(-VALUE(LEFT(E290,FIND("º",SUBSTITUTE(E290,"°","º"))-1)),-1),IF(LEFT(E290,6)="TÉRREO",0,IFERROR(VALUE(LEFT(E290,FIND("º",SUBSTITUTE(E290,"°","º"))-1)),""))))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IF(R290="","",COUNTIF($C$5:$C$6004,R290))</f>
        <v/>
      </c>
      <c r="W290" s="2">
        <f>IF(R290="","",COUNTIFS($C$5:$C$6004,R290,$O$5:$O$6004,"CONCLUÍDA"))</f>
        <v/>
      </c>
      <c r="X290" s="2">
        <f>IF(R290="","",COUNTIFS($C$5:$C$6004,R290,$O$5:$O$6004,"EM ANDAMENTO"))</f>
        <v/>
      </c>
      <c r="Y290" s="2">
        <f>IF(R290="","",IF(COUNTIFS($C$5:$C$6004,R290,$O$5:$O$6004,"CONCLUÍDA",$N$5:$N$6004,"&gt;=-99")=0,"",_xlfn.MAXIFS($N$5:$N$6004,$C$5:$C$6004,R290,$O$5:$O$6004,"CONCLUÍDA")))</f>
        <v/>
      </c>
      <c r="Z290" s="2">
        <f>IF(R290="","",IF(COUNTIFS($C$5:$C$6004,R290,$O$5:$O$6004,"EM ANDAMENTO",$N$5:$N$6004,"&gt;=-99")=0,"",_xlfn.MAXIFS($N$5:$N$6004,$C$5:$C$6004,R290,$O$5:$O$6004,"EM ANDAMENTO")))</f>
        <v/>
      </c>
      <c r="AA290" s="2">
        <f>IF(OR(R290="",S290="",U290&lt;&gt;"SIM",V290=0),"",IF(W290+X290=0,"",T290&amp;": "&amp;IF(W290=V290,"concluído",IF(W290=0,"em execução"&amp;IF(Z290&lt;&gt;""," ("&amp;IF(Z290&lt;0,IF(COUNTIF($E$5:$E$6004,"SUBSOLO*")&gt;0,"subsolo",-Z290&amp;"º subsolo"),IF(Z290=0,"térreo",Z290&amp;"º pav."))&amp;")",""),IF(Y290&lt;&gt;"","até "&amp;IF(Y290&lt;0,IF(COUNTIF($E$5:$E$6004,"SUBSOLO*")&gt;0,"subsolo",-Y290&amp;"º subsolo"),IF(Y290=0,"térreo",Y290&amp;"º pav.")),W290&amp;" de "&amp;V290&amp;" concluídas")&amp;IF(Z290="","",IF(OR(Y290="",Z290&gt;Y290),", executando "&amp;IF(Z290&lt;0,IF(COUNTIF($E$5:$E$6004,"SUBSOLO*")&gt;0,"subsolo",-Z290&amp;"º subsolo"),IF(Z290=0,"térreo",Z290&amp;"º pav."))," (restam serviços no "&amp;IF(Z290&lt;0,IF(COUNTIF($E$5:$E$6004,"SUBSOLO*")&gt;0,"subsolo",-Z290&amp;"º subsolo"),IF(Z290=0,"térreo",Z290&amp;"º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26" t="n">
        <v>46003</v>
      </c>
      <c r="G291" s="126" t="n">
        <v>46003</v>
      </c>
      <c r="H291" s="126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IF(E291="","",IF(ISNUMBER(SEARCH("SUBSOLO",E291)),IFERROR(-VALUE(LEFT(E291,FIND("º",SUBSTITUTE(E291,"°","º"))-1)),-1),IF(LEFT(E291,6)="TÉRREO",0,IFERROR(VALUE(LEFT(E291,FIND("º",SUBSTITUTE(E291,"°","º"))-1)),""))))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IF(R291="","",COUNTIF($C$5:$C$6004,R291))</f>
        <v/>
      </c>
      <c r="W291" s="2">
        <f>IF(R291="","",COUNTIFS($C$5:$C$6004,R291,$O$5:$O$6004,"CONCLUÍDA"))</f>
        <v/>
      </c>
      <c r="X291" s="2">
        <f>IF(R291="","",COUNTIFS($C$5:$C$6004,R291,$O$5:$O$6004,"EM ANDAMENTO"))</f>
        <v/>
      </c>
      <c r="Y291" s="2">
        <f>IF(R291="","",IF(COUNTIFS($C$5:$C$6004,R291,$O$5:$O$6004,"CONCLUÍDA",$N$5:$N$6004,"&gt;=-99")=0,"",_xlfn.MAXIFS($N$5:$N$6004,$C$5:$C$6004,R291,$O$5:$O$6004,"CONCLUÍDA")))</f>
        <v/>
      </c>
      <c r="Z291" s="2">
        <f>IF(R291="","",IF(COUNTIFS($C$5:$C$6004,R291,$O$5:$O$6004,"EM ANDAMENTO",$N$5:$N$6004,"&gt;=-99")=0,"",_xlfn.MAXIFS($N$5:$N$6004,$C$5:$C$6004,R291,$O$5:$O$6004,"EM ANDAMENTO")))</f>
        <v/>
      </c>
      <c r="AA291" s="2">
        <f>IF(OR(R291="",S291="",U291&lt;&gt;"SIM",V291=0),"",IF(W291+X291=0,"",T291&amp;": "&amp;IF(W291=V291,"concluído",IF(W291=0,"em execução"&amp;IF(Z291&lt;&gt;""," ("&amp;IF(Z291&lt;0,IF(COUNTIF($E$5:$E$6004,"SUBSOLO*")&gt;0,"subsolo",-Z291&amp;"º subsolo"),IF(Z291=0,"térreo",Z291&amp;"º pav."))&amp;")",""),IF(Y291&lt;&gt;"","até "&amp;IF(Y291&lt;0,IF(COUNTIF($E$5:$E$6004,"SUBSOLO*")&gt;0,"subsolo",-Y291&amp;"º subsolo"),IF(Y291=0,"térreo",Y291&amp;"º pav.")),W291&amp;" de "&amp;V291&amp;" concluídas")&amp;IF(Z291="","",IF(OR(Y291="",Z291&gt;Y291),", executando "&amp;IF(Z291&lt;0,IF(COUNTIF($E$5:$E$6004,"SUBSOLO*")&gt;0,"subsolo",-Z291&amp;"º subsolo"),IF(Z291=0,"térreo",Z291&amp;"º pav."))," (restam serviços no "&amp;IF(Z291&lt;0,IF(COUNTIF($E$5:$E$6004,"SUBSOLO*")&gt;0,"subsolo",-Z291&amp;"º subsolo"),IF(Z291=0,"térreo",Z291&amp;"º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26" t="n">
        <v>46006</v>
      </c>
      <c r="G292" s="126" t="n">
        <v>46009</v>
      </c>
      <c r="H292" s="126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IF(E292="","",IF(ISNUMBER(SEARCH("SUBSOLO",E292)),IFERROR(-VALUE(LEFT(E292,FIND("º",SUBSTITUTE(E292,"°","º"))-1)),-1),IF(LEFT(E292,6)="TÉRREO",0,IFERROR(VALUE(LEFT(E292,FIND("º",SUBSTITUTE(E292,"°","º"))-1)),""))))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IF(R292="","",COUNTIF($C$5:$C$6004,R292))</f>
        <v/>
      </c>
      <c r="W292" s="2">
        <f>IF(R292="","",COUNTIFS($C$5:$C$6004,R292,$O$5:$O$6004,"CONCLUÍDA"))</f>
        <v/>
      </c>
      <c r="X292" s="2">
        <f>IF(R292="","",COUNTIFS($C$5:$C$6004,R292,$O$5:$O$6004,"EM ANDAMENTO"))</f>
        <v/>
      </c>
      <c r="Y292" s="2">
        <f>IF(R292="","",IF(COUNTIFS($C$5:$C$6004,R292,$O$5:$O$6004,"CONCLUÍDA",$N$5:$N$6004,"&gt;=-99")=0,"",_xlfn.MAXIFS($N$5:$N$6004,$C$5:$C$6004,R292,$O$5:$O$6004,"CONCLUÍDA")))</f>
        <v/>
      </c>
      <c r="Z292" s="2">
        <f>IF(R292="","",IF(COUNTIFS($C$5:$C$6004,R292,$O$5:$O$6004,"EM ANDAMENTO",$N$5:$N$6004,"&gt;=-99")=0,"",_xlfn.MAXIFS($N$5:$N$6004,$C$5:$C$6004,R292,$O$5:$O$6004,"EM ANDAMENTO")))</f>
        <v/>
      </c>
      <c r="AA292" s="2">
        <f>IF(OR(R292="",S292="",U292&lt;&gt;"SIM",V292=0),"",IF(W292+X292=0,"",T292&amp;": "&amp;IF(W292=V292,"concluído",IF(W292=0,"em execução"&amp;IF(Z292&lt;&gt;""," ("&amp;IF(Z292&lt;0,IF(COUNTIF($E$5:$E$6004,"SUBSOLO*")&gt;0,"subsolo",-Z292&amp;"º subsolo"),IF(Z292=0,"térreo",Z292&amp;"º pav."))&amp;")",""),IF(Y292&lt;&gt;"","até "&amp;IF(Y292&lt;0,IF(COUNTIF($E$5:$E$6004,"SUBSOLO*")&gt;0,"subsolo",-Y292&amp;"º subsolo"),IF(Y292=0,"térreo",Y292&amp;"º pav.")),W292&amp;" de "&amp;V292&amp;" concluídas")&amp;IF(Z292="","",IF(OR(Y292="",Z292&gt;Y292),", executando "&amp;IF(Z292&lt;0,IF(COUNTIF($E$5:$E$6004,"SUBSOLO*")&gt;0,"subsolo",-Z292&amp;"º subsolo"),IF(Z292=0,"térreo",Z292&amp;"º pav."))," (restam serviços no "&amp;IF(Z292&lt;0,IF(COUNTIF($E$5:$E$6004,"SUBSOLO*")&gt;0,"subsolo",-Z292&amp;"º subsolo"),IF(Z292=0,"térreo",Z292&amp;"º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26" t="n">
        <v>46007</v>
      </c>
      <c r="G293" s="126" t="n">
        <v>46010</v>
      </c>
      <c r="H293" s="126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IF(E293="","",IF(ISNUMBER(SEARCH("SUBSOLO",E293)),IFERROR(-VALUE(LEFT(E293,FIND("º",SUBSTITUTE(E293,"°","º"))-1)),-1),IF(LEFT(E293,6)="TÉRREO",0,IFERROR(VALUE(LEFT(E293,FIND("º",SUBSTITUTE(E293,"°","º"))-1)),""))))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IF(R293="","",COUNTIF($C$5:$C$6004,R293))</f>
        <v/>
      </c>
      <c r="W293" s="2">
        <f>IF(R293="","",COUNTIFS($C$5:$C$6004,R293,$O$5:$O$6004,"CONCLUÍDA"))</f>
        <v/>
      </c>
      <c r="X293" s="2">
        <f>IF(R293="","",COUNTIFS($C$5:$C$6004,R293,$O$5:$O$6004,"EM ANDAMENTO"))</f>
        <v/>
      </c>
      <c r="Y293" s="2">
        <f>IF(R293="","",IF(COUNTIFS($C$5:$C$6004,R293,$O$5:$O$6004,"CONCLUÍDA",$N$5:$N$6004,"&gt;=-99")=0,"",_xlfn.MAXIFS($N$5:$N$6004,$C$5:$C$6004,R293,$O$5:$O$6004,"CONCLUÍDA")))</f>
        <v/>
      </c>
      <c r="Z293" s="2">
        <f>IF(R293="","",IF(COUNTIFS($C$5:$C$6004,R293,$O$5:$O$6004,"EM ANDAMENTO",$N$5:$N$6004,"&gt;=-99")=0,"",_xlfn.MAXIFS($N$5:$N$6004,$C$5:$C$6004,R293,$O$5:$O$6004,"EM ANDAMENTO")))</f>
        <v/>
      </c>
      <c r="AA293" s="2">
        <f>IF(OR(R293="",S293="",U293&lt;&gt;"SIM",V293=0),"",IF(W293+X293=0,"",T293&amp;": "&amp;IF(W293=V293,"concluído",IF(W293=0,"em execução"&amp;IF(Z293&lt;&gt;""," ("&amp;IF(Z293&lt;0,IF(COUNTIF($E$5:$E$6004,"SUBSOLO*")&gt;0,"subsolo",-Z293&amp;"º subsolo"),IF(Z293=0,"térreo",Z293&amp;"º pav."))&amp;")",""),IF(Y293&lt;&gt;"","até "&amp;IF(Y293&lt;0,IF(COUNTIF($E$5:$E$6004,"SUBSOLO*")&gt;0,"subsolo",-Y293&amp;"º subsolo"),IF(Y293=0,"térreo",Y293&amp;"º pav.")),W293&amp;" de "&amp;V293&amp;" concluídas")&amp;IF(Z293="","",IF(OR(Y293="",Z293&gt;Y293),", executando "&amp;IF(Z293&lt;0,IF(COUNTIF($E$5:$E$6004,"SUBSOLO*")&gt;0,"subsolo",-Z293&amp;"º subsolo"),IF(Z293=0,"térreo",Z293&amp;"º pav."))," (restam serviços no "&amp;IF(Z293&lt;0,IF(COUNTIF($E$5:$E$6004,"SUBSOLO*")&gt;0,"subsolo",-Z293&amp;"º subsolo"),IF(Z293=0,"térreo",Z293&amp;"º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26" t="n">
        <v>46009</v>
      </c>
      <c r="G294" s="126" t="n">
        <v>46009</v>
      </c>
      <c r="H294" s="126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IF(E294="","",IF(ISNUMBER(SEARCH("SUBSOLO",E294)),IFERROR(-VALUE(LEFT(E294,FIND("º",SUBSTITUTE(E294,"°","º"))-1)),-1),IF(LEFT(E294,6)="TÉRREO",0,IFERROR(VALUE(LEFT(E294,FIND("º",SUBSTITUTE(E294,"°","º"))-1)),""))))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IF(R294="","",COUNTIF($C$5:$C$6004,R294))</f>
        <v/>
      </c>
      <c r="W294" s="2">
        <f>IF(R294="","",COUNTIFS($C$5:$C$6004,R294,$O$5:$O$6004,"CONCLUÍDA"))</f>
        <v/>
      </c>
      <c r="X294" s="2">
        <f>IF(R294="","",COUNTIFS($C$5:$C$6004,R294,$O$5:$O$6004,"EM ANDAMENTO"))</f>
        <v/>
      </c>
      <c r="Y294" s="2">
        <f>IF(R294="","",IF(COUNTIFS($C$5:$C$6004,R294,$O$5:$O$6004,"CONCLUÍDA",$N$5:$N$6004,"&gt;=-99")=0,"",_xlfn.MAXIFS($N$5:$N$6004,$C$5:$C$6004,R294,$O$5:$O$6004,"CONCLUÍDA")))</f>
        <v/>
      </c>
      <c r="Z294" s="2">
        <f>IF(R294="","",IF(COUNTIFS($C$5:$C$6004,R294,$O$5:$O$6004,"EM ANDAMENTO",$N$5:$N$6004,"&gt;=-99")=0,"",_xlfn.MAXIFS($N$5:$N$6004,$C$5:$C$6004,R294,$O$5:$O$6004,"EM ANDAMENTO")))</f>
        <v/>
      </c>
      <c r="AA294" s="2">
        <f>IF(OR(R294="",S294="",U294&lt;&gt;"SIM",V294=0),"",IF(W294+X294=0,"",T294&amp;": "&amp;IF(W294=V294,"concluído",IF(W294=0,"em execução"&amp;IF(Z294&lt;&gt;""," ("&amp;IF(Z294&lt;0,IF(COUNTIF($E$5:$E$6004,"SUBSOLO*")&gt;0,"subsolo",-Z294&amp;"º subsolo"),IF(Z294=0,"térreo",Z294&amp;"º pav."))&amp;")",""),IF(Y294&lt;&gt;"","até "&amp;IF(Y294&lt;0,IF(COUNTIF($E$5:$E$6004,"SUBSOLO*")&gt;0,"subsolo",-Y294&amp;"º subsolo"),IF(Y294=0,"térreo",Y294&amp;"º pav.")),W294&amp;" de "&amp;V294&amp;" concluídas")&amp;IF(Z294="","",IF(OR(Y294="",Z294&gt;Y294),", executando "&amp;IF(Z294&lt;0,IF(COUNTIF($E$5:$E$6004,"SUBSOLO*")&gt;0,"subsolo",-Z294&amp;"º subsolo"),IF(Z294=0,"térreo",Z294&amp;"º pav."))," (restam serviços no "&amp;IF(Z294&lt;0,IF(COUNTIF($E$5:$E$6004,"SUBSOLO*")&gt;0,"subsolo",-Z294&amp;"º subsolo"),IF(Z294=0,"térreo",Z294&amp;"º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26" t="n">
        <v>46009</v>
      </c>
      <c r="G295" s="126" t="n">
        <v>46009</v>
      </c>
      <c r="H295" s="126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IF(E295="","",IF(ISNUMBER(SEARCH("SUBSOLO",E295)),IFERROR(-VALUE(LEFT(E295,FIND("º",SUBSTITUTE(E295,"°","º"))-1)),-1),IF(LEFT(E295,6)="TÉRREO",0,IFERROR(VALUE(LEFT(E295,FIND("º",SUBSTITUTE(E295,"°","º"))-1)),""))))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IF(R295="","",COUNTIF($C$5:$C$6004,R295))</f>
        <v/>
      </c>
      <c r="W295" s="2">
        <f>IF(R295="","",COUNTIFS($C$5:$C$6004,R295,$O$5:$O$6004,"CONCLUÍDA"))</f>
        <v/>
      </c>
      <c r="X295" s="2">
        <f>IF(R295="","",COUNTIFS($C$5:$C$6004,R295,$O$5:$O$6004,"EM ANDAMENTO"))</f>
        <v/>
      </c>
      <c r="Y295" s="2">
        <f>IF(R295="","",IF(COUNTIFS($C$5:$C$6004,R295,$O$5:$O$6004,"CONCLUÍDA",$N$5:$N$6004,"&gt;=-99")=0,"",_xlfn.MAXIFS($N$5:$N$6004,$C$5:$C$6004,R295,$O$5:$O$6004,"CONCLUÍDA")))</f>
        <v/>
      </c>
      <c r="Z295" s="2">
        <f>IF(R295="","",IF(COUNTIFS($C$5:$C$6004,R295,$O$5:$O$6004,"EM ANDAMENTO",$N$5:$N$6004,"&gt;=-99")=0,"",_xlfn.MAXIFS($N$5:$N$6004,$C$5:$C$6004,R295,$O$5:$O$6004,"EM ANDAMENTO")))</f>
        <v/>
      </c>
      <c r="AA295" s="2">
        <f>IF(OR(R295="",S295="",U295&lt;&gt;"SIM",V295=0),"",IF(W295+X295=0,"",T295&amp;": "&amp;IF(W295=V295,"concluído",IF(W295=0,"em execução"&amp;IF(Z295&lt;&gt;""," ("&amp;IF(Z295&lt;0,IF(COUNTIF($E$5:$E$6004,"SUBSOLO*")&gt;0,"subsolo",-Z295&amp;"º subsolo"),IF(Z295=0,"térreo",Z295&amp;"º pav."))&amp;")",""),IF(Y295&lt;&gt;"","até "&amp;IF(Y295&lt;0,IF(COUNTIF($E$5:$E$6004,"SUBSOLO*")&gt;0,"subsolo",-Y295&amp;"º subsolo"),IF(Y295=0,"térreo",Y295&amp;"º pav.")),W295&amp;" de "&amp;V295&amp;" concluídas")&amp;IF(Z295="","",IF(OR(Y295="",Z295&gt;Y295),", executando "&amp;IF(Z295&lt;0,IF(COUNTIF($E$5:$E$6004,"SUBSOLO*")&gt;0,"subsolo",-Z295&amp;"º subsolo"),IF(Z295=0,"térreo",Z295&amp;"º pav."))," (restam serviços no "&amp;IF(Z295&lt;0,IF(COUNTIF($E$5:$E$6004,"SUBSOLO*")&gt;0,"subsolo",-Z295&amp;"º subsolo"),IF(Z295=0,"térreo",Z295&amp;"º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26" t="n">
        <v>46010</v>
      </c>
      <c r="G296" s="126" t="n">
        <v>46010</v>
      </c>
      <c r="H296" s="126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IF(E296="","",IF(ISNUMBER(SEARCH("SUBSOLO",E296)),IFERROR(-VALUE(LEFT(E296,FIND("º",SUBSTITUTE(E296,"°","º"))-1)),-1),IF(LEFT(E296,6)="TÉRREO",0,IFERROR(VALUE(LEFT(E296,FIND("º",SUBSTITUTE(E296,"°","º"))-1)),""))))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IF(R296="","",COUNTIF($C$5:$C$6004,R296))</f>
        <v/>
      </c>
      <c r="W296" s="2">
        <f>IF(R296="","",COUNTIFS($C$5:$C$6004,R296,$O$5:$O$6004,"CONCLUÍDA"))</f>
        <v/>
      </c>
      <c r="X296" s="2">
        <f>IF(R296="","",COUNTIFS($C$5:$C$6004,R296,$O$5:$O$6004,"EM ANDAMENTO"))</f>
        <v/>
      </c>
      <c r="Y296" s="2">
        <f>IF(R296="","",IF(COUNTIFS($C$5:$C$6004,R296,$O$5:$O$6004,"CONCLUÍDA",$N$5:$N$6004,"&gt;=-99")=0,"",_xlfn.MAXIFS($N$5:$N$6004,$C$5:$C$6004,R296,$O$5:$O$6004,"CONCLUÍDA")))</f>
        <v/>
      </c>
      <c r="Z296" s="2">
        <f>IF(R296="","",IF(COUNTIFS($C$5:$C$6004,R296,$O$5:$O$6004,"EM ANDAMENTO",$N$5:$N$6004,"&gt;=-99")=0,"",_xlfn.MAXIFS($N$5:$N$6004,$C$5:$C$6004,R296,$O$5:$O$6004,"EM ANDAMENTO")))</f>
        <v/>
      </c>
      <c r="AA296" s="2">
        <f>IF(OR(R296="",S296="",U296&lt;&gt;"SIM",V296=0),"",IF(W296+X296=0,"",T296&amp;": "&amp;IF(W296=V296,"concluído",IF(W296=0,"em execução"&amp;IF(Z296&lt;&gt;""," ("&amp;IF(Z296&lt;0,IF(COUNTIF($E$5:$E$6004,"SUBSOLO*")&gt;0,"subsolo",-Z296&amp;"º subsolo"),IF(Z296=0,"térreo",Z296&amp;"º pav."))&amp;")",""),IF(Y296&lt;&gt;"","até "&amp;IF(Y296&lt;0,IF(COUNTIF($E$5:$E$6004,"SUBSOLO*")&gt;0,"subsolo",-Y296&amp;"º subsolo"),IF(Y296=0,"térreo",Y296&amp;"º pav.")),W296&amp;" de "&amp;V296&amp;" concluídas")&amp;IF(Z296="","",IF(OR(Y296="",Z296&gt;Y296),", executando "&amp;IF(Z296&lt;0,IF(COUNTIF($E$5:$E$6004,"SUBSOLO*")&gt;0,"subsolo",-Z296&amp;"º subsolo"),IF(Z296=0,"térreo",Z296&amp;"º pav."))," (restam serviços no "&amp;IF(Z296&lt;0,IF(COUNTIF($E$5:$E$6004,"SUBSOLO*")&gt;0,"subsolo",-Z296&amp;"º subsolo"),IF(Z296=0,"térreo",Z296&amp;"º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26" t="n">
        <v>45994</v>
      </c>
      <c r="G297" s="126" t="n">
        <v>46045</v>
      </c>
      <c r="H297" s="126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IF(E297="","",IF(ISNUMBER(SEARCH("SUBSOLO",E297)),IFERROR(-VALUE(LEFT(E297,FIND("º",SUBSTITUTE(E297,"°","º"))-1)),-1),IF(LEFT(E297,6)="TÉRREO",0,IFERROR(VALUE(LEFT(E297,FIND("º",SUBSTITUTE(E297,"°","º"))-1)),""))))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IF(R297="","",COUNTIF($C$5:$C$6004,R297))</f>
        <v/>
      </c>
      <c r="W297" s="2">
        <f>IF(R297="","",COUNTIFS($C$5:$C$6004,R297,$O$5:$O$6004,"CONCLUÍDA"))</f>
        <v/>
      </c>
      <c r="X297" s="2">
        <f>IF(R297="","",COUNTIFS($C$5:$C$6004,R297,$O$5:$O$6004,"EM ANDAMENTO"))</f>
        <v/>
      </c>
      <c r="Y297" s="2">
        <f>IF(R297="","",IF(COUNTIFS($C$5:$C$6004,R297,$O$5:$O$6004,"CONCLUÍDA",$N$5:$N$6004,"&gt;=-99")=0,"",_xlfn.MAXIFS($N$5:$N$6004,$C$5:$C$6004,R297,$O$5:$O$6004,"CONCLUÍDA")))</f>
        <v/>
      </c>
      <c r="Z297" s="2">
        <f>IF(R297="","",IF(COUNTIFS($C$5:$C$6004,R297,$O$5:$O$6004,"EM ANDAMENTO",$N$5:$N$6004,"&gt;=-99")=0,"",_xlfn.MAXIFS($N$5:$N$6004,$C$5:$C$6004,R297,$O$5:$O$6004,"EM ANDAMENTO")))</f>
        <v/>
      </c>
      <c r="AA297" s="2">
        <f>IF(OR(R297="",S297="",U297&lt;&gt;"SIM",V297=0),"",IF(W297+X297=0,"",T297&amp;": "&amp;IF(W297=V297,"concluído",IF(W297=0,"em execução"&amp;IF(Z297&lt;&gt;""," ("&amp;IF(Z297&lt;0,IF(COUNTIF($E$5:$E$6004,"SUBSOLO*")&gt;0,"subsolo",-Z297&amp;"º subsolo"),IF(Z297=0,"térreo",Z297&amp;"º pav."))&amp;")",""),IF(Y297&lt;&gt;"","até "&amp;IF(Y297&lt;0,IF(COUNTIF($E$5:$E$6004,"SUBSOLO*")&gt;0,"subsolo",-Y297&amp;"º subsolo"),IF(Y297=0,"térreo",Y297&amp;"º pav.")),W297&amp;" de "&amp;V297&amp;" concluídas")&amp;IF(Z297="","",IF(OR(Y297="",Z297&gt;Y297),", executando "&amp;IF(Z297&lt;0,IF(COUNTIF($E$5:$E$6004,"SUBSOLO*")&gt;0,"subsolo",-Z297&amp;"º subsolo"),IF(Z297=0,"térreo",Z297&amp;"º pav."))," (restam serviços no "&amp;IF(Z297&lt;0,IF(COUNTIF($E$5:$E$6004,"SUBSOLO*")&gt;0,"subsolo",-Z297&amp;"º subsolo"),IF(Z297=0,"térreo",Z297&amp;"º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26" t="n">
        <v>46027</v>
      </c>
      <c r="G298" s="126" t="n">
        <v>46055</v>
      </c>
      <c r="H298" s="126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IF(E298="","",IF(ISNUMBER(SEARCH("SUBSOLO",E298)),IFERROR(-VALUE(LEFT(E298,FIND("º",SUBSTITUTE(E298,"°","º"))-1)),-1),IF(LEFT(E298,6)="TÉRREO",0,IFERROR(VALUE(LEFT(E298,FIND("º",SUBSTITUTE(E298,"°","º"))-1)),""))))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IF(R298="","",COUNTIF($C$5:$C$6004,R298))</f>
        <v/>
      </c>
      <c r="W298" s="2">
        <f>IF(R298="","",COUNTIFS($C$5:$C$6004,R298,$O$5:$O$6004,"CONCLUÍDA"))</f>
        <v/>
      </c>
      <c r="X298" s="2">
        <f>IF(R298="","",COUNTIFS($C$5:$C$6004,R298,$O$5:$O$6004,"EM ANDAMENTO"))</f>
        <v/>
      </c>
      <c r="Y298" s="2">
        <f>IF(R298="","",IF(COUNTIFS($C$5:$C$6004,R298,$O$5:$O$6004,"CONCLUÍDA",$N$5:$N$6004,"&gt;=-99")=0,"",_xlfn.MAXIFS($N$5:$N$6004,$C$5:$C$6004,R298,$O$5:$O$6004,"CONCLUÍDA")))</f>
        <v/>
      </c>
      <c r="Z298" s="2">
        <f>IF(R298="","",IF(COUNTIFS($C$5:$C$6004,R298,$O$5:$O$6004,"EM ANDAMENTO",$N$5:$N$6004,"&gt;=-99")=0,"",_xlfn.MAXIFS($N$5:$N$6004,$C$5:$C$6004,R298,$O$5:$O$6004,"EM ANDAMENTO")))</f>
        <v/>
      </c>
      <c r="AA298" s="2">
        <f>IF(OR(R298="",S298="",U298&lt;&gt;"SIM",V298=0),"",IF(W298+X298=0,"",T298&amp;": "&amp;IF(W298=V298,"concluído",IF(W298=0,"em execução"&amp;IF(Z298&lt;&gt;""," ("&amp;IF(Z298&lt;0,IF(COUNTIF($E$5:$E$6004,"SUBSOLO*")&gt;0,"subsolo",-Z298&amp;"º subsolo"),IF(Z298=0,"térreo",Z298&amp;"º pav."))&amp;")",""),IF(Y298&lt;&gt;"","até "&amp;IF(Y298&lt;0,IF(COUNTIF($E$5:$E$6004,"SUBSOLO*")&gt;0,"subsolo",-Y298&amp;"º subsolo"),IF(Y298=0,"térreo",Y298&amp;"º pav.")),W298&amp;" de "&amp;V298&amp;" concluídas")&amp;IF(Z298="","",IF(OR(Y298="",Z298&gt;Y298),", executando "&amp;IF(Z298&lt;0,IF(COUNTIF($E$5:$E$6004,"SUBSOLO*")&gt;0,"subsolo",-Z298&amp;"º subsolo"),IF(Z298=0,"térreo",Z298&amp;"º pav."))," (restam serviços no "&amp;IF(Z298&lt;0,IF(COUNTIF($E$5:$E$6004,"SUBSOLO*")&gt;0,"subsolo",-Z298&amp;"º subsolo"),IF(Z298=0,"térreo",Z298&amp;"º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26" t="n">
        <v>46027</v>
      </c>
      <c r="G299" s="126" t="n">
        <v>46031</v>
      </c>
      <c r="H299" s="126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IF(E299="","",IF(ISNUMBER(SEARCH("SUBSOLO",E299)),IFERROR(-VALUE(LEFT(E299,FIND("º",SUBSTITUTE(E299,"°","º"))-1)),-1),IF(LEFT(E299,6)="TÉRREO",0,IFERROR(VALUE(LEFT(E299,FIND("º",SUBSTITUTE(E299,"°","º"))-1)),""))))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IF(R299="","",COUNTIF($C$5:$C$6004,R299))</f>
        <v/>
      </c>
      <c r="W299" s="2">
        <f>IF(R299="","",COUNTIFS($C$5:$C$6004,R299,$O$5:$O$6004,"CONCLUÍDA"))</f>
        <v/>
      </c>
      <c r="X299" s="2">
        <f>IF(R299="","",COUNTIFS($C$5:$C$6004,R299,$O$5:$O$6004,"EM ANDAMENTO"))</f>
        <v/>
      </c>
      <c r="Y299" s="2">
        <f>IF(R299="","",IF(COUNTIFS($C$5:$C$6004,R299,$O$5:$O$6004,"CONCLUÍDA",$N$5:$N$6004,"&gt;=-99")=0,"",_xlfn.MAXIFS($N$5:$N$6004,$C$5:$C$6004,R299,$O$5:$O$6004,"CONCLUÍDA")))</f>
        <v/>
      </c>
      <c r="Z299" s="2">
        <f>IF(R299="","",IF(COUNTIFS($C$5:$C$6004,R299,$O$5:$O$6004,"EM ANDAMENTO",$N$5:$N$6004,"&gt;=-99")=0,"",_xlfn.MAXIFS($N$5:$N$6004,$C$5:$C$6004,R299,$O$5:$O$6004,"EM ANDAMENTO")))</f>
        <v/>
      </c>
      <c r="AA299" s="2">
        <f>IF(OR(R299="",S299="",U299&lt;&gt;"SIM",V299=0),"",IF(W299+X299=0,"",T299&amp;": "&amp;IF(W299=V299,"concluído",IF(W299=0,"em execução"&amp;IF(Z299&lt;&gt;""," ("&amp;IF(Z299&lt;0,IF(COUNTIF($E$5:$E$6004,"SUBSOLO*")&gt;0,"subsolo",-Z299&amp;"º subsolo"),IF(Z299=0,"térreo",Z299&amp;"º pav."))&amp;")",""),IF(Y299&lt;&gt;"","até "&amp;IF(Y299&lt;0,IF(COUNTIF($E$5:$E$6004,"SUBSOLO*")&gt;0,"subsolo",-Y299&amp;"º subsolo"),IF(Y299=0,"térreo",Y299&amp;"º pav.")),W299&amp;" de "&amp;V299&amp;" concluídas")&amp;IF(Z299="","",IF(OR(Y299="",Z299&gt;Y299),", executando "&amp;IF(Z299&lt;0,IF(COUNTIF($E$5:$E$6004,"SUBSOLO*")&gt;0,"subsolo",-Z299&amp;"º subsolo"),IF(Z299=0,"térreo",Z299&amp;"º pav."))," (restam serviços no "&amp;IF(Z299&lt;0,IF(COUNTIF($E$5:$E$6004,"SUBSOLO*")&gt;0,"subsolo",-Z299&amp;"º subsolo"),IF(Z299=0,"térreo",Z299&amp;"º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26" t="n">
        <v>46034</v>
      </c>
      <c r="G300" s="126" t="n">
        <v>46044</v>
      </c>
      <c r="H300" s="126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IF(E300="","",IF(ISNUMBER(SEARCH("SUBSOLO",E300)),IFERROR(-VALUE(LEFT(E300,FIND("º",SUBSTITUTE(E300,"°","º"))-1)),-1),IF(LEFT(E300,6)="TÉRREO",0,IFERROR(VALUE(LEFT(E300,FIND("º",SUBSTITUTE(E300,"°","º"))-1)),""))))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IF(R300="","",COUNTIF($C$5:$C$6004,R300))</f>
        <v/>
      </c>
      <c r="W300" s="2">
        <f>IF(R300="","",COUNTIFS($C$5:$C$6004,R300,$O$5:$O$6004,"CONCLUÍDA"))</f>
        <v/>
      </c>
      <c r="X300" s="2">
        <f>IF(R300="","",COUNTIFS($C$5:$C$6004,R300,$O$5:$O$6004,"EM ANDAMENTO"))</f>
        <v/>
      </c>
      <c r="Y300" s="2">
        <f>IF(R300="","",IF(COUNTIFS($C$5:$C$6004,R300,$O$5:$O$6004,"CONCLUÍDA",$N$5:$N$6004,"&gt;=-99")=0,"",_xlfn.MAXIFS($N$5:$N$6004,$C$5:$C$6004,R300,$O$5:$O$6004,"CONCLUÍDA")))</f>
        <v/>
      </c>
      <c r="Z300" s="2">
        <f>IF(R300="","",IF(COUNTIFS($C$5:$C$6004,R300,$O$5:$O$6004,"EM ANDAMENTO",$N$5:$N$6004,"&gt;=-99")=0,"",_xlfn.MAXIFS($N$5:$N$6004,$C$5:$C$6004,R300,$O$5:$O$6004,"EM ANDAMENTO")))</f>
        <v/>
      </c>
      <c r="AA300" s="2">
        <f>IF(OR(R300="",S300="",U300&lt;&gt;"SIM",V300=0),"",IF(W300+X300=0,"",T300&amp;": "&amp;IF(W300=V300,"concluído",IF(W300=0,"em execução"&amp;IF(Z300&lt;&gt;""," ("&amp;IF(Z300&lt;0,IF(COUNTIF($E$5:$E$6004,"SUBSOLO*")&gt;0,"subsolo",-Z300&amp;"º subsolo"),IF(Z300=0,"térreo",Z300&amp;"º pav."))&amp;")",""),IF(Y300&lt;&gt;"","até "&amp;IF(Y300&lt;0,IF(COUNTIF($E$5:$E$6004,"SUBSOLO*")&gt;0,"subsolo",-Y300&amp;"º subsolo"),IF(Y300=0,"térreo",Y300&amp;"º pav.")),W300&amp;" de "&amp;V300&amp;" concluídas")&amp;IF(Z300="","",IF(OR(Y300="",Z300&gt;Y300),", executando "&amp;IF(Z300&lt;0,IF(COUNTIF($E$5:$E$6004,"SUBSOLO*")&gt;0,"subsolo",-Z300&amp;"º subsolo"),IF(Z300=0,"térreo",Z300&amp;"º pav."))," (restam serviços no "&amp;IF(Z300&lt;0,IF(COUNTIF($E$5:$E$6004,"SUBSOLO*")&gt;0,"subsolo",-Z300&amp;"º subsolo"),IF(Z300=0,"térreo",Z300&amp;"º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26" t="n">
        <v>46042</v>
      </c>
      <c r="G301" s="126" t="n">
        <v>46043</v>
      </c>
      <c r="H301" s="126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IF(E301="","",IF(ISNUMBER(SEARCH("SUBSOLO",E301)),IFERROR(-VALUE(LEFT(E301,FIND("º",SUBSTITUTE(E301,"°","º"))-1)),-1),IF(LEFT(E301,6)="TÉRREO",0,IFERROR(VALUE(LEFT(E301,FIND("º",SUBSTITUTE(E301,"°","º"))-1)),""))))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IF(R301="","",COUNTIF($C$5:$C$6004,R301))</f>
        <v/>
      </c>
      <c r="W301" s="2">
        <f>IF(R301="","",COUNTIFS($C$5:$C$6004,R301,$O$5:$O$6004,"CONCLUÍDA"))</f>
        <v/>
      </c>
      <c r="X301" s="2">
        <f>IF(R301="","",COUNTIFS($C$5:$C$6004,R301,$O$5:$O$6004,"EM ANDAMENTO"))</f>
        <v/>
      </c>
      <c r="Y301" s="2">
        <f>IF(R301="","",IF(COUNTIFS($C$5:$C$6004,R301,$O$5:$O$6004,"CONCLUÍDA",$N$5:$N$6004,"&gt;=-99")=0,"",_xlfn.MAXIFS($N$5:$N$6004,$C$5:$C$6004,R301,$O$5:$O$6004,"CONCLUÍDA")))</f>
        <v/>
      </c>
      <c r="Z301" s="2">
        <f>IF(R301="","",IF(COUNTIFS($C$5:$C$6004,R301,$O$5:$O$6004,"EM ANDAMENTO",$N$5:$N$6004,"&gt;=-99")=0,"",_xlfn.MAXIFS($N$5:$N$6004,$C$5:$C$6004,R301,$O$5:$O$6004,"EM ANDAMENTO")))</f>
        <v/>
      </c>
      <c r="AA301" s="2">
        <f>IF(OR(R301="",S301="",U301&lt;&gt;"SIM",V301=0),"",IF(W301+X301=0,"",T301&amp;": "&amp;IF(W301=V301,"concluído",IF(W301=0,"em execução"&amp;IF(Z301&lt;&gt;""," ("&amp;IF(Z301&lt;0,IF(COUNTIF($E$5:$E$6004,"SUBSOLO*")&gt;0,"subsolo",-Z301&amp;"º subsolo"),IF(Z301=0,"térreo",Z301&amp;"º pav."))&amp;")",""),IF(Y301&lt;&gt;"","até "&amp;IF(Y301&lt;0,IF(COUNTIF($E$5:$E$6004,"SUBSOLO*")&gt;0,"subsolo",-Y301&amp;"º subsolo"),IF(Y301=0,"térreo",Y301&amp;"º pav.")),W301&amp;" de "&amp;V301&amp;" concluídas")&amp;IF(Z301="","",IF(OR(Y301="",Z301&gt;Y301),", executando "&amp;IF(Z301&lt;0,IF(COUNTIF($E$5:$E$6004,"SUBSOLO*")&gt;0,"subsolo",-Z301&amp;"º subsolo"),IF(Z301=0,"térreo",Z301&amp;"º pav."))," (restam serviços no "&amp;IF(Z301&lt;0,IF(COUNTIF($E$5:$E$6004,"SUBSOLO*")&gt;0,"subsolo",-Z301&amp;"º subsolo"),IF(Z301=0,"térreo",Z301&amp;"º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26" t="n">
        <v>46045</v>
      </c>
      <c r="G302" s="126" t="n">
        <v>46055</v>
      </c>
      <c r="H302" s="126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IF(E302="","",IF(ISNUMBER(SEARCH("SUBSOLO",E302)),IFERROR(-VALUE(LEFT(E302,FIND("º",SUBSTITUTE(E302,"°","º"))-1)),-1),IF(LEFT(E302,6)="TÉRREO",0,IFERROR(VALUE(LEFT(E302,FIND("º",SUBSTITUTE(E302,"°","º"))-1)),""))))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IF(R302="","",COUNTIF($C$5:$C$6004,R302))</f>
        <v/>
      </c>
      <c r="W302" s="2">
        <f>IF(R302="","",COUNTIFS($C$5:$C$6004,R302,$O$5:$O$6004,"CONCLUÍDA"))</f>
        <v/>
      </c>
      <c r="X302" s="2">
        <f>IF(R302="","",COUNTIFS($C$5:$C$6004,R302,$O$5:$O$6004,"EM ANDAMENTO"))</f>
        <v/>
      </c>
      <c r="Y302" s="2">
        <f>IF(R302="","",IF(COUNTIFS($C$5:$C$6004,R302,$O$5:$O$6004,"CONCLUÍDA",$N$5:$N$6004,"&gt;=-99")=0,"",_xlfn.MAXIFS($N$5:$N$6004,$C$5:$C$6004,R302,$O$5:$O$6004,"CONCLUÍDA")))</f>
        <v/>
      </c>
      <c r="Z302" s="2">
        <f>IF(R302="","",IF(COUNTIFS($C$5:$C$6004,R302,$O$5:$O$6004,"EM ANDAMENTO",$N$5:$N$6004,"&gt;=-99")=0,"",_xlfn.MAXIFS($N$5:$N$6004,$C$5:$C$6004,R302,$O$5:$O$6004,"EM ANDAMENTO")))</f>
        <v/>
      </c>
      <c r="AA302" s="2">
        <f>IF(OR(R302="",S302="",U302&lt;&gt;"SIM",V302=0),"",IF(W302+X302=0,"",T302&amp;": "&amp;IF(W302=V302,"concluído",IF(W302=0,"em execução"&amp;IF(Z302&lt;&gt;""," ("&amp;IF(Z302&lt;0,IF(COUNTIF($E$5:$E$6004,"SUBSOLO*")&gt;0,"subsolo",-Z302&amp;"º subsolo"),IF(Z302=0,"térreo",Z302&amp;"º pav."))&amp;")",""),IF(Y302&lt;&gt;"","até "&amp;IF(Y302&lt;0,IF(COUNTIF($E$5:$E$6004,"SUBSOLO*")&gt;0,"subsolo",-Y302&amp;"º subsolo"),IF(Y302=0,"térreo",Y302&amp;"º pav.")),W302&amp;" de "&amp;V302&amp;" concluídas")&amp;IF(Z302="","",IF(OR(Y302="",Z302&gt;Y302),", executando "&amp;IF(Z302&lt;0,IF(COUNTIF($E$5:$E$6004,"SUBSOLO*")&gt;0,"subsolo",-Z302&amp;"º subsolo"),IF(Z302=0,"térreo",Z302&amp;"º pav."))," (restam serviços no "&amp;IF(Z302&lt;0,IF(COUNTIF($E$5:$E$6004,"SUBSOLO*")&gt;0,"subsolo",-Z302&amp;"º subsolo"),IF(Z302=0,"térreo",Z302&amp;"º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26" t="n">
        <v>46027</v>
      </c>
      <c r="G303" s="126" t="n">
        <v>46072</v>
      </c>
      <c r="H303" s="126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IF(E303="","",IF(ISNUMBER(SEARCH("SUBSOLO",E303)),IFERROR(-VALUE(LEFT(E303,FIND("º",SUBSTITUTE(E303,"°","º"))-1)),-1),IF(LEFT(E303,6)="TÉRREO",0,IFERROR(VALUE(LEFT(E303,FIND("º",SUBSTITUTE(E303,"°","º"))-1)),""))))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IF(R303="","",COUNTIF($C$5:$C$6004,R303))</f>
        <v/>
      </c>
      <c r="W303" s="2">
        <f>IF(R303="","",COUNTIFS($C$5:$C$6004,R303,$O$5:$O$6004,"CONCLUÍDA"))</f>
        <v/>
      </c>
      <c r="X303" s="2">
        <f>IF(R303="","",COUNTIFS($C$5:$C$6004,R303,$O$5:$O$6004,"EM ANDAMENTO"))</f>
        <v/>
      </c>
      <c r="Y303" s="2">
        <f>IF(R303="","",IF(COUNTIFS($C$5:$C$6004,R303,$O$5:$O$6004,"CONCLUÍDA",$N$5:$N$6004,"&gt;=-99")=0,"",_xlfn.MAXIFS($N$5:$N$6004,$C$5:$C$6004,R303,$O$5:$O$6004,"CONCLUÍDA")))</f>
        <v/>
      </c>
      <c r="Z303" s="2">
        <f>IF(R303="","",IF(COUNTIFS($C$5:$C$6004,R303,$O$5:$O$6004,"EM ANDAMENTO",$N$5:$N$6004,"&gt;=-99")=0,"",_xlfn.MAXIFS($N$5:$N$6004,$C$5:$C$6004,R303,$O$5:$O$6004,"EM ANDAMENTO")))</f>
        <v/>
      </c>
      <c r="AA303" s="2">
        <f>IF(OR(R303="",S303="",U303&lt;&gt;"SIM",V303=0),"",IF(W303+X303=0,"",T303&amp;": "&amp;IF(W303=V303,"concluído",IF(W303=0,"em execução"&amp;IF(Z303&lt;&gt;""," ("&amp;IF(Z303&lt;0,IF(COUNTIF($E$5:$E$6004,"SUBSOLO*")&gt;0,"subsolo",-Z303&amp;"º subsolo"),IF(Z303=0,"térreo",Z303&amp;"º pav."))&amp;")",""),IF(Y303&lt;&gt;"","até "&amp;IF(Y303&lt;0,IF(COUNTIF($E$5:$E$6004,"SUBSOLO*")&gt;0,"subsolo",-Y303&amp;"º subsolo"),IF(Y303=0,"térreo",Y303&amp;"º pav.")),W303&amp;" de "&amp;V303&amp;" concluídas")&amp;IF(Z303="","",IF(OR(Y303="",Z303&gt;Y303),", executando "&amp;IF(Z303&lt;0,IF(COUNTIF($E$5:$E$6004,"SUBSOLO*")&gt;0,"subsolo",-Z303&amp;"º subsolo"),IF(Z303=0,"térreo",Z303&amp;"º pav."))," (restam serviços no "&amp;IF(Z303&lt;0,IF(COUNTIF($E$5:$E$6004,"SUBSOLO*")&gt;0,"subsolo",-Z303&amp;"º subsolo"),IF(Z303=0,"térreo",Z303&amp;"º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26" t="n">
        <v>46027</v>
      </c>
      <c r="G304" s="126" t="n">
        <v>46042</v>
      </c>
      <c r="H304" s="126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IF(E304="","",IF(ISNUMBER(SEARCH("SUBSOLO",E304)),IFERROR(-VALUE(LEFT(E304,FIND("º",SUBSTITUTE(E304,"°","º"))-1)),-1),IF(LEFT(E304,6)="TÉRREO",0,IFERROR(VALUE(LEFT(E304,FIND("º",SUBSTITUTE(E304,"°","º"))-1)),""))))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IF(R304="","",COUNTIF($C$5:$C$6004,R304))</f>
        <v/>
      </c>
      <c r="W304" s="2">
        <f>IF(R304="","",COUNTIFS($C$5:$C$6004,R304,$O$5:$O$6004,"CONCLUÍDA"))</f>
        <v/>
      </c>
      <c r="X304" s="2">
        <f>IF(R304="","",COUNTIFS($C$5:$C$6004,R304,$O$5:$O$6004,"EM ANDAMENTO"))</f>
        <v/>
      </c>
      <c r="Y304" s="2">
        <f>IF(R304="","",IF(COUNTIFS($C$5:$C$6004,R304,$O$5:$O$6004,"CONCLUÍDA",$N$5:$N$6004,"&gt;=-99")=0,"",_xlfn.MAXIFS($N$5:$N$6004,$C$5:$C$6004,R304,$O$5:$O$6004,"CONCLUÍDA")))</f>
        <v/>
      </c>
      <c r="Z304" s="2">
        <f>IF(R304="","",IF(COUNTIFS($C$5:$C$6004,R304,$O$5:$O$6004,"EM ANDAMENTO",$N$5:$N$6004,"&gt;=-99")=0,"",_xlfn.MAXIFS($N$5:$N$6004,$C$5:$C$6004,R304,$O$5:$O$6004,"EM ANDAMENTO")))</f>
        <v/>
      </c>
      <c r="AA304" s="2">
        <f>IF(OR(R304="",S304="",U304&lt;&gt;"SIM",V304=0),"",IF(W304+X304=0,"",T304&amp;": "&amp;IF(W304=V304,"concluído",IF(W304=0,"em execução"&amp;IF(Z304&lt;&gt;""," ("&amp;IF(Z304&lt;0,IF(COUNTIF($E$5:$E$6004,"SUBSOLO*")&gt;0,"subsolo",-Z304&amp;"º subsolo"),IF(Z304=0,"térreo",Z304&amp;"º pav."))&amp;")",""),IF(Y304&lt;&gt;"","até "&amp;IF(Y304&lt;0,IF(COUNTIF($E$5:$E$6004,"SUBSOLO*")&gt;0,"subsolo",-Y304&amp;"º subsolo"),IF(Y304=0,"térreo",Y304&amp;"º pav.")),W304&amp;" de "&amp;V304&amp;" concluídas")&amp;IF(Z304="","",IF(OR(Y304="",Z304&gt;Y304),", executando "&amp;IF(Z304&lt;0,IF(COUNTIF($E$5:$E$6004,"SUBSOLO*")&gt;0,"subsolo",-Z304&amp;"º subsolo"),IF(Z304=0,"térreo",Z304&amp;"º pav."))," (restam serviços no "&amp;IF(Z304&lt;0,IF(COUNTIF($E$5:$E$6004,"SUBSOLO*")&gt;0,"subsolo",-Z304&amp;"º subsolo"),IF(Z304=0,"térreo",Z304&amp;"º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26" t="n">
        <v>46028</v>
      </c>
      <c r="G305" s="126" t="n">
        <v>46043</v>
      </c>
      <c r="H305" s="126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IF(E305="","",IF(ISNUMBER(SEARCH("SUBSOLO",E305)),IFERROR(-VALUE(LEFT(E305,FIND("º",SUBSTITUTE(E305,"°","º"))-1)),-1),IF(LEFT(E305,6)="TÉRREO",0,IFERROR(VALUE(LEFT(E305,FIND("º",SUBSTITUTE(E305,"°","º"))-1)),""))))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26" t="n">
        <v>46034</v>
      </c>
      <c r="G306" s="126" t="n">
        <v>46059</v>
      </c>
      <c r="H306" s="126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IF(E306="","",IF(ISNUMBER(SEARCH("SUBSOLO",E306)),IFERROR(-VALUE(LEFT(E306,FIND("º",SUBSTITUTE(E306,"°","º"))-1)),-1),IF(LEFT(E306,6)="TÉRREO",0,IFERROR(VALUE(LEFT(E306,FIND("º",SUBSTITUTE(E306,"°","º"))-1)),""))))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26" t="n">
        <v>46041</v>
      </c>
      <c r="G307" s="126" t="n">
        <v>46066</v>
      </c>
      <c r="H307" s="126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IF(E307="","",IF(ISNUMBER(SEARCH("SUBSOLO",E307)),IFERROR(-VALUE(LEFT(E307,FIND("º",SUBSTITUTE(E307,"°","º"))-1)),-1),IF(LEFT(E307,6)="TÉRREO",0,IFERROR(VALUE(LEFT(E307,FIND("º",SUBSTITUTE(E307,"°","º"))-1)),""))))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26" t="n">
        <v>46048</v>
      </c>
      <c r="G308" s="126" t="n">
        <v>46069</v>
      </c>
      <c r="H308" s="126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IF(E308="","",IF(ISNUMBER(SEARCH("SUBSOLO",E308)),IFERROR(-VALUE(LEFT(E308,FIND("º",SUBSTITUTE(E308,"°","º"))-1)),-1),IF(LEFT(E308,6)="TÉRREO",0,IFERROR(VALUE(LEFT(E308,FIND("º",SUBSTITUTE(E308,"°","º"))-1)),""))))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26" t="n">
        <v>46045</v>
      </c>
      <c r="G309" s="126" t="n">
        <v>46045</v>
      </c>
      <c r="H309" s="126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IF(E309="","",IF(ISNUMBER(SEARCH("SUBSOLO",E309)),IFERROR(-VALUE(LEFT(E309,FIND("º",SUBSTITUTE(E309,"°","º"))-1)),-1),IF(LEFT(E309,6)="TÉRREO",0,IFERROR(VALUE(LEFT(E309,FIND("º",SUBSTITUTE(E309,"°","º"))-1)),""))))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26" t="n">
        <v>46062</v>
      </c>
      <c r="G310" s="126" t="n">
        <v>46062</v>
      </c>
      <c r="H310" s="126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IF(E310="","",IF(ISNUMBER(SEARCH("SUBSOLO",E310)),IFERROR(-VALUE(LEFT(E310,FIND("º",SUBSTITUTE(E310,"°","º"))-1)),-1),IF(LEFT(E310,6)="TÉRREO",0,IFERROR(VALUE(LEFT(E310,FIND("º",SUBSTITUTE(E310,"°","º"))-1)),""))))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26" t="n">
        <v>46070</v>
      </c>
      <c r="G311" s="126" t="n">
        <v>46070</v>
      </c>
      <c r="H311" s="126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IF(E311="","",IF(ISNUMBER(SEARCH("SUBSOLO",E311)),IFERROR(-VALUE(LEFT(E311,FIND("º",SUBSTITUTE(E311,"°","º"))-1)),-1),IF(LEFT(E311,6)="TÉRREO",0,IFERROR(VALUE(LEFT(E311,FIND("º",SUBSTITUTE(E311,"°","º"))-1)),""))))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26" t="n">
        <v>46063</v>
      </c>
      <c r="G312" s="126" t="n">
        <v>46071</v>
      </c>
      <c r="H312" s="126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IF(E312="","",IF(ISNUMBER(SEARCH("SUBSOLO",E312)),IFERROR(-VALUE(LEFT(E312,FIND("º",SUBSTITUTE(E312,"°","º"))-1)),-1),IF(LEFT(E312,6)="TÉRREO",0,IFERROR(VALUE(LEFT(E312,FIND("º",SUBSTITUTE(E312,"°","º"))-1)),""))))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26" t="n">
        <v>46072</v>
      </c>
      <c r="G313" s="126" t="n">
        <v>46072</v>
      </c>
      <c r="H313" s="126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IF(E313="","",IF(ISNUMBER(SEARCH("SUBSOLO",E313)),IFERROR(-VALUE(LEFT(E313,FIND("º",SUBSTITUTE(E313,"°","º"))-1)),-1),IF(LEFT(E313,6)="TÉRREO",0,IFERROR(VALUE(LEFT(E313,FIND("º",SUBSTITUTE(E313,"°","º"))-1)),""))))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26" t="n">
        <v>46027</v>
      </c>
      <c r="G314" s="126" t="n">
        <v>46036</v>
      </c>
      <c r="H314" s="126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IF(E314="","",IF(ISNUMBER(SEARCH("SUBSOLO",E314)),IFERROR(-VALUE(LEFT(E314,FIND("º",SUBSTITUTE(E314,"°","º"))-1)),-1),IF(LEFT(E314,6)="TÉRREO",0,IFERROR(VALUE(LEFT(E314,FIND("º",SUBSTITUTE(E314,"°","º"))-1)),""))))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26" t="n">
        <v>46027</v>
      </c>
      <c r="G315" s="126" t="n">
        <v>46055</v>
      </c>
      <c r="H315" s="126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IF(E315="","",IF(ISNUMBER(SEARCH("SUBSOLO",E315)),IFERROR(-VALUE(LEFT(E315,FIND("º",SUBSTITUTE(E315,"°","º"))-1)),-1),IF(LEFT(E315,6)="TÉRREO",0,IFERROR(VALUE(LEFT(E315,FIND("º",SUBSTITUTE(E315,"°","º"))-1)),""))))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26" t="n">
        <v>46027</v>
      </c>
      <c r="G316" s="126" t="n">
        <v>46031</v>
      </c>
      <c r="H316" s="126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IF(E316="","",IF(ISNUMBER(SEARCH("SUBSOLO",E316)),IFERROR(-VALUE(LEFT(E316,FIND("º",SUBSTITUTE(E316,"°","º"))-1)),-1),IF(LEFT(E316,6)="TÉRREO",0,IFERROR(VALUE(LEFT(E316,FIND("º",SUBSTITUTE(E316,"°","º"))-1)),""))))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26" t="n">
        <v>46029</v>
      </c>
      <c r="G317" s="126" t="n">
        <v>46035</v>
      </c>
      <c r="H317" s="126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IF(E317="","",IF(ISNUMBER(SEARCH("SUBSOLO",E317)),IFERROR(-VALUE(LEFT(E317,FIND("º",SUBSTITUTE(E317,"°","º"))-1)),-1),IF(LEFT(E317,6)="TÉRREO",0,IFERROR(VALUE(LEFT(E317,FIND("º",SUBSTITUTE(E317,"°","º"))-1)),""))))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26" t="n">
        <v>46030</v>
      </c>
      <c r="G318" s="126" t="n">
        <v>46031</v>
      </c>
      <c r="H318" s="126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IF(E318="","",IF(ISNUMBER(SEARCH("SUBSOLO",E318)),IFERROR(-VALUE(LEFT(E318,FIND("º",SUBSTITUTE(E318,"°","º"))-1)),-1),IF(LEFT(E318,6)="TÉRREO",0,IFERROR(VALUE(LEFT(E318,FIND("º",SUBSTITUTE(E318,"°","º"))-1)),""))))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26" t="n">
        <v>46034</v>
      </c>
      <c r="G319" s="126" t="n">
        <v>46034</v>
      </c>
      <c r="H319" s="126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IF(E319="","",IF(ISNUMBER(SEARCH("SUBSOLO",E319)),IFERROR(-VALUE(LEFT(E319,FIND("º",SUBSTITUTE(E319,"°","º"))-1)),-1),IF(LEFT(E319,6)="TÉRREO",0,IFERROR(VALUE(LEFT(E319,FIND("º",SUBSTITUTE(E319,"°","º"))-1)),""))))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26" t="n">
        <v>46035</v>
      </c>
      <c r="G320" s="126" t="n">
        <v>46041</v>
      </c>
      <c r="H320" s="126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IF(E320="","",IF(ISNUMBER(SEARCH("SUBSOLO",E320)),IFERROR(-VALUE(LEFT(E320,FIND("º",SUBSTITUTE(E320,"°","º"))-1)),-1),IF(LEFT(E320,6)="TÉRREO",0,IFERROR(VALUE(LEFT(E320,FIND("º",SUBSTITUTE(E320,"°","º"))-1)),""))))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26" t="n">
        <v>46036</v>
      </c>
      <c r="G321" s="126" t="n">
        <v>46042</v>
      </c>
      <c r="H321" s="126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IF(E321="","",IF(ISNUMBER(SEARCH("SUBSOLO",E321)),IFERROR(-VALUE(LEFT(E321,FIND("º",SUBSTITUTE(E321,"°","º"))-1)),-1),IF(LEFT(E321,6)="TÉRREO",0,IFERROR(VALUE(LEFT(E321,FIND("º",SUBSTITUTE(E321,"°","º"))-1)),""))))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26" t="n">
        <v>46041</v>
      </c>
      <c r="G322" s="126" t="n">
        <v>46042</v>
      </c>
      <c r="H322" s="126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IF(E322="","",IF(ISNUMBER(SEARCH("SUBSOLO",E322)),IFERROR(-VALUE(LEFT(E322,FIND("º",SUBSTITUTE(E322,"°","º"))-1)),-1),IF(LEFT(E322,6)="TÉRREO",0,IFERROR(VALUE(LEFT(E322,FIND("º",SUBSTITUTE(E322,"°","º"))-1)),""))))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26" t="n">
        <v>46042</v>
      </c>
      <c r="G323" s="126" t="n">
        <v>46043</v>
      </c>
      <c r="H323" s="126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IF(E323="","",IF(ISNUMBER(SEARCH("SUBSOLO",E323)),IFERROR(-VALUE(LEFT(E323,FIND("º",SUBSTITUTE(E323,"°","º"))-1)),-1),IF(LEFT(E323,6)="TÉRREO",0,IFERROR(VALUE(LEFT(E323,FIND("º",SUBSTITUTE(E323,"°","º"))-1)),""))))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26" t="n">
        <v>46044</v>
      </c>
      <c r="G324" s="126" t="n">
        <v>46055</v>
      </c>
      <c r="H324" s="126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IF(E324="","",IF(ISNUMBER(SEARCH("SUBSOLO",E324)),IFERROR(-VALUE(LEFT(E324,FIND("º",SUBSTITUTE(E324,"°","º"))-1)),-1),IF(LEFT(E324,6)="TÉRREO",0,IFERROR(VALUE(LEFT(E324,FIND("º",SUBSTITUTE(E324,"°","º"))-1)),""))))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26" t="n">
        <v>46029</v>
      </c>
      <c r="G325" s="126" t="n">
        <v>46070</v>
      </c>
      <c r="H325" s="126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IF(E325="","",IF(ISNUMBER(SEARCH("SUBSOLO",E325)),IFERROR(-VALUE(LEFT(E325,FIND("º",SUBSTITUTE(E325,"°","º"))-1)),-1),IF(LEFT(E325,6)="TÉRREO",0,IFERROR(VALUE(LEFT(E325,FIND("º",SUBSTITUTE(E325,"°","º"))-1)),""))))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26" t="n">
        <v>46051</v>
      </c>
      <c r="G326" s="126" t="n">
        <v>46178</v>
      </c>
      <c r="H326" s="126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IF(E326="","",IF(ISNUMBER(SEARCH("SUBSOLO",E326)),IFERROR(-VALUE(LEFT(E326,FIND("º",SUBSTITUTE(E326,"°","º"))-1)),-1),IF(LEFT(E326,6)="TÉRREO",0,IFERROR(VALUE(LEFT(E326,FIND("º",SUBSTITUTE(E326,"°","º"))-1)),""))))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26" t="n">
        <v>46051</v>
      </c>
      <c r="G327" s="126" t="n">
        <v>46057</v>
      </c>
      <c r="H327" s="126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IF(E327="","",IF(ISNUMBER(SEARCH("SUBSOLO",E327)),IFERROR(-VALUE(LEFT(E327,FIND("º",SUBSTITUTE(E327,"°","º"))-1)),-1),IF(LEFT(E327,6)="TÉRREO",0,IFERROR(VALUE(LEFT(E327,FIND("º",SUBSTITUTE(E327,"°","º"))-1)),""))))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26" t="n">
        <v>46058</v>
      </c>
      <c r="G328" s="126" t="n">
        <v>46069</v>
      </c>
      <c r="H328" s="126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IF(E328="","",IF(ISNUMBER(SEARCH("SUBSOLO",E328)),IFERROR(-VALUE(LEFT(E328,FIND("º",SUBSTITUTE(E328,"°","º"))-1)),-1),IF(LEFT(E328,6)="TÉRREO",0,IFERROR(VALUE(LEFT(E328,FIND("º",SUBSTITUTE(E328,"°","º"))-1)),""))))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26" t="n">
        <v>46070</v>
      </c>
      <c r="G329" s="126" t="n">
        <v>46079</v>
      </c>
      <c r="H329" s="126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IF(E329="","",IF(ISNUMBER(SEARCH("SUBSOLO",E329)),IFERROR(-VALUE(LEFT(E329,FIND("º",SUBSTITUTE(E329,"°","º"))-1)),-1),IF(LEFT(E329,6)="TÉRREO",0,IFERROR(VALUE(LEFT(E329,FIND("º",SUBSTITUTE(E329,"°","º"))-1)),""))))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26" t="n">
        <v>46080</v>
      </c>
      <c r="G330" s="126" t="n">
        <v>46086</v>
      </c>
      <c r="H330" s="126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IF(E330="","",IF(ISNUMBER(SEARCH("SUBSOLO",E330)),IFERROR(-VALUE(LEFT(E330,FIND("º",SUBSTITUTE(E330,"°","º"))-1)),-1),IF(LEFT(E330,6)="TÉRREO",0,IFERROR(VALUE(LEFT(E330,FIND("º",SUBSTITUTE(E330,"°","º"))-1)),""))))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26" t="n">
        <v>46087</v>
      </c>
      <c r="G331" s="126" t="n">
        <v>46093</v>
      </c>
      <c r="H331" s="126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IF(E331="","",IF(ISNUMBER(SEARCH("SUBSOLO",E331)),IFERROR(-VALUE(LEFT(E331,FIND("º",SUBSTITUTE(E331,"°","º"))-1)),-1),IF(LEFT(E331,6)="TÉRREO",0,IFERROR(VALUE(LEFT(E331,FIND("º",SUBSTITUTE(E331,"°","º"))-1)),""))))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26" t="n">
        <v>46094</v>
      </c>
      <c r="G332" s="126" t="n">
        <v>46178</v>
      </c>
      <c r="H332" s="126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IF(E332="","",IF(ISNUMBER(SEARCH("SUBSOLO",E332)),IFERROR(-VALUE(LEFT(E332,FIND("º",SUBSTITUTE(E332,"°","º"))-1)),-1),IF(LEFT(E332,6)="TÉRREO",0,IFERROR(VALUE(LEFT(E332,FIND("º",SUBSTITUTE(E332,"°","º"))-1)),""))))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26" t="n">
        <v>46055</v>
      </c>
      <c r="G333" s="126" t="n">
        <v>46325</v>
      </c>
      <c r="H333" s="126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IF(E333="","",IF(ISNUMBER(SEARCH("SUBSOLO",E333)),IFERROR(-VALUE(LEFT(E333,FIND("º",SUBSTITUTE(E333,"°","º"))-1)),-1),IF(LEFT(E333,6)="TÉRREO",0,IFERROR(VALUE(LEFT(E333,FIND("º",SUBSTITUTE(E333,"°","º"))-1)),""))))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26" t="n">
        <v>46056</v>
      </c>
      <c r="G334" s="126" t="n">
        <v>46076</v>
      </c>
      <c r="H334" s="126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IF(E334="","",IF(ISNUMBER(SEARCH("SUBSOLO",E334)),IFERROR(-VALUE(LEFT(E334,FIND("º",SUBSTITUTE(E334,"°","º"))-1)),-1),IF(LEFT(E334,6)="TÉRREO",0,IFERROR(VALUE(LEFT(E334,FIND("º",SUBSTITUTE(E334,"°","º"))-1)),""))))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26" t="n">
        <v>46056</v>
      </c>
      <c r="G335" s="126" t="n">
        <v>46062</v>
      </c>
      <c r="H335" s="126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IF(E335="","",IF(ISNUMBER(SEARCH("SUBSOLO",E335)),IFERROR(-VALUE(LEFT(E335,FIND("º",SUBSTITUTE(E335,"°","º"))-1)),-1),IF(LEFT(E335,6)="TÉRREO",0,IFERROR(VALUE(LEFT(E335,FIND("º",SUBSTITUTE(E335,"°","º"))-1)),""))))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26" t="n">
        <v>46063</v>
      </c>
      <c r="G336" s="126" t="n">
        <v>46073</v>
      </c>
      <c r="H336" s="126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IF(E336="","",IF(ISNUMBER(SEARCH("SUBSOLO",E336)),IFERROR(-VALUE(LEFT(E336,FIND("º",SUBSTITUTE(E336,"°","º"))-1)),-1),IF(LEFT(E336,6)="TÉRREO",0,IFERROR(VALUE(LEFT(E336,FIND("º",SUBSTITUTE(E336,"°","º"))-1)),""))))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26" t="n">
        <v>46071</v>
      </c>
      <c r="G337" s="126" t="n">
        <v>46072</v>
      </c>
      <c r="H337" s="126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IF(E337="","",IF(ISNUMBER(SEARCH("SUBSOLO",E337)),IFERROR(-VALUE(LEFT(E337,FIND("º",SUBSTITUTE(E337,"°","º"))-1)),-1),IF(LEFT(E337,6)="TÉRREO",0,IFERROR(VALUE(LEFT(E337,FIND("º",SUBSTITUTE(E337,"°","º"))-1)),""))))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26" t="n">
        <v>46076</v>
      </c>
      <c r="G338" s="126" t="n">
        <v>46076</v>
      </c>
      <c r="H338" s="126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IF(E338="","",IF(ISNUMBER(SEARCH("SUBSOLO",E338)),IFERROR(-VALUE(LEFT(E338,FIND("º",SUBSTITUTE(E338,"°","º"))-1)),-1),IF(LEFT(E338,6)="TÉRREO",0,IFERROR(VALUE(LEFT(E338,FIND("º",SUBSTITUTE(E338,"°","º"))-1)),""))))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26" t="n">
        <v>46056</v>
      </c>
      <c r="G339" s="126" t="n">
        <v>46087</v>
      </c>
      <c r="H339" s="126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IF(E339="","",IF(ISNUMBER(SEARCH("SUBSOLO",E339)),IFERROR(-VALUE(LEFT(E339,FIND("º",SUBSTITUTE(E339,"°","º"))-1)),-1),IF(LEFT(E339,6)="TÉRREO",0,IFERROR(VALUE(LEFT(E339,FIND("º",SUBSTITUTE(E339,"°","º"))-1)),""))))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26" t="n">
        <v>46056</v>
      </c>
      <c r="G340" s="126" t="n">
        <v>46059</v>
      </c>
      <c r="H340" s="126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IF(E340="","",IF(ISNUMBER(SEARCH("SUBSOLO",E340)),IFERROR(-VALUE(LEFT(E340,FIND("º",SUBSTITUTE(E340,"°","º"))-1)),-1),IF(LEFT(E340,6)="TÉRREO",0,IFERROR(VALUE(LEFT(E340,FIND("º",SUBSTITUTE(E340,"°","º"))-1)),""))))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26" t="n">
        <v>46059</v>
      </c>
      <c r="G341" s="126" t="n">
        <v>46064</v>
      </c>
      <c r="H341" s="126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IF(E341="","",IF(ISNUMBER(SEARCH("SUBSOLO",E341)),IFERROR(-VALUE(LEFT(E341,FIND("º",SUBSTITUTE(E341,"°","º"))-1)),-1),IF(LEFT(E341,6)="TÉRREO",0,IFERROR(VALUE(LEFT(E341,FIND("º",SUBSTITUTE(E341,"°","º"))-1)),""))))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26" t="n">
        <v>46062</v>
      </c>
      <c r="G342" s="126" t="n">
        <v>46063</v>
      </c>
      <c r="H342" s="126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IF(E342="","",IF(ISNUMBER(SEARCH("SUBSOLO",E342)),IFERROR(-VALUE(LEFT(E342,FIND("º",SUBSTITUTE(E342,"°","º"))-1)),-1),IF(LEFT(E342,6)="TÉRREO",0,IFERROR(VALUE(LEFT(E342,FIND("º",SUBSTITUTE(E342,"°","º"))-1)),""))))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26" t="n">
        <v>46064</v>
      </c>
      <c r="G343" s="126" t="n">
        <v>46064</v>
      </c>
      <c r="H343" s="126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IF(E343="","",IF(ISNUMBER(SEARCH("SUBSOLO",E343)),IFERROR(-VALUE(LEFT(E343,FIND("º",SUBSTITUTE(E343,"°","º"))-1)),-1),IF(LEFT(E343,6)="TÉRREO",0,IFERROR(VALUE(LEFT(E343,FIND("º",SUBSTITUTE(E343,"°","º"))-1)),""))))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26" t="n">
        <v>46065</v>
      </c>
      <c r="G344" s="126" t="n">
        <v>46071</v>
      </c>
      <c r="H344" s="126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IF(E344="","",IF(ISNUMBER(SEARCH("SUBSOLO",E344)),IFERROR(-VALUE(LEFT(E344,FIND("º",SUBSTITUTE(E344,"°","º"))-1)),-1),IF(LEFT(E344,6)="TÉRREO",0,IFERROR(VALUE(LEFT(E344,FIND("º",SUBSTITUTE(E344,"°","º"))-1)),""))))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26" t="n">
        <v>46066</v>
      </c>
      <c r="G345" s="126" t="n">
        <v>46072</v>
      </c>
      <c r="H345" s="126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IF(E345="","",IF(ISNUMBER(SEARCH("SUBSOLO",E345)),IFERROR(-VALUE(LEFT(E345,FIND("º",SUBSTITUTE(E345,"°","º"))-1)),-1),IF(LEFT(E345,6)="TÉRREO",0,IFERROR(VALUE(LEFT(E345,FIND("º",SUBSTITUTE(E345,"°","º"))-1)),""))))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26" t="n">
        <v>46071</v>
      </c>
      <c r="G346" s="126" t="n">
        <v>46072</v>
      </c>
      <c r="H346" s="126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IF(E346="","",IF(ISNUMBER(SEARCH("SUBSOLO",E346)),IFERROR(-VALUE(LEFT(E346,FIND("º",SUBSTITUTE(E346,"°","º"))-1)),-1),IF(LEFT(E346,6)="TÉRREO",0,IFERROR(VALUE(LEFT(E346,FIND("º",SUBSTITUTE(E346,"°","º"))-1)),""))))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26" t="n">
        <v>46072</v>
      </c>
      <c r="G347" s="126" t="n">
        <v>46073</v>
      </c>
      <c r="H347" s="126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IF(E347="","",IF(ISNUMBER(SEARCH("SUBSOLO",E347)),IFERROR(-VALUE(LEFT(E347,FIND("º",SUBSTITUTE(E347,"°","º"))-1)),-1),IF(LEFT(E347,6)="TÉRREO",0,IFERROR(VALUE(LEFT(E347,FIND("º",SUBSTITUTE(E347,"°","º"))-1)),""))))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26" t="n">
        <v>46076</v>
      </c>
      <c r="G348" s="126" t="n">
        <v>46087</v>
      </c>
      <c r="H348" s="126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IF(E348="","",IF(ISNUMBER(SEARCH("SUBSOLO",E348)),IFERROR(-VALUE(LEFT(E348,FIND("º",SUBSTITUTE(E348,"°","º"))-1)),-1),IF(LEFT(E348,6)="TÉRREO",0,IFERROR(VALUE(LEFT(E348,FIND("º",SUBSTITUTE(E348,"°","º"))-1)),""))))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26" t="n">
        <v>46062</v>
      </c>
      <c r="G349" s="126" t="n">
        <v>46078</v>
      </c>
      <c r="H349" s="126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IF(E349="","",IF(ISNUMBER(SEARCH("SUBSOLO",E349)),IFERROR(-VALUE(LEFT(E349,FIND("º",SUBSTITUTE(E349,"°","º"))-1)),-1),IF(LEFT(E349,6)="TÉRREO",0,IFERROR(VALUE(LEFT(E349,FIND("º",SUBSTITUTE(E349,"°","º"))-1)),""))))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26" t="n">
        <v>46069</v>
      </c>
      <c r="G350" s="126" t="n">
        <v>46178</v>
      </c>
      <c r="H350" s="126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IF(E350="","",IF(ISNUMBER(SEARCH("SUBSOLO",E350)),IFERROR(-VALUE(LEFT(E350,FIND("º",SUBSTITUTE(E350,"°","º"))-1)),-1),IF(LEFT(E350,6)="TÉRREO",0,IFERROR(VALUE(LEFT(E350,FIND("º",SUBSTITUTE(E350,"°","º"))-1)),""))))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26" t="n">
        <v>46078</v>
      </c>
      <c r="G351" s="126" t="n">
        <v>46085</v>
      </c>
      <c r="H351" s="126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IF(E351="","",IF(ISNUMBER(SEARCH("SUBSOLO",E351)),IFERROR(-VALUE(LEFT(E351,FIND("º",SUBSTITUTE(E351,"°","º"))-1)),-1),IF(LEFT(E351,6)="TÉRREO",0,IFERROR(VALUE(LEFT(E351,FIND("º",SUBSTITUTE(E351,"°","º"))-1)),""))))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26" t="n">
        <v>46083</v>
      </c>
      <c r="G352" s="126" t="n">
        <v>46112</v>
      </c>
      <c r="H352" s="126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IF(E352="","",IF(ISNUMBER(SEARCH("SUBSOLO",E352)),IFERROR(-VALUE(LEFT(E352,FIND("º",SUBSTITUTE(E352,"°","º"))-1)),-1),IF(LEFT(E352,6)="TÉRREO",0,IFERROR(VALUE(LEFT(E352,FIND("º",SUBSTITUTE(E352,"°","º"))-1)),""))))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26" t="n">
        <v>46083</v>
      </c>
      <c r="G353" s="126" t="n">
        <v>46112</v>
      </c>
      <c r="H353" s="126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IF(E353="","",IF(ISNUMBER(SEARCH("SUBSOLO",E353)),IFERROR(-VALUE(LEFT(E353,FIND("º",SUBSTITUTE(E353,"°","º"))-1)),-1),IF(LEFT(E353,6)="TÉRREO",0,IFERROR(VALUE(LEFT(E353,FIND("º",SUBSTITUTE(E353,"°","º"))-1)),""))))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26" t="n">
        <v>46083</v>
      </c>
      <c r="G354" s="126" t="n">
        <v>46140</v>
      </c>
      <c r="H354" s="126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IF(E354="","",IF(ISNUMBER(SEARCH("SUBSOLO",E354)),IFERROR(-VALUE(LEFT(E354,FIND("º",SUBSTITUTE(E354,"°","º"))-1)),-1),IF(LEFT(E354,6)="TÉRREO",0,IFERROR(VALUE(LEFT(E354,FIND("º",SUBSTITUTE(E354,"°","º"))-1)),""))))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26" t="n">
        <v>46086</v>
      </c>
      <c r="G355" s="126" t="n">
        <v>46097</v>
      </c>
      <c r="H355" s="126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IF(E355="","",IF(ISNUMBER(SEARCH("SUBSOLO",E355)),IFERROR(-VALUE(LEFT(E355,FIND("º",SUBSTITUTE(E355,"°","º"))-1)),-1),IF(LEFT(E355,6)="TÉRREO",0,IFERROR(VALUE(LEFT(E355,FIND("º",SUBSTITUTE(E355,"°","º"))-1)),""))))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26" t="n">
        <v>46086</v>
      </c>
      <c r="G356" s="126" t="n">
        <v>46100</v>
      </c>
      <c r="H356" s="126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IF(E356="","",IF(ISNUMBER(SEARCH("SUBSOLO",E356)),IFERROR(-VALUE(LEFT(E356,FIND("º",SUBSTITUTE(E356,"°","º"))-1)),-1),IF(LEFT(E356,6)="TÉRREO",0,IFERROR(VALUE(LEFT(E356,FIND("º",SUBSTITUTE(E356,"°","º"))-1)),""))))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26" t="n">
        <v>46090</v>
      </c>
      <c r="G357" s="126" t="n">
        <v>46118</v>
      </c>
      <c r="H357" s="126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IF(E357="","",IF(ISNUMBER(SEARCH("SUBSOLO",E357)),IFERROR(-VALUE(LEFT(E357,FIND("º",SUBSTITUTE(E357,"°","º"))-1)),-1),IF(LEFT(E357,6)="TÉRREO",0,IFERROR(VALUE(LEFT(E357,FIND("º",SUBSTITUTE(E357,"°","º"))-1)),""))))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26" t="n">
        <v>46090</v>
      </c>
      <c r="G358" s="126" t="n">
        <v>46101</v>
      </c>
      <c r="H358" s="126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IF(E358="","",IF(ISNUMBER(SEARCH("SUBSOLO",E358)),IFERROR(-VALUE(LEFT(E358,FIND("º",SUBSTITUTE(E358,"°","º"))-1)),-1),IF(LEFT(E358,6)="TÉRREO",0,IFERROR(VALUE(LEFT(E358,FIND("º",SUBSTITUTE(E358,"°","º"))-1)),""))))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26" t="n">
        <v>46090</v>
      </c>
      <c r="G359" s="126" t="n">
        <v>46091</v>
      </c>
      <c r="H359" s="126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IF(E359="","",IF(ISNUMBER(SEARCH("SUBSOLO",E359)),IFERROR(-VALUE(LEFT(E359,FIND("º",SUBSTITUTE(E359,"°","º"))-1)),-1),IF(LEFT(E359,6)="TÉRREO",0,IFERROR(VALUE(LEFT(E359,FIND("º",SUBSTITUTE(E359,"°","º"))-1)),""))))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26" t="n">
        <v>46090</v>
      </c>
      <c r="G360" s="126" t="n">
        <v>46091</v>
      </c>
      <c r="H360" s="126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IF(E360="","",IF(ISNUMBER(SEARCH("SUBSOLO",E360)),IFERROR(-VALUE(LEFT(E360,FIND("º",SUBSTITUTE(E360,"°","º"))-1)),-1),IF(LEFT(E360,6)="TÉRREO",0,IFERROR(VALUE(LEFT(E360,FIND("º",SUBSTITUTE(E360,"°","º"))-1)),""))))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26" t="n">
        <v>46091</v>
      </c>
      <c r="G361" s="126" t="n">
        <v>46092</v>
      </c>
      <c r="H361" s="126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IF(E361="","",IF(ISNUMBER(SEARCH("SUBSOLO",E361)),IFERROR(-VALUE(LEFT(E361,FIND("º",SUBSTITUTE(E361,"°","º"))-1)),-1),IF(LEFT(E361,6)="TÉRREO",0,IFERROR(VALUE(LEFT(E361,FIND("º",SUBSTITUTE(E361,"°","º"))-1)),""))))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26" t="n">
        <v>46093</v>
      </c>
      <c r="G362" s="126" t="n">
        <v>46093</v>
      </c>
      <c r="H362" s="126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IF(E362="","",IF(ISNUMBER(SEARCH("SUBSOLO",E362)),IFERROR(-VALUE(LEFT(E362,FIND("º",SUBSTITUTE(E362,"°","º"))-1)),-1),IF(LEFT(E362,6)="TÉRREO",0,IFERROR(VALUE(LEFT(E362,FIND("º",SUBSTITUTE(E362,"°","º"))-1)),""))))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26" t="n">
        <v>46094</v>
      </c>
      <c r="G363" s="126" t="n">
        <v>46099</v>
      </c>
      <c r="H363" s="126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IF(E363="","",IF(ISNUMBER(SEARCH("SUBSOLO",E363)),IFERROR(-VALUE(LEFT(E363,FIND("º",SUBSTITUTE(E363,"°","º"))-1)),-1),IF(LEFT(E363,6)="TÉRREO",0,IFERROR(VALUE(LEFT(E363,FIND("º",SUBSTITUTE(E363,"°","º"))-1)),""))))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26" t="n">
        <v>46097</v>
      </c>
      <c r="G364" s="126" t="n">
        <v>46100</v>
      </c>
      <c r="H364" s="126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IF(E364="","",IF(ISNUMBER(SEARCH("SUBSOLO",E364)),IFERROR(-VALUE(LEFT(E364,FIND("º",SUBSTITUTE(E364,"°","º"))-1)),-1),IF(LEFT(E364,6)="TÉRREO",0,IFERROR(VALUE(LEFT(E364,FIND("º",SUBSTITUTE(E364,"°","º"))-1)),""))))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26" t="n">
        <v>46099</v>
      </c>
      <c r="G365" s="126" t="n">
        <v>46099</v>
      </c>
      <c r="H365" s="126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IF(E365="","",IF(ISNUMBER(SEARCH("SUBSOLO",E365)),IFERROR(-VALUE(LEFT(E365,FIND("º",SUBSTITUTE(E365,"°","º"))-1)),-1),IF(LEFT(E365,6)="TÉRREO",0,IFERROR(VALUE(LEFT(E365,FIND("º",SUBSTITUTE(E365,"°","º"))-1)),""))))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26" t="n">
        <v>46099</v>
      </c>
      <c r="G366" s="126" t="n">
        <v>46099</v>
      </c>
      <c r="H366" s="126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IF(E366="","",IF(ISNUMBER(SEARCH("SUBSOLO",E366)),IFERROR(-VALUE(LEFT(E366,FIND("º",SUBSTITUTE(E366,"°","º"))-1)),-1),IF(LEFT(E366,6)="TÉRREO",0,IFERROR(VALUE(LEFT(E366,FIND("º",SUBSTITUTE(E366,"°","º"))-1)),""))))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26" t="n">
        <v>46100</v>
      </c>
      <c r="G367" s="126" t="n">
        <v>46101</v>
      </c>
      <c r="H367" s="126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IF(E367="","",IF(ISNUMBER(SEARCH("SUBSOLO",E367)),IFERROR(-VALUE(LEFT(E367,FIND("º",SUBSTITUTE(E367,"°","º"))-1)),-1),IF(LEFT(E367,6)="TÉRREO",0,IFERROR(VALUE(LEFT(E367,FIND("º",SUBSTITUTE(E367,"°","º"))-1)),""))))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26" t="n">
        <v>46097</v>
      </c>
      <c r="G368" s="126" t="n">
        <v>46220</v>
      </c>
      <c r="H368" s="126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IF(E368="","",IF(ISNUMBER(SEARCH("SUBSOLO",E368)),IFERROR(-VALUE(LEFT(E368,FIND("º",SUBSTITUTE(E368,"°","º"))-1)),-1),IF(LEFT(E368,6)="TÉRREO",0,IFERROR(VALUE(LEFT(E368,FIND("º",SUBSTITUTE(E368,"°","º"))-1)),""))))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26" t="n">
        <v>46097</v>
      </c>
      <c r="G369" s="126" t="n">
        <v>46174</v>
      </c>
      <c r="H369" s="126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IF(E369="","",IF(ISNUMBER(SEARCH("SUBSOLO",E369)),IFERROR(-VALUE(LEFT(E369,FIND("º",SUBSTITUTE(E369,"°","º"))-1)),-1),IF(LEFT(E369,6)="TÉRREO",0,IFERROR(VALUE(LEFT(E369,FIND("º",SUBSTITUTE(E369,"°","º"))-1)),""))))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26" t="n">
        <v>46175</v>
      </c>
      <c r="G370" s="126" t="n">
        <v>46189</v>
      </c>
      <c r="H370" s="126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IF(E370="","",IF(ISNUMBER(SEARCH("SUBSOLO",E370)),IFERROR(-VALUE(LEFT(E370,FIND("º",SUBSTITUTE(E370,"°","º"))-1)),-1),IF(LEFT(E370,6)="TÉRREO",0,IFERROR(VALUE(LEFT(E370,FIND("º",SUBSTITUTE(E370,"°","º"))-1)),""))))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26" t="n">
        <v>46190</v>
      </c>
      <c r="G371" s="126" t="n">
        <v>46210</v>
      </c>
      <c r="H371" s="126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IF(E371="","",IF(ISNUMBER(SEARCH("SUBSOLO",E371)),IFERROR(-VALUE(LEFT(E371,FIND("º",SUBSTITUTE(E371,"°","º"))-1)),-1),IF(LEFT(E371,6)="TÉRREO",0,IFERROR(VALUE(LEFT(E371,FIND("º",SUBSTITUTE(E371,"°","º"))-1)),""))))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26" t="n">
        <v>46211</v>
      </c>
      <c r="G372" s="126" t="n">
        <v>46220</v>
      </c>
      <c r="H372" s="126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IF(E372="","",IF(ISNUMBER(SEARCH("SUBSOLO",E372)),IFERROR(-VALUE(LEFT(E372,FIND("º",SUBSTITUTE(E372,"°","º"))-1)),-1),IF(LEFT(E372,6)="TÉRREO",0,IFERROR(VALUE(LEFT(E372,FIND("º",SUBSTITUTE(E372,"°","º"))-1)),""))))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26" t="n">
        <v>46097</v>
      </c>
      <c r="G373" s="126" t="n">
        <v>46161</v>
      </c>
      <c r="H373" s="126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IF(E373="","",IF(ISNUMBER(SEARCH("SUBSOLO",E373)),IFERROR(-VALUE(LEFT(E373,FIND("º",SUBSTITUTE(E373,"°","º"))-1)),-1),IF(LEFT(E373,6)="TÉRREO",0,IFERROR(VALUE(LEFT(E373,FIND("º",SUBSTITUTE(E373,"°","º"))-1)),""))))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26" t="n">
        <v>46097</v>
      </c>
      <c r="G374" s="126" t="n">
        <v>46127</v>
      </c>
      <c r="H374" s="126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IF(E374="","",IF(ISNUMBER(SEARCH("SUBSOLO",E374)),IFERROR(-VALUE(LEFT(E374,FIND("º",SUBSTITUTE(E374,"°","º"))-1)),-1),IF(LEFT(E374,6)="TÉRREO",0,IFERROR(VALUE(LEFT(E374,FIND("º",SUBSTITUTE(E374,"°","º"))-1)),""))))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26" t="n">
        <v>46128</v>
      </c>
      <c r="G375" s="126" t="n">
        <v>46161</v>
      </c>
      <c r="H375" s="126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IF(E375="","",IF(ISNUMBER(SEARCH("SUBSOLO",E375)),IFERROR(-VALUE(LEFT(E375,FIND("º",SUBSTITUTE(E375,"°","º"))-1)),-1),IF(LEFT(E375,6)="TÉRREO",0,IFERROR(VALUE(LEFT(E375,FIND("º",SUBSTITUTE(E375,"°","º"))-1)),""))))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26" t="n">
        <v>46097</v>
      </c>
      <c r="G376" s="126" t="n">
        <v>46101</v>
      </c>
      <c r="H376" s="126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IF(E376="","",IF(ISNUMBER(SEARCH("SUBSOLO",E376)),IFERROR(-VALUE(LEFT(E376,FIND("º",SUBSTITUTE(E376,"°","º"))-1)),-1),IF(LEFT(E376,6)="TÉRREO",0,IFERROR(VALUE(LEFT(E376,FIND("º",SUBSTITUTE(E376,"°","º"))-1)),""))))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26" t="n">
        <v>46098</v>
      </c>
      <c r="G377" s="126" t="n">
        <v>46108</v>
      </c>
      <c r="H377" s="126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IF(E377="","",IF(ISNUMBER(SEARCH("SUBSOLO",E377)),IFERROR(-VALUE(LEFT(E377,FIND("º",SUBSTITUTE(E377,"°","º"))-1)),-1),IF(LEFT(E377,6)="TÉRREO",0,IFERROR(VALUE(LEFT(E377,FIND("º",SUBSTITUTE(E377,"°","º"))-1)),""))))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26" t="n">
        <v>46100</v>
      </c>
      <c r="G378" s="126" t="n">
        <v>46142</v>
      </c>
      <c r="H378" s="126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IF(E378="","",IF(ISNUMBER(SEARCH("SUBSOLO",E378)),IFERROR(-VALUE(LEFT(E378,FIND("º",SUBSTITUTE(E378,"°","º"))-1)),-1),IF(LEFT(E378,6)="TÉRREO",0,IFERROR(VALUE(LEFT(E378,FIND("º",SUBSTITUTE(E378,"°","º"))-1)),""))))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26" t="n">
        <v>46101</v>
      </c>
      <c r="G379" s="126" t="n">
        <v>46164</v>
      </c>
      <c r="H379" s="126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IF(E379="","",IF(ISNUMBER(SEARCH("SUBSOLO",E379)),IFERROR(-VALUE(LEFT(E379,FIND("º",SUBSTITUTE(E379,"°","º"))-1)),-1),IF(LEFT(E379,6)="TÉRREO",0,IFERROR(VALUE(LEFT(E379,FIND("º",SUBSTITUTE(E379,"°","º"))-1)),""))))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26" t="n">
        <v>46104</v>
      </c>
      <c r="G380" s="126" t="n">
        <v>46135</v>
      </c>
      <c r="H380" s="126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IF(E380="","",IF(ISNUMBER(SEARCH("SUBSOLO",E380)),IFERROR(-VALUE(LEFT(E380,FIND("º",SUBSTITUTE(E380,"°","º"))-1)),-1),IF(LEFT(E380,6)="TÉRREO",0,IFERROR(VALUE(LEFT(E380,FIND("º",SUBSTITUTE(E380,"°","º"))-1)),""))))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26" t="n">
        <v>46104</v>
      </c>
      <c r="G381" s="126" t="n">
        <v>46127</v>
      </c>
      <c r="H381" s="126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IF(E381="","",IF(ISNUMBER(SEARCH("SUBSOLO",E381)),IFERROR(-VALUE(LEFT(E381,FIND("º",SUBSTITUTE(E381,"°","º"))-1)),-1),IF(LEFT(E381,6)="TÉRREO",0,IFERROR(VALUE(LEFT(E381,FIND("º",SUBSTITUTE(E381,"°","º"))-1)),""))))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26" t="n">
        <v>46104</v>
      </c>
      <c r="G382" s="126" t="n">
        <v>46105</v>
      </c>
      <c r="H382" s="126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IF(E382="","",IF(ISNUMBER(SEARCH("SUBSOLO",E382)),IFERROR(-VALUE(LEFT(E382,FIND("º",SUBSTITUTE(E382,"°","º"))-1)),-1),IF(LEFT(E382,6)="TÉRREO",0,IFERROR(VALUE(LEFT(E382,FIND("º",SUBSTITUTE(E382,"°","º"))-1)),""))))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26" t="n">
        <v>46104</v>
      </c>
      <c r="G383" s="126" t="n">
        <v>46105</v>
      </c>
      <c r="H383" s="126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IF(E383="","",IF(ISNUMBER(SEARCH("SUBSOLO",E383)),IFERROR(-VALUE(LEFT(E383,FIND("º",SUBSTITUTE(E383,"°","º"))-1)),-1),IF(LEFT(E383,6)="TÉRREO",0,IFERROR(VALUE(LEFT(E383,FIND("º",SUBSTITUTE(E383,"°","º"))-1)),""))))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26" t="n">
        <v>46105</v>
      </c>
      <c r="G384" s="126" t="n">
        <v>46106</v>
      </c>
      <c r="H384" s="126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IF(E384="","",IF(ISNUMBER(SEARCH("SUBSOLO",E384)),IFERROR(-VALUE(LEFT(E384,FIND("º",SUBSTITUTE(E384,"°","º"))-1)),-1),IF(LEFT(E384,6)="TÉRREO",0,IFERROR(VALUE(LEFT(E384,FIND("º",SUBSTITUTE(E384,"°","º"))-1)),""))))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26" t="n">
        <v>46107</v>
      </c>
      <c r="G385" s="126" t="n">
        <v>46107</v>
      </c>
      <c r="H385" s="126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IF(E385="","",IF(ISNUMBER(SEARCH("SUBSOLO",E385)),IFERROR(-VALUE(LEFT(E385,FIND("º",SUBSTITUTE(E385,"°","º"))-1)),-1),IF(LEFT(E385,6)="TÉRREO",0,IFERROR(VALUE(LEFT(E385,FIND("º",SUBSTITUTE(E385,"°","º"))-1)),""))))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26" t="n">
        <v>46108</v>
      </c>
      <c r="G386" s="126" t="n">
        <v>46113</v>
      </c>
      <c r="H386" s="126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IF(E386="","",IF(ISNUMBER(SEARCH("SUBSOLO",E386)),IFERROR(-VALUE(LEFT(E386,FIND("º",SUBSTITUTE(E386,"°","º"))-1)),-1),IF(LEFT(E386,6)="TÉRREO",0,IFERROR(VALUE(LEFT(E386,FIND("º",SUBSTITUTE(E386,"°","º"))-1)),""))))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26" t="n">
        <v>46111</v>
      </c>
      <c r="G387" s="126" t="n">
        <v>46114</v>
      </c>
      <c r="H387" s="126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IF(E387="","",IF(ISNUMBER(SEARCH("SUBSOLO",E387)),IFERROR(-VALUE(LEFT(E387,FIND("º",SUBSTITUTE(E387,"°","º"))-1)),-1),IF(LEFT(E387,6)="TÉRREO",0,IFERROR(VALUE(LEFT(E387,FIND("º",SUBSTITUTE(E387,"°","º"))-1)),""))))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26" t="n">
        <v>46113</v>
      </c>
      <c r="G388" s="126" t="n">
        <v>46113</v>
      </c>
      <c r="H388" s="126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IF(E388="","",IF(ISNUMBER(SEARCH("SUBSOLO",E388)),IFERROR(-VALUE(LEFT(E388,FIND("º",SUBSTITUTE(E388,"°","º"))-1)),-1),IF(LEFT(E388,6)="TÉRREO",0,IFERROR(VALUE(LEFT(E388,FIND("º",SUBSTITUTE(E388,"°","º"))-1)),""))))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26" t="n">
        <v>46113</v>
      </c>
      <c r="G389" s="126" t="n">
        <v>46113</v>
      </c>
      <c r="H389" s="126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IF(E389="","",IF(ISNUMBER(SEARCH("SUBSOLO",E389)),IFERROR(-VALUE(LEFT(E389,FIND("º",SUBSTITUTE(E389,"°","º"))-1)),-1),IF(LEFT(E389,6)="TÉRREO",0,IFERROR(VALUE(LEFT(E389,FIND("º",SUBSTITUTE(E389,"°","º"))-1)),""))))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26" t="n">
        <v>46114</v>
      </c>
      <c r="G390" s="126" t="n">
        <v>46127</v>
      </c>
      <c r="H390" s="126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IF(E390="","",IF(ISNUMBER(SEARCH("SUBSOLO",E390)),IFERROR(-VALUE(LEFT(E390,FIND("º",SUBSTITUTE(E390,"°","º"))-1)),-1),IF(LEFT(E390,6)="TÉRREO",0,IFERROR(VALUE(LEFT(E390,FIND("º",SUBSTITUTE(E390,"°","º"))-1)),""))))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26" t="n">
        <v>46111</v>
      </c>
      <c r="G391" s="126" t="n">
        <v>46157</v>
      </c>
      <c r="H391" s="126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IF(E391="","",IF(ISNUMBER(SEARCH("SUBSOLO",E391)),IFERROR(-VALUE(LEFT(E391,FIND("º",SUBSTITUTE(E391,"°","º"))-1)),-1),IF(LEFT(E391,6)="TÉRREO",0,IFERROR(VALUE(LEFT(E391,FIND("º",SUBSTITUTE(E391,"°","º"))-1)),""))))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26" t="n">
        <v>46111</v>
      </c>
      <c r="G392" s="126" t="n">
        <v>46192</v>
      </c>
      <c r="H392" s="126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IF(E392="","",IF(ISNUMBER(SEARCH("SUBSOLO",E392)),IFERROR(-VALUE(LEFT(E392,FIND("º",SUBSTITUTE(E392,"°","º"))-1)),-1),IF(LEFT(E392,6)="TÉRREO",0,IFERROR(VALUE(LEFT(E392,FIND("º",SUBSTITUTE(E392,"°","º"))-1)),""))))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26" t="n">
        <v>46113</v>
      </c>
      <c r="G393" s="126" t="n">
        <v>46189</v>
      </c>
      <c r="H393" s="126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IF(E393="","",IF(ISNUMBER(SEARCH("SUBSOLO",E393)),IFERROR(-VALUE(LEFT(E393,FIND("º",SUBSTITUTE(E393,"°","º"))-1)),-1),IF(LEFT(E393,6)="TÉRREO",0,IFERROR(VALUE(LEFT(E393,FIND("º",SUBSTITUTE(E393,"°","º"))-1)),""))))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26" t="n">
        <v>46113</v>
      </c>
      <c r="G394" s="126" t="n">
        <v>46164</v>
      </c>
      <c r="H394" s="126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IF(E394="","",IF(ISNUMBER(SEARCH("SUBSOLO",E394)),IFERROR(-VALUE(LEFT(E394,FIND("º",SUBSTITUTE(E394,"°","º"))-1)),-1),IF(LEFT(E394,6)="TÉRREO",0,IFERROR(VALUE(LEFT(E394,FIND("º",SUBSTITUTE(E394,"°","º"))-1)),""))))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26" t="n">
        <v>46113</v>
      </c>
      <c r="G395" s="126" t="n">
        <v>46135</v>
      </c>
      <c r="H395" s="126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IF(E395="","",IF(ISNUMBER(SEARCH("SUBSOLO",E395)),IFERROR(-VALUE(LEFT(E395,FIND("º",SUBSTITUTE(E395,"°","º"))-1)),-1),IF(LEFT(E395,6)="TÉRREO",0,IFERROR(VALUE(LEFT(E395,FIND("º",SUBSTITUTE(E395,"°","º"))-1)),""))))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26" t="n">
        <v>46113</v>
      </c>
      <c r="G396" s="126" t="n">
        <v>46150</v>
      </c>
      <c r="H396" s="126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IF(E396="","",IF(ISNUMBER(SEARCH("SUBSOLO",E396)),IFERROR(-VALUE(LEFT(E396,FIND("º",SUBSTITUTE(E396,"°","º"))-1)),-1),IF(LEFT(E396,6)="TÉRREO",0,IFERROR(VALUE(LEFT(E396,FIND("º",SUBSTITUTE(E396,"°","º"))-1)),""))))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26" t="n">
        <v>46113</v>
      </c>
      <c r="G397" s="126" t="n">
        <v>46164</v>
      </c>
      <c r="H397" s="126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IF(E397="","",IF(ISNUMBER(SEARCH("SUBSOLO",E397)),IFERROR(-VALUE(LEFT(E397,FIND("º",SUBSTITUTE(E397,"°","º"))-1)),-1),IF(LEFT(E397,6)="TÉRREO",0,IFERROR(VALUE(LEFT(E397,FIND("º",SUBSTITUTE(E397,"°","º"))-1)),""))))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26" t="n">
        <v>46113</v>
      </c>
      <c r="G398" s="126" t="n">
        <v>46178</v>
      </c>
      <c r="H398" s="126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IF(E398="","",IF(ISNUMBER(SEARCH("SUBSOLO",E398)),IFERROR(-VALUE(LEFT(E398,FIND("º",SUBSTITUTE(E398,"°","º"))-1)),-1),IF(LEFT(E398,6)="TÉRREO",0,IFERROR(VALUE(LEFT(E398,FIND("º",SUBSTITUTE(E398,"°","º"))-1)),""))))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26" t="n">
        <v>46176</v>
      </c>
      <c r="G399" s="126" t="n">
        <v>46183</v>
      </c>
      <c r="H399" s="126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IF(E399="","",IF(ISNUMBER(SEARCH("SUBSOLO",E399)),IFERROR(-VALUE(LEFT(E399,FIND("º",SUBSTITUTE(E399,"°","º"))-1)),-1),IF(LEFT(E399,6)="TÉRREO",0,IFERROR(VALUE(LEFT(E399,FIND("º",SUBSTITUTE(E399,"°","º"))-1)),""))))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26" t="n">
        <v>46181</v>
      </c>
      <c r="G400" s="126" t="n">
        <v>46181</v>
      </c>
      <c r="H400" s="126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IF(E400="","",IF(ISNUMBER(SEARCH("SUBSOLO",E400)),IFERROR(-VALUE(LEFT(E400,FIND("º",SUBSTITUTE(E400,"°","º"))-1)),-1),IF(LEFT(E400,6)="TÉRREO",0,IFERROR(VALUE(LEFT(E400,FIND("º",SUBSTITUTE(E400,"°","º"))-1)),""))))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26" t="n">
        <v>46181</v>
      </c>
      <c r="G401" s="126" t="n">
        <v>46185</v>
      </c>
      <c r="H401" s="126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IF(E401="","",IF(ISNUMBER(SEARCH("SUBSOLO",E401)),IFERROR(-VALUE(LEFT(E401,FIND("º",SUBSTITUTE(E401,"°","º"))-1)),-1),IF(LEFT(E401,6)="TÉRREO",0,IFERROR(VALUE(LEFT(E401,FIND("º",SUBSTITUTE(E401,"°","º"))-1)),""))))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26" t="n">
        <v>46181</v>
      </c>
      <c r="G402" s="126" t="n">
        <v>46185</v>
      </c>
      <c r="H402" s="126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IF(E402="","",IF(ISNUMBER(SEARCH("SUBSOLO",E402)),IFERROR(-VALUE(LEFT(E402,FIND("º",SUBSTITUTE(E402,"°","º"))-1)),-1),IF(LEFT(E402,6)="TÉRREO",0,IFERROR(VALUE(LEFT(E402,FIND("º",SUBSTITUTE(E402,"°","º"))-1)),""))))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26" t="n">
        <v>46188</v>
      </c>
      <c r="G403" s="126" t="n">
        <v>46189</v>
      </c>
      <c r="H403" s="126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IF(E403="","",IF(ISNUMBER(SEARCH("SUBSOLO",E403)),IFERROR(-VALUE(LEFT(E403,FIND("º",SUBSTITUTE(E403,"°","º"))-1)),-1),IF(LEFT(E403,6)="TÉRREO",0,IFERROR(VALUE(LEFT(E403,FIND("º",SUBSTITUTE(E403,"°","º"))-1)),""))))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26" t="n">
        <v>46188</v>
      </c>
      <c r="G404" s="126" t="n">
        <v>46189</v>
      </c>
      <c r="H404" s="126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IF(E404="","",IF(ISNUMBER(SEARCH("SUBSOLO",E404)),IFERROR(-VALUE(LEFT(E404,FIND("º",SUBSTITUTE(E404,"°","º"))-1)),-1),IF(LEFT(E404,6)="TÉRREO",0,IFERROR(VALUE(LEFT(E404,FIND("º",SUBSTITUTE(E404,"°","º"))-1)),""))))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26" t="n">
        <v>46113</v>
      </c>
      <c r="G405" s="126" t="n">
        <v>46164</v>
      </c>
      <c r="H405" s="126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IF(E405="","",IF(ISNUMBER(SEARCH("SUBSOLO",E405)),IFERROR(-VALUE(LEFT(E405,FIND("º",SUBSTITUTE(E405,"°","º"))-1)),-1),IF(LEFT(E405,6)="TÉRREO",0,IFERROR(VALUE(LEFT(E405,FIND("º",SUBSTITUTE(E405,"°","º"))-1)),""))))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26" t="n">
        <v>46119</v>
      </c>
      <c r="G406" s="126" t="n">
        <v>46220</v>
      </c>
      <c r="H406" s="126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IF(E406="","",IF(ISNUMBER(SEARCH("SUBSOLO",E406)),IFERROR(-VALUE(LEFT(E406,FIND("º",SUBSTITUTE(E406,"°","º"))-1)),-1),IF(LEFT(E406,6)="TÉRREO",0,IFERROR(VALUE(LEFT(E406,FIND("º",SUBSTITUTE(E406,"°","º"))-1)),""))))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26" t="n">
        <v>46119</v>
      </c>
      <c r="G407" s="126" t="n">
        <v>46220</v>
      </c>
      <c r="H407" s="126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IF(E407="","",IF(ISNUMBER(SEARCH("SUBSOLO",E407)),IFERROR(-VALUE(LEFT(E407,FIND("º",SUBSTITUTE(E407,"°","º"))-1)),-1),IF(LEFT(E407,6)="TÉRREO",0,IFERROR(VALUE(LEFT(E407,FIND("º",SUBSTITUTE(E407,"°","º"))-1)),""))))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26" t="n">
        <v>46119</v>
      </c>
      <c r="G408" s="126" t="n">
        <v>46234</v>
      </c>
      <c r="H408" s="126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IF(E408="","",IF(ISNUMBER(SEARCH("SUBSOLO",E408)),IFERROR(-VALUE(LEFT(E408,FIND("º",SUBSTITUTE(E408,"°","º"))-1)),-1),IF(LEFT(E408,6)="TÉRREO",0,IFERROR(VALUE(LEFT(E408,FIND("º",SUBSTITUTE(E408,"°","º"))-1)),""))))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26" t="n">
        <v>46126</v>
      </c>
      <c r="G409" s="126" t="n">
        <v>46164</v>
      </c>
      <c r="H409" s="126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IF(E409="","",IF(ISNUMBER(SEARCH("SUBSOLO",E409)),IFERROR(-VALUE(LEFT(E409,FIND("º",SUBSTITUTE(E409,"°","º"))-1)),-1),IF(LEFT(E409,6)="TÉRREO",0,IFERROR(VALUE(LEFT(E409,FIND("º",SUBSTITUTE(E409,"°","º"))-1)),""))))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26" t="n">
        <v>46128</v>
      </c>
      <c r="G410" s="126" t="n">
        <v>46148</v>
      </c>
      <c r="H410" s="126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IF(E410="","",IF(ISNUMBER(SEARCH("SUBSOLO",E410)),IFERROR(-VALUE(LEFT(E410,FIND("º",SUBSTITUTE(E410,"°","º"))-1)),-1),IF(LEFT(E410,6)="TÉRREO",0,IFERROR(VALUE(LEFT(E410,FIND("º",SUBSTITUTE(E410,"°","º"))-1)),""))))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26" t="n">
        <v>46128</v>
      </c>
      <c r="G411" s="126" t="n">
        <v>46129</v>
      </c>
      <c r="H411" s="126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IF(E411="","",IF(ISNUMBER(SEARCH("SUBSOLO",E411)),IFERROR(-VALUE(LEFT(E411,FIND("º",SUBSTITUTE(E411,"°","º"))-1)),-1),IF(LEFT(E411,6)="TÉRREO",0,IFERROR(VALUE(LEFT(E411,FIND("º",SUBSTITUTE(E411,"°","º"))-1)),""))))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26" t="n">
        <v>46128</v>
      </c>
      <c r="G412" s="126" t="n">
        <v>46129</v>
      </c>
      <c r="H412" s="126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IF(E412="","",IF(ISNUMBER(SEARCH("SUBSOLO",E412)),IFERROR(-VALUE(LEFT(E412,FIND("º",SUBSTITUTE(E412,"°","º"))-1)),-1),IF(LEFT(E412,6)="TÉRREO",0,IFERROR(VALUE(LEFT(E412,FIND("º",SUBSTITUTE(E412,"°","º"))-1)),""))))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26" t="n">
        <v>46129</v>
      </c>
      <c r="G413" s="126" t="n">
        <v>46132</v>
      </c>
      <c r="H413" s="126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IF(E413="","",IF(ISNUMBER(SEARCH("SUBSOLO",E413)),IFERROR(-VALUE(LEFT(E413,FIND("º",SUBSTITUTE(E413,"°","º"))-1)),-1),IF(LEFT(E413,6)="TÉRREO",0,IFERROR(VALUE(LEFT(E413,FIND("º",SUBSTITUTE(E413,"°","º"))-1)),""))))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26" t="n">
        <v>46134</v>
      </c>
      <c r="G414" s="126" t="n">
        <v>46134</v>
      </c>
      <c r="H414" s="126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IF(E414="","",IF(ISNUMBER(SEARCH("SUBSOLO",E414)),IFERROR(-VALUE(LEFT(E414,FIND("º",SUBSTITUTE(E414,"°","º"))-1)),-1),IF(LEFT(E414,6)="TÉRREO",0,IFERROR(VALUE(LEFT(E414,FIND("º",SUBSTITUTE(E414,"°","º"))-1)),""))))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26" t="n">
        <v>46135</v>
      </c>
      <c r="G415" s="126" t="n">
        <v>46147</v>
      </c>
      <c r="H415" s="126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IF(E415="","",IF(ISNUMBER(SEARCH("SUBSOLO",E415)),IFERROR(-VALUE(LEFT(E415,FIND("º",SUBSTITUTE(E415,"°","º"))-1)),-1),IF(LEFT(E415,6)="TÉRREO",0,IFERROR(VALUE(LEFT(E415,FIND("º",SUBSTITUTE(E415,"°","º"))-1)),""))))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26" t="n">
        <v>46136</v>
      </c>
      <c r="G416" s="126" t="n">
        <v>46148</v>
      </c>
      <c r="H416" s="126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IF(E416="","",IF(ISNUMBER(SEARCH("SUBSOLO",E416)),IFERROR(-VALUE(LEFT(E416,FIND("º",SUBSTITUTE(E416,"°","º"))-1)),-1),IF(LEFT(E416,6)="TÉRREO",0,IFERROR(VALUE(LEFT(E416,FIND("º",SUBSTITUTE(E416,"°","º"))-1)),""))))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26" t="n">
        <v>46147</v>
      </c>
      <c r="G417" s="126" t="n">
        <v>46147</v>
      </c>
      <c r="H417" s="126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IF(E417="","",IF(ISNUMBER(SEARCH("SUBSOLO",E417)),IFERROR(-VALUE(LEFT(E417,FIND("º",SUBSTITUTE(E417,"°","º"))-1)),-1),IF(LEFT(E417,6)="TÉRREO",0,IFERROR(VALUE(LEFT(E417,FIND("º",SUBSTITUTE(E417,"°","º"))-1)),""))))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26" t="n">
        <v>46147</v>
      </c>
      <c r="G418" s="126" t="n">
        <v>46147</v>
      </c>
      <c r="H418" s="126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IF(E418="","",IF(ISNUMBER(SEARCH("SUBSOLO",E418)),IFERROR(-VALUE(LEFT(E418,FIND("º",SUBSTITUTE(E418,"°","º"))-1)),-1),IF(LEFT(E418,6)="TÉRREO",0,IFERROR(VALUE(LEFT(E418,FIND("º",SUBSTITUTE(E418,"°","º"))-1)),""))))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26" t="n">
        <v>46148</v>
      </c>
      <c r="G419" s="126" t="n">
        <v>46148</v>
      </c>
      <c r="H419" s="126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IF(E419="","",IF(ISNUMBER(SEARCH("SUBSOLO",E419)),IFERROR(-VALUE(LEFT(E419,FIND("º",SUBSTITUTE(E419,"°","º"))-1)),-1),IF(LEFT(E419,6)="TÉRREO",0,IFERROR(VALUE(LEFT(E419,FIND("º",SUBSTITUTE(E419,"°","º"))-1)),""))))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26" t="n">
        <v>46136</v>
      </c>
      <c r="G420" s="126" t="n">
        <v>46168</v>
      </c>
      <c r="H420" s="126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IF(E420="","",IF(ISNUMBER(SEARCH("SUBSOLO",E420)),IFERROR(-VALUE(LEFT(E420,FIND("º",SUBSTITUTE(E420,"°","º"))-1)),-1),IF(LEFT(E420,6)="TÉRREO",0,IFERROR(VALUE(LEFT(E420,FIND("º",SUBSTITUTE(E420,"°","º"))-1)),""))))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26" t="n">
        <v>46136</v>
      </c>
      <c r="G421" s="126" t="n">
        <v>46168</v>
      </c>
      <c r="H421" s="126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IF(E421="","",IF(ISNUMBER(SEARCH("SUBSOLO",E421)),IFERROR(-VALUE(LEFT(E421,FIND("º",SUBSTITUTE(E421,"°","º"))-1)),-1),IF(LEFT(E421,6)="TÉRREO",0,IFERROR(VALUE(LEFT(E421,FIND("º",SUBSTITUTE(E421,"°","º"))-1)),""))))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26" t="n">
        <v>46139</v>
      </c>
      <c r="G422" s="126" t="n">
        <v>46258</v>
      </c>
      <c r="H422" s="126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IF(E422="","",IF(ISNUMBER(SEARCH("SUBSOLO",E422)),IFERROR(-VALUE(LEFT(E422,FIND("º",SUBSTITUTE(E422,"°","º"))-1)),-1),IF(LEFT(E422,6)="TÉRREO",0,IFERROR(VALUE(LEFT(E422,FIND("º",SUBSTITUTE(E422,"°","º"))-1)),""))))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26" t="n">
        <v>46146</v>
      </c>
      <c r="G423" s="126" t="n">
        <v>46188</v>
      </c>
      <c r="H423" s="126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IF(E423="","",IF(ISNUMBER(SEARCH("SUBSOLO",E423)),IFERROR(-VALUE(LEFT(E423,FIND("º",SUBSTITUTE(E423,"°","º"))-1)),-1),IF(LEFT(E423,6)="TÉRREO",0,IFERROR(VALUE(LEFT(E423,FIND("º",SUBSTITUTE(E423,"°","º"))-1)),""))))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26" t="n">
        <v>46146</v>
      </c>
      <c r="G424" s="126" t="n">
        <v>46171</v>
      </c>
      <c r="H424" s="126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IF(E424="","",IF(ISNUMBER(SEARCH("SUBSOLO",E424)),IFERROR(-VALUE(LEFT(E424,FIND("º",SUBSTITUTE(E424,"°","º"))-1)),-1),IF(LEFT(E424,6)="TÉRREO",0,IFERROR(VALUE(LEFT(E424,FIND("º",SUBSTITUTE(E424,"°","º"))-1)),""))))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26" t="n">
        <v>46146</v>
      </c>
      <c r="G425" s="126" t="n">
        <v>46150</v>
      </c>
      <c r="H425" s="126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IF(E425="","",IF(ISNUMBER(SEARCH("SUBSOLO",E425)),IFERROR(-VALUE(LEFT(E425,FIND("º",SUBSTITUTE(E425,"°","º"))-1)),-1),IF(LEFT(E425,6)="TÉRREO",0,IFERROR(VALUE(LEFT(E425,FIND("º",SUBSTITUTE(E425,"°","º"))-1)),""))))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26" t="n">
        <v>46176</v>
      </c>
      <c r="G426" s="126" t="n">
        <v>46178</v>
      </c>
      <c r="H426" s="126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IF(E426="","",IF(ISNUMBER(SEARCH("SUBSOLO",E426)),IFERROR(-VALUE(LEFT(E426,FIND("º",SUBSTITUTE(E426,"°","º"))-1)),-1),IF(LEFT(E426,6)="TÉRREO",0,IFERROR(VALUE(LEFT(E426,FIND("º",SUBSTITUTE(E426,"°","º"))-1)),""))))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26" t="n">
        <v>46176</v>
      </c>
      <c r="G427" s="126" t="n">
        <v>46178</v>
      </c>
      <c r="H427" s="126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IF(E427="","",IF(ISNUMBER(SEARCH("SUBSOLO",E427)),IFERROR(-VALUE(LEFT(E427,FIND("º",SUBSTITUTE(E427,"°","º"))-1)),-1),IF(LEFT(E427,6)="TÉRREO",0,IFERROR(VALUE(LEFT(E427,FIND("º",SUBSTITUTE(E427,"°","º"))-1)),""))))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26" t="n">
        <v>46153</v>
      </c>
      <c r="G428" s="126" t="n">
        <v>46175</v>
      </c>
      <c r="H428" s="126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IF(E428="","",IF(ISNUMBER(SEARCH("SUBSOLO",E428)),IFERROR(-VALUE(LEFT(E428,FIND("º",SUBSTITUTE(E428,"°","º"))-1)),-1),IF(LEFT(E428,6)="TÉRREO",0,IFERROR(VALUE(LEFT(E428,FIND("º",SUBSTITUTE(E428,"°","º"))-1)),""))))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26" t="n">
        <v>46181</v>
      </c>
      <c r="G429" s="126" t="n">
        <v>46188</v>
      </c>
      <c r="H429" s="126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IF(E429="","",IF(ISNUMBER(SEARCH("SUBSOLO",E429)),IFERROR(-VALUE(LEFT(E429,FIND("º",SUBSTITUTE(E429,"°","º"))-1)),-1),IF(LEFT(E429,6)="TÉRREO",0,IFERROR(VALUE(LEFT(E429,FIND("º",SUBSTITUTE(E429,"°","º"))-1)),""))))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26" t="n">
        <v>46148</v>
      </c>
      <c r="G430" s="126" t="n">
        <v>46197</v>
      </c>
      <c r="H430" s="126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IF(E430="","",IF(ISNUMBER(SEARCH("SUBSOLO",E430)),IFERROR(-VALUE(LEFT(E430,FIND("º",SUBSTITUTE(E430,"°","º"))-1)),-1),IF(LEFT(E430,6)="TÉRREO",0,IFERROR(VALUE(LEFT(E430,FIND("º",SUBSTITUTE(E430,"°","º"))-1)),""))))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26" t="n">
        <v>46148</v>
      </c>
      <c r="G431" s="126" t="n">
        <v>46213</v>
      </c>
      <c r="H431" s="126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IF(E431="","",IF(ISNUMBER(SEARCH("SUBSOLO",E431)),IFERROR(-VALUE(LEFT(E431,FIND("º",SUBSTITUTE(E431,"°","º"))-1)),-1),IF(LEFT(E431,6)="TÉRREO",0,IFERROR(VALUE(LEFT(E431,FIND("º",SUBSTITUTE(E431,"°","º"))-1)),""))))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26" t="n">
        <v>46149</v>
      </c>
      <c r="G432" s="126" t="n">
        <v>46164</v>
      </c>
      <c r="H432" s="126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IF(E432="","",IF(ISNUMBER(SEARCH("SUBSOLO",E432)),IFERROR(-VALUE(LEFT(E432,FIND("º",SUBSTITUTE(E432,"°","º"))-1)),-1),IF(LEFT(E432,6)="TÉRREO",0,IFERROR(VALUE(LEFT(E432,FIND("º",SUBSTITUTE(E432,"°","º"))-1)),""))))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26" t="n">
        <v>46149</v>
      </c>
      <c r="G433" s="126" t="n">
        <v>46157</v>
      </c>
      <c r="H433" s="126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IF(E433="","",IF(ISNUMBER(SEARCH("SUBSOLO",E433)),IFERROR(-VALUE(LEFT(E433,FIND("º",SUBSTITUTE(E433,"°","º"))-1)),-1),IF(LEFT(E433,6)="TÉRREO",0,IFERROR(VALUE(LEFT(E433,FIND("º",SUBSTITUTE(E433,"°","º"))-1)),""))))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26" t="n">
        <v>46149</v>
      </c>
      <c r="G434" s="126" t="n">
        <v>46163</v>
      </c>
      <c r="H434" s="126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IF(E434="","",IF(ISNUMBER(SEARCH("SUBSOLO",E434)),IFERROR(-VALUE(LEFT(E434,FIND("º",SUBSTITUTE(E434,"°","º"))-1)),-1),IF(LEFT(E434,6)="TÉRREO",0,IFERROR(VALUE(LEFT(E434,FIND("º",SUBSTITUTE(E434,"°","º"))-1)),""))))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26" t="n">
        <v>46149</v>
      </c>
      <c r="G435" s="126" t="n">
        <v>46160</v>
      </c>
      <c r="H435" s="126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IF(E435="","",IF(ISNUMBER(SEARCH("SUBSOLO",E435)),IFERROR(-VALUE(LEFT(E435,FIND("º",SUBSTITUTE(E435,"°","º"))-1)),-1),IF(LEFT(E435,6)="TÉRREO",0,IFERROR(VALUE(LEFT(E435,FIND("º",SUBSTITUTE(E435,"°","º"))-1)),""))))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26" t="n">
        <v>46157</v>
      </c>
      <c r="G436" s="126" t="n">
        <v>46157</v>
      </c>
      <c r="H436" s="126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IF(E436="","",IF(ISNUMBER(SEARCH("SUBSOLO",E436)),IFERROR(-VALUE(LEFT(E436,FIND("º",SUBSTITUTE(E436,"°","º"))-1)),-1),IF(LEFT(E436,6)="TÉRREO",0,IFERROR(VALUE(LEFT(E436,FIND("º",SUBSTITUTE(E436,"°","º"))-1)),""))))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26" t="n">
        <v>46162</v>
      </c>
      <c r="G437" s="126" t="n">
        <v>46162</v>
      </c>
      <c r="H437" s="126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IF(E437="","",IF(ISNUMBER(SEARCH("SUBSOLO",E437)),IFERROR(-VALUE(LEFT(E437,FIND("º",SUBSTITUTE(E437,"°","º"))-1)),-1),IF(LEFT(E437,6)="TÉRREO",0,IFERROR(VALUE(LEFT(E437,FIND("º",SUBSTITUTE(E437,"°","º"))-1)),""))))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26" t="n">
        <v>46156</v>
      </c>
      <c r="G438" s="126" t="n">
        <v>46163</v>
      </c>
      <c r="H438" s="126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IF(E438="","",IF(ISNUMBER(SEARCH("SUBSOLO",E438)),IFERROR(-VALUE(LEFT(E438,FIND("º",SUBSTITUTE(E438,"°","º"))-1)),-1),IF(LEFT(E438,6)="TÉRREO",0,IFERROR(VALUE(LEFT(E438,FIND("º",SUBSTITUTE(E438,"°","º"))-1)),""))))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26" t="n">
        <v>46156</v>
      </c>
      <c r="G439" s="126" t="n">
        <v>46163</v>
      </c>
      <c r="H439" s="126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IF(E439="","",IF(ISNUMBER(SEARCH("SUBSOLO",E439)),IFERROR(-VALUE(LEFT(E439,FIND("º",SUBSTITUTE(E439,"°","º"))-1)),-1),IF(LEFT(E439,6)="TÉRREO",0,IFERROR(VALUE(LEFT(E439,FIND("º",SUBSTITUTE(E439,"°","º"))-1)),""))))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26" t="n">
        <v>46162</v>
      </c>
      <c r="G440" s="126" t="n">
        <v>46162</v>
      </c>
      <c r="H440" s="126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IF(E440="","",IF(ISNUMBER(SEARCH("SUBSOLO",E440)),IFERROR(-VALUE(LEFT(E440,FIND("º",SUBSTITUTE(E440,"°","º"))-1)),-1),IF(LEFT(E440,6)="TÉRREO",0,IFERROR(VALUE(LEFT(E440,FIND("º",SUBSTITUTE(E440,"°","º"))-1)),""))))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26" t="n">
        <v>46164</v>
      </c>
      <c r="G441" s="126" t="n">
        <v>46164</v>
      </c>
      <c r="H441" s="126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IF(E441="","",IF(ISNUMBER(SEARCH("SUBSOLO",E441)),IFERROR(-VALUE(LEFT(E441,FIND("º",SUBSTITUTE(E441,"°","º"))-1)),-1),IF(LEFT(E441,6)="TÉRREO",0,IFERROR(VALUE(LEFT(E441,FIND("º",SUBSTITUTE(E441,"°","º"))-1)),""))))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26" t="n">
        <v>46160</v>
      </c>
      <c r="G442" s="126" t="n">
        <v>46163</v>
      </c>
      <c r="H442" s="126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IF(E442="","",IF(ISNUMBER(SEARCH("SUBSOLO",E442)),IFERROR(-VALUE(LEFT(E442,FIND("º",SUBSTITUTE(E442,"°","º"))-1)),-1),IF(LEFT(E442,6)="TÉRREO",0,IFERROR(VALUE(LEFT(E442,FIND("º",SUBSTITUTE(E442,"°","º"))-1)),""))))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26" t="n">
        <v>46150</v>
      </c>
      <c r="G443" s="126" t="n">
        <v>46269</v>
      </c>
      <c r="H443" s="126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IF(E443="","",IF(ISNUMBER(SEARCH("SUBSOLO",E443)),IFERROR(-VALUE(LEFT(E443,FIND("º",SUBSTITUTE(E443,"°","º"))-1)),-1),IF(LEFT(E443,6)="TÉRREO",0,IFERROR(VALUE(LEFT(E443,FIND("º",SUBSTITUTE(E443,"°","º"))-1)),""))))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26" t="n">
        <v>46150</v>
      </c>
      <c r="G444" s="126" t="n">
        <v>46156</v>
      </c>
      <c r="H444" s="126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IF(E444="","",IF(ISNUMBER(SEARCH("SUBSOLO",E444)),IFERROR(-VALUE(LEFT(E444,FIND("º",SUBSTITUTE(E444,"°","º"))-1)),-1),IF(LEFT(E444,6)="TÉRREO",0,IFERROR(VALUE(LEFT(E444,FIND("º",SUBSTITUTE(E444,"°","º"))-1)),""))))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26" t="n">
        <v>46150</v>
      </c>
      <c r="G445" s="126" t="n">
        <v>46156</v>
      </c>
      <c r="H445" s="126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IF(E445="","",IF(ISNUMBER(SEARCH("SUBSOLO",E445)),IFERROR(-VALUE(LEFT(E445,FIND("º",SUBSTITUTE(E445,"°","º"))-1)),-1),IF(LEFT(E445,6)="TÉRREO",0,IFERROR(VALUE(LEFT(E445,FIND("º",SUBSTITUTE(E445,"°","º"))-1)),""))))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26" t="n">
        <v>46167</v>
      </c>
      <c r="G446" s="126" t="n">
        <v>46169</v>
      </c>
      <c r="H446" s="126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IF(E446="","",IF(ISNUMBER(SEARCH("SUBSOLO",E446)),IFERROR(-VALUE(LEFT(E446,FIND("º",SUBSTITUTE(E446,"°","º"))-1)),-1),IF(LEFT(E446,6)="TÉRREO",0,IFERROR(VALUE(LEFT(E446,FIND("º",SUBSTITUTE(E446,"°","º"))-1)),""))))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26" t="n">
        <v>46170</v>
      </c>
      <c r="G447" s="126" t="n">
        <v>46170</v>
      </c>
      <c r="H447" s="126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IF(E447="","",IF(ISNUMBER(SEARCH("SUBSOLO",E447)),IFERROR(-VALUE(LEFT(E447,FIND("º",SUBSTITUTE(E447,"°","º"))-1)),-1),IF(LEFT(E447,6)="TÉRREO",0,IFERROR(VALUE(LEFT(E447,FIND("º",SUBSTITUTE(E447,"°","º"))-1)),""))))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26" t="n">
        <v>46157</v>
      </c>
      <c r="G448" s="126" t="n">
        <v>46164</v>
      </c>
      <c r="H448" s="126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IF(E448="","",IF(ISNUMBER(SEARCH("SUBSOLO",E448)),IFERROR(-VALUE(LEFT(E448,FIND("º",SUBSTITUTE(E448,"°","º"))-1)),-1),IF(LEFT(E448,6)="TÉRREO",0,IFERROR(VALUE(LEFT(E448,FIND("º",SUBSTITUTE(E448,"°","º"))-1)),""))))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26" t="n">
        <v>46171</v>
      </c>
      <c r="G449" s="126" t="n">
        <v>46269</v>
      </c>
      <c r="H449" s="126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IF(E449="","",IF(ISNUMBER(SEARCH("SUBSOLO",E449)),IFERROR(-VALUE(LEFT(E449,FIND("º",SUBSTITUTE(E449,"°","º"))-1)),-1),IF(LEFT(E449,6)="TÉRREO",0,IFERROR(VALUE(LEFT(E449,FIND("º",SUBSTITUTE(E449,"°","º"))-1)),""))))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26" t="n">
        <v>46160</v>
      </c>
      <c r="G450" s="126" t="n">
        <v>46251</v>
      </c>
      <c r="H450" s="126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IF(E450="","",IF(ISNUMBER(SEARCH("SUBSOLO",E450)),IFERROR(-VALUE(LEFT(E450,FIND("º",SUBSTITUTE(E450,"°","º"))-1)),-1),IF(LEFT(E450,6)="TÉRREO",0,IFERROR(VALUE(LEFT(E450,FIND("º",SUBSTITUTE(E450,"°","º"))-1)),""))))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26" t="n">
        <v>46160</v>
      </c>
      <c r="G451" s="126" t="n">
        <v>46188</v>
      </c>
      <c r="H451" s="126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IF(E451="","",IF(ISNUMBER(SEARCH("SUBSOLO",E451)),IFERROR(-VALUE(LEFT(E451,FIND("º",SUBSTITUTE(E451,"°","º"))-1)),-1),IF(LEFT(E451,6)="TÉRREO",0,IFERROR(VALUE(LEFT(E451,FIND("º",SUBSTITUTE(E451,"°","º"))-1)),""))))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26" t="n">
        <v>46189</v>
      </c>
      <c r="G452" s="126" t="n">
        <v>46230</v>
      </c>
      <c r="H452" s="126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IF(E452="","",IF(ISNUMBER(SEARCH("SUBSOLO",E452)),IFERROR(-VALUE(LEFT(E452,FIND("º",SUBSTITUTE(E452,"°","º"))-1)),-1),IF(LEFT(E452,6)="TÉRREO",0,IFERROR(VALUE(LEFT(E452,FIND("º",SUBSTITUTE(E452,"°","º"))-1)),""))))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26" t="n">
        <v>46231</v>
      </c>
      <c r="G453" s="126" t="n">
        <v>46251</v>
      </c>
      <c r="H453" s="126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IF(E453="","",IF(ISNUMBER(SEARCH("SUBSOLO",E453)),IFERROR(-VALUE(LEFT(E453,FIND("º",SUBSTITUTE(E453,"°","º"))-1)),-1),IF(LEFT(E453,6)="TÉRREO",0,IFERROR(VALUE(LEFT(E453,FIND("º",SUBSTITUTE(E453,"°","º"))-1)),""))))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26" t="n">
        <v>46163</v>
      </c>
      <c r="G454" s="126" t="n">
        <v>46290</v>
      </c>
      <c r="H454" s="126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IF(E454="","",IF(ISNUMBER(SEARCH("SUBSOLO",E454)),IFERROR(-VALUE(LEFT(E454,FIND("º",SUBSTITUTE(E454,"°","º"))-1)),-1),IF(LEFT(E454,6)="TÉRREO",0,IFERROR(VALUE(LEFT(E454,FIND("º",SUBSTITUTE(E454,"°","º"))-1)),""))))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26" t="n">
        <v>46167</v>
      </c>
      <c r="G455" s="126" t="n">
        <v>46171</v>
      </c>
      <c r="H455" s="126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IF(E455="","",IF(ISNUMBER(SEARCH("SUBSOLO",E455)),IFERROR(-VALUE(LEFT(E455,FIND("º",SUBSTITUTE(E455,"°","º"))-1)),-1),IF(LEFT(E455,6)="TÉRREO",0,IFERROR(VALUE(LEFT(E455,FIND("º",SUBSTITUTE(E455,"°","º"))-1)),""))))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26" t="n">
        <v>46167</v>
      </c>
      <c r="G456" s="126" t="n">
        <v>46234</v>
      </c>
      <c r="H456" s="126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IF(E456="","",IF(ISNUMBER(SEARCH("SUBSOLO",E456)),IFERROR(-VALUE(LEFT(E456,FIND("º",SUBSTITUTE(E456,"°","º"))-1)),-1),IF(LEFT(E456,6)="TÉRREO",0,IFERROR(VALUE(LEFT(E456,FIND("º",SUBSTITUTE(E456,"°","º"))-1)),""))))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26" t="n">
        <v>46167</v>
      </c>
      <c r="G457" s="126" t="n">
        <v>46190</v>
      </c>
      <c r="H457" s="126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IF(E457="","",IF(ISNUMBER(SEARCH("SUBSOLO",E457)),IFERROR(-VALUE(LEFT(E457,FIND("º",SUBSTITUTE(E457,"°","º"))-1)),-1),IF(LEFT(E457,6)="TÉRREO",0,IFERROR(VALUE(LEFT(E457,FIND("º",SUBSTITUTE(E457,"°","º"))-1)),""))))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26" t="n">
        <v>46167</v>
      </c>
      <c r="G458" s="126" t="n">
        <v>46167</v>
      </c>
      <c r="H458" s="126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IF(E458="","",IF(ISNUMBER(SEARCH("SUBSOLO",E458)),IFERROR(-VALUE(LEFT(E458,FIND("º",SUBSTITUTE(E458,"°","º"))-1)),-1),IF(LEFT(E458,6)="TÉRREO",0,IFERROR(VALUE(LEFT(E458,FIND("º",SUBSTITUTE(E458,"°","º"))-1)),""))))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26" t="n">
        <v>46168</v>
      </c>
      <c r="G459" s="126" t="n">
        <v>46174</v>
      </c>
      <c r="H459" s="126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IF(E459="","",IF(ISNUMBER(SEARCH("SUBSOLO",E459)),IFERROR(-VALUE(LEFT(E459,FIND("º",SUBSTITUTE(E459,"°","º"))-1)),-1),IF(LEFT(E459,6)="TÉRREO",0,IFERROR(VALUE(LEFT(E459,FIND("º",SUBSTITUTE(E459,"°","º"))-1)),""))))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26" t="n">
        <v>46167</v>
      </c>
      <c r="G460" s="126" t="n">
        <v>46176</v>
      </c>
      <c r="H460" s="126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IF(E460="","",IF(ISNUMBER(SEARCH("SUBSOLO",E460)),IFERROR(-VALUE(LEFT(E460,FIND("º",SUBSTITUTE(E460,"°","º"))-1)),-1),IF(LEFT(E460,6)="TÉRREO",0,IFERROR(VALUE(LEFT(E460,FIND("º",SUBSTITUTE(E460,"°","º"))-1)),""))))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26" t="n">
        <v>46175</v>
      </c>
      <c r="G461" s="126" t="n">
        <v>46178</v>
      </c>
      <c r="H461" s="126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IF(E461="","",IF(ISNUMBER(SEARCH("SUBSOLO",E461)),IFERROR(-VALUE(LEFT(E461,FIND("º",SUBSTITUTE(E461,"°","º"))-1)),-1),IF(LEFT(E461,6)="TÉRREO",0,IFERROR(VALUE(LEFT(E461,FIND("º",SUBSTITUTE(E461,"°","º"))-1)),""))))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26" t="n">
        <v>46181</v>
      </c>
      <c r="G462" s="126" t="n">
        <v>46182</v>
      </c>
      <c r="H462" s="126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IF(E462="","",IF(ISNUMBER(SEARCH("SUBSOLO",E462)),IFERROR(-VALUE(LEFT(E462,FIND("º",SUBSTITUTE(E462,"°","º"))-1)),-1),IF(LEFT(E462,6)="TÉRREO",0,IFERROR(VALUE(LEFT(E462,FIND("º",SUBSTITUTE(E462,"°","º"))-1)),""))))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26" t="n">
        <v>46181</v>
      </c>
      <c r="G463" s="126" t="n">
        <v>46181</v>
      </c>
      <c r="H463" s="126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IF(E463="","",IF(ISNUMBER(SEARCH("SUBSOLO",E463)),IFERROR(-VALUE(LEFT(E463,FIND("º",SUBSTITUTE(E463,"°","º"))-1)),-1),IF(LEFT(E463,6)="TÉRREO",0,IFERROR(VALUE(LEFT(E463,FIND("º",SUBSTITUTE(E463,"°","º"))-1)),""))))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26" t="n">
        <v>46181</v>
      </c>
      <c r="G464" s="126" t="n">
        <v>46182</v>
      </c>
      <c r="H464" s="126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IF(E464="","",IF(ISNUMBER(SEARCH("SUBSOLO",E464)),IFERROR(-VALUE(LEFT(E464,FIND("º",SUBSTITUTE(E464,"°","º"))-1)),-1),IF(LEFT(E464,6)="TÉRREO",0,IFERROR(VALUE(LEFT(E464,FIND("º",SUBSTITUTE(E464,"°","º"))-1)),""))))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26" t="n">
        <v>46182</v>
      </c>
      <c r="G465" s="126" t="n">
        <v>46184</v>
      </c>
      <c r="H465" s="126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IF(E465="","",IF(ISNUMBER(SEARCH("SUBSOLO",E465)),IFERROR(-VALUE(LEFT(E465,FIND("º",SUBSTITUTE(E465,"°","º"))-1)),-1),IF(LEFT(E465,6)="TÉRREO",0,IFERROR(VALUE(LEFT(E465,FIND("º",SUBSTITUTE(E465,"°","º"))-1)),""))))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26" t="n">
        <v>46184</v>
      </c>
      <c r="G466" s="126" t="n">
        <v>46185</v>
      </c>
      <c r="H466" s="126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IF(E466="","",IF(ISNUMBER(SEARCH("SUBSOLO",E466)),IFERROR(-VALUE(LEFT(E466,FIND("º",SUBSTITUTE(E466,"°","º"))-1)),-1),IF(LEFT(E466,6)="TÉRREO",0,IFERROR(VALUE(LEFT(E466,FIND("º",SUBSTITUTE(E466,"°","º"))-1)),""))))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26" t="n">
        <v>46188</v>
      </c>
      <c r="G467" s="126" t="n">
        <v>46188</v>
      </c>
      <c r="H467" s="126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IF(E467="","",IF(ISNUMBER(SEARCH("SUBSOLO",E467)),IFERROR(-VALUE(LEFT(E467,FIND("º",SUBSTITUTE(E467,"°","º"))-1)),-1),IF(LEFT(E467,6)="TÉRREO",0,IFERROR(VALUE(LEFT(E467,FIND("º",SUBSTITUTE(E467,"°","º"))-1)),""))))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26" t="n">
        <v>46183</v>
      </c>
      <c r="G468" s="126" t="n">
        <v>46183</v>
      </c>
      <c r="H468" s="126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IF(E468="","",IF(ISNUMBER(SEARCH("SUBSOLO",E468)),IFERROR(-VALUE(LEFT(E468,FIND("º",SUBSTITUTE(E468,"°","º"))-1)),-1),IF(LEFT(E468,6)="TÉRREO",0,IFERROR(VALUE(LEFT(E468,FIND("º",SUBSTITUTE(E468,"°","º"))-1)),""))))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26" t="n">
        <v>46183</v>
      </c>
      <c r="G469" s="126" t="n">
        <v>46185</v>
      </c>
      <c r="H469" s="126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IF(E469="","",IF(ISNUMBER(SEARCH("SUBSOLO",E469)),IFERROR(-VALUE(LEFT(E469,FIND("º",SUBSTITUTE(E469,"°","º"))-1)),-1),IF(LEFT(E469,6)="TÉRREO",0,IFERROR(VALUE(LEFT(E469,FIND("º",SUBSTITUTE(E469,"°","º"))-1)),""))))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26" t="n">
        <v>46188</v>
      </c>
      <c r="G470" s="126" t="n">
        <v>46189</v>
      </c>
      <c r="H470" s="126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IF(E470="","",IF(ISNUMBER(SEARCH("SUBSOLO",E470)),IFERROR(-VALUE(LEFT(E470,FIND("º",SUBSTITUTE(E470,"°","º"))-1)),-1),IF(LEFT(E470,6)="TÉRREO",0,IFERROR(VALUE(LEFT(E470,FIND("º",SUBSTITUTE(E470,"°","º"))-1)),""))))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26" t="n">
        <v>46190</v>
      </c>
      <c r="G471" s="126" t="n">
        <v>46190</v>
      </c>
      <c r="H471" s="126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IF(E471="","",IF(ISNUMBER(SEARCH("SUBSOLO",E471)),IFERROR(-VALUE(LEFT(E471,FIND("º",SUBSTITUTE(E471,"°","º"))-1)),-1),IF(LEFT(E471,6)="TÉRREO",0,IFERROR(VALUE(LEFT(E471,FIND("º",SUBSTITUTE(E471,"°","º"))-1)),""))))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26" t="n">
        <v>46171</v>
      </c>
      <c r="G472" s="126" t="n">
        <v>46213</v>
      </c>
      <c r="H472" s="126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IF(E472="","",IF(ISNUMBER(SEARCH("SUBSOLO",E472)),IFERROR(-VALUE(LEFT(E472,FIND("º",SUBSTITUTE(E472,"°","º"))-1)),-1),IF(LEFT(E472,6)="TÉRREO",0,IFERROR(VALUE(LEFT(E472,FIND("º",SUBSTITUTE(E472,"°","º"))-1)),""))))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26" t="n">
        <v>46174</v>
      </c>
      <c r="G473" s="126" t="n">
        <v>46213</v>
      </c>
      <c r="H473" s="126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IF(E473="","",IF(ISNUMBER(SEARCH("SUBSOLO",E473)),IFERROR(-VALUE(LEFT(E473,FIND("º",SUBSTITUTE(E473,"°","º"))-1)),-1),IF(LEFT(E473,6)="TÉRREO",0,IFERROR(VALUE(LEFT(E473,FIND("º",SUBSTITUTE(E473,"°","º"))-1)),""))))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26" t="n">
        <v>46174</v>
      </c>
      <c r="G474" s="126" t="n">
        <v>46185</v>
      </c>
      <c r="H474" s="126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IF(E474="","",IF(ISNUMBER(SEARCH("SUBSOLO",E474)),IFERROR(-VALUE(LEFT(E474,FIND("º",SUBSTITUTE(E474,"°","º"))-1)),-1),IF(LEFT(E474,6)="TÉRREO",0,IFERROR(VALUE(LEFT(E474,FIND("º",SUBSTITUTE(E474,"°","º"))-1)),""))))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26" t="n">
        <v>46188</v>
      </c>
      <c r="G475" s="126" t="n">
        <v>46192</v>
      </c>
      <c r="H475" s="126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IF(E475="","",IF(ISNUMBER(SEARCH("SUBSOLO",E475)),IFERROR(-VALUE(LEFT(E475,FIND("º",SUBSTITUTE(E475,"°","º"))-1)),-1),IF(LEFT(E475,6)="TÉRREO",0,IFERROR(VALUE(LEFT(E475,FIND("º",SUBSTITUTE(E475,"°","º"))-1)),""))))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26" t="n">
        <v>46195</v>
      </c>
      <c r="G476" s="126" t="n">
        <v>46213</v>
      </c>
      <c r="H476" s="126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IF(E476="","",IF(ISNUMBER(SEARCH("SUBSOLO",E476)),IFERROR(-VALUE(LEFT(E476,FIND("º",SUBSTITUTE(E476,"°","º"))-1)),-1),IF(LEFT(E476,6)="TÉRREO",0,IFERROR(VALUE(LEFT(E476,FIND("º",SUBSTITUTE(E476,"°","º"))-1)),""))))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26" t="n">
        <v>46174</v>
      </c>
      <c r="G477" s="126" t="n">
        <v>46202</v>
      </c>
      <c r="H477" s="126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IF(E477="","",IF(ISNUMBER(SEARCH("SUBSOLO",E477)),IFERROR(-VALUE(LEFT(E477,FIND("º",SUBSTITUTE(E477,"°","º"))-1)),-1),IF(LEFT(E477,6)="TÉRREO",0,IFERROR(VALUE(LEFT(E477,FIND("º",SUBSTITUTE(E477,"°","º"))-1)),""))))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26" t="n">
        <v>46174</v>
      </c>
      <c r="G478" s="126" t="n">
        <v>46195</v>
      </c>
      <c r="H478" s="126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IF(E478="","",IF(ISNUMBER(SEARCH("SUBSOLO",E478)),IFERROR(-VALUE(LEFT(E478,FIND("º",SUBSTITUTE(E478,"°","º"))-1)),-1),IF(LEFT(E478,6)="TÉRREO",0,IFERROR(VALUE(LEFT(E478,FIND("º",SUBSTITUTE(E478,"°","º"))-1)),""))))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26" t="n">
        <v>46182</v>
      </c>
      <c r="G479" s="126" t="n">
        <v>46202</v>
      </c>
      <c r="H479" s="126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IF(E479="","",IF(ISNUMBER(SEARCH("SUBSOLO",E479)),IFERROR(-VALUE(LEFT(E479,FIND("º",SUBSTITUTE(E479,"°","º"))-1)),-1),IF(LEFT(E479,6)="TÉRREO",0,IFERROR(VALUE(LEFT(E479,FIND("º",SUBSTITUTE(E479,"°","º"))-1)),""))))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26" t="n">
        <v>46190</v>
      </c>
      <c r="G480" s="126" t="n">
        <v>46273</v>
      </c>
      <c r="H480" s="126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IF(E480="","",IF(ISNUMBER(SEARCH("SUBSOLO",E480)),IFERROR(-VALUE(LEFT(E480,FIND("º",SUBSTITUTE(E480,"°","º"))-1)),-1),IF(LEFT(E480,6)="TÉRREO",0,IFERROR(VALUE(LEFT(E480,FIND("º",SUBSTITUTE(E480,"°","º"))-1)),""))))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26" t="n">
        <v>46190</v>
      </c>
      <c r="G481" s="126" t="n">
        <v>46220</v>
      </c>
      <c r="H481" s="126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IF(E481="","",IF(ISNUMBER(SEARCH("SUBSOLO",E481)),IFERROR(-VALUE(LEFT(E481,FIND("º",SUBSTITUTE(E481,"°","º"))-1)),-1),IF(LEFT(E481,6)="TÉRREO",0,IFERROR(VALUE(LEFT(E481,FIND("º",SUBSTITUTE(E481,"°","º"))-1)),""))))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26" t="n">
        <v>46190</v>
      </c>
      <c r="G482" s="126" t="n">
        <v>46213</v>
      </c>
      <c r="H482" s="126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IF(E482="","",IF(ISNUMBER(SEARCH("SUBSOLO",E482)),IFERROR(-VALUE(LEFT(E482,FIND("º",SUBSTITUTE(E482,"°","º"))-1)),-1),IF(LEFT(E482,6)="TÉRREO",0,IFERROR(VALUE(LEFT(E482,FIND("º",SUBSTITUTE(E482,"°","º"))-1)),""))))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26" t="n">
        <v>46190</v>
      </c>
      <c r="G483" s="126" t="n">
        <v>46192</v>
      </c>
      <c r="H483" s="126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IF(E483="","",IF(ISNUMBER(SEARCH("SUBSOLO",E483)),IFERROR(-VALUE(LEFT(E483,FIND("º",SUBSTITUTE(E483,"°","º"))-1)),-1),IF(LEFT(E483,6)="TÉRREO",0,IFERROR(VALUE(LEFT(E483,FIND("º",SUBSTITUTE(E483,"°","º"))-1)),""))))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26" t="n">
        <v>46195</v>
      </c>
      <c r="G484" s="126" t="n">
        <v>46213</v>
      </c>
      <c r="H484" s="126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IF(E484="","",IF(ISNUMBER(SEARCH("SUBSOLO",E484)),IFERROR(-VALUE(LEFT(E484,FIND("º",SUBSTITUTE(E484,"°","º"))-1)),-1),IF(LEFT(E484,6)="TÉRREO",0,IFERROR(VALUE(LEFT(E484,FIND("º",SUBSTITUTE(E484,"°","º"))-1)),""))))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26" t="n">
        <v>46191</v>
      </c>
      <c r="G485" s="126" t="n">
        <v>46206</v>
      </c>
      <c r="H485" s="126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IF(E485="","",IF(ISNUMBER(SEARCH("SUBSOLO",E485)),IFERROR(-VALUE(LEFT(E485,FIND("º",SUBSTITUTE(E485,"°","º"))-1)),-1),IF(LEFT(E485,6)="TÉRREO",0,IFERROR(VALUE(LEFT(E485,FIND("º",SUBSTITUTE(E485,"°","º"))-1)),""))))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26" t="n">
        <v>46191</v>
      </c>
      <c r="G486" s="126" t="n">
        <v>46191</v>
      </c>
      <c r="H486" s="126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IF(E486="","",IF(ISNUMBER(SEARCH("SUBSOLO",E486)),IFERROR(-VALUE(LEFT(E486,FIND("º",SUBSTITUTE(E486,"°","º"))-1)),-1),IF(LEFT(E486,6)="TÉRREO",0,IFERROR(VALUE(LEFT(E486,FIND("º",SUBSTITUTE(E486,"°","º"))-1)),""))))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26" t="n">
        <v>46191</v>
      </c>
      <c r="G487" s="126" t="n">
        <v>46191</v>
      </c>
      <c r="H487" s="126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IF(E487="","",IF(ISNUMBER(SEARCH("SUBSOLO",E487)),IFERROR(-VALUE(LEFT(E487,FIND("º",SUBSTITUTE(E487,"°","º"))-1)),-1),IF(LEFT(E487,6)="TÉRREO",0,IFERROR(VALUE(LEFT(E487,FIND("º",SUBSTITUTE(E487,"°","º"))-1)),""))))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26" t="n">
        <v>46191</v>
      </c>
      <c r="G488" s="126" t="n">
        <v>46195</v>
      </c>
      <c r="H488" s="126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IF(E488="","",IF(ISNUMBER(SEARCH("SUBSOLO",E488)),IFERROR(-VALUE(LEFT(E488,FIND("º",SUBSTITUTE(E488,"°","º"))-1)),-1),IF(LEFT(E488,6)="TÉRREO",0,IFERROR(VALUE(LEFT(E488,FIND("º",SUBSTITUTE(E488,"°","º"))-1)),""))))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26" t="n">
        <v>46192</v>
      </c>
      <c r="G489" s="126" t="n">
        <v>46197</v>
      </c>
      <c r="H489" s="126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IF(E489="","",IF(ISNUMBER(SEARCH("SUBSOLO",E489)),IFERROR(-VALUE(LEFT(E489,FIND("º",SUBSTITUTE(E489,"°","º"))-1)),-1),IF(LEFT(E489,6)="TÉRREO",0,IFERROR(VALUE(LEFT(E489,FIND("º",SUBSTITUTE(E489,"°","º"))-1)),""))))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26" t="n">
        <v>46198</v>
      </c>
      <c r="G490" s="126" t="n">
        <v>46203</v>
      </c>
      <c r="H490" s="126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IF(E490="","",IF(ISNUMBER(SEARCH("SUBSOLO",E490)),IFERROR(-VALUE(LEFT(E490,FIND("º",SUBSTITUTE(E490,"°","º"))-1)),-1),IF(LEFT(E490,6)="TÉRREO",0,IFERROR(VALUE(LEFT(E490,FIND("º",SUBSTITUTE(E490,"°","º"))-1)),""))))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26" t="n">
        <v>46202</v>
      </c>
      <c r="G491" s="126" t="n">
        <v>46202</v>
      </c>
      <c r="H491" s="126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IF(E491="","",IF(ISNUMBER(SEARCH("SUBSOLO",E491)),IFERROR(-VALUE(LEFT(E491,FIND("º",SUBSTITUTE(E491,"°","º"))-1)),-1),IF(LEFT(E491,6)="TÉRREO",0,IFERROR(VALUE(LEFT(E491,FIND("º",SUBSTITUTE(E491,"°","º"))-1)),""))))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26" t="n">
        <v>46204</v>
      </c>
      <c r="G492" s="126" t="n">
        <v>46204</v>
      </c>
      <c r="H492" s="126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IF(E492="","",IF(ISNUMBER(SEARCH("SUBSOLO",E492)),IFERROR(-VALUE(LEFT(E492,FIND("º",SUBSTITUTE(E492,"°","º"))-1)),-1),IF(LEFT(E492,6)="TÉRREO",0,IFERROR(VALUE(LEFT(E492,FIND("º",SUBSTITUTE(E492,"°","º"))-1)),""))))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26" t="n">
        <v>46202</v>
      </c>
      <c r="G493" s="126" t="n">
        <v>46203</v>
      </c>
      <c r="H493" s="126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IF(E493="","",IF(ISNUMBER(SEARCH("SUBSOLO",E493)),IFERROR(-VALUE(LEFT(E493,FIND("º",SUBSTITUTE(E493,"°","º"))-1)),-1),IF(LEFT(E493,6)="TÉRREO",0,IFERROR(VALUE(LEFT(E493,FIND("º",SUBSTITUTE(E493,"°","º"))-1)),""))))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26" t="n">
        <v>46204</v>
      </c>
      <c r="G494" s="126" t="n">
        <v>46205</v>
      </c>
      <c r="H494" s="126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IF(E494="","",IF(ISNUMBER(SEARCH("SUBSOLO",E494)),IFERROR(-VALUE(LEFT(E494,FIND("º",SUBSTITUTE(E494,"°","º"))-1)),-1),IF(LEFT(E494,6)="TÉRREO",0,IFERROR(VALUE(LEFT(E494,FIND("º",SUBSTITUTE(E494,"°","º"))-1)),""))))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26" t="n">
        <v>46206</v>
      </c>
      <c r="G495" s="126" t="n">
        <v>46206</v>
      </c>
      <c r="H495" s="126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IF(E495="","",IF(ISNUMBER(SEARCH("SUBSOLO",E495)),IFERROR(-VALUE(LEFT(E495,FIND("º",SUBSTITUTE(E495,"°","º"))-1)),-1),IF(LEFT(E495,6)="TÉRREO",0,IFERROR(VALUE(LEFT(E495,FIND("º",SUBSTITUTE(E495,"°","º"))-1)),""))))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26" t="n">
        <v>46197</v>
      </c>
      <c r="G496" s="126" t="n">
        <v>46210</v>
      </c>
      <c r="H496" s="126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IF(E496="","",IF(ISNUMBER(SEARCH("SUBSOLO",E496)),IFERROR(-VALUE(LEFT(E496,FIND("º",SUBSTITUTE(E496,"°","º"))-1)),-1),IF(LEFT(E496,6)="TÉRREO",0,IFERROR(VALUE(LEFT(E496,FIND("º",SUBSTITUTE(E496,"°","º"))-1)),""))))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26" t="n">
        <v>46199</v>
      </c>
      <c r="G497" s="126" t="n">
        <v>46220</v>
      </c>
      <c r="H497" s="126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IF(E497="","",IF(ISNUMBER(SEARCH("SUBSOLO",E497)),IFERROR(-VALUE(LEFT(E497,FIND("º",SUBSTITUTE(E497,"°","º"))-1)),-1),IF(LEFT(E497,6)="TÉRREO",0,IFERROR(VALUE(LEFT(E497,FIND("º",SUBSTITUTE(E497,"°","º"))-1)),""))))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26" t="n">
        <v>46203</v>
      </c>
      <c r="G498" s="126" t="n">
        <v>46224</v>
      </c>
      <c r="H498" s="126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IF(E498="","",IF(ISNUMBER(SEARCH("SUBSOLO",E498)),IFERROR(-VALUE(LEFT(E498,FIND("º",SUBSTITUTE(E498,"°","º"))-1)),-1),IF(LEFT(E498,6)="TÉRREO",0,IFERROR(VALUE(LEFT(E498,FIND("º",SUBSTITUTE(E498,"°","º"))-1)),""))))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26" t="n">
        <v>46203</v>
      </c>
      <c r="G499" s="126" t="n">
        <v>46217</v>
      </c>
      <c r="H499" s="126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IF(E499="","",IF(ISNUMBER(SEARCH("SUBSOLO",E499)),IFERROR(-VALUE(LEFT(E499,FIND("º",SUBSTITUTE(E499,"°","º"))-1)),-1),IF(LEFT(E499,6)="TÉRREO",0,IFERROR(VALUE(LEFT(E499,FIND("º",SUBSTITUTE(E499,"°","º"))-1)),""))))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26" t="n">
        <v>46210</v>
      </c>
      <c r="G500" s="126" t="n">
        <v>46224</v>
      </c>
      <c r="H500" s="126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IF(E500="","",IF(ISNUMBER(SEARCH("SUBSOLO",E500)),IFERROR(-VALUE(LEFT(E500,FIND("º",SUBSTITUTE(E500,"°","º"))-1)),-1),IF(LEFT(E500,6)="TÉRREO",0,IFERROR(VALUE(LEFT(E500,FIND("º",SUBSTITUTE(E500,"°","º"))-1)),""))))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26" t="n">
        <v>46204</v>
      </c>
      <c r="G501" s="126" t="n">
        <v>46220</v>
      </c>
      <c r="H501" s="126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IF(E501="","",IF(ISNUMBER(SEARCH("SUBSOLO",E501)),IFERROR(-VALUE(LEFT(E501,FIND("º",SUBSTITUTE(E501,"°","º"))-1)),-1),IF(LEFT(E501,6)="TÉRREO",0,IFERROR(VALUE(LEFT(E501,FIND("º",SUBSTITUTE(E501,"°","º"))-1)),""))))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26" t="n">
        <v>46204</v>
      </c>
      <c r="G502" s="126" t="n">
        <v>46204</v>
      </c>
      <c r="H502" s="126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IF(E502="","",IF(ISNUMBER(SEARCH("SUBSOLO",E502)),IFERROR(-VALUE(LEFT(E502,FIND("º",SUBSTITUTE(E502,"°","º"))-1)),-1),IF(LEFT(E502,6)="TÉRREO",0,IFERROR(VALUE(LEFT(E502,FIND("º",SUBSTITUTE(E502,"°","º"))-1)),""))))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26" t="n">
        <v>46206</v>
      </c>
      <c r="G503" s="126" t="n">
        <v>46206</v>
      </c>
      <c r="H503" s="126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IF(E503="","",IF(ISNUMBER(SEARCH("SUBSOLO",E503)),IFERROR(-VALUE(LEFT(E503,FIND("º",SUBSTITUTE(E503,"°","º"))-1)),-1),IF(LEFT(E503,6)="TÉRREO",0,IFERROR(VALUE(LEFT(E503,FIND("º",SUBSTITUTE(E503,"°","º"))-1)),""))))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26" t="n">
        <v>46204</v>
      </c>
      <c r="G504" s="126" t="n">
        <v>46209</v>
      </c>
      <c r="H504" s="126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IF(E504="","",IF(ISNUMBER(SEARCH("SUBSOLO",E504)),IFERROR(-VALUE(LEFT(E504,FIND("º",SUBSTITUTE(E504,"°","º"))-1)),-1),IF(LEFT(E504,6)="TÉRREO",0,IFERROR(VALUE(LEFT(E504,FIND("º",SUBSTITUTE(E504,"°","º"))-1)),""))))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26" t="n">
        <v>46204</v>
      </c>
      <c r="G505" s="126" t="n">
        <v>46211</v>
      </c>
      <c r="H505" s="126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IF(E505="","",IF(ISNUMBER(SEARCH("SUBSOLO",E505)),IFERROR(-VALUE(LEFT(E505,FIND("º",SUBSTITUTE(E505,"°","º"))-1)),-1),IF(LEFT(E505,6)="TÉRREO",0,IFERROR(VALUE(LEFT(E505,FIND("º",SUBSTITUTE(E505,"°","º"))-1)),""))))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26" t="n">
        <v>46206</v>
      </c>
      <c r="G506" s="126" t="n">
        <v>46213</v>
      </c>
      <c r="H506" s="126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IF(E506="","",IF(ISNUMBER(SEARCH("SUBSOLO",E506)),IFERROR(-VALUE(LEFT(E506,FIND("º",SUBSTITUTE(E506,"°","º"))-1)),-1),IF(LEFT(E506,6)="TÉRREO",0,IFERROR(VALUE(LEFT(E506,FIND("º",SUBSTITUTE(E506,"°","º"))-1)),""))))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26" t="n">
        <v>46210</v>
      </c>
      <c r="G507" s="126" t="n">
        <v>46216</v>
      </c>
      <c r="H507" s="126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IF(E507="","",IF(ISNUMBER(SEARCH("SUBSOLO",E507)),IFERROR(-VALUE(LEFT(E507,FIND("º",SUBSTITUTE(E507,"°","º"))-1)),-1),IF(LEFT(E507,6)="TÉRREO",0,IFERROR(VALUE(LEFT(E507,FIND("º",SUBSTITUTE(E507,"°","º"))-1)),""))))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26" t="n">
        <v>46213</v>
      </c>
      <c r="G508" s="126" t="n">
        <v>46213</v>
      </c>
      <c r="H508" s="126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IF(E508="","",IF(ISNUMBER(SEARCH("SUBSOLO",E508)),IFERROR(-VALUE(LEFT(E508,FIND("º",SUBSTITUTE(E508,"°","º"))-1)),-1),IF(LEFT(E508,6)="TÉRREO",0,IFERROR(VALUE(LEFT(E508,FIND("º",SUBSTITUTE(E508,"°","º"))-1)),""))))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26" t="n">
        <v>46212</v>
      </c>
      <c r="G509" s="126" t="n">
        <v>46212</v>
      </c>
      <c r="H509" s="126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IF(E509="","",IF(ISNUMBER(SEARCH("SUBSOLO",E509)),IFERROR(-VALUE(LEFT(E509,FIND("º",SUBSTITUTE(E509,"°","º"))-1)),-1),IF(LEFT(E509,6)="TÉRREO",0,IFERROR(VALUE(LEFT(E509,FIND("º",SUBSTITUTE(E509,"°","º"))-1)),""))))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26" t="n">
        <v>46213</v>
      </c>
      <c r="G510" s="126" t="n">
        <v>46213</v>
      </c>
      <c r="H510" s="126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IF(E510="","",IF(ISNUMBER(SEARCH("SUBSOLO",E510)),IFERROR(-VALUE(LEFT(E510,FIND("º",SUBSTITUTE(E510,"°","º"))-1)),-1),IF(LEFT(E510,6)="TÉRREO",0,IFERROR(VALUE(LEFT(E510,FIND("º",SUBSTITUTE(E510,"°","º"))-1)),""))))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26" t="n">
        <v>46213</v>
      </c>
      <c r="G511" s="126" t="n">
        <v>46217</v>
      </c>
      <c r="H511" s="126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IF(E511="","",IF(ISNUMBER(SEARCH("SUBSOLO",E511)),IFERROR(-VALUE(LEFT(E511,FIND("º",SUBSTITUTE(E511,"°","º"))-1)),-1),IF(LEFT(E511,6)="TÉRREO",0,IFERROR(VALUE(LEFT(E511,FIND("º",SUBSTITUTE(E511,"°","º"))-1)),""))))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26" t="n">
        <v>46217</v>
      </c>
      <c r="G512" s="126" t="n">
        <v>46217</v>
      </c>
      <c r="H512" s="126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IF(E512="","",IF(ISNUMBER(SEARCH("SUBSOLO",E512)),IFERROR(-VALUE(LEFT(E512,FIND("º",SUBSTITUTE(E512,"°","º"))-1)),-1),IF(LEFT(E512,6)="TÉRREO",0,IFERROR(VALUE(LEFT(E512,FIND("º",SUBSTITUTE(E512,"°","º"))-1)),""))))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26" t="n">
        <v>46218</v>
      </c>
      <c r="G513" s="126" t="n">
        <v>46218</v>
      </c>
      <c r="H513" s="126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IF(E513="","",IF(ISNUMBER(SEARCH("SUBSOLO",E513)),IFERROR(-VALUE(LEFT(E513,FIND("º",SUBSTITUTE(E513,"°","º"))-1)),-1),IF(LEFT(E513,6)="TÉRREO",0,IFERROR(VALUE(LEFT(E513,FIND("º",SUBSTITUTE(E513,"°","º"))-1)),""))))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26" t="n">
        <v>46217</v>
      </c>
      <c r="G514" s="126" t="n">
        <v>46218</v>
      </c>
      <c r="H514" s="126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IF(E514="","",IF(ISNUMBER(SEARCH("SUBSOLO",E514)),IFERROR(-VALUE(LEFT(E514,FIND("º",SUBSTITUTE(E514,"°","º"))-1)),-1),IF(LEFT(E514,6)="TÉRREO",0,IFERROR(VALUE(LEFT(E514,FIND("º",SUBSTITUTE(E514,"°","º"))-1)),""))))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26" t="n">
        <v>46219</v>
      </c>
      <c r="G515" s="126" t="n">
        <v>46219</v>
      </c>
      <c r="H515" s="126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IF(E515="","",IF(ISNUMBER(SEARCH("SUBSOLO",E515)),IFERROR(-VALUE(LEFT(E515,FIND("º",SUBSTITUTE(E515,"°","º"))-1)),-1),IF(LEFT(E515,6)="TÉRREO",0,IFERROR(VALUE(LEFT(E515,FIND("º",SUBSTITUTE(E515,"°","º"))-1)),""))))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26" t="n">
        <v>46220</v>
      </c>
      <c r="G516" s="126" t="n">
        <v>46220</v>
      </c>
      <c r="H516" s="126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IF(E516="","",IF(ISNUMBER(SEARCH("SUBSOLO",E516)),IFERROR(-VALUE(LEFT(E516,FIND("º",SUBSTITUTE(E516,"°","º"))-1)),-1),IF(LEFT(E516,6)="TÉRREO",0,IFERROR(VALUE(LEFT(E516,FIND("º",SUBSTITUTE(E516,"°","º"))-1)),""))))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26" t="n">
        <v>46205</v>
      </c>
      <c r="G517" s="126" t="n">
        <v>46213</v>
      </c>
      <c r="H517" s="126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IF(E517="","",IF(ISNUMBER(SEARCH("SUBSOLO",E517)),IFERROR(-VALUE(LEFT(E517,FIND("º",SUBSTITUTE(E517,"°","º"))-1)),-1),IF(LEFT(E517,6)="TÉRREO",0,IFERROR(VALUE(LEFT(E517,FIND("º",SUBSTITUTE(E517,"°","º"))-1)),""))))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26" t="n">
        <v>46206</v>
      </c>
      <c r="G518" s="126" t="n">
        <v>46227</v>
      </c>
      <c r="H518" s="126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IF(E518="","",IF(ISNUMBER(SEARCH("SUBSOLO",E518)),IFERROR(-VALUE(LEFT(E518,FIND("º",SUBSTITUTE(E518,"°","º"))-1)),-1),IF(LEFT(E518,6)="TÉRREO",0,IFERROR(VALUE(LEFT(E518,FIND("º",SUBSTITUTE(E518,"°","º"))-1)),""))))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26" t="n">
        <v>46209</v>
      </c>
      <c r="G519" s="126" t="n">
        <v>46248</v>
      </c>
      <c r="H519" s="126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IF(E519="","",IF(ISNUMBER(SEARCH("SUBSOLO",E519)),IFERROR(-VALUE(LEFT(E519,FIND("º",SUBSTITUTE(E519,"°","º"))-1)),-1),IF(LEFT(E519,6)="TÉRREO",0,IFERROR(VALUE(LEFT(E519,FIND("º",SUBSTITUTE(E519,"°","º"))-1)),""))))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26" t="n">
        <v>46209</v>
      </c>
      <c r="G520" s="126" t="n">
        <v>46213</v>
      </c>
      <c r="H520" s="126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IF(E520="","",IF(ISNUMBER(SEARCH("SUBSOLO",E520)),IFERROR(-VALUE(LEFT(E520,FIND("º",SUBSTITUTE(E520,"°","º"))-1)),-1),IF(LEFT(E520,6)="TÉRREO",0,IFERROR(VALUE(LEFT(E520,FIND("º",SUBSTITUTE(E520,"°","º"))-1)),""))))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26" t="n">
        <v>46216</v>
      </c>
      <c r="G521" s="126" t="n">
        <v>46220</v>
      </c>
      <c r="H521" s="126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IF(E521="","",IF(ISNUMBER(SEARCH("SUBSOLO",E521)),IFERROR(-VALUE(LEFT(E521,FIND("º",SUBSTITUTE(E521,"°","º"))-1)),-1),IF(LEFT(E521,6)="TÉRREO",0,IFERROR(VALUE(LEFT(E521,FIND("º",SUBSTITUTE(E521,"°","º"))-1)),""))))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26" t="n">
        <v>46244</v>
      </c>
      <c r="G522" s="126" t="n">
        <v>46248</v>
      </c>
      <c r="H522" s="126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IF(E522="","",IF(ISNUMBER(SEARCH("SUBSOLO",E522)),IFERROR(-VALUE(LEFT(E522,FIND("º",SUBSTITUTE(E522,"°","º"))-1)),-1),IF(LEFT(E522,6)="TÉRREO",0,IFERROR(VALUE(LEFT(E522,FIND("º",SUBSTITUTE(E522,"°","º"))-1)),""))))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26" t="n">
        <v>46230</v>
      </c>
      <c r="G523" s="126" t="n">
        <v>46234</v>
      </c>
      <c r="H523" s="126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IF(E523="","",IF(ISNUMBER(SEARCH("SUBSOLO",E523)),IFERROR(-VALUE(LEFT(E523,FIND("º",SUBSTITUTE(E523,"°","º"))-1)),-1),IF(LEFT(E523,6)="TÉRREO",0,IFERROR(VALUE(LEFT(E523,FIND("º",SUBSTITUTE(E523,"°","º"))-1)),""))))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26" t="n">
        <v>46209</v>
      </c>
      <c r="G524" s="126" t="n">
        <v>46233</v>
      </c>
      <c r="H524" s="126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IF(E524="","",IF(ISNUMBER(SEARCH("SUBSOLO",E524)),IFERROR(-VALUE(LEFT(E524,FIND("º",SUBSTITUTE(E524,"°","º"))-1)),-1),IF(LEFT(E524,6)="TÉRREO",0,IFERROR(VALUE(LEFT(E524,FIND("º",SUBSTITUTE(E524,"°","º"))-1)),""))))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26" t="n">
        <v>46209</v>
      </c>
      <c r="G525" s="126" t="n">
        <v>46213</v>
      </c>
      <c r="H525" s="126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IF(E525="","",IF(ISNUMBER(SEARCH("SUBSOLO",E525)),IFERROR(-VALUE(LEFT(E525,FIND("º",SUBSTITUTE(E525,"°","º"))-1)),-1),IF(LEFT(E525,6)="TÉRREO",0,IFERROR(VALUE(LEFT(E525,FIND("º",SUBSTITUTE(E525,"°","º"))-1)),""))))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26" t="n">
        <v>46216</v>
      </c>
      <c r="G526" s="126" t="n">
        <v>46220</v>
      </c>
      <c r="H526" s="126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IF(E526="","",IF(ISNUMBER(SEARCH("SUBSOLO",E526)),IFERROR(-VALUE(LEFT(E526,FIND("º",SUBSTITUTE(E526,"°","º"))-1)),-1),IF(LEFT(E526,6)="TÉRREO",0,IFERROR(VALUE(LEFT(E526,FIND("º",SUBSTITUTE(E526,"°","º"))-1)),""))))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26" t="n">
        <v>46223</v>
      </c>
      <c r="G527" s="126" t="n">
        <v>46233</v>
      </c>
      <c r="H527" s="126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IF(E527="","",IF(ISNUMBER(SEARCH("SUBSOLO",E527)),IFERROR(-VALUE(LEFT(E527,FIND("º",SUBSTITUTE(E527,"°","º"))-1)),-1),IF(LEFT(E527,6)="TÉRREO",0,IFERROR(VALUE(LEFT(E527,FIND("º",SUBSTITUTE(E527,"°","º"))-1)),""))))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26" t="n">
        <v>46209</v>
      </c>
      <c r="G528" s="126" t="n">
        <v>46234</v>
      </c>
      <c r="H528" s="126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IF(E528="","",IF(ISNUMBER(SEARCH("SUBSOLO",E528)),IFERROR(-VALUE(LEFT(E528,FIND("º",SUBSTITUTE(E528,"°","º"))-1)),-1),IF(LEFT(E528,6)="TÉRREO",0,IFERROR(VALUE(LEFT(E528,FIND("º",SUBSTITUTE(E528,"°","º"))-1)),""))))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26" t="n">
        <v>46209</v>
      </c>
      <c r="G529" s="126" t="n">
        <v>46213</v>
      </c>
      <c r="H529" s="126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IF(E529="","",IF(ISNUMBER(SEARCH("SUBSOLO",E529)),IFERROR(-VALUE(LEFT(E529,FIND("º",SUBSTITUTE(E529,"°","º"))-1)),-1),IF(LEFT(E529,6)="TÉRREO",0,IFERROR(VALUE(LEFT(E529,FIND("º",SUBSTITUTE(E529,"°","º"))-1)),""))))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26" t="n">
        <v>46216</v>
      </c>
      <c r="G530" s="126" t="n">
        <v>46220</v>
      </c>
      <c r="H530" s="126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IF(E530="","",IF(ISNUMBER(SEARCH("SUBSOLO",E530)),IFERROR(-VALUE(LEFT(E530,FIND("º",SUBSTITUTE(E530,"°","º"))-1)),-1),IF(LEFT(E530,6)="TÉRREO",0,IFERROR(VALUE(LEFT(E530,FIND("º",SUBSTITUTE(E530,"°","º"))-1)),""))))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26" t="n">
        <v>46216</v>
      </c>
      <c r="G531" s="126" t="n">
        <v>46220</v>
      </c>
      <c r="H531" s="126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IF(E531="","",IF(ISNUMBER(SEARCH("SUBSOLO",E531)),IFERROR(-VALUE(LEFT(E531,FIND("º",SUBSTITUTE(E531,"°","º"))-1)),-1),IF(LEFT(E531,6)="TÉRREO",0,IFERROR(VALUE(LEFT(E531,FIND("º",SUBSTITUTE(E531,"°","º"))-1)),""))))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26" t="n">
        <v>46223</v>
      </c>
      <c r="G532" s="126" t="n">
        <v>46227</v>
      </c>
      <c r="H532" s="126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IF(E532="","",IF(ISNUMBER(SEARCH("SUBSOLO",E532)),IFERROR(-VALUE(LEFT(E532,FIND("º",SUBSTITUTE(E532,"°","º"))-1)),-1),IF(LEFT(E532,6)="TÉRREO",0,IFERROR(VALUE(LEFT(E532,FIND("º",SUBSTITUTE(E532,"°","º"))-1)),""))))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26" t="n">
        <v>46209</v>
      </c>
      <c r="G533" s="126" t="n">
        <v>46213</v>
      </c>
      <c r="H533" s="126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IF(E533="","",IF(ISNUMBER(SEARCH("SUBSOLO",E533)),IFERROR(-VALUE(LEFT(E533,FIND("º",SUBSTITUTE(E533,"°","º"))-1)),-1),IF(LEFT(E533,6)="TÉRREO",0,IFERROR(VALUE(LEFT(E533,FIND("º",SUBSTITUTE(E533,"°","º"))-1)),""))))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26" t="n">
        <v>46223</v>
      </c>
      <c r="G534" s="126" t="n">
        <v>46227</v>
      </c>
      <c r="H534" s="126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IF(E534="","",IF(ISNUMBER(SEARCH("SUBSOLO",E534)),IFERROR(-VALUE(LEFT(E534,FIND("º",SUBSTITUTE(E534,"°","º"))-1)),-1),IF(LEFT(E534,6)="TÉRREO",0,IFERROR(VALUE(LEFT(E534,FIND("º",SUBSTITUTE(E534,"°","º"))-1)),""))))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26" t="n">
        <v>46216</v>
      </c>
      <c r="G535" s="126" t="n">
        <v>46234</v>
      </c>
      <c r="H535" s="126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IF(E535="","",IF(ISNUMBER(SEARCH("SUBSOLO",E535)),IFERROR(-VALUE(LEFT(E535,FIND("º",SUBSTITUTE(E535,"°","º"))-1)),-1),IF(LEFT(E535,6)="TÉRREO",0,IFERROR(VALUE(LEFT(E535,FIND("º",SUBSTITUTE(E535,"°","º"))-1)),""))))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26" t="n">
        <v>46211</v>
      </c>
      <c r="G536" s="126" t="n">
        <v>46231</v>
      </c>
      <c r="H536" s="126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IF(E536="","",IF(ISNUMBER(SEARCH("SUBSOLO",E536)),IFERROR(-VALUE(LEFT(E536,FIND("º",SUBSTITUTE(E536,"°","º"))-1)),-1),IF(LEFT(E536,6)="TÉRREO",0,IFERROR(VALUE(LEFT(E536,FIND("º",SUBSTITUTE(E536,"°","º"))-1)),""))))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26" t="n">
        <v>46216</v>
      </c>
      <c r="G537" s="126" t="n">
        <v>46227</v>
      </c>
      <c r="H537" s="126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IF(E537="","",IF(ISNUMBER(SEARCH("SUBSOLO",E537)),IFERROR(-VALUE(LEFT(E537,FIND("º",SUBSTITUTE(E537,"°","º"))-1)),-1),IF(LEFT(E537,6)="TÉRREO",0,IFERROR(VALUE(LEFT(E537,FIND("º",SUBSTITUTE(E537,"°","º"))-1)),""))))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26" t="n">
        <v>46216</v>
      </c>
      <c r="G538" s="126" t="n">
        <v>46227</v>
      </c>
      <c r="H538" s="126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IF(E538="","",IF(ISNUMBER(SEARCH("SUBSOLO",E538)),IFERROR(-VALUE(LEFT(E538,FIND("º",SUBSTITUTE(E538,"°","º"))-1)),-1),IF(LEFT(E538,6)="TÉRREO",0,IFERROR(VALUE(LEFT(E538,FIND("º",SUBSTITUTE(E538,"°","º"))-1)),""))))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26" t="n">
        <v>46216</v>
      </c>
      <c r="G539" s="126" t="n">
        <v>46287</v>
      </c>
      <c r="H539" s="126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IF(E539="","",IF(ISNUMBER(SEARCH("SUBSOLO",E539)),IFERROR(-VALUE(LEFT(E539,FIND("º",SUBSTITUTE(E539,"°","º"))-1)),-1),IF(LEFT(E539,6)="TÉRREO",0,IFERROR(VALUE(LEFT(E539,FIND("º",SUBSTITUTE(E539,"°","º"))-1)),""))))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26" t="n">
        <v>46216</v>
      </c>
      <c r="G540" s="126" t="n">
        <v>46238</v>
      </c>
      <c r="H540" s="126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IF(E540="","",IF(ISNUMBER(SEARCH("SUBSOLO",E540)),IFERROR(-VALUE(LEFT(E540,FIND("º",SUBSTITUTE(E540,"°","º"))-1)),-1),IF(LEFT(E540,6)="TÉRREO",0,IFERROR(VALUE(LEFT(E540,FIND("º",SUBSTITUTE(E540,"°","º"))-1)),""))))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26" t="n">
        <v>46230</v>
      </c>
      <c r="G541" s="126" t="n">
        <v>46246</v>
      </c>
      <c r="H541" s="126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IF(E541="","",IF(ISNUMBER(SEARCH("SUBSOLO",E541)),IFERROR(-VALUE(LEFT(E541,FIND("º",SUBSTITUTE(E541,"°","º"))-1)),-1),IF(LEFT(E541,6)="TÉRREO",0,IFERROR(VALUE(LEFT(E541,FIND("º",SUBSTITUTE(E541,"°","º"))-1)),""))))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26" t="n">
        <v>46239</v>
      </c>
      <c r="G542" s="126" t="n">
        <v>46286</v>
      </c>
      <c r="H542" s="126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IF(E542="","",IF(ISNUMBER(SEARCH("SUBSOLO",E542)),IFERROR(-VALUE(LEFT(E542,FIND("º",SUBSTITUTE(E542,"°","º"))-1)),-1),IF(LEFT(E542,6)="TÉRREO",0,IFERROR(VALUE(LEFT(E542,FIND("º",SUBSTITUTE(E542,"°","º"))-1)),""))))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26" t="n">
        <v>46253</v>
      </c>
      <c r="G543" s="126" t="n">
        <v>46287</v>
      </c>
      <c r="H543" s="126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IF(E543="","",IF(ISNUMBER(SEARCH("SUBSOLO",E543)),IFERROR(-VALUE(LEFT(E543,FIND("º",SUBSTITUTE(E543,"°","º"))-1)),-1),IF(LEFT(E543,6)="TÉRREO",0,IFERROR(VALUE(LEFT(E543,FIND("º",SUBSTITUTE(E543,"°","º"))-1)),""))))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26" t="n">
        <v>46223</v>
      </c>
      <c r="G544" s="126" t="n">
        <v>46248</v>
      </c>
      <c r="H544" s="126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IF(E544="","",IF(ISNUMBER(SEARCH("SUBSOLO",E544)),IFERROR(-VALUE(LEFT(E544,FIND("º",SUBSTITUTE(E544,"°","º"))-1)),-1),IF(LEFT(E544,6)="TÉRREO",0,IFERROR(VALUE(LEFT(E544,FIND("º",SUBSTITUTE(E544,"°","º"))-1)),""))))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26" t="n">
        <v>46223</v>
      </c>
      <c r="G545" s="126" t="n">
        <v>46234</v>
      </c>
      <c r="H545" s="126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IF(E545="","",IF(ISNUMBER(SEARCH("SUBSOLO",E545)),IFERROR(-VALUE(LEFT(E545,FIND("º",SUBSTITUTE(E545,"°","º"))-1)),-1),IF(LEFT(E545,6)="TÉRREO",0,IFERROR(VALUE(LEFT(E545,FIND("º",SUBSTITUTE(E545,"°","º"))-1)),""))))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26" t="n">
        <v>46223</v>
      </c>
      <c r="G546" s="126" t="n">
        <v>46224</v>
      </c>
      <c r="H546" s="126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IF(E546="","",IF(ISNUMBER(SEARCH("SUBSOLO",E546)),IFERROR(-VALUE(LEFT(E546,FIND("º",SUBSTITUTE(E546,"°","º"))-1)),-1),IF(LEFT(E546,6)="TÉRREO",0,IFERROR(VALUE(LEFT(E546,FIND("º",SUBSTITUTE(E546,"°","º"))-1)),""))))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26" t="n">
        <v>46223</v>
      </c>
      <c r="G547" s="126" t="n">
        <v>46224</v>
      </c>
      <c r="H547" s="126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IF(E547="","",IF(ISNUMBER(SEARCH("SUBSOLO",E547)),IFERROR(-VALUE(LEFT(E547,FIND("º",SUBSTITUTE(E547,"°","º"))-1)),-1),IF(LEFT(E547,6)="TÉRREO",0,IFERROR(VALUE(LEFT(E547,FIND("º",SUBSTITUTE(E547,"°","º"))-1)),""))))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26" t="n">
        <v>46224</v>
      </c>
      <c r="G548" s="126" t="n">
        <v>46225</v>
      </c>
      <c r="H548" s="126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IF(E548="","",IF(ISNUMBER(SEARCH("SUBSOLO",E548)),IFERROR(-VALUE(LEFT(E548,FIND("º",SUBSTITUTE(E548,"°","º"))-1)),-1),IF(LEFT(E548,6)="TÉRREO",0,IFERROR(VALUE(LEFT(E548,FIND("º",SUBSTITUTE(E548,"°","º"))-1)),""))))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26" t="n">
        <v>46226</v>
      </c>
      <c r="G549" s="126" t="n">
        <v>46226</v>
      </c>
      <c r="H549" s="126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IF(E549="","",IF(ISNUMBER(SEARCH("SUBSOLO",E549)),IFERROR(-VALUE(LEFT(E549,FIND("º",SUBSTITUTE(E549,"°","º"))-1)),-1),IF(LEFT(E549,6)="TÉRREO",0,IFERROR(VALUE(LEFT(E549,FIND("º",SUBSTITUTE(E549,"°","º"))-1)),""))))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26" t="n">
        <v>46227</v>
      </c>
      <c r="G550" s="126" t="n">
        <v>46232</v>
      </c>
      <c r="H550" s="126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IF(E550="","",IF(ISNUMBER(SEARCH("SUBSOLO",E550)),IFERROR(-VALUE(LEFT(E550,FIND("º",SUBSTITUTE(E550,"°","º"))-1)),-1),IF(LEFT(E550,6)="TÉRREO",0,IFERROR(VALUE(LEFT(E550,FIND("º",SUBSTITUTE(E550,"°","º"))-1)),""))))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26" t="n">
        <v>46230</v>
      </c>
      <c r="G551" s="126" t="n">
        <v>46233</v>
      </c>
      <c r="H551" s="126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IF(E551="","",IF(ISNUMBER(SEARCH("SUBSOLO",E551)),IFERROR(-VALUE(LEFT(E551,FIND("º",SUBSTITUTE(E551,"°","º"))-1)),-1),IF(LEFT(E551,6)="TÉRREO",0,IFERROR(VALUE(LEFT(E551,FIND("º",SUBSTITUTE(E551,"°","º"))-1)),""))))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26" t="n">
        <v>46232</v>
      </c>
      <c r="G552" s="126" t="n">
        <v>46232</v>
      </c>
      <c r="H552" s="126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IF(E552="","",IF(ISNUMBER(SEARCH("SUBSOLO",E552)),IFERROR(-VALUE(LEFT(E552,FIND("º",SUBSTITUTE(E552,"°","º"))-1)),-1),IF(LEFT(E552,6)="TÉRREO",0,IFERROR(VALUE(LEFT(E552,FIND("º",SUBSTITUTE(E552,"°","º"))-1)),""))))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26" t="n">
        <v>46232</v>
      </c>
      <c r="G553" s="126" t="n">
        <v>46232</v>
      </c>
      <c r="H553" s="126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IF(E553="","",IF(ISNUMBER(SEARCH("SUBSOLO",E553)),IFERROR(-VALUE(LEFT(E553,FIND("º",SUBSTITUTE(E553,"°","º"))-1)),-1),IF(LEFT(E553,6)="TÉRREO",0,IFERROR(VALUE(LEFT(E553,FIND("º",SUBSTITUTE(E553,"°","º"))-1)),""))))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26" t="n">
        <v>46233</v>
      </c>
      <c r="G554" s="126" t="n">
        <v>46234</v>
      </c>
      <c r="H554" s="126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IF(E554="","",IF(ISNUMBER(SEARCH("SUBSOLO",E554)),IFERROR(-VALUE(LEFT(E554,FIND("º",SUBSTITUTE(E554,"°","º"))-1)),-1),IF(LEFT(E554,6)="TÉRREO",0,IFERROR(VALUE(LEFT(E554,FIND("º",SUBSTITUTE(E554,"°","º"))-1)),""))))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26" t="n">
        <v>46224</v>
      </c>
      <c r="G555" s="126" t="n">
        <v>46241</v>
      </c>
      <c r="H555" s="126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IF(E555="","",IF(ISNUMBER(SEARCH("SUBSOLO",E555)),IFERROR(-VALUE(LEFT(E555,FIND("º",SUBSTITUTE(E555,"°","º"))-1)),-1),IF(LEFT(E555,6)="TÉRREO",0,IFERROR(VALUE(LEFT(E555,FIND("º",SUBSTITUTE(E555,"°","º"))-1)),""))))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26" t="n">
        <v>46225</v>
      </c>
      <c r="G556" s="126" t="n">
        <v>46252</v>
      </c>
      <c r="H556" s="126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IF(E556="","",IF(ISNUMBER(SEARCH("SUBSOLO",E556)),IFERROR(-VALUE(LEFT(E556,FIND("º",SUBSTITUTE(E556,"°","º"))-1)),-1),IF(LEFT(E556,6)="TÉRREO",0,IFERROR(VALUE(LEFT(E556,FIND("º",SUBSTITUTE(E556,"°","º"))-1)),""))))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26" t="n">
        <v>46225</v>
      </c>
      <c r="G557" s="126" t="n">
        <v>46245</v>
      </c>
      <c r="H557" s="126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IF(E557="","",IF(ISNUMBER(SEARCH("SUBSOLO",E557)),IFERROR(-VALUE(LEFT(E557,FIND("º",SUBSTITUTE(E557,"°","º"))-1)),-1),IF(LEFT(E557,6)="TÉRREO",0,IFERROR(VALUE(LEFT(E557,FIND("º",SUBSTITUTE(E557,"°","º"))-1)),""))))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26" t="n">
        <v>46232</v>
      </c>
      <c r="G558" s="126" t="n">
        <v>46252</v>
      </c>
      <c r="H558" s="126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IF(E558="","",IF(ISNUMBER(SEARCH("SUBSOLO",E558)),IFERROR(-VALUE(LEFT(E558,FIND("º",SUBSTITUTE(E558,"°","º"))-1)),-1),IF(LEFT(E558,6)="TÉRREO",0,IFERROR(VALUE(LEFT(E558,FIND("º",SUBSTITUTE(E558,"°","º"))-1)),""))))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26" t="n">
        <v>46225</v>
      </c>
      <c r="G559" s="126" t="n">
        <v>46245</v>
      </c>
      <c r="H559" s="126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IF(E559="","",IF(ISNUMBER(SEARCH("SUBSOLO",E559)),IFERROR(-VALUE(LEFT(E559,FIND("º",SUBSTITUTE(E559,"°","º"))-1)),-1),IF(LEFT(E559,6)="TÉRREO",0,IFERROR(VALUE(LEFT(E559,FIND("º",SUBSTITUTE(E559,"°","º"))-1)),""))))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26" t="n">
        <v>46232</v>
      </c>
      <c r="G560" s="126" t="n">
        <v>46245</v>
      </c>
      <c r="H560" s="126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IF(E560="","",IF(ISNUMBER(SEARCH("SUBSOLO",E560)),IFERROR(-VALUE(LEFT(E560,FIND("º",SUBSTITUTE(E560,"°","º"))-1)),-1),IF(LEFT(E560,6)="TÉRREO",0,IFERROR(VALUE(LEFT(E560,FIND("º",SUBSTITUTE(E560,"°","º"))-1)),""))))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26" t="n">
        <v>46233</v>
      </c>
      <c r="G561" s="126" t="n">
        <v>46241</v>
      </c>
      <c r="H561" s="126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IF(E561="","",IF(ISNUMBER(SEARCH("SUBSOLO",E561)),IFERROR(-VALUE(LEFT(E561,FIND("º",SUBSTITUTE(E561,"°","º"))-1)),-1),IF(LEFT(E561,6)="TÉRREO",0,IFERROR(VALUE(LEFT(E561,FIND("º",SUBSTITUTE(E561,"°","º"))-1)),""))))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26" t="n">
        <v>46234</v>
      </c>
      <c r="G562" s="126" t="n">
        <v>46269</v>
      </c>
      <c r="H562" s="126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IF(E562="","",IF(ISNUMBER(SEARCH("SUBSOLO",E562)),IFERROR(-VALUE(LEFT(E562,FIND("º",SUBSTITUTE(E562,"°","º"))-1)),-1),IF(LEFT(E562,6)="TÉRREO",0,IFERROR(VALUE(LEFT(E562,FIND("º",SUBSTITUTE(E562,"°","º"))-1)),""))))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26" t="n">
        <v>46234</v>
      </c>
      <c r="G563" s="126" t="n">
        <v>46247</v>
      </c>
      <c r="H563" s="126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IF(E563="","",IF(ISNUMBER(SEARCH("SUBSOLO",E563)),IFERROR(-VALUE(LEFT(E563,FIND("º",SUBSTITUTE(E563,"°","º"))-1)),-1),IF(LEFT(E563,6)="TÉRREO",0,IFERROR(VALUE(LEFT(E563,FIND("º",SUBSTITUTE(E563,"°","º"))-1)),""))))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26" t="n">
        <v>46234</v>
      </c>
      <c r="G564" s="126" t="n">
        <v>46234</v>
      </c>
      <c r="H564" s="126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IF(E564="","",IF(ISNUMBER(SEARCH("SUBSOLO",E564)),IFERROR(-VALUE(LEFT(E564,FIND("º",SUBSTITUTE(E564,"°","º"))-1)),-1),IF(LEFT(E564,6)="TÉRREO",0,IFERROR(VALUE(LEFT(E564,FIND("º",SUBSTITUTE(E564,"°","º"))-1)),""))))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26" t="n">
        <v>46234</v>
      </c>
      <c r="G565" s="126" t="n">
        <v>46237</v>
      </c>
      <c r="H565" s="126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IF(E565="","",IF(ISNUMBER(SEARCH("SUBSOLO",E565)),IFERROR(-VALUE(LEFT(E565,FIND("º",SUBSTITUTE(E565,"°","º"))-1)),-1),IF(LEFT(E565,6)="TÉRREO",0,IFERROR(VALUE(LEFT(E565,FIND("º",SUBSTITUTE(E565,"°","º"))-1)),""))))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26" t="n">
        <v>46234</v>
      </c>
      <c r="G566" s="126" t="n">
        <v>46237</v>
      </c>
      <c r="H566" s="126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IF(E566="","",IF(ISNUMBER(SEARCH("SUBSOLO",E566)),IFERROR(-VALUE(LEFT(E566,FIND("º",SUBSTITUTE(E566,"°","º"))-1)),-1),IF(LEFT(E566,6)="TÉRREO",0,IFERROR(VALUE(LEFT(E566,FIND("º",SUBSTITUTE(E566,"°","º"))-1)),""))))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26" t="n">
        <v>46238</v>
      </c>
      <c r="G567" s="126" t="n">
        <v>46238</v>
      </c>
      <c r="H567" s="126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IF(E567="","",IF(ISNUMBER(SEARCH("SUBSOLO",E567)),IFERROR(-VALUE(LEFT(E567,FIND("º",SUBSTITUTE(E567,"°","º"))-1)),-1),IF(LEFT(E567,6)="TÉRREO",0,IFERROR(VALUE(LEFT(E567,FIND("º",SUBSTITUTE(E567,"°","º"))-1)),""))))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26" t="n">
        <v>46234</v>
      </c>
      <c r="G568" s="126" t="n">
        <v>46238</v>
      </c>
      <c r="H568" s="126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IF(E568="","",IF(ISNUMBER(SEARCH("SUBSOLO",E568)),IFERROR(-VALUE(LEFT(E568,FIND("º",SUBSTITUTE(E568,"°","º"))-1)),-1),IF(LEFT(E568,6)="TÉRREO",0,IFERROR(VALUE(LEFT(E568,FIND("º",SUBSTITUTE(E568,"°","º"))-1)),""))))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26" t="n">
        <v>46238</v>
      </c>
      <c r="G569" s="126" t="n">
        <v>46239</v>
      </c>
      <c r="H569" s="126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IF(E569="","",IF(ISNUMBER(SEARCH("SUBSOLO",E569)),IFERROR(-VALUE(LEFT(E569,FIND("º",SUBSTITUTE(E569,"°","º"))-1)),-1),IF(LEFT(E569,6)="TÉRREO",0,IFERROR(VALUE(LEFT(E569,FIND("º",SUBSTITUTE(E569,"°","º"))-1)),""))))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26" t="n">
        <v>46239</v>
      </c>
      <c r="G570" s="126" t="n">
        <v>46241</v>
      </c>
      <c r="H570" s="126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IF(E570="","",IF(ISNUMBER(SEARCH("SUBSOLO",E570)),IFERROR(-VALUE(LEFT(E570,FIND("º",SUBSTITUTE(E570,"°","º"))-1)),-1),IF(LEFT(E570,6)="TÉRREO",0,IFERROR(VALUE(LEFT(E570,FIND("º",SUBSTITUTE(E570,"°","º"))-1)),""))))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26" t="n">
        <v>46244</v>
      </c>
      <c r="G571" s="126" t="n">
        <v>46244</v>
      </c>
      <c r="H571" s="126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IF(E571="","",IF(ISNUMBER(SEARCH("SUBSOLO",E571)),IFERROR(-VALUE(LEFT(E571,FIND("º",SUBSTITUTE(E571,"°","º"))-1)),-1),IF(LEFT(E571,6)="TÉRREO",0,IFERROR(VALUE(LEFT(E571,FIND("º",SUBSTITUTE(E571,"°","º"))-1)),""))))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26" t="n">
        <v>46241</v>
      </c>
      <c r="G572" s="126" t="n">
        <v>46244</v>
      </c>
      <c r="H572" s="126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IF(E572="","",IF(ISNUMBER(SEARCH("SUBSOLO",E572)),IFERROR(-VALUE(LEFT(E572,FIND("º",SUBSTITUTE(E572,"°","º"))-1)),-1),IF(LEFT(E572,6)="TÉRREO",0,IFERROR(VALUE(LEFT(E572,FIND("º",SUBSTITUTE(E572,"°","º"))-1)),""))))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26" t="n">
        <v>46241</v>
      </c>
      <c r="G573" s="126" t="n">
        <v>46241</v>
      </c>
      <c r="H573" s="126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IF(E573="","",IF(ISNUMBER(SEARCH("SUBSOLO",E573)),IFERROR(-VALUE(LEFT(E573,FIND("º",SUBSTITUTE(E573,"°","º"))-1)),-1),IF(LEFT(E573,6)="TÉRREO",0,IFERROR(VALUE(LEFT(E573,FIND("º",SUBSTITUTE(E573,"°","º"))-1)),""))))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26" t="n">
        <v>46241</v>
      </c>
      <c r="G574" s="126" t="n">
        <v>46245</v>
      </c>
      <c r="H574" s="126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IF(E574="","",IF(ISNUMBER(SEARCH("SUBSOLO",E574)),IFERROR(-VALUE(LEFT(E574,FIND("º",SUBSTITUTE(E574,"°","º"))-1)),-1),IF(LEFT(E574,6)="TÉRREO",0,IFERROR(VALUE(LEFT(E574,FIND("º",SUBSTITUTE(E574,"°","º"))-1)),""))))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26" t="n">
        <v>46245</v>
      </c>
      <c r="G575" s="126" t="n">
        <v>46246</v>
      </c>
      <c r="H575" s="126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IF(E575="","",IF(ISNUMBER(SEARCH("SUBSOLO",E575)),IFERROR(-VALUE(LEFT(E575,FIND("º",SUBSTITUTE(E575,"°","º"))-1)),-1),IF(LEFT(E575,6)="TÉRREO",0,IFERROR(VALUE(LEFT(E575,FIND("º",SUBSTITUTE(E575,"°","º"))-1)),""))))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26" t="n">
        <v>46246</v>
      </c>
      <c r="G576" s="126" t="n">
        <v>46246</v>
      </c>
      <c r="H576" s="126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IF(E576="","",IF(ISNUMBER(SEARCH("SUBSOLO",E576)),IFERROR(-VALUE(LEFT(E576,FIND("º",SUBSTITUTE(E576,"°","º"))-1)),-1),IF(LEFT(E576,6)="TÉRREO",0,IFERROR(VALUE(LEFT(E576,FIND("º",SUBSTITUTE(E576,"°","º"))-1)),""))))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26" t="n">
        <v>46247</v>
      </c>
      <c r="G577" s="126" t="n">
        <v>46247</v>
      </c>
      <c r="H577" s="126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IF(E577="","",IF(ISNUMBER(SEARCH("SUBSOLO",E577)),IFERROR(-VALUE(LEFT(E577,FIND("º",SUBSTITUTE(E577,"°","º"))-1)),-1),IF(LEFT(E577,6)="TÉRREO",0,IFERROR(VALUE(LEFT(E577,FIND("º",SUBSTITUTE(E577,"°","º"))-1)),""))))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26" t="n">
        <v>46237</v>
      </c>
      <c r="G578" s="126" t="n">
        <v>46280</v>
      </c>
      <c r="H578" s="126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IF(E578="","",IF(ISNUMBER(SEARCH("SUBSOLO",E578)),IFERROR(-VALUE(LEFT(E578,FIND("º",SUBSTITUTE(E578,"°","º"))-1)),-1),IF(LEFT(E578,6)="TÉRREO",0,IFERROR(VALUE(LEFT(E578,FIND("º",SUBSTITUTE(E578,"°","º"))-1)),""))))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26" t="n">
        <v>46237</v>
      </c>
      <c r="G579" s="126" t="n">
        <v>46283</v>
      </c>
      <c r="H579" s="126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IF(E579="","",IF(ISNUMBER(SEARCH("SUBSOLO",E579)),IFERROR(-VALUE(LEFT(E579,FIND("º",SUBSTITUTE(E579,"°","º"))-1)),-1),IF(LEFT(E579,6)="TÉRREO",0,IFERROR(VALUE(LEFT(E579,FIND("º",SUBSTITUTE(E579,"°","º"))-1)),""))))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26" t="n">
        <v>46237</v>
      </c>
      <c r="G580" s="126" t="n">
        <v>46265</v>
      </c>
      <c r="H580" s="126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IF(E580="","",IF(ISNUMBER(SEARCH("SUBSOLO",E580)),IFERROR(-VALUE(LEFT(E580,FIND("º",SUBSTITUTE(E580,"°","º"))-1)),-1),IF(LEFT(E580,6)="TÉRREO",0,IFERROR(VALUE(LEFT(E580,FIND("º",SUBSTITUTE(E580,"°","º"))-1)),""))))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26" t="n">
        <v>46237</v>
      </c>
      <c r="G581" s="126" t="n">
        <v>46283</v>
      </c>
      <c r="H581" s="126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IF(E581="","",IF(ISNUMBER(SEARCH("SUBSOLO",E581)),IFERROR(-VALUE(LEFT(E581,FIND("º",SUBSTITUTE(E581,"°","º"))-1)),-1),IF(LEFT(E581,6)="TÉRREO",0,IFERROR(VALUE(LEFT(E581,FIND("º",SUBSTITUTE(E581,"°","º"))-1)),""))))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26" t="n">
        <v>46237</v>
      </c>
      <c r="G582" s="126" t="n">
        <v>46269</v>
      </c>
      <c r="H582" s="126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IF(E582="","",IF(ISNUMBER(SEARCH("SUBSOLO",E582)),IFERROR(-VALUE(LEFT(E582,FIND("º",SUBSTITUTE(E582,"°","º"))-1)),-1),IF(LEFT(E582,6)="TÉRREO",0,IFERROR(VALUE(LEFT(E582,FIND("º",SUBSTITUTE(E582,"°","º"))-1)),""))))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26" t="n">
        <v>46237</v>
      </c>
      <c r="G583" s="126" t="n">
        <v>46267</v>
      </c>
      <c r="H583" s="126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IF(E583="","",IF(ISNUMBER(SEARCH("SUBSOLO",E583)),IFERROR(-VALUE(LEFT(E583,FIND("º",SUBSTITUTE(E583,"°","º"))-1)),-1),IF(LEFT(E583,6)="TÉRREO",0,IFERROR(VALUE(LEFT(E583,FIND("º",SUBSTITUTE(E583,"°","º"))-1)),""))))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26" t="n">
        <v>46237</v>
      </c>
      <c r="G584" s="126" t="n">
        <v>46265</v>
      </c>
      <c r="H584" s="126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IF(E584="","",IF(ISNUMBER(SEARCH("SUBSOLO",E584)),IFERROR(-VALUE(LEFT(E584,FIND("º",SUBSTITUTE(E584,"°","º"))-1)),-1),IF(LEFT(E584,6)="TÉRREO",0,IFERROR(VALUE(LEFT(E584,FIND("º",SUBSTITUTE(E584,"°","º"))-1)),""))))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26" t="n">
        <v>46237</v>
      </c>
      <c r="G585" s="126" t="n">
        <v>46269</v>
      </c>
      <c r="H585" s="126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IF(E585="","",IF(ISNUMBER(SEARCH("SUBSOLO",E585)),IFERROR(-VALUE(LEFT(E585,FIND("º",SUBSTITUTE(E585,"°","º"))-1)),-1),IF(LEFT(E585,6)="TÉRREO",0,IFERROR(VALUE(LEFT(E585,FIND("º",SUBSTITUTE(E585,"°","º"))-1)),""))))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26" t="n">
        <v>46237</v>
      </c>
      <c r="G586" s="126" t="n">
        <v>46269</v>
      </c>
      <c r="H586" s="126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IF(E586="","",IF(ISNUMBER(SEARCH("SUBSOLO",E586)),IFERROR(-VALUE(LEFT(E586,FIND("º",SUBSTITUTE(E586,"°","º"))-1)),-1),IF(LEFT(E586,6)="TÉRREO",0,IFERROR(VALUE(LEFT(E586,FIND("º",SUBSTITUTE(E586,"°","º"))-1)),""))))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26" t="n">
        <v>46237</v>
      </c>
      <c r="G587" s="126" t="n">
        <v>46247</v>
      </c>
      <c r="H587" s="126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IF(E587="","",IF(ISNUMBER(SEARCH("SUBSOLO",E587)),IFERROR(-VALUE(LEFT(E587,FIND("º",SUBSTITUTE(E587,"°","º"))-1)),-1),IF(LEFT(E587,6)="TÉRREO",0,IFERROR(VALUE(LEFT(E587,FIND("º",SUBSTITUTE(E587,"°","º"))-1)),""))))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26" t="n">
        <v>46238</v>
      </c>
      <c r="G588" s="126" t="n">
        <v>46248</v>
      </c>
      <c r="H588" s="126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IF(E588="","",IF(ISNUMBER(SEARCH("SUBSOLO",E588)),IFERROR(-VALUE(LEFT(E588,FIND("º",SUBSTITUTE(E588,"°","º"))-1)),-1),IF(LEFT(E588,6)="TÉRREO",0,IFERROR(VALUE(LEFT(E588,FIND("º",SUBSTITUTE(E588,"°","º"))-1)),""))))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26" t="n">
        <v>46239</v>
      </c>
      <c r="G589" s="126" t="n">
        <v>46295</v>
      </c>
      <c r="H589" s="126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IF(E589="","",IF(ISNUMBER(SEARCH("SUBSOLO",E589)),IFERROR(-VALUE(LEFT(E589,FIND("º",SUBSTITUTE(E589,"°","º"))-1)),-1),IF(LEFT(E589,6)="TÉRREO",0,IFERROR(VALUE(LEFT(E589,FIND("º",SUBSTITUTE(E589,"°","º"))-1)),""))))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26" t="n">
        <v>46239</v>
      </c>
      <c r="G590" s="126" t="n">
        <v>46295</v>
      </c>
      <c r="H590" s="126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IF(E590="","",IF(ISNUMBER(SEARCH("SUBSOLO",E590)),IFERROR(-VALUE(LEFT(E590,FIND("º",SUBSTITUTE(E590,"°","º"))-1)),-1),IF(LEFT(E590,6)="TÉRREO",0,IFERROR(VALUE(LEFT(E590,FIND("º",SUBSTITUTE(E590,"°","º"))-1)),""))))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26" t="n">
        <v>46240</v>
      </c>
      <c r="G591" s="126" t="n">
        <v>46248</v>
      </c>
      <c r="H591" s="126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IF(E591="","",IF(ISNUMBER(SEARCH("SUBSOLO",E591)),IFERROR(-VALUE(LEFT(E591,FIND("º",SUBSTITUTE(E591,"°","º"))-1)),-1),IF(LEFT(E591,6)="TÉRREO",0,IFERROR(VALUE(LEFT(E591,FIND("º",SUBSTITUTE(E591,"°","º"))-1)),""))))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26" t="n">
        <v>46244</v>
      </c>
      <c r="G592" s="126" t="n">
        <v>46325</v>
      </c>
      <c r="H592" s="126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IF(E592="","",IF(ISNUMBER(SEARCH("SUBSOLO",E592)),IFERROR(-VALUE(LEFT(E592,FIND("º",SUBSTITUTE(E592,"°","º"))-1)),-1),IF(LEFT(E592,6)="TÉRREO",0,IFERROR(VALUE(LEFT(E592,FIND("º",SUBSTITUTE(E592,"°","º"))-1)),""))))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26" t="n">
        <v>46244</v>
      </c>
      <c r="G593" s="126" t="n">
        <v>46325</v>
      </c>
      <c r="H593" s="126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IF(E593="","",IF(ISNUMBER(SEARCH("SUBSOLO",E593)),IFERROR(-VALUE(LEFT(E593,FIND("º",SUBSTITUTE(E593,"°","º"))-1)),-1),IF(LEFT(E593,6)="TÉRREO",0,IFERROR(VALUE(LEFT(E593,FIND("º",SUBSTITUTE(E593,"°","º"))-1)),""))))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26" t="n">
        <v>46244</v>
      </c>
      <c r="G594" s="126" t="n">
        <v>46325</v>
      </c>
      <c r="H594" s="126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IF(E594="","",IF(ISNUMBER(SEARCH("SUBSOLO",E594)),IFERROR(-VALUE(LEFT(E594,FIND("º",SUBSTITUTE(E594,"°","º"))-1)),-1),IF(LEFT(E594,6)="TÉRREO",0,IFERROR(VALUE(LEFT(E594,FIND("º",SUBSTITUTE(E594,"°","º"))-1)),""))))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26" t="n">
        <v>46244</v>
      </c>
      <c r="G595" s="126" t="n">
        <v>46279</v>
      </c>
      <c r="H595" s="126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IF(E595="","",IF(ISNUMBER(SEARCH("SUBSOLO",E595)),IFERROR(-VALUE(LEFT(E595,FIND("º",SUBSTITUTE(E595,"°","º"))-1)),-1),IF(LEFT(E595,6)="TÉRREO",0,IFERROR(VALUE(LEFT(E595,FIND("º",SUBSTITUTE(E595,"°","º"))-1)),""))))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26" t="n">
        <v>46244</v>
      </c>
      <c r="G596" s="126" t="n">
        <v>46274</v>
      </c>
      <c r="H596" s="126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IF(E596="","",IF(ISNUMBER(SEARCH("SUBSOLO",E596)),IFERROR(-VALUE(LEFT(E596,FIND("º",SUBSTITUTE(E596,"°","º"))-1)),-1),IF(LEFT(E596,6)="TÉRREO",0,IFERROR(VALUE(LEFT(E596,FIND("º",SUBSTITUTE(E596,"°","º"))-1)),""))))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26" t="n">
        <v>46244</v>
      </c>
      <c r="G597" s="126" t="n">
        <v>46267</v>
      </c>
      <c r="H597" s="126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IF(E597="","",IF(ISNUMBER(SEARCH("SUBSOLO",E597)),IFERROR(-VALUE(LEFT(E597,FIND("º",SUBSTITUTE(E597,"°","º"))-1)),-1),IF(LEFT(E597,6)="TÉRREO",0,IFERROR(VALUE(LEFT(E597,FIND("º",SUBSTITUTE(E597,"°","º"))-1)),""))))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26" t="n">
        <v>46268</v>
      </c>
      <c r="G598" s="126" t="n">
        <v>46269</v>
      </c>
      <c r="H598" s="126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IF(E598="","",IF(ISNUMBER(SEARCH("SUBSOLO",E598)),IFERROR(-VALUE(LEFT(E598,FIND("º",SUBSTITUTE(E598,"°","º"))-1)),-1),IF(LEFT(E598,6)="TÉRREO",0,IFERROR(VALUE(LEFT(E598,FIND("º",SUBSTITUTE(E598,"°","º"))-1)),""))))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26" t="n">
        <v>46273</v>
      </c>
      <c r="G599" s="126" t="n">
        <v>46279</v>
      </c>
      <c r="H599" s="126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IF(E599="","",IF(ISNUMBER(SEARCH("SUBSOLO",E599)),IFERROR(-VALUE(LEFT(E599,FIND("º",SUBSTITUTE(E599,"°","º"))-1)),-1),IF(LEFT(E599,6)="TÉRREO",0,IFERROR(VALUE(LEFT(E599,FIND("º",SUBSTITUTE(E599,"°","º"))-1)),""))))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26" t="n">
        <v>46244</v>
      </c>
      <c r="G600" s="126" t="n">
        <v>46255</v>
      </c>
      <c r="H600" s="126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IF(E600="","",IF(ISNUMBER(SEARCH("SUBSOLO",E600)),IFERROR(-VALUE(LEFT(E600,FIND("º",SUBSTITUTE(E600,"°","º"))-1)),-1),IF(LEFT(E600,6)="TÉRREO",0,IFERROR(VALUE(LEFT(E600,FIND("º",SUBSTITUTE(E600,"°","º"))-1)),""))))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26" t="n">
        <v>46246</v>
      </c>
      <c r="G601" s="126" t="n">
        <v>46259</v>
      </c>
      <c r="H601" s="126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IF(E601="","",IF(ISNUMBER(SEARCH("SUBSOLO",E601)),IFERROR(-VALUE(LEFT(E601,FIND("º",SUBSTITUTE(E601,"°","º"))-1)),-1),IF(LEFT(E601,6)="TÉRREO",0,IFERROR(VALUE(LEFT(E601,FIND("º",SUBSTITUTE(E601,"°","º"))-1)),""))))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26" t="n">
        <v>46251</v>
      </c>
      <c r="G602" s="126" t="n">
        <v>46265</v>
      </c>
      <c r="H602" s="126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IF(E602="","",IF(ISNUMBER(SEARCH("SUBSOLO",E602)),IFERROR(-VALUE(LEFT(E602,FIND("º",SUBSTITUTE(E602,"°","º"))-1)),-1),IF(LEFT(E602,6)="TÉRREO",0,IFERROR(VALUE(LEFT(E602,FIND("º",SUBSTITUTE(E602,"°","º"))-1)),""))))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26" t="n">
        <v>46251</v>
      </c>
      <c r="G603" s="126" t="n">
        <v>46269</v>
      </c>
      <c r="H603" s="126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IF(E603="","",IF(ISNUMBER(SEARCH("SUBSOLO",E603)),IFERROR(-VALUE(LEFT(E603,FIND("º",SUBSTITUTE(E603,"°","º"))-1)),-1),IF(LEFT(E603,6)="TÉRREO",0,IFERROR(VALUE(LEFT(E603,FIND("º",SUBSTITUTE(E603,"°","º"))-1)),""))))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26" t="n">
        <v>46252</v>
      </c>
      <c r="G604" s="126" t="n">
        <v>46265</v>
      </c>
      <c r="H604" s="126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IF(E604="","",IF(ISNUMBER(SEARCH("SUBSOLO",E604)),IFERROR(-VALUE(LEFT(E604,FIND("º",SUBSTITUTE(E604,"°","º"))-1)),-1),IF(LEFT(E604,6)="TÉRREO",0,IFERROR(VALUE(LEFT(E604,FIND("º",SUBSTITUTE(E604,"°","º"))-1)),""))))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26" t="n">
        <v>46252</v>
      </c>
      <c r="G605" s="126" t="n">
        <v>46265</v>
      </c>
      <c r="H605" s="126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IF(E605="","",IF(ISNUMBER(SEARCH("SUBSOLO",E605)),IFERROR(-VALUE(LEFT(E605,FIND("º",SUBSTITUTE(E605,"°","º"))-1)),-1),IF(LEFT(E605,6)="TÉRREO",0,IFERROR(VALUE(LEFT(E605,FIND("º",SUBSTITUTE(E605,"°","º"))-1)),""))))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26" t="n">
        <v>46252</v>
      </c>
      <c r="G606" s="126" t="n">
        <v>46266</v>
      </c>
      <c r="H606" s="126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IF(E606="","",IF(ISNUMBER(SEARCH("SUBSOLO",E606)),IFERROR(-VALUE(LEFT(E606,FIND("º",SUBSTITUTE(E606,"°","º"))-1)),-1),IF(LEFT(E606,6)="TÉRREO",0,IFERROR(VALUE(LEFT(E606,FIND("º",SUBSTITUTE(E606,"°","º"))-1)),""))))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26" t="n">
        <v>46252</v>
      </c>
      <c r="G607" s="126" t="n">
        <v>46253</v>
      </c>
      <c r="H607" s="126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IF(E607="","",IF(ISNUMBER(SEARCH("SUBSOLO",E607)),IFERROR(-VALUE(LEFT(E607,FIND("º",SUBSTITUTE(E607,"°","º"))-1)),-1),IF(LEFT(E607,6)="TÉRREO",0,IFERROR(VALUE(LEFT(E607,FIND("º",SUBSTITUTE(E607,"°","º"))-1)),""))))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26" t="n">
        <v>46252</v>
      </c>
      <c r="G608" s="126" t="n">
        <v>46253</v>
      </c>
      <c r="H608" s="126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IF(E608="","",IF(ISNUMBER(SEARCH("SUBSOLO",E608)),IFERROR(-VALUE(LEFT(E608,FIND("º",SUBSTITUTE(E608,"°","º"))-1)),-1),IF(LEFT(E608,6)="TÉRREO",0,IFERROR(VALUE(LEFT(E608,FIND("º",SUBSTITUTE(E608,"°","º"))-1)),""))))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26" t="n">
        <v>46253</v>
      </c>
      <c r="G609" s="126" t="n">
        <v>46254</v>
      </c>
      <c r="H609" s="126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IF(E609="","",IF(ISNUMBER(SEARCH("SUBSOLO",E609)),IFERROR(-VALUE(LEFT(E609,FIND("º",SUBSTITUTE(E609,"°","º"))-1)),-1),IF(LEFT(E609,6)="TÉRREO",0,IFERROR(VALUE(LEFT(E609,FIND("º",SUBSTITUTE(E609,"°","º"))-1)),""))))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26" t="n">
        <v>46255</v>
      </c>
      <c r="G610" s="126" t="n">
        <v>46255</v>
      </c>
      <c r="H610" s="126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IF(E610="","",IF(ISNUMBER(SEARCH("SUBSOLO",E610)),IFERROR(-VALUE(LEFT(E610,FIND("º",SUBSTITUTE(E610,"°","º"))-1)),-1),IF(LEFT(E610,6)="TÉRREO",0,IFERROR(VALUE(LEFT(E610,FIND("º",SUBSTITUTE(E610,"°","º"))-1)),""))))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26" t="n">
        <v>46258</v>
      </c>
      <c r="G611" s="126" t="n">
        <v>46261</v>
      </c>
      <c r="H611" s="126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IF(E611="","",IF(ISNUMBER(SEARCH("SUBSOLO",E611)),IFERROR(-VALUE(LEFT(E611,FIND("º",SUBSTITUTE(E611,"°","º"))-1)),-1),IF(LEFT(E611,6)="TÉRREO",0,IFERROR(VALUE(LEFT(E611,FIND("º",SUBSTITUTE(E611,"°","º"))-1)),""))))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26" t="n">
        <v>46259</v>
      </c>
      <c r="G612" s="126" t="n">
        <v>46262</v>
      </c>
      <c r="H612" s="126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IF(E612="","",IF(ISNUMBER(SEARCH("SUBSOLO",E612)),IFERROR(-VALUE(LEFT(E612,FIND("º",SUBSTITUTE(E612,"°","º"))-1)),-1),IF(LEFT(E612,6)="TÉRREO",0,IFERROR(VALUE(LEFT(E612,FIND("º",SUBSTITUTE(E612,"°","º"))-1)),""))))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26" t="n">
        <v>46261</v>
      </c>
      <c r="G613" s="126" t="n">
        <v>46261</v>
      </c>
      <c r="H613" s="126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IF(E613="","",IF(ISNUMBER(SEARCH("SUBSOLO",E613)),IFERROR(-VALUE(LEFT(E613,FIND("º",SUBSTITUTE(E613,"°","º"))-1)),-1),IF(LEFT(E613,6)="TÉRREO",0,IFERROR(VALUE(LEFT(E613,FIND("º",SUBSTITUTE(E613,"°","º"))-1)),""))))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26" t="n">
        <v>46261</v>
      </c>
      <c r="G614" s="126" t="n">
        <v>46261</v>
      </c>
      <c r="H614" s="126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IF(E614="","",IF(ISNUMBER(SEARCH("SUBSOLO",E614)),IFERROR(-VALUE(LEFT(E614,FIND("º",SUBSTITUTE(E614,"°","º"))-1)),-1),IF(LEFT(E614,6)="TÉRREO",0,IFERROR(VALUE(LEFT(E614,FIND("º",SUBSTITUTE(E614,"°","º"))-1)),""))))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26" t="n">
        <v>46262</v>
      </c>
      <c r="G615" s="126" t="n">
        <v>46266</v>
      </c>
      <c r="H615" s="126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IF(E615="","",IF(ISNUMBER(SEARCH("SUBSOLO",E615)),IFERROR(-VALUE(LEFT(E615,FIND("º",SUBSTITUTE(E615,"°","º"))-1)),-1),IF(LEFT(E615,6)="TÉRREO",0,IFERROR(VALUE(LEFT(E615,FIND("º",SUBSTITUTE(E615,"°","º"))-1)),""))))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26" t="n">
        <v>46258</v>
      </c>
      <c r="G616" s="126" t="n">
        <v>46297</v>
      </c>
      <c r="H616" s="126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IF(E616="","",IF(ISNUMBER(SEARCH("SUBSOLO",E616)),IFERROR(-VALUE(LEFT(E616,FIND("º",SUBSTITUTE(E616,"°","º"))-1)),-1),IF(LEFT(E616,6)="TÉRREO",0,IFERROR(VALUE(LEFT(E616,FIND("º",SUBSTITUTE(E616,"°","º"))-1)),""))))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26" t="n">
        <v>46258</v>
      </c>
      <c r="G617" s="126" t="n">
        <v>46279</v>
      </c>
      <c r="H617" s="126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IF(E617="","",IF(ISNUMBER(SEARCH("SUBSOLO",E617)),IFERROR(-VALUE(LEFT(E617,FIND("º",SUBSTITUTE(E617,"°","º"))-1)),-1),IF(LEFT(E617,6)="TÉRREO",0,IFERROR(VALUE(LEFT(E617,FIND("º",SUBSTITUTE(E617,"°","º"))-1)),""))))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26" t="n">
        <v>46258</v>
      </c>
      <c r="G618" s="126" t="n">
        <v>46279</v>
      </c>
      <c r="H618" s="126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IF(E618="","",IF(ISNUMBER(SEARCH("SUBSOLO",E618)),IFERROR(-VALUE(LEFT(E618,FIND("º",SUBSTITUTE(E618,"°","º"))-1)),-1),IF(LEFT(E618,6)="TÉRREO",0,IFERROR(VALUE(LEFT(E618,FIND("º",SUBSTITUTE(E618,"°","º"))-1)),""))))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26" t="n">
        <v>46258</v>
      </c>
      <c r="G619" s="126" t="n">
        <v>46279</v>
      </c>
      <c r="H619" s="126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IF(E619="","",IF(ISNUMBER(SEARCH("SUBSOLO",E619)),IFERROR(-VALUE(LEFT(E619,FIND("º",SUBSTITUTE(E619,"°","º"))-1)),-1),IF(LEFT(E619,6)="TÉRREO",0,IFERROR(VALUE(LEFT(E619,FIND("º",SUBSTITUTE(E619,"°","º"))-1)),""))))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26" t="n">
        <v>46258</v>
      </c>
      <c r="G620" s="126" t="n">
        <v>46279</v>
      </c>
      <c r="H620" s="126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IF(E620="","",IF(ISNUMBER(SEARCH("SUBSOLO",E620)),IFERROR(-VALUE(LEFT(E620,FIND("º",SUBSTITUTE(E620,"°","º"))-1)),-1),IF(LEFT(E620,6)="TÉRREO",0,IFERROR(VALUE(LEFT(E620,FIND("º",SUBSTITUTE(E620,"°","º"))-1)),""))))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26" t="n">
        <v>46260</v>
      </c>
      <c r="G621" s="126" t="n">
        <v>46323</v>
      </c>
      <c r="H621" s="126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IF(E621="","",IF(ISNUMBER(SEARCH("SUBSOLO",E621)),IFERROR(-VALUE(LEFT(E621,FIND("º",SUBSTITUTE(E621,"°","º"))-1)),-1),IF(LEFT(E621,6)="TÉRREO",0,IFERROR(VALUE(LEFT(E621,FIND("º",SUBSTITUTE(E621,"°","º"))-1)),""))))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26" t="n">
        <v>46262</v>
      </c>
      <c r="G622" s="126" t="n">
        <v>46356</v>
      </c>
      <c r="H622" s="126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IF(E622="","",IF(ISNUMBER(SEARCH("SUBSOLO",E622)),IFERROR(-VALUE(LEFT(E622,FIND("º",SUBSTITUTE(E622,"°","º"))-1)),-1),IF(LEFT(E622,6)="TÉRREO",0,IFERROR(VALUE(LEFT(E622,FIND("º",SUBSTITUTE(E622,"°","º"))-1)),""))))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26" t="n">
        <v>46265</v>
      </c>
      <c r="G623" s="126" t="n">
        <v>46279</v>
      </c>
      <c r="H623" s="126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IF(E623="","",IF(ISNUMBER(SEARCH("SUBSOLO",E623)),IFERROR(-VALUE(LEFT(E623,FIND("º",SUBSTITUTE(E623,"°","º"))-1)),-1),IF(LEFT(E623,6)="TÉRREO",0,IFERROR(VALUE(LEFT(E623,FIND("º",SUBSTITUTE(E623,"°","º"))-1)),""))))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26" t="n">
        <v>46265</v>
      </c>
      <c r="G624" s="126" t="n">
        <v>46281</v>
      </c>
      <c r="H624" s="126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IF(E624="","",IF(ISNUMBER(SEARCH("SUBSOLO",E624)),IFERROR(-VALUE(LEFT(E624,FIND("º",SUBSTITUTE(E624,"°","º"))-1)),-1),IF(LEFT(E624,6)="TÉRREO",0,IFERROR(VALUE(LEFT(E624,FIND("º",SUBSTITUTE(E624,"°","º"))-1)),""))))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26" t="n">
        <v>46265</v>
      </c>
      <c r="G625" s="126" t="n">
        <v>46265</v>
      </c>
      <c r="H625" s="126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IF(E625="","",IF(ISNUMBER(SEARCH("SUBSOLO",E625)),IFERROR(-VALUE(LEFT(E625,FIND("º",SUBSTITUTE(E625,"°","º"))-1)),-1),IF(LEFT(E625,6)="TÉRREO",0,IFERROR(VALUE(LEFT(E625,FIND("º",SUBSTITUTE(E625,"°","º"))-1)),""))))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26" t="n">
        <v>46266</v>
      </c>
      <c r="G626" s="126" t="n">
        <v>46268</v>
      </c>
      <c r="H626" s="126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IF(E626="","",IF(ISNUMBER(SEARCH("SUBSOLO",E626)),IFERROR(-VALUE(LEFT(E626,FIND("º",SUBSTITUTE(E626,"°","º"))-1)),-1),IF(LEFT(E626,6)="TÉRREO",0,IFERROR(VALUE(LEFT(E626,FIND("º",SUBSTITUTE(E626,"°","º"))-1)),""))))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26" t="n">
        <v>46267</v>
      </c>
      <c r="G627" s="126" t="n">
        <v>46273</v>
      </c>
      <c r="H627" s="126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IF(E627="","",IF(ISNUMBER(SEARCH("SUBSOLO",E627)),IFERROR(-VALUE(LEFT(E627,FIND("º",SUBSTITUTE(E627,"°","º"))-1)),-1),IF(LEFT(E627,6)="TÉRREO",0,IFERROR(VALUE(LEFT(E627,FIND("º",SUBSTITUTE(E627,"°","º"))-1)),""))))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26" t="n">
        <v>46269</v>
      </c>
      <c r="G628" s="126" t="n">
        <v>46269</v>
      </c>
      <c r="H628" s="126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IF(E628="","",IF(ISNUMBER(SEARCH("SUBSOLO",E628)),IFERROR(-VALUE(LEFT(E628,FIND("º",SUBSTITUTE(E628,"°","º"))-1)),-1),IF(LEFT(E628,6)="TÉRREO",0,IFERROR(VALUE(LEFT(E628,FIND("º",SUBSTITUTE(E628,"°","º"))-1)),""))))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26" t="n">
        <v>46269</v>
      </c>
      <c r="G629" s="126" t="n">
        <v>46274</v>
      </c>
      <c r="H629" s="126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IF(E629="","",IF(ISNUMBER(SEARCH("SUBSOLO",E629)),IFERROR(-VALUE(LEFT(E629,FIND("º",SUBSTITUTE(E629,"°","º"))-1)),-1),IF(LEFT(E629,6)="TÉRREO",0,IFERROR(VALUE(LEFT(E629,FIND("º",SUBSTITUTE(E629,"°","º"))-1)),""))))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26" t="n">
        <v>46274</v>
      </c>
      <c r="G630" s="126" t="n">
        <v>46275</v>
      </c>
      <c r="H630" s="126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IF(E630="","",IF(ISNUMBER(SEARCH("SUBSOLO",E630)),IFERROR(-VALUE(LEFT(E630,FIND("º",SUBSTITUTE(E630,"°","º"))-1)),-1),IF(LEFT(E630,6)="TÉRREO",0,IFERROR(VALUE(LEFT(E630,FIND("º",SUBSTITUTE(E630,"°","º"))-1)),""))))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26" t="n">
        <v>46275</v>
      </c>
      <c r="G631" s="126" t="n">
        <v>46276</v>
      </c>
      <c r="H631" s="126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IF(E631="","",IF(ISNUMBER(SEARCH("SUBSOLO",E631)),IFERROR(-VALUE(LEFT(E631,FIND("º",SUBSTITUTE(E631,"°","º"))-1)),-1),IF(LEFT(E631,6)="TÉRREO",0,IFERROR(VALUE(LEFT(E631,FIND("º",SUBSTITUTE(E631,"°","º"))-1)),""))))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26" t="n">
        <v>46276</v>
      </c>
      <c r="G632" s="126" t="n">
        <v>46276</v>
      </c>
      <c r="H632" s="126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IF(E632="","",IF(ISNUMBER(SEARCH("SUBSOLO",E632)),IFERROR(-VALUE(LEFT(E632,FIND("º",SUBSTITUTE(E632,"°","º"))-1)),-1),IF(LEFT(E632,6)="TÉRREO",0,IFERROR(VALUE(LEFT(E632,FIND("º",SUBSTITUTE(E632,"°","º"))-1)),""))))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26" t="n">
        <v>46276</v>
      </c>
      <c r="G633" s="126" t="n">
        <v>46276</v>
      </c>
      <c r="H633" s="126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IF(E633="","",IF(ISNUMBER(SEARCH("SUBSOLO",E633)),IFERROR(-VALUE(LEFT(E633,FIND("º",SUBSTITUTE(E633,"°","º"))-1)),-1),IF(LEFT(E633,6)="TÉRREO",0,IFERROR(VALUE(LEFT(E633,FIND("º",SUBSTITUTE(E633,"°","º"))-1)),""))))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26" t="n">
        <v>46276</v>
      </c>
      <c r="G634" s="126" t="n">
        <v>46279</v>
      </c>
      <c r="H634" s="126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IF(E634="","",IF(ISNUMBER(SEARCH("SUBSOLO",E634)),IFERROR(-VALUE(LEFT(E634,FIND("º",SUBSTITUTE(E634,"°","º"))-1)),-1),IF(LEFT(E634,6)="TÉRREO",0,IFERROR(VALUE(LEFT(E634,FIND("º",SUBSTITUTE(E634,"°","º"))-1)),""))))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26" t="n">
        <v>46279</v>
      </c>
      <c r="G635" s="126" t="n">
        <v>46280</v>
      </c>
      <c r="H635" s="126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IF(E635="","",IF(ISNUMBER(SEARCH("SUBSOLO",E635)),IFERROR(-VALUE(LEFT(E635,FIND("º",SUBSTITUTE(E635,"°","º"))-1)),-1),IF(LEFT(E635,6)="TÉRREO",0,IFERROR(VALUE(LEFT(E635,FIND("º",SUBSTITUTE(E635,"°","º"))-1)),""))))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26" t="n">
        <v>46279</v>
      </c>
      <c r="G636" s="126" t="n">
        <v>46279</v>
      </c>
      <c r="H636" s="126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IF(E636="","",IF(ISNUMBER(SEARCH("SUBSOLO",E636)),IFERROR(-VALUE(LEFT(E636,FIND("º",SUBSTITUTE(E636,"°","º"))-1)),-1),IF(LEFT(E636,6)="TÉRREO",0,IFERROR(VALUE(LEFT(E636,FIND("º",SUBSTITUTE(E636,"°","º"))-1)),""))))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26" t="n">
        <v>46280</v>
      </c>
      <c r="G637" s="126" t="n">
        <v>46280</v>
      </c>
      <c r="H637" s="126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IF(E637="","",IF(ISNUMBER(SEARCH("SUBSOLO",E637)),IFERROR(-VALUE(LEFT(E637,FIND("º",SUBSTITUTE(E637,"°","º"))-1)),-1),IF(LEFT(E637,6)="TÉRREO",0,IFERROR(VALUE(LEFT(E637,FIND("º",SUBSTITUTE(E637,"°","º"))-1)),""))))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26" t="n">
        <v>46281</v>
      </c>
      <c r="G638" s="126" t="n">
        <v>46281</v>
      </c>
      <c r="H638" s="126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IF(E638="","",IF(ISNUMBER(SEARCH("SUBSOLO",E638)),IFERROR(-VALUE(LEFT(E638,FIND("º",SUBSTITUTE(E638,"°","º"))-1)),-1),IF(LEFT(E638,6)="TÉRREO",0,IFERROR(VALUE(LEFT(E638,FIND("º",SUBSTITUTE(E638,"°","º"))-1)),""))))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26" t="n">
        <v>46266</v>
      </c>
      <c r="G639" s="126" t="n">
        <v>46269</v>
      </c>
      <c r="H639" s="126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IF(E639="","",IF(ISNUMBER(SEARCH("SUBSOLO",E639)),IFERROR(-VALUE(LEFT(E639,FIND("º",SUBSTITUTE(E639,"°","º"))-1)),-1),IF(LEFT(E639,6)="TÉRREO",0,IFERROR(VALUE(LEFT(E639,FIND("º",SUBSTITUTE(E639,"°","º"))-1)),""))))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26" t="n">
        <v>46266</v>
      </c>
      <c r="G640" s="126" t="n">
        <v>46280</v>
      </c>
      <c r="H640" s="126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IF(E640="","",IF(ISNUMBER(SEARCH("SUBSOLO",E640)),IFERROR(-VALUE(LEFT(E640,FIND("º",SUBSTITUTE(E640,"°","º"))-1)),-1),IF(LEFT(E640,6)="TÉRREO",0,IFERROR(VALUE(LEFT(E640,FIND("º",SUBSTITUTE(E640,"°","º"))-1)),""))))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26" t="n">
        <v>46266</v>
      </c>
      <c r="G641" s="126" t="n">
        <v>46280</v>
      </c>
      <c r="H641" s="126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IF(E641="","",IF(ISNUMBER(SEARCH("SUBSOLO",E641)),IFERROR(-VALUE(LEFT(E641,FIND("º",SUBSTITUTE(E641,"°","º"))-1)),-1),IF(LEFT(E641,6)="TÉRREO",0,IFERROR(VALUE(LEFT(E641,FIND("º",SUBSTITUTE(E641,"°","º"))-1)),""))))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26" t="n">
        <v>46266</v>
      </c>
      <c r="G642" s="126" t="n">
        <v>46275</v>
      </c>
      <c r="H642" s="126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IF(E642="","",IF(ISNUMBER(SEARCH("SUBSOLO",E642)),IFERROR(-VALUE(LEFT(E642,FIND("º",SUBSTITUTE(E642,"°","º"))-1)),-1),IF(LEFT(E642,6)="TÉRREO",0,IFERROR(VALUE(LEFT(E642,FIND("º",SUBSTITUTE(E642,"°","º"))-1)),""))))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26" t="n">
        <v>46273</v>
      </c>
      <c r="G643" s="126" t="n">
        <v>46302</v>
      </c>
      <c r="H643" s="126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IF(E643="","",IF(ISNUMBER(SEARCH("SUBSOLO",E643)),IFERROR(-VALUE(LEFT(E643,FIND("º",SUBSTITUTE(E643,"°","º"))-1)),-1),IF(LEFT(E643,6)="TÉRREO",0,IFERROR(VALUE(LEFT(E643,FIND("º",SUBSTITUTE(E643,"°","º"))-1)),""))))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26" t="n">
        <v>46273</v>
      </c>
      <c r="G644" s="126" t="n">
        <v>46302</v>
      </c>
      <c r="H644" s="126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IF(E644="","",IF(ISNUMBER(SEARCH("SUBSOLO",E644)),IFERROR(-VALUE(LEFT(E644,FIND("º",SUBSTITUTE(E644,"°","º"))-1)),-1),IF(LEFT(E644,6)="TÉRREO",0,IFERROR(VALUE(LEFT(E644,FIND("º",SUBSTITUTE(E644,"°","º"))-1)),""))))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26" t="n">
        <v>46273</v>
      </c>
      <c r="G645" s="126" t="n">
        <v>46302</v>
      </c>
      <c r="H645" s="126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IF(E645="","",IF(ISNUMBER(SEARCH("SUBSOLO",E645)),IFERROR(-VALUE(LEFT(E645,FIND("º",SUBSTITUTE(E645,"°","º"))-1)),-1),IF(LEFT(E645,6)="TÉRREO",0,IFERROR(VALUE(LEFT(E645,FIND("º",SUBSTITUTE(E645,"°","º"))-1)),""))))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26" t="n">
        <v>46273</v>
      </c>
      <c r="G646" s="126" t="n">
        <v>46279</v>
      </c>
      <c r="H646" s="126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IF(E646="","",IF(ISNUMBER(SEARCH("SUBSOLO",E646)),IFERROR(-VALUE(LEFT(E646,FIND("º",SUBSTITUTE(E646,"°","º"))-1)),-1),IF(LEFT(E646,6)="TÉRREO",0,IFERROR(VALUE(LEFT(E646,FIND("º",SUBSTITUTE(E646,"°","º"))-1)),""))))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26" t="n">
        <v>46273</v>
      </c>
      <c r="G647" s="126" t="n">
        <v>46286</v>
      </c>
      <c r="H647" s="126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IF(E647="","",IF(ISNUMBER(SEARCH("SUBSOLO",E647)),IFERROR(-VALUE(LEFT(E647,FIND("º",SUBSTITUTE(E647,"°","º"))-1)),-1),IF(LEFT(E647,6)="TÉRREO",0,IFERROR(VALUE(LEFT(E647,FIND("º",SUBSTITUTE(E647,"°","º"))-1)),""))))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26" t="n">
        <v>46276</v>
      </c>
      <c r="G648" s="126" t="n">
        <v>46286</v>
      </c>
      <c r="H648" s="126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IF(E648="","",IF(ISNUMBER(SEARCH("SUBSOLO",E648)),IFERROR(-VALUE(LEFT(E648,FIND("º",SUBSTITUTE(E648,"°","º"))-1)),-1),IF(LEFT(E648,6)="TÉRREO",0,IFERROR(VALUE(LEFT(E648,FIND("º",SUBSTITUTE(E648,"°","º"))-1)),""))))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26" t="n">
        <v>46279</v>
      </c>
      <c r="G649" s="126" t="n">
        <v>46322</v>
      </c>
      <c r="H649" s="126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IF(E649="","",IF(ISNUMBER(SEARCH("SUBSOLO",E649)),IFERROR(-VALUE(LEFT(E649,FIND("º",SUBSTITUTE(E649,"°","º"))-1)),-1),IF(LEFT(E649,6)="TÉRREO",0,IFERROR(VALUE(LEFT(E649,FIND("º",SUBSTITUTE(E649,"°","º"))-1)),""))))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26" t="n">
        <v>46279</v>
      </c>
      <c r="G650" s="126" t="n">
        <v>46287</v>
      </c>
      <c r="H650" s="126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IF(E650="","",IF(ISNUMBER(SEARCH("SUBSOLO",E650)),IFERROR(-VALUE(LEFT(E650,FIND("º",SUBSTITUTE(E650,"°","º"))-1)),-1),IF(LEFT(E650,6)="TÉRREO",0,IFERROR(VALUE(LEFT(E650,FIND("º",SUBSTITUTE(E650,"°","º"))-1)),""))))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26" t="n">
        <v>46288</v>
      </c>
      <c r="G651" s="126" t="n">
        <v>46301</v>
      </c>
      <c r="H651" s="126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IF(E651="","",IF(ISNUMBER(SEARCH("SUBSOLO",E651)),IFERROR(-VALUE(LEFT(E651,FIND("º",SUBSTITUTE(E651,"°","º"))-1)),-1),IF(LEFT(E651,6)="TÉRREO",0,IFERROR(VALUE(LEFT(E651,FIND("º",SUBSTITUTE(E651,"°","º"))-1)),""))))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26" t="n">
        <v>46294</v>
      </c>
      <c r="G652" s="126" t="n">
        <v>46308</v>
      </c>
      <c r="H652" s="126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IF(E652="","",IF(ISNUMBER(SEARCH("SUBSOLO",E652)),IFERROR(-VALUE(LEFT(E652,FIND("º",SUBSTITUTE(E652,"°","º"))-1)),-1),IF(LEFT(E652,6)="TÉRREO",0,IFERROR(VALUE(LEFT(E652,FIND("º",SUBSTITUTE(E652,"°","º"))-1)),""))))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26" t="n">
        <v>46309</v>
      </c>
      <c r="G653" s="126" t="n">
        <v>46315</v>
      </c>
      <c r="H653" s="126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IF(E653="","",IF(ISNUMBER(SEARCH("SUBSOLO",E653)),IFERROR(-VALUE(LEFT(E653,FIND("º",SUBSTITUTE(E653,"°","º"))-1)),-1),IF(LEFT(E653,6)="TÉRREO",0,IFERROR(VALUE(LEFT(E653,FIND("º",SUBSTITUTE(E653,"°","º"))-1)),""))))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26" t="n">
        <v>46316</v>
      </c>
      <c r="G654" s="126" t="n">
        <v>46322</v>
      </c>
      <c r="H654" s="126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IF(E654="","",IF(ISNUMBER(SEARCH("SUBSOLO",E654)),IFERROR(-VALUE(LEFT(E654,FIND("º",SUBSTITUTE(E654,"°","º"))-1)),-1),IF(LEFT(E654,6)="TÉRREO",0,IFERROR(VALUE(LEFT(E654,FIND("º",SUBSTITUTE(E654,"°","º"))-1)),""))))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26" t="n">
        <v>46279</v>
      </c>
      <c r="G655" s="126" t="n">
        <v>46322</v>
      </c>
      <c r="H655" s="126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IF(E655="","",IF(ISNUMBER(SEARCH("SUBSOLO",E655)),IFERROR(-VALUE(LEFT(E655,FIND("º",SUBSTITUTE(E655,"°","º"))-1)),-1),IF(LEFT(E655,6)="TÉRREO",0,IFERROR(VALUE(LEFT(E655,FIND("º",SUBSTITUTE(E655,"°","º"))-1)),""))))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26" t="n">
        <v>46279</v>
      </c>
      <c r="G656" s="126" t="n">
        <v>46287</v>
      </c>
      <c r="H656" s="126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IF(E656="","",IF(ISNUMBER(SEARCH("SUBSOLO",E656)),IFERROR(-VALUE(LEFT(E656,FIND("º",SUBSTITUTE(E656,"°","º"))-1)),-1),IF(LEFT(E656,6)="TÉRREO",0,IFERROR(VALUE(LEFT(E656,FIND("º",SUBSTITUTE(E656,"°","º"))-1)),""))))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26" t="n">
        <v>46288</v>
      </c>
      <c r="G657" s="126" t="n">
        <v>46301</v>
      </c>
      <c r="H657" s="126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IF(E657="","",IF(ISNUMBER(SEARCH("SUBSOLO",E657)),IFERROR(-VALUE(LEFT(E657,FIND("º",SUBSTITUTE(E657,"°","º"))-1)),-1),IF(LEFT(E657,6)="TÉRREO",0,IFERROR(VALUE(LEFT(E657,FIND("º",SUBSTITUTE(E657,"°","º"))-1)),""))))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26" t="n">
        <v>46294</v>
      </c>
      <c r="G658" s="126" t="n">
        <v>46308</v>
      </c>
      <c r="H658" s="126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IF(E658="","",IF(ISNUMBER(SEARCH("SUBSOLO",E658)),IFERROR(-VALUE(LEFT(E658,FIND("º",SUBSTITUTE(E658,"°","º"))-1)),-1),IF(LEFT(E658,6)="TÉRREO",0,IFERROR(VALUE(LEFT(E658,FIND("º",SUBSTITUTE(E658,"°","º"))-1)),""))))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26" t="n">
        <v>46309</v>
      </c>
      <c r="G659" s="126" t="n">
        <v>46315</v>
      </c>
      <c r="H659" s="126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IF(E659="","",IF(ISNUMBER(SEARCH("SUBSOLO",E659)),IFERROR(-VALUE(LEFT(E659,FIND("º",SUBSTITUTE(E659,"°","º"))-1)),-1),IF(LEFT(E659,6)="TÉRREO",0,IFERROR(VALUE(LEFT(E659,FIND("º",SUBSTITUTE(E659,"°","º"))-1)),""))))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26" t="n">
        <v>46316</v>
      </c>
      <c r="G660" s="126" t="n">
        <v>46322</v>
      </c>
      <c r="H660" s="126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IF(E660="","",IF(ISNUMBER(SEARCH("SUBSOLO",E660)),IFERROR(-VALUE(LEFT(E660,FIND("º",SUBSTITUTE(E660,"°","º"))-1)),-1),IF(LEFT(E660,6)="TÉRREO",0,IFERROR(VALUE(LEFT(E660,FIND("º",SUBSTITUTE(E660,"°","º"))-1)),""))))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26" t="n">
        <v>46279</v>
      </c>
      <c r="G661" s="126" t="n">
        <v>46289</v>
      </c>
      <c r="H661" s="126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IF(E661="","",IF(ISNUMBER(SEARCH("SUBSOLO",E661)),IFERROR(-VALUE(LEFT(E661,FIND("º",SUBSTITUTE(E661,"°","º"))-1)),-1),IF(LEFT(E661,6)="TÉRREO",0,IFERROR(VALUE(LEFT(E661,FIND("º",SUBSTITUTE(E661,"°","º"))-1)),""))))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26" t="n">
        <v>46279</v>
      </c>
      <c r="G662" s="126" t="n">
        <v>46290</v>
      </c>
      <c r="H662" s="126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IF(E662="","",IF(ISNUMBER(SEARCH("SUBSOLO",E662)),IFERROR(-VALUE(LEFT(E662,FIND("º",SUBSTITUTE(E662,"°","º"))-1)),-1),IF(LEFT(E662,6)="TÉRREO",0,IFERROR(VALUE(LEFT(E662,FIND("º",SUBSTITUTE(E662,"°","º"))-1)),""))))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26" t="n">
        <v>46280</v>
      </c>
      <c r="G663" s="126" t="n">
        <v>46300</v>
      </c>
      <c r="H663" s="126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IF(E663="","",IF(ISNUMBER(SEARCH("SUBSOLO",E663)),IFERROR(-VALUE(LEFT(E663,FIND("º",SUBSTITUTE(E663,"°","º"))-1)),-1),IF(LEFT(E663,6)="TÉRREO",0,IFERROR(VALUE(LEFT(E663,FIND("º",SUBSTITUTE(E663,"°","º"))-1)),""))))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26" t="n">
        <v>46280</v>
      </c>
      <c r="G664" s="126" t="n">
        <v>46293</v>
      </c>
      <c r="H664" s="126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IF(E664="","",IF(ISNUMBER(SEARCH("SUBSOLO",E664)),IFERROR(-VALUE(LEFT(E664,FIND("º",SUBSTITUTE(E664,"°","º"))-1)),-1),IF(LEFT(E664,6)="TÉRREO",0,IFERROR(VALUE(LEFT(E664,FIND("º",SUBSTITUTE(E664,"°","º"))-1)),""))))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26" t="n">
        <v>46280</v>
      </c>
      <c r="G665" s="126" t="n">
        <v>46295</v>
      </c>
      <c r="H665" s="126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IF(E665="","",IF(ISNUMBER(SEARCH("SUBSOLO",E665)),IFERROR(-VALUE(LEFT(E665,FIND("º",SUBSTITUTE(E665,"°","º"))-1)),-1),IF(LEFT(E665,6)="TÉRREO",0,IFERROR(VALUE(LEFT(E665,FIND("º",SUBSTITUTE(E665,"°","º"))-1)),""))))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26" t="n">
        <v>46280</v>
      </c>
      <c r="G666" s="126" t="n">
        <v>46363</v>
      </c>
      <c r="H666" s="126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IF(E666="","",IF(ISNUMBER(SEARCH("SUBSOLO",E666)),IFERROR(-VALUE(LEFT(E666,FIND("º",SUBSTITUTE(E666,"°","º"))-1)),-1),IF(LEFT(E666,6)="TÉRREO",0,IFERROR(VALUE(LEFT(E666,FIND("º",SUBSTITUTE(E666,"°","º"))-1)),""))))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26" t="n">
        <v>46280</v>
      </c>
      <c r="G667" s="126" t="n">
        <v>46293</v>
      </c>
      <c r="H667" s="126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IF(E667="","",IF(ISNUMBER(SEARCH("SUBSOLO",E667)),IFERROR(-VALUE(LEFT(E667,FIND("º",SUBSTITUTE(E667,"°","º"))-1)),-1),IF(LEFT(E667,6)="TÉRREO",0,IFERROR(VALUE(LEFT(E667,FIND("º",SUBSTITUTE(E667,"°","º"))-1)),""))))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26" t="n">
        <v>46294</v>
      </c>
      <c r="G668" s="126" t="n">
        <v>46363</v>
      </c>
      <c r="H668" s="126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IF(E668="","",IF(ISNUMBER(SEARCH("SUBSOLO",E668)),IFERROR(-VALUE(LEFT(E668,FIND("º",SUBSTITUTE(E668,"°","º"))-1)),-1),IF(LEFT(E668,6)="TÉRREO",0,IFERROR(VALUE(LEFT(E668,FIND("º",SUBSTITUTE(E668,"°","º"))-1)),""))))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26" t="n">
        <v>46281</v>
      </c>
      <c r="G669" s="126" t="n">
        <v>46311</v>
      </c>
      <c r="H669" s="126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IF(E669="","",IF(ISNUMBER(SEARCH("SUBSOLO",E669)),IFERROR(-VALUE(LEFT(E669,FIND("º",SUBSTITUTE(E669,"°","º"))-1)),-1),IF(LEFT(E669,6)="TÉRREO",0,IFERROR(VALUE(LEFT(E669,FIND("º",SUBSTITUTE(E669,"°","º"))-1)),""))))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26" t="n">
        <v>46281</v>
      </c>
      <c r="G670" s="126" t="n">
        <v>46287</v>
      </c>
      <c r="H670" s="126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IF(E670="","",IF(ISNUMBER(SEARCH("SUBSOLO",E670)),IFERROR(-VALUE(LEFT(E670,FIND("º",SUBSTITUTE(E670,"°","º"))-1)),-1),IF(LEFT(E670,6)="TÉRREO",0,IFERROR(VALUE(LEFT(E670,FIND("º",SUBSTITUTE(E670,"°","º"))-1)),""))))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26" t="n">
        <v>46283</v>
      </c>
      <c r="G671" s="126" t="n">
        <v>46297</v>
      </c>
      <c r="H671" s="126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IF(E671="","",IF(ISNUMBER(SEARCH("SUBSOLO",E671)),IFERROR(-VALUE(LEFT(E671,FIND("º",SUBSTITUTE(E671,"°","º"))-1)),-1),IF(LEFT(E671,6)="TÉRREO",0,IFERROR(VALUE(LEFT(E671,FIND("º",SUBSTITUTE(E671,"°","º"))-1)),""))))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26" t="n">
        <v>46283</v>
      </c>
      <c r="G672" s="126" t="n">
        <v>46286</v>
      </c>
      <c r="H672" s="126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IF(E672="","",IF(ISNUMBER(SEARCH("SUBSOLO",E672)),IFERROR(-VALUE(LEFT(E672,FIND("º",SUBSTITUTE(E672,"°","º"))-1)),-1),IF(LEFT(E672,6)="TÉRREO",0,IFERROR(VALUE(LEFT(E672,FIND("º",SUBSTITUTE(E672,"°","º"))-1)),""))))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26" t="n">
        <v>46283</v>
      </c>
      <c r="G673" s="126" t="n">
        <v>46286</v>
      </c>
      <c r="H673" s="126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IF(E673="","",IF(ISNUMBER(SEARCH("SUBSOLO",E673)),IFERROR(-VALUE(LEFT(E673,FIND("º",SUBSTITUTE(E673,"°","º"))-1)),-1),IF(LEFT(E673,6)="TÉRREO",0,IFERROR(VALUE(LEFT(E673,FIND("º",SUBSTITUTE(E673,"°","º"))-1)),""))))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26" t="n">
        <v>46286</v>
      </c>
      <c r="G674" s="126" t="n">
        <v>46287</v>
      </c>
      <c r="H674" s="126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IF(E674="","",IF(ISNUMBER(SEARCH("SUBSOLO",E674)),IFERROR(-VALUE(LEFT(E674,FIND("º",SUBSTITUTE(E674,"°","º"))-1)),-1),IF(LEFT(E674,6)="TÉRREO",0,IFERROR(VALUE(LEFT(E674,FIND("º",SUBSTITUTE(E674,"°","º"))-1)),""))))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26" t="n">
        <v>46288</v>
      </c>
      <c r="G675" s="126" t="n">
        <v>46288</v>
      </c>
      <c r="H675" s="126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IF(E675="","",IF(ISNUMBER(SEARCH("SUBSOLO",E675)),IFERROR(-VALUE(LEFT(E675,FIND("º",SUBSTITUTE(E675,"°","º"))-1)),-1),IF(LEFT(E675,6)="TÉRREO",0,IFERROR(VALUE(LEFT(E675,FIND("º",SUBSTITUTE(E675,"°","º"))-1)),""))))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26" t="n">
        <v>46289</v>
      </c>
      <c r="G676" s="126" t="n">
        <v>46294</v>
      </c>
      <c r="H676" s="126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IF(E676="","",IF(ISNUMBER(SEARCH("SUBSOLO",E676)),IFERROR(-VALUE(LEFT(E676,FIND("º",SUBSTITUTE(E676,"°","º"))-1)),-1),IF(LEFT(E676,6)="TÉRREO",0,IFERROR(VALUE(LEFT(E676,FIND("º",SUBSTITUTE(E676,"°","º"))-1)),""))))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26" t="n">
        <v>46290</v>
      </c>
      <c r="G677" s="126" t="n">
        <v>46295</v>
      </c>
      <c r="H677" s="126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IF(E677="","",IF(ISNUMBER(SEARCH("SUBSOLO",E677)),IFERROR(-VALUE(LEFT(E677,FIND("º",SUBSTITUTE(E677,"°","º"))-1)),-1),IF(LEFT(E677,6)="TÉRREO",0,IFERROR(VALUE(LEFT(E677,FIND("º",SUBSTITUTE(E677,"°","º"))-1)),""))))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26" t="n">
        <v>46294</v>
      </c>
      <c r="G678" s="126" t="n">
        <v>46294</v>
      </c>
      <c r="H678" s="126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IF(E678="","",IF(ISNUMBER(SEARCH("SUBSOLO",E678)),IFERROR(-VALUE(LEFT(E678,FIND("º",SUBSTITUTE(E678,"°","º"))-1)),-1),IF(LEFT(E678,6)="TÉRREO",0,IFERROR(VALUE(LEFT(E678,FIND("º",SUBSTITUTE(E678,"°","º"))-1)),""))))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26" t="n">
        <v>46294</v>
      </c>
      <c r="G679" s="126" t="n">
        <v>46294</v>
      </c>
      <c r="H679" s="126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IF(E679="","",IF(ISNUMBER(SEARCH("SUBSOLO",E679)),IFERROR(-VALUE(LEFT(E679,FIND("º",SUBSTITUTE(E679,"°","º"))-1)),-1),IF(LEFT(E679,6)="TÉRREO",0,IFERROR(VALUE(LEFT(E679,FIND("º",SUBSTITUTE(E679,"°","º"))-1)),""))))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26" t="n">
        <v>46295</v>
      </c>
      <c r="G680" s="126" t="n">
        <v>46297</v>
      </c>
      <c r="H680" s="126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IF(E680="","",IF(ISNUMBER(SEARCH("SUBSOLO",E680)),IFERROR(-VALUE(LEFT(E680,FIND("º",SUBSTITUTE(E680,"°","º"))-1)),-1),IF(LEFT(E680,6)="TÉRREO",0,IFERROR(VALUE(LEFT(E680,FIND("º",SUBSTITUTE(E680,"°","º"))-1)),""))))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26" t="n">
        <v>46286</v>
      </c>
      <c r="G681" s="126" t="n">
        <v>46316</v>
      </c>
      <c r="H681" s="126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IF(E681="","",IF(ISNUMBER(SEARCH("SUBSOLO",E681)),IFERROR(-VALUE(LEFT(E681,FIND("º",SUBSTITUTE(E681,"°","º"))-1)),-1),IF(LEFT(E681,6)="TÉRREO",0,IFERROR(VALUE(LEFT(E681,FIND("º",SUBSTITUTE(E681,"°","º"))-1)),""))))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26" t="n">
        <v>46286</v>
      </c>
      <c r="G682" s="126" t="n">
        <v>46296</v>
      </c>
      <c r="H682" s="126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IF(E682="","",IF(ISNUMBER(SEARCH("SUBSOLO",E682)),IFERROR(-VALUE(LEFT(E682,FIND("º",SUBSTITUTE(E682,"°","º"))-1)),-1),IF(LEFT(E682,6)="TÉRREO",0,IFERROR(VALUE(LEFT(E682,FIND("º",SUBSTITUTE(E682,"°","º"))-1)),""))))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26" t="n">
        <v>46286</v>
      </c>
      <c r="G683" s="126" t="n">
        <v>46296</v>
      </c>
      <c r="H683" s="126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IF(E683="","",IF(ISNUMBER(SEARCH("SUBSOLO",E683)),IFERROR(-VALUE(LEFT(E683,FIND("º",SUBSTITUTE(E683,"°","º"))-1)),-1),IF(LEFT(E683,6)="TÉRREO",0,IFERROR(VALUE(LEFT(E683,FIND("º",SUBSTITUTE(E683,"°","º"))-1)),""))))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26" t="n">
        <v>46287</v>
      </c>
      <c r="G684" s="126" t="n">
        <v>46295</v>
      </c>
      <c r="H684" s="126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IF(E684="","",IF(ISNUMBER(SEARCH("SUBSOLO",E684)),IFERROR(-VALUE(LEFT(E684,FIND("º",SUBSTITUTE(E684,"°","º"))-1)),-1),IF(LEFT(E684,6)="TÉRREO",0,IFERROR(VALUE(LEFT(E684,FIND("º",SUBSTITUTE(E684,"°","º"))-1)),""))))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26" t="n">
        <v>46288</v>
      </c>
      <c r="G685" s="126" t="n">
        <v>46294</v>
      </c>
      <c r="H685" s="126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IF(E685="","",IF(ISNUMBER(SEARCH("SUBSOLO",E685)),IFERROR(-VALUE(LEFT(E685,FIND("º",SUBSTITUTE(E685,"°","º"))-1)),-1),IF(LEFT(E685,6)="TÉRREO",0,IFERROR(VALUE(LEFT(E685,FIND("º",SUBSTITUTE(E685,"°","º"))-1)),""))))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26" t="n">
        <v>46290</v>
      </c>
      <c r="G686" s="126" t="n">
        <v>46304</v>
      </c>
      <c r="H686" s="126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IF(E686="","",IF(ISNUMBER(SEARCH("SUBSOLO",E686)),IFERROR(-VALUE(LEFT(E686,FIND("º",SUBSTITUTE(E686,"°","º"))-1)),-1),IF(LEFT(E686,6)="TÉRREO",0,IFERROR(VALUE(LEFT(E686,FIND("º",SUBSTITUTE(E686,"°","º"))-1)),""))))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26" t="n">
        <v>46290</v>
      </c>
      <c r="G687" s="126" t="n">
        <v>46302</v>
      </c>
      <c r="H687" s="126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IF(E687="","",IF(ISNUMBER(SEARCH("SUBSOLO",E687)),IFERROR(-VALUE(LEFT(E687,FIND("º",SUBSTITUTE(E687,"°","º"))-1)),-1),IF(LEFT(E687,6)="TÉRREO",0,IFERROR(VALUE(LEFT(E687,FIND("º",SUBSTITUTE(E687,"°","º"))-1)),""))))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26" t="n">
        <v>46293</v>
      </c>
      <c r="G688" s="126" t="n">
        <v>46297</v>
      </c>
      <c r="H688" s="126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IF(E688="","",IF(ISNUMBER(SEARCH("SUBSOLO",E688)),IFERROR(-VALUE(LEFT(E688,FIND("º",SUBSTITUTE(E688,"°","º"))-1)),-1),IF(LEFT(E688,6)="TÉRREO",0,IFERROR(VALUE(LEFT(E688,FIND("º",SUBSTITUTE(E688,"°","º"))-1)),""))))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26" t="n">
        <v>46293</v>
      </c>
      <c r="G689" s="126" t="n">
        <v>46304</v>
      </c>
      <c r="H689" s="126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IF(E689="","",IF(ISNUMBER(SEARCH("SUBSOLO",E689)),IFERROR(-VALUE(LEFT(E689,FIND("º",SUBSTITUTE(E689,"°","º"))-1)),-1),IF(LEFT(E689,6)="TÉRREO",0,IFERROR(VALUE(LEFT(E689,FIND("º",SUBSTITUTE(E689,"°","º"))-1)),""))))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26" t="n">
        <v>46293</v>
      </c>
      <c r="G690" s="126" t="n">
        <v>46301</v>
      </c>
      <c r="H690" s="126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IF(E690="","",IF(ISNUMBER(SEARCH("SUBSOLO",E690)),IFERROR(-VALUE(LEFT(E690,FIND("º",SUBSTITUTE(E690,"°","º"))-1)),-1),IF(LEFT(E690,6)="TÉRREO",0,IFERROR(VALUE(LEFT(E690,FIND("º",SUBSTITUTE(E690,"°","º"))-1)),""))))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26" t="n">
        <v>46294</v>
      </c>
      <c r="G691" s="126" t="n">
        <v>46308</v>
      </c>
      <c r="H691" s="126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IF(E691="","",IF(ISNUMBER(SEARCH("SUBSOLO",E691)),IFERROR(-VALUE(LEFT(E691,FIND("º",SUBSTITUTE(E691,"°","º"))-1)),-1),IF(LEFT(E691,6)="TÉRREO",0,IFERROR(VALUE(LEFT(E691,FIND("º",SUBSTITUTE(E691,"°","º"))-1)),""))))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26" t="n">
        <v>46294</v>
      </c>
      <c r="G692" s="126" t="n">
        <v>46304</v>
      </c>
      <c r="H692" s="126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IF(E692="","",IF(ISNUMBER(SEARCH("SUBSOLO",E692)),IFERROR(-VALUE(LEFT(E692,FIND("º",SUBSTITUTE(E692,"°","º"))-1)),-1),IF(LEFT(E692,6)="TÉRREO",0,IFERROR(VALUE(LEFT(E692,FIND("º",SUBSTITUTE(E692,"°","º"))-1)),""))))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26" t="n">
        <v>46295</v>
      </c>
      <c r="G693" s="126" t="n">
        <v>46309</v>
      </c>
      <c r="H693" s="126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IF(E693="","",IF(ISNUMBER(SEARCH("SUBSOLO",E693)),IFERROR(-VALUE(LEFT(E693,FIND("º",SUBSTITUTE(E693,"°","º"))-1)),-1),IF(LEFT(E693,6)="TÉRREO",0,IFERROR(VALUE(LEFT(E693,FIND("º",SUBSTITUTE(E693,"°","º"))-1)),""))))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26" t="n">
        <v>46296</v>
      </c>
      <c r="G694" s="126" t="n">
        <v>46310</v>
      </c>
      <c r="H694" s="126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IF(E694="","",IF(ISNUMBER(SEARCH("SUBSOLO",E694)),IFERROR(-VALUE(LEFT(E694,FIND("º",SUBSTITUTE(E694,"°","º"))-1)),-1),IF(LEFT(E694,6)="TÉRREO",0,IFERROR(VALUE(LEFT(E694,FIND("º",SUBSTITUTE(E694,"°","º"))-1)),""))))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26" t="n">
        <v>46296</v>
      </c>
      <c r="G695" s="126" t="n">
        <v>46310</v>
      </c>
      <c r="H695" s="126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IF(E695="","",IF(ISNUMBER(SEARCH("SUBSOLO",E695)),IFERROR(-VALUE(LEFT(E695,FIND("º",SUBSTITUTE(E695,"°","º"))-1)),-1),IF(LEFT(E695,6)="TÉRREO",0,IFERROR(VALUE(LEFT(E695,FIND("º",SUBSTITUTE(E695,"°","º"))-1)),""))))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26" t="n">
        <v>46297</v>
      </c>
      <c r="G696" s="126" t="n">
        <v>46310</v>
      </c>
      <c r="H696" s="126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IF(E696="","",IF(ISNUMBER(SEARCH("SUBSOLO",E696)),IFERROR(-VALUE(LEFT(E696,FIND("º",SUBSTITUTE(E696,"°","º"))-1)),-1),IF(LEFT(E696,6)="TÉRREO",0,IFERROR(VALUE(LEFT(E696,FIND("º",SUBSTITUTE(E696,"°","º"))-1)),""))))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26" t="n">
        <v>46300</v>
      </c>
      <c r="G697" s="126" t="n">
        <v>46304</v>
      </c>
      <c r="H697" s="126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IF(E697="","",IF(ISNUMBER(SEARCH("SUBSOLO",E697)),IFERROR(-VALUE(LEFT(E697,FIND("º",SUBSTITUTE(E697,"°","º"))-1)),-1),IF(LEFT(E697,6)="TÉRREO",0,IFERROR(VALUE(LEFT(E697,FIND("º",SUBSTITUTE(E697,"°","º"))-1)),""))))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26" t="n">
        <v>46300</v>
      </c>
      <c r="G698" s="126" t="n">
        <v>46315</v>
      </c>
      <c r="H698" s="126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IF(E698="","",IF(ISNUMBER(SEARCH("SUBSOLO",E698)),IFERROR(-VALUE(LEFT(E698,FIND("º",SUBSTITUTE(E698,"°","º"))-1)),-1),IF(LEFT(E698,6)="TÉRREO",0,IFERROR(VALUE(LEFT(E698,FIND("º",SUBSTITUTE(E698,"°","º"))-1)),""))))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26" t="n">
        <v>46300</v>
      </c>
      <c r="G699" s="126" t="n">
        <v>46301</v>
      </c>
      <c r="H699" s="126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IF(E699="","",IF(ISNUMBER(SEARCH("SUBSOLO",E699)),IFERROR(-VALUE(LEFT(E699,FIND("º",SUBSTITUTE(E699,"°","º"))-1)),-1),IF(LEFT(E699,6)="TÉRREO",0,IFERROR(VALUE(LEFT(E699,FIND("º",SUBSTITUTE(E699,"°","º"))-1)),""))))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26" t="n">
        <v>46300</v>
      </c>
      <c r="G700" s="126" t="n">
        <v>46301</v>
      </c>
      <c r="H700" s="126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IF(E700="","",IF(ISNUMBER(SEARCH("SUBSOLO",E700)),IFERROR(-VALUE(LEFT(E700,FIND("º",SUBSTITUTE(E700,"°","º"))-1)),-1),IF(LEFT(E700,6)="TÉRREO",0,IFERROR(VALUE(LEFT(E700,FIND("º",SUBSTITUTE(E700,"°","º"))-1)),""))))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26" t="n">
        <v>46301</v>
      </c>
      <c r="G701" s="126" t="n">
        <v>46302</v>
      </c>
      <c r="H701" s="126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IF(E701="","",IF(ISNUMBER(SEARCH("SUBSOLO",E701)),IFERROR(-VALUE(LEFT(E701,FIND("º",SUBSTITUTE(E701,"°","º"))-1)),-1),IF(LEFT(E701,6)="TÉRREO",0,IFERROR(VALUE(LEFT(E701,FIND("º",SUBSTITUTE(E701,"°","º"))-1)),""))))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26" t="n">
        <v>46303</v>
      </c>
      <c r="G702" s="126" t="n">
        <v>46303</v>
      </c>
      <c r="H702" s="126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IF(E702="","",IF(ISNUMBER(SEARCH("SUBSOLO",E702)),IFERROR(-VALUE(LEFT(E702,FIND("º",SUBSTITUTE(E702,"°","º"))-1)),-1),IF(LEFT(E702,6)="TÉRREO",0,IFERROR(VALUE(LEFT(E702,FIND("º",SUBSTITUTE(E702,"°","º"))-1)),""))))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26" t="n">
        <v>46304</v>
      </c>
      <c r="G703" s="126" t="n">
        <v>46310</v>
      </c>
      <c r="H703" s="126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IF(E703="","",IF(ISNUMBER(SEARCH("SUBSOLO",E703)),IFERROR(-VALUE(LEFT(E703,FIND("º",SUBSTITUTE(E703,"°","º"))-1)),-1),IF(LEFT(E703,6)="TÉRREO",0,IFERROR(VALUE(LEFT(E703,FIND("º",SUBSTITUTE(E703,"°","º"))-1)),""))))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26" t="n">
        <v>46308</v>
      </c>
      <c r="G704" s="126" t="n">
        <v>46311</v>
      </c>
      <c r="H704" s="126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IF(E704="","",IF(ISNUMBER(SEARCH("SUBSOLO",E704)),IFERROR(-VALUE(LEFT(E704,FIND("º",SUBSTITUTE(E704,"°","º"))-1)),-1),IF(LEFT(E704,6)="TÉRREO",0,IFERROR(VALUE(LEFT(E704,FIND("º",SUBSTITUTE(E704,"°","º"))-1)),""))))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26" t="n">
        <v>46310</v>
      </c>
      <c r="G705" s="126" t="n">
        <v>46310</v>
      </c>
      <c r="H705" s="126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IF(E705="","",IF(ISNUMBER(SEARCH("SUBSOLO",E705)),IFERROR(-VALUE(LEFT(E705,FIND("º",SUBSTITUTE(E705,"°","º"))-1)),-1),IF(LEFT(E705,6)="TÉRREO",0,IFERROR(VALUE(LEFT(E705,FIND("º",SUBSTITUTE(E705,"°","º"))-1)),""))))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26" t="n">
        <v>46310</v>
      </c>
      <c r="G706" s="126" t="n">
        <v>46310</v>
      </c>
      <c r="H706" s="126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IF(E706="","",IF(ISNUMBER(SEARCH("SUBSOLO",E706)),IFERROR(-VALUE(LEFT(E706,FIND("º",SUBSTITUTE(E706,"°","º"))-1)),-1),IF(LEFT(E706,6)="TÉRREO",0,IFERROR(VALUE(LEFT(E706,FIND("º",SUBSTITUTE(E706,"°","º"))-1)),""))))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26" t="n">
        <v>46311</v>
      </c>
      <c r="G707" s="126" t="n">
        <v>46315</v>
      </c>
      <c r="H707" s="126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IF(E707="","",IF(ISNUMBER(SEARCH("SUBSOLO",E707)),IFERROR(-VALUE(LEFT(E707,FIND("º",SUBSTITUTE(E707,"°","º"))-1)),-1),IF(LEFT(E707,6)="TÉRREO",0,IFERROR(VALUE(LEFT(E707,FIND("º",SUBSTITUTE(E707,"°","º"))-1)),""))))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26" t="n">
        <v>46303</v>
      </c>
      <c r="G708" s="126" t="n">
        <v>46336</v>
      </c>
      <c r="H708" s="126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IF(E708="","",IF(ISNUMBER(SEARCH("SUBSOLO",E708)),IFERROR(-VALUE(LEFT(E708,FIND("º",SUBSTITUTE(E708,"°","º"))-1)),-1),IF(LEFT(E708,6)="TÉRREO",0,IFERROR(VALUE(LEFT(E708,FIND("º",SUBSTITUTE(E708,"°","º"))-1)),""))))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26" t="n">
        <v>46303</v>
      </c>
      <c r="G709" s="126" t="n">
        <v>46336</v>
      </c>
      <c r="H709" s="126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IF(E709="","",IF(ISNUMBER(SEARCH("SUBSOLO",E709)),IFERROR(-VALUE(LEFT(E709,FIND("º",SUBSTITUTE(E709,"°","º"))-1)),-1),IF(LEFT(E709,6)="TÉRREO",0,IFERROR(VALUE(LEFT(E709,FIND("º",SUBSTITUTE(E709,"°","º"))-1)),""))))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26" t="n">
        <v>46303</v>
      </c>
      <c r="G710" s="126" t="n">
        <v>46336</v>
      </c>
      <c r="H710" s="126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IF(E710="","",IF(ISNUMBER(SEARCH("SUBSOLO",E710)),IFERROR(-VALUE(LEFT(E710,FIND("º",SUBSTITUTE(E710,"°","º"))-1)),-1),IF(LEFT(E710,6)="TÉRREO",0,IFERROR(VALUE(LEFT(E710,FIND("º",SUBSTITUTE(E710,"°","º"))-1)),""))))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26" t="n">
        <v>46303</v>
      </c>
      <c r="G711" s="126" t="n">
        <v>46324</v>
      </c>
      <c r="H711" s="126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IF(E711="","",IF(ISNUMBER(SEARCH("SUBSOLO",E711)),IFERROR(-VALUE(LEFT(E711,FIND("º",SUBSTITUTE(E711,"°","º"))-1)),-1),IF(LEFT(E711,6)="TÉRREO",0,IFERROR(VALUE(LEFT(E711,FIND("º",SUBSTITUTE(E711,"°","º"))-1)),""))))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26" t="n">
        <v>46303</v>
      </c>
      <c r="G712" s="126" t="n">
        <v>46316</v>
      </c>
      <c r="H712" s="126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IF(E712="","",IF(ISNUMBER(SEARCH("SUBSOLO",E712)),IFERROR(-VALUE(LEFT(E712,FIND("º",SUBSTITUTE(E712,"°","º"))-1)),-1),IF(LEFT(E712,6)="TÉRREO",0,IFERROR(VALUE(LEFT(E712,FIND("º",SUBSTITUTE(E712,"°","º"))-1)),""))))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26" t="n">
        <v>46303</v>
      </c>
      <c r="G713" s="126" t="n">
        <v>46316</v>
      </c>
      <c r="H713" s="126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IF(E713="","",IF(ISNUMBER(SEARCH("SUBSOLO",E713)),IFERROR(-VALUE(LEFT(E713,FIND("º",SUBSTITUTE(E713,"°","º"))-1)),-1),IF(LEFT(E713,6)="TÉRREO",0,IFERROR(VALUE(LEFT(E713,FIND("º",SUBSTITUTE(E713,"°","º"))-1)),""))))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26" t="n">
        <v>46303</v>
      </c>
      <c r="G714" s="126" t="n">
        <v>46316</v>
      </c>
      <c r="H714" s="126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IF(E714="","",IF(ISNUMBER(SEARCH("SUBSOLO",E714)),IFERROR(-VALUE(LEFT(E714,FIND("º",SUBSTITUTE(E714,"°","º"))-1)),-1),IF(LEFT(E714,6)="TÉRREO",0,IFERROR(VALUE(LEFT(E714,FIND("º",SUBSTITUTE(E714,"°","º"))-1)),""))))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26" t="n">
        <v>46303</v>
      </c>
      <c r="G715" s="126" t="n">
        <v>46316</v>
      </c>
      <c r="H715" s="126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IF(E715="","",IF(ISNUMBER(SEARCH("SUBSOLO",E715)),IFERROR(-VALUE(LEFT(E715,FIND("º",SUBSTITUTE(E715,"°","º"))-1)),-1),IF(LEFT(E715,6)="TÉRREO",0,IFERROR(VALUE(LEFT(E715,FIND("º",SUBSTITUTE(E715,"°","º"))-1)),""))))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26" t="n">
        <v>46304</v>
      </c>
      <c r="G716" s="126" t="n">
        <v>46337</v>
      </c>
      <c r="H716" s="126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IF(E716="","",IF(ISNUMBER(SEARCH("SUBSOLO",E716)),IFERROR(-VALUE(LEFT(E716,FIND("º",SUBSTITUTE(E716,"°","º"))-1)),-1),IF(LEFT(E716,6)="TÉRREO",0,IFERROR(VALUE(LEFT(E716,FIND("º",SUBSTITUTE(E716,"°","º"))-1)),""))))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26" t="n">
        <v>46308</v>
      </c>
      <c r="G717" s="126" t="n">
        <v>46314</v>
      </c>
      <c r="H717" s="126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IF(E717="","",IF(ISNUMBER(SEARCH("SUBSOLO",E717)),IFERROR(-VALUE(LEFT(E717,FIND("º",SUBSTITUTE(E717,"°","º"))-1)),-1),IF(LEFT(E717,6)="TÉRREO",0,IFERROR(VALUE(LEFT(E717,FIND("º",SUBSTITUTE(E717,"°","º"))-1)),""))))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26" t="n">
        <v>46308</v>
      </c>
      <c r="G718" s="126" t="n">
        <v>46321</v>
      </c>
      <c r="H718" s="126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IF(E718="","",IF(ISNUMBER(SEARCH("SUBSOLO",E718)),IFERROR(-VALUE(LEFT(E718,FIND("º",SUBSTITUTE(E718,"°","º"))-1)),-1),IF(LEFT(E718,6)="TÉRREO",0,IFERROR(VALUE(LEFT(E718,FIND("º",SUBSTITUTE(E718,"°","º"))-1)),""))))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26" t="n">
        <v>46308</v>
      </c>
      <c r="G719" s="126" t="n">
        <v>46318</v>
      </c>
      <c r="H719" s="126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IF(E719="","",IF(ISNUMBER(SEARCH("SUBSOLO",E719)),IFERROR(-VALUE(LEFT(E719,FIND("º",SUBSTITUTE(E719,"°","º"))-1)),-1),IF(LEFT(E719,6)="TÉRREO",0,IFERROR(VALUE(LEFT(E719,FIND("º",SUBSTITUTE(E719,"°","º"))-1)),""))))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26" t="n">
        <v>46309</v>
      </c>
      <c r="G720" s="126" t="n">
        <v>46315</v>
      </c>
      <c r="H720" s="126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IF(E720="","",IF(ISNUMBER(SEARCH("SUBSOLO",E720)),IFERROR(-VALUE(LEFT(E720,FIND("º",SUBSTITUTE(E720,"°","º"))-1)),-1),IF(LEFT(E720,6)="TÉRREO",0,IFERROR(VALUE(LEFT(E720,FIND("º",SUBSTITUTE(E720,"°","º"))-1)),""))))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26" t="n">
        <v>46309</v>
      </c>
      <c r="G721" s="126" t="n">
        <v>46317</v>
      </c>
      <c r="H721" s="126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IF(E721="","",IF(ISNUMBER(SEARCH("SUBSOLO",E721)),IFERROR(-VALUE(LEFT(E721,FIND("º",SUBSTITUTE(E721,"°","º"))-1)),-1),IF(LEFT(E721,6)="TÉRREO",0,IFERROR(VALUE(LEFT(E721,FIND("º",SUBSTITUTE(E721,"°","º"))-1)),""))))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26" t="n">
        <v>46310</v>
      </c>
      <c r="G722" s="126" t="n">
        <v>46316</v>
      </c>
      <c r="H722" s="126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IF(E722="","",IF(ISNUMBER(SEARCH("SUBSOLO",E722)),IFERROR(-VALUE(LEFT(E722,FIND("º",SUBSTITUTE(E722,"°","º"))-1)),-1),IF(LEFT(E722,6)="TÉRREO",0,IFERROR(VALUE(LEFT(E722,FIND("º",SUBSTITUTE(E722,"°","º"))-1)),""))))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26" t="n">
        <v>46311</v>
      </c>
      <c r="G723" s="126" t="n">
        <v>46339</v>
      </c>
      <c r="H723" s="126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IF(E723="","",IF(ISNUMBER(SEARCH("SUBSOLO",E723)),IFERROR(-VALUE(LEFT(E723,FIND("º",SUBSTITUTE(E723,"°","º"))-1)),-1),IF(LEFT(E723,6)="TÉRREO",0,IFERROR(VALUE(LEFT(E723,FIND("º",SUBSTITUTE(E723,"°","º"))-1)),""))))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26" t="n">
        <v>46311</v>
      </c>
      <c r="G724" s="126" t="n">
        <v>46324</v>
      </c>
      <c r="H724" s="126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IF(E724="","",IF(ISNUMBER(SEARCH("SUBSOLO",E724)),IFERROR(-VALUE(LEFT(E724,FIND("º",SUBSTITUTE(E724,"°","º"))-1)),-1),IF(LEFT(E724,6)="TÉRREO",0,IFERROR(VALUE(LEFT(E724,FIND("º",SUBSTITUTE(E724,"°","º"))-1)),""))))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26" t="n">
        <v>46311</v>
      </c>
      <c r="G725" s="126" t="n">
        <v>46323</v>
      </c>
      <c r="H725" s="126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IF(E725="","",IF(ISNUMBER(SEARCH("SUBSOLO",E725)),IFERROR(-VALUE(LEFT(E725,FIND("º",SUBSTITUTE(E725,"°","º"))-1)),-1),IF(LEFT(E725,6)="TÉRREO",0,IFERROR(VALUE(LEFT(E725,FIND("º",SUBSTITUTE(E725,"°","º"))-1)),""))))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26" t="n">
        <v>46311</v>
      </c>
      <c r="G726" s="126" t="n">
        <v>46323</v>
      </c>
      <c r="H726" s="126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IF(E726="","",IF(ISNUMBER(SEARCH("SUBSOLO",E726)),IFERROR(-VALUE(LEFT(E726,FIND("º",SUBSTITUTE(E726,"°","º"))-1)),-1),IF(LEFT(E726,6)="TÉRREO",0,IFERROR(VALUE(LEFT(E726,FIND("º",SUBSTITUTE(E726,"°","º"))-1)),""))))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26" t="n">
        <v>46314</v>
      </c>
      <c r="G727" s="126" t="n">
        <v>46344</v>
      </c>
      <c r="H727" s="126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IF(E727="","",IF(ISNUMBER(SEARCH("SUBSOLO",E727)),IFERROR(-VALUE(LEFT(E727,FIND("º",SUBSTITUTE(E727,"°","º"))-1)),-1),IF(LEFT(E727,6)="TÉRREO",0,IFERROR(VALUE(LEFT(E727,FIND("º",SUBSTITUTE(E727,"°","º"))-1)),""))))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26" t="n">
        <v>46314</v>
      </c>
      <c r="G728" s="126" t="n">
        <v>46356</v>
      </c>
      <c r="H728" s="126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IF(E728="","",IF(ISNUMBER(SEARCH("SUBSOLO",E728)),IFERROR(-VALUE(LEFT(E728,FIND("º",SUBSTITUTE(E728,"°","º"))-1)),-1),IF(LEFT(E728,6)="TÉRREO",0,IFERROR(VALUE(LEFT(E728,FIND("º",SUBSTITUTE(E728,"°","º"))-1)),""))))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26" t="n">
        <v>46314</v>
      </c>
      <c r="G729" s="126" t="n">
        <v>46322</v>
      </c>
      <c r="H729" s="126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IF(E729="","",IF(ISNUMBER(SEARCH("SUBSOLO",E729)),IFERROR(-VALUE(LEFT(E729,FIND("º",SUBSTITUTE(E729,"°","º"))-1)),-1),IF(LEFT(E729,6)="TÉRREO",0,IFERROR(VALUE(LEFT(E729,FIND("º",SUBSTITUTE(E729,"°","º"))-1)),""))))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26" t="n">
        <v>46323</v>
      </c>
      <c r="G730" s="126" t="n">
        <v>46337</v>
      </c>
      <c r="H730" s="126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IF(E730="","",IF(ISNUMBER(SEARCH("SUBSOLO",E730)),IFERROR(-VALUE(LEFT(E730,FIND("º",SUBSTITUTE(E730,"°","º"))-1)),-1),IF(LEFT(E730,6)="TÉRREO",0,IFERROR(VALUE(LEFT(E730,FIND("º",SUBSTITUTE(E730,"°","º"))-1)),""))))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26" t="n">
        <v>46330</v>
      </c>
      <c r="G731" s="126" t="n">
        <v>46343</v>
      </c>
      <c r="H731" s="126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IF(E731="","",IF(ISNUMBER(SEARCH("SUBSOLO",E731)),IFERROR(-VALUE(LEFT(E731,FIND("º",SUBSTITUTE(E731,"°","º"))-1)),-1),IF(LEFT(E731,6)="TÉRREO",0,IFERROR(VALUE(LEFT(E731,FIND("º",SUBSTITUTE(E731,"°","º"))-1)),""))))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26" t="n">
        <v>46344</v>
      </c>
      <c r="G732" s="126" t="n">
        <v>46350</v>
      </c>
      <c r="H732" s="126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IF(E732="","",IF(ISNUMBER(SEARCH("SUBSOLO",E732)),IFERROR(-VALUE(LEFT(E732,FIND("º",SUBSTITUTE(E732,"°","º"))-1)),-1),IF(LEFT(E732,6)="TÉRREO",0,IFERROR(VALUE(LEFT(E732,FIND("º",SUBSTITUTE(E732,"°","º"))-1)),""))))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26" t="n">
        <v>46351</v>
      </c>
      <c r="G733" s="126" t="n">
        <v>46356</v>
      </c>
      <c r="H733" s="126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IF(E733="","",IF(ISNUMBER(SEARCH("SUBSOLO",E733)),IFERROR(-VALUE(LEFT(E733,FIND("º",SUBSTITUTE(E733,"°","º"))-1)),-1),IF(LEFT(E733,6)="TÉRREO",0,IFERROR(VALUE(LEFT(E733,FIND("º",SUBSTITUTE(E733,"°","º"))-1)),""))))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26" t="n">
        <v>46316</v>
      </c>
      <c r="G734" s="126" t="n">
        <v>46331</v>
      </c>
      <c r="H734" s="126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IF(E734="","",IF(ISNUMBER(SEARCH("SUBSOLO",E734)),IFERROR(-VALUE(LEFT(E734,FIND("º",SUBSTITUTE(E734,"°","º"))-1)),-1),IF(LEFT(E734,6)="TÉRREO",0,IFERROR(VALUE(LEFT(E734,FIND("º",SUBSTITUTE(E734,"°","º"))-1)),""))))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26" t="n">
        <v>46316</v>
      </c>
      <c r="G735" s="126" t="n">
        <v>46317</v>
      </c>
      <c r="H735" s="126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IF(E735="","",IF(ISNUMBER(SEARCH("SUBSOLO",E735)),IFERROR(-VALUE(LEFT(E735,FIND("º",SUBSTITUTE(E735,"°","º"))-1)),-1),IF(LEFT(E735,6)="TÉRREO",0,IFERROR(VALUE(LEFT(E735,FIND("º",SUBSTITUTE(E735,"°","º"))-1)),""))))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26" t="n">
        <v>46316</v>
      </c>
      <c r="G736" s="126" t="n">
        <v>46317</v>
      </c>
      <c r="H736" s="126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IF(E736="","",IF(ISNUMBER(SEARCH("SUBSOLO",E736)),IFERROR(-VALUE(LEFT(E736,FIND("º",SUBSTITUTE(E736,"°","º"))-1)),-1),IF(LEFT(E736,6)="TÉRREO",0,IFERROR(VALUE(LEFT(E736,FIND("º",SUBSTITUTE(E736,"°","º"))-1)),""))))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26" t="n">
        <v>46317</v>
      </c>
      <c r="G737" s="126" t="n">
        <v>46318</v>
      </c>
      <c r="H737" s="126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IF(E737="","",IF(ISNUMBER(SEARCH("SUBSOLO",E737)),IFERROR(-VALUE(LEFT(E737,FIND("º",SUBSTITUTE(E737,"°","º"))-1)),-1),IF(LEFT(E737,6)="TÉRREO",0,IFERROR(VALUE(LEFT(E737,FIND("º",SUBSTITUTE(E737,"°","º"))-1)),""))))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26" t="n">
        <v>46321</v>
      </c>
      <c r="G738" s="126" t="n">
        <v>46321</v>
      </c>
      <c r="H738" s="126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IF(E738="","",IF(ISNUMBER(SEARCH("SUBSOLO",E738)),IFERROR(-VALUE(LEFT(E738,FIND("º",SUBSTITUTE(E738,"°","º"))-1)),-1),IF(LEFT(E738,6)="TÉRREO",0,IFERROR(VALUE(LEFT(E738,FIND("º",SUBSTITUTE(E738,"°","º"))-1)),""))))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26" t="n">
        <v>46322</v>
      </c>
      <c r="G739" s="126" t="n">
        <v>46325</v>
      </c>
      <c r="H739" s="126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IF(E739="","",IF(ISNUMBER(SEARCH("SUBSOLO",E739)),IFERROR(-VALUE(LEFT(E739,FIND("º",SUBSTITUTE(E739,"°","º"))-1)),-1),IF(LEFT(E739,6)="TÉRREO",0,IFERROR(VALUE(LEFT(E739,FIND("º",SUBSTITUTE(E739,"°","º"))-1)),""))))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26" t="n">
        <v>46323</v>
      </c>
      <c r="G740" s="126" t="n">
        <v>46329</v>
      </c>
      <c r="H740" s="126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IF(E740="","",IF(ISNUMBER(SEARCH("SUBSOLO",E740)),IFERROR(-VALUE(LEFT(E740,FIND("º",SUBSTITUTE(E740,"°","º"))-1)),-1),IF(LEFT(E740,6)="TÉRREO",0,IFERROR(VALUE(LEFT(E740,FIND("º",SUBSTITUTE(E740,"°","º"))-1)),""))))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26" t="n">
        <v>46325</v>
      </c>
      <c r="G741" s="126" t="n">
        <v>46325</v>
      </c>
      <c r="H741" s="126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IF(E741="","",IF(ISNUMBER(SEARCH("SUBSOLO",E741)),IFERROR(-VALUE(LEFT(E741,FIND("º",SUBSTITUTE(E741,"°","º"))-1)),-1),IF(LEFT(E741,6)="TÉRREO",0,IFERROR(VALUE(LEFT(E741,FIND("º",SUBSTITUTE(E741,"°","º"))-1)),""))))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26" t="n">
        <v>46325</v>
      </c>
      <c r="G742" s="126" t="n">
        <v>46325</v>
      </c>
      <c r="H742" s="126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IF(E742="","",IF(ISNUMBER(SEARCH("SUBSOLO",E742)),IFERROR(-VALUE(LEFT(E742,FIND("º",SUBSTITUTE(E742,"°","º"))-1)),-1),IF(LEFT(E742,6)="TÉRREO",0,IFERROR(VALUE(LEFT(E742,FIND("º",SUBSTITUTE(E742,"°","º"))-1)),""))))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26" t="n">
        <v>46329</v>
      </c>
      <c r="G743" s="126" t="n">
        <v>46331</v>
      </c>
      <c r="H743" s="126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IF(E743="","",IF(ISNUMBER(SEARCH("SUBSOLO",E743)),IFERROR(-VALUE(LEFT(E743,FIND("º",SUBSTITUTE(E743,"°","º"))-1)),-1),IF(LEFT(E743,6)="TÉRREO",0,IFERROR(VALUE(LEFT(E743,FIND("º",SUBSTITUTE(E743,"°","º"))-1)),""))))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26" t="n">
        <v>46317</v>
      </c>
      <c r="G744" s="126" t="n">
        <v>46349</v>
      </c>
      <c r="H744" s="126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IF(E744="","",IF(ISNUMBER(SEARCH("SUBSOLO",E744)),IFERROR(-VALUE(LEFT(E744,FIND("º",SUBSTITUTE(E744,"°","º"))-1)),-1),IF(LEFT(E744,6)="TÉRREO",0,IFERROR(VALUE(LEFT(E744,FIND("º",SUBSTITUTE(E744,"°","º"))-1)),""))))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26" t="n">
        <v>46317</v>
      </c>
      <c r="G745" s="126" t="n">
        <v>46338</v>
      </c>
      <c r="H745" s="126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IF(E745="","",IF(ISNUMBER(SEARCH("SUBSOLO",E745)),IFERROR(-VALUE(LEFT(E745,FIND("º",SUBSTITUTE(E745,"°","º"))-1)),-1),IF(LEFT(E745,6)="TÉRREO",0,IFERROR(VALUE(LEFT(E745,FIND("º",SUBSTITUTE(E745,"°","º"))-1)),""))))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26" t="n">
        <v>46317</v>
      </c>
      <c r="G746" s="126" t="n">
        <v>46323</v>
      </c>
      <c r="H746" s="126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IF(E746="","",IF(ISNUMBER(SEARCH("SUBSOLO",E746)),IFERROR(-VALUE(LEFT(E746,FIND("º",SUBSTITUTE(E746,"°","º"))-1)),-1),IF(LEFT(E746,6)="TÉRREO",0,IFERROR(VALUE(LEFT(E746,FIND("º",SUBSTITUTE(E746,"°","º"))-1)),""))))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26" t="n">
        <v>46317</v>
      </c>
      <c r="G747" s="126" t="n">
        <v>46330</v>
      </c>
      <c r="H747" s="126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IF(E747="","",IF(ISNUMBER(SEARCH("SUBSOLO",E747)),IFERROR(-VALUE(LEFT(E747,FIND("º",SUBSTITUTE(E747,"°","º"))-1)),-1),IF(LEFT(E747,6)="TÉRREO",0,IFERROR(VALUE(LEFT(E747,FIND("º",SUBSTITUTE(E747,"°","º"))-1)),""))))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26" t="n">
        <v>46317</v>
      </c>
      <c r="G748" s="126" t="n">
        <v>46330</v>
      </c>
      <c r="H748" s="126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IF(E748="","",IF(ISNUMBER(SEARCH("SUBSOLO",E748)),IFERROR(-VALUE(LEFT(E748,FIND("º",SUBSTITUTE(E748,"°","º"))-1)),-1),IF(LEFT(E748,6)="TÉRREO",0,IFERROR(VALUE(LEFT(E748,FIND("º",SUBSTITUTE(E748,"°","º"))-1)),""))))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26" t="n">
        <v>46321</v>
      </c>
      <c r="G749" s="126" t="n">
        <v>46332</v>
      </c>
      <c r="H749" s="126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IF(E749="","",IF(ISNUMBER(SEARCH("SUBSOLO",E749)),IFERROR(-VALUE(LEFT(E749,FIND("º",SUBSTITUTE(E749,"°","º"))-1)),-1),IF(LEFT(E749,6)="TÉRREO",0,IFERROR(VALUE(LEFT(E749,FIND("º",SUBSTITUTE(E749,"°","º"))-1)),""))))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26" t="n">
        <v>46323</v>
      </c>
      <c r="G750" s="126" t="n">
        <v>46360</v>
      </c>
      <c r="H750" s="126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IF(E750="","",IF(ISNUMBER(SEARCH("SUBSOLO",E750)),IFERROR(-VALUE(LEFT(E750,FIND("º",SUBSTITUTE(E750,"°","º"))-1)),-1),IF(LEFT(E750,6)="TÉRREO",0,IFERROR(VALUE(LEFT(E750,FIND("º",SUBSTITUTE(E750,"°","º"))-1)),""))))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26" t="n">
        <v>46323</v>
      </c>
      <c r="G751" s="126" t="n">
        <v>46330</v>
      </c>
      <c r="H751" s="126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IF(E751="","",IF(ISNUMBER(SEARCH("SUBSOLO",E751)),IFERROR(-VALUE(LEFT(E751,FIND("º",SUBSTITUTE(E751,"°","º"))-1)),-1),IF(LEFT(E751,6)="TÉRREO",0,IFERROR(VALUE(LEFT(E751,FIND("º",SUBSTITUTE(E751,"°","º"))-1)),""))))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26" t="n">
        <v>46331</v>
      </c>
      <c r="G752" s="126" t="n">
        <v>46337</v>
      </c>
      <c r="H752" s="126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IF(E752="","",IF(ISNUMBER(SEARCH("SUBSOLO",E752)),IFERROR(-VALUE(LEFT(E752,FIND("º",SUBSTITUTE(E752,"°","º"))-1)),-1),IF(LEFT(E752,6)="TÉRREO",0,IFERROR(VALUE(LEFT(E752,FIND("º",SUBSTITUTE(E752,"°","º"))-1)),""))))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26" t="n">
        <v>46338</v>
      </c>
      <c r="G753" s="126" t="n">
        <v>46360</v>
      </c>
      <c r="H753" s="126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IF(E753="","",IF(ISNUMBER(SEARCH("SUBSOLO",E753)),IFERROR(-VALUE(LEFT(E753,FIND("º",SUBSTITUTE(E753,"°","º"))-1)),-1),IF(LEFT(E753,6)="TÉRREO",0,IFERROR(VALUE(LEFT(E753,FIND("º",SUBSTITUTE(E753,"°","º"))-1)),""))))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26" t="n">
        <v>46323</v>
      </c>
      <c r="G754" s="126" t="n">
        <v>46367</v>
      </c>
      <c r="H754" s="126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IF(E754="","",IF(ISNUMBER(SEARCH("SUBSOLO",E754)),IFERROR(-VALUE(LEFT(E754,FIND("º",SUBSTITUTE(E754,"°","º"))-1)),-1),IF(LEFT(E754,6)="TÉRREO",0,IFERROR(VALUE(LEFT(E754,FIND("º",SUBSTITUTE(E754,"°","º"))-1)),""))))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26" t="n">
        <v>46323</v>
      </c>
      <c r="G755" s="126" t="n">
        <v>46332</v>
      </c>
      <c r="H755" s="126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IF(E755="","",IF(ISNUMBER(SEARCH("SUBSOLO",E755)),IFERROR(-VALUE(LEFT(E755,FIND("º",SUBSTITUTE(E755,"°","º"))-1)),-1),IF(LEFT(E755,6)="TÉRREO",0,IFERROR(VALUE(LEFT(E755,FIND("º",SUBSTITUTE(E755,"°","º"))-1)),""))))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26" t="n">
        <v>46335</v>
      </c>
      <c r="G756" s="126" t="n">
        <v>46346</v>
      </c>
      <c r="H756" s="126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IF(E756="","",IF(ISNUMBER(SEARCH("SUBSOLO",E756)),IFERROR(-VALUE(LEFT(E756,FIND("º",SUBSTITUTE(E756,"°","º"))-1)),-1),IF(LEFT(E756,6)="TÉRREO",0,IFERROR(VALUE(LEFT(E756,FIND("º",SUBSTITUTE(E756,"°","º"))-1)),""))))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26" t="n">
        <v>46339</v>
      </c>
      <c r="G757" s="126" t="n">
        <v>46352</v>
      </c>
      <c r="H757" s="126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IF(E757="","",IF(ISNUMBER(SEARCH("SUBSOLO",E757)),IFERROR(-VALUE(LEFT(E757,FIND("º",SUBSTITUTE(E757,"°","º"))-1)),-1),IF(LEFT(E757,6)="TÉRREO",0,IFERROR(VALUE(LEFT(E757,FIND("º",SUBSTITUTE(E757,"°","º"))-1)),""))))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26" t="n">
        <v>46353</v>
      </c>
      <c r="G758" s="126" t="n">
        <v>46359</v>
      </c>
      <c r="H758" s="126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IF(E758="","",IF(ISNUMBER(SEARCH("SUBSOLO",E758)),IFERROR(-VALUE(LEFT(E758,FIND("º",SUBSTITUTE(E758,"°","º"))-1)),-1),IF(LEFT(E758,6)="TÉRREO",0,IFERROR(VALUE(LEFT(E758,FIND("º",SUBSTITUTE(E758,"°","º"))-1)),""))))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26" t="n">
        <v>46360</v>
      </c>
      <c r="G759" s="126" t="n">
        <v>46367</v>
      </c>
      <c r="H759" s="126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IF(E759="","",IF(ISNUMBER(SEARCH("SUBSOLO",E759)),IFERROR(-VALUE(LEFT(E759,FIND("º",SUBSTITUTE(E759,"°","º"))-1)),-1),IF(LEFT(E759,6)="TÉRREO",0,IFERROR(VALUE(LEFT(E759,FIND("º",SUBSTITUTE(E759,"°","º"))-1)),""))))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26" t="n">
        <v>46324</v>
      </c>
      <c r="G760" s="126" t="n">
        <v>46337</v>
      </c>
      <c r="H760" s="126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IF(E760="","",IF(ISNUMBER(SEARCH("SUBSOLO",E760)),IFERROR(-VALUE(LEFT(E760,FIND("º",SUBSTITUTE(E760,"°","º"))-1)),-1),IF(LEFT(E760,6)="TÉRREO",0,IFERROR(VALUE(LEFT(E760,FIND("º",SUBSTITUTE(E760,"°","º"))-1)),""))))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26" t="n">
        <v>46324</v>
      </c>
      <c r="G761" s="126" t="n">
        <v>46337</v>
      </c>
      <c r="H761" s="126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IF(E761="","",IF(ISNUMBER(SEARCH("SUBSOLO",E761)),IFERROR(-VALUE(LEFT(E761,FIND("º",SUBSTITUTE(E761,"°","º"))-1)),-1),IF(LEFT(E761,6)="TÉRREO",0,IFERROR(VALUE(LEFT(E761,FIND("º",SUBSTITUTE(E761,"°","º"))-1)),""))))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26" t="n">
        <v>46324</v>
      </c>
      <c r="G762" s="126" t="n">
        <v>46337</v>
      </c>
      <c r="H762" s="126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IF(E762="","",IF(ISNUMBER(SEARCH("SUBSOLO",E762)),IFERROR(-VALUE(LEFT(E762,FIND("º",SUBSTITUTE(E762,"°","º"))-1)),-1),IF(LEFT(E762,6)="TÉRREO",0,IFERROR(VALUE(LEFT(E762,FIND("º",SUBSTITUTE(E762,"°","º"))-1)),""))))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26" t="n">
        <v>46324</v>
      </c>
      <c r="G763" s="126" t="n">
        <v>46337</v>
      </c>
      <c r="H763" s="126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IF(E763="","",IF(ISNUMBER(SEARCH("SUBSOLO",E763)),IFERROR(-VALUE(LEFT(E763,FIND("º",SUBSTITUTE(E763,"°","º"))-1)),-1),IF(LEFT(E763,6)="TÉRREO",0,IFERROR(VALUE(LEFT(E763,FIND("º",SUBSTITUTE(E763,"°","º"))-1)),""))))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26" t="n">
        <v>46324</v>
      </c>
      <c r="G764" s="126" t="n">
        <v>46337</v>
      </c>
      <c r="H764" s="126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IF(E764="","",IF(ISNUMBER(SEARCH("SUBSOLO",E764)),IFERROR(-VALUE(LEFT(E764,FIND("º",SUBSTITUTE(E764,"°","º"))-1)),-1),IF(LEFT(E764,6)="TÉRREO",0,IFERROR(VALUE(LEFT(E764,FIND("º",SUBSTITUTE(E764,"°","º"))-1)),""))))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26" t="n">
        <v>46324</v>
      </c>
      <c r="G765" s="126" t="n">
        <v>46337</v>
      </c>
      <c r="H765" s="126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IF(E765="","",IF(ISNUMBER(SEARCH("SUBSOLO",E765)),IFERROR(-VALUE(LEFT(E765,FIND("º",SUBSTITUTE(E765,"°","º"))-1)),-1),IF(LEFT(E765,6)="TÉRREO",0,IFERROR(VALUE(LEFT(E765,FIND("º",SUBSTITUTE(E765,"°","º"))-1)),""))))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26" t="n">
        <v>46324</v>
      </c>
      <c r="G766" s="126" t="n">
        <v>46335</v>
      </c>
      <c r="H766" s="126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IF(E766="","",IF(ISNUMBER(SEARCH("SUBSOLO",E766)),IFERROR(-VALUE(LEFT(E766,FIND("º",SUBSTITUTE(E766,"°","º"))-1)),-1),IF(LEFT(E766,6)="TÉRREO",0,IFERROR(VALUE(LEFT(E766,FIND("º",SUBSTITUTE(E766,"°","º"))-1)),""))))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26" t="n">
        <v>46325</v>
      </c>
      <c r="G767" s="126" t="n">
        <v>46339</v>
      </c>
      <c r="H767" s="126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IF(E767="","",IF(ISNUMBER(SEARCH("SUBSOLO",E767)),IFERROR(-VALUE(LEFT(E767,FIND("º",SUBSTITUTE(E767,"°","º"))-1)),-1),IF(LEFT(E767,6)="TÉRREO",0,IFERROR(VALUE(LEFT(E767,FIND("º",SUBSTITUTE(E767,"°","º"))-1)),""))))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26" t="n">
        <v>46325</v>
      </c>
      <c r="G768" s="126" t="n">
        <v>46339</v>
      </c>
      <c r="H768" s="126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IF(E768="","",IF(ISNUMBER(SEARCH("SUBSOLO",E768)),IFERROR(-VALUE(LEFT(E768,FIND("º",SUBSTITUTE(E768,"°","º"))-1)),-1),IF(LEFT(E768,6)="TÉRREO",0,IFERROR(VALUE(LEFT(E768,FIND("º",SUBSTITUTE(E768,"°","º"))-1)),""))))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26" t="n">
        <v>46325</v>
      </c>
      <c r="G769" s="126" t="n">
        <v>46339</v>
      </c>
      <c r="H769" s="126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IF(E769="","",IF(ISNUMBER(SEARCH("SUBSOLO",E769)),IFERROR(-VALUE(LEFT(E769,FIND("º",SUBSTITUTE(E769,"°","º"))-1)),-1),IF(LEFT(E769,6)="TÉRREO",0,IFERROR(VALUE(LEFT(E769,FIND("º",SUBSTITUTE(E769,"°","º"))-1)),""))))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26" t="n">
        <v>46325</v>
      </c>
      <c r="G770" s="126" t="n">
        <v>46399</v>
      </c>
      <c r="H770" s="126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IF(E770="","",IF(ISNUMBER(SEARCH("SUBSOLO",E770)),IFERROR(-VALUE(LEFT(E770,FIND("º",SUBSTITUTE(E770,"°","º"))-1)),-1),IF(LEFT(E770,6)="TÉRREO",0,IFERROR(VALUE(LEFT(E770,FIND("º",SUBSTITUTE(E770,"°","º"))-1)),""))))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26" t="n">
        <v>46329</v>
      </c>
      <c r="G771" s="126" t="n">
        <v>46363</v>
      </c>
      <c r="H771" s="126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IF(E771="","",IF(ISNUMBER(SEARCH("SUBSOLO",E771)),IFERROR(-VALUE(LEFT(E771,FIND("º",SUBSTITUTE(E771,"°","º"))-1)),-1),IF(LEFT(E771,6)="TÉRREO",0,IFERROR(VALUE(LEFT(E771,FIND("º",SUBSTITUTE(E771,"°","º"))-1)),""))))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26" t="n">
        <v>46332</v>
      </c>
      <c r="G772" s="126" t="n">
        <v>46346</v>
      </c>
      <c r="H772" s="126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IF(E772="","",IF(ISNUMBER(SEARCH("SUBSOLO",E772)),IFERROR(-VALUE(LEFT(E772,FIND("º",SUBSTITUTE(E772,"°","º"))-1)),-1),IF(LEFT(E772,6)="TÉRREO",0,IFERROR(VALUE(LEFT(E772,FIND("º",SUBSTITUTE(E772,"°","º"))-1)),""))))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26" t="n">
        <v>46332</v>
      </c>
      <c r="G773" s="126" t="n">
        <v>46335</v>
      </c>
      <c r="H773" s="126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IF(E773="","",IF(ISNUMBER(SEARCH("SUBSOLO",E773)),IFERROR(-VALUE(LEFT(E773,FIND("º",SUBSTITUTE(E773,"°","º"))-1)),-1),IF(LEFT(E773,6)="TÉRREO",0,IFERROR(VALUE(LEFT(E773,FIND("º",SUBSTITUTE(E773,"°","º"))-1)),""))))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26" t="n">
        <v>46332</v>
      </c>
      <c r="G774" s="126" t="n">
        <v>46335</v>
      </c>
      <c r="H774" s="126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IF(E774="","",IF(ISNUMBER(SEARCH("SUBSOLO",E774)),IFERROR(-VALUE(LEFT(E774,FIND("º",SUBSTITUTE(E774,"°","º"))-1)),-1),IF(LEFT(E774,6)="TÉRREO",0,IFERROR(VALUE(LEFT(E774,FIND("º",SUBSTITUTE(E774,"°","º"))-1)),""))))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26" t="n">
        <v>46335</v>
      </c>
      <c r="G775" s="126" t="n">
        <v>46336</v>
      </c>
      <c r="H775" s="126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IF(E775="","",IF(ISNUMBER(SEARCH("SUBSOLO",E775)),IFERROR(-VALUE(LEFT(E775,FIND("º",SUBSTITUTE(E775,"°","º"))-1)),-1),IF(LEFT(E775,6)="TÉRREO",0,IFERROR(VALUE(LEFT(E775,FIND("º",SUBSTITUTE(E775,"°","º"))-1)),""))))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26" t="n">
        <v>46337</v>
      </c>
      <c r="G776" s="126" t="n">
        <v>46337</v>
      </c>
      <c r="H776" s="126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IF(E776="","",IF(ISNUMBER(SEARCH("SUBSOLO",E776)),IFERROR(-VALUE(LEFT(E776,FIND("º",SUBSTITUTE(E776,"°","º"))-1)),-1),IF(LEFT(E776,6)="TÉRREO",0,IFERROR(VALUE(LEFT(E776,FIND("º",SUBSTITUTE(E776,"°","º"))-1)),""))))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26" t="n">
        <v>46338</v>
      </c>
      <c r="G777" s="126" t="n">
        <v>46343</v>
      </c>
      <c r="H777" s="126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IF(E777="","",IF(ISNUMBER(SEARCH("SUBSOLO",E777)),IFERROR(-VALUE(LEFT(E777,FIND("º",SUBSTITUTE(E777,"°","º"))-1)),-1),IF(LEFT(E777,6)="TÉRREO",0,IFERROR(VALUE(LEFT(E777,FIND("º",SUBSTITUTE(E777,"°","º"))-1)),""))))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26" t="n">
        <v>46339</v>
      </c>
      <c r="G778" s="126" t="n">
        <v>46344</v>
      </c>
      <c r="H778" s="126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IF(E778="","",IF(ISNUMBER(SEARCH("SUBSOLO",E778)),IFERROR(-VALUE(LEFT(E778,FIND("º",SUBSTITUTE(E778,"°","º"))-1)),-1),IF(LEFT(E778,6)="TÉRREO",0,IFERROR(VALUE(LEFT(E778,FIND("º",SUBSTITUTE(E778,"°","º"))-1)),""))))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26" t="n">
        <v>46343</v>
      </c>
      <c r="G779" s="126" t="n">
        <v>46343</v>
      </c>
      <c r="H779" s="126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IF(E779="","",IF(ISNUMBER(SEARCH("SUBSOLO",E779)),IFERROR(-VALUE(LEFT(E779,FIND("º",SUBSTITUTE(E779,"°","º"))-1)),-1),IF(LEFT(E779,6)="TÉRREO",0,IFERROR(VALUE(LEFT(E779,FIND("º",SUBSTITUTE(E779,"°","º"))-1)),""))))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26" t="n">
        <v>46343</v>
      </c>
      <c r="G780" s="126" t="n">
        <v>46343</v>
      </c>
      <c r="H780" s="126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IF(E780="","",IF(ISNUMBER(SEARCH("SUBSOLO",E780)),IFERROR(-VALUE(LEFT(E780,FIND("º",SUBSTITUTE(E780,"°","º"))-1)),-1),IF(LEFT(E780,6)="TÉRREO",0,IFERROR(VALUE(LEFT(E780,FIND("º",SUBSTITUTE(E780,"°","º"))-1)),""))))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26" t="n">
        <v>46344</v>
      </c>
      <c r="G781" s="126" t="n">
        <v>46346</v>
      </c>
      <c r="H781" s="126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IF(E781="","",IF(ISNUMBER(SEARCH("SUBSOLO",E781)),IFERROR(-VALUE(LEFT(E781,FIND("º",SUBSTITUTE(E781,"°","º"))-1)),-1),IF(LEFT(E781,6)="TÉRREO",0,IFERROR(VALUE(LEFT(E781,FIND("º",SUBSTITUTE(E781,"°","º"))-1)),""))))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26" t="n">
        <v>46335</v>
      </c>
      <c r="G782" s="126" t="n">
        <v>46345</v>
      </c>
      <c r="H782" s="126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IF(E782="","",IF(ISNUMBER(SEARCH("SUBSOLO",E782)),IFERROR(-VALUE(LEFT(E782,FIND("º",SUBSTITUTE(E782,"°","º"))-1)),-1),IF(LEFT(E782,6)="TÉRREO",0,IFERROR(VALUE(LEFT(E782,FIND("º",SUBSTITUTE(E782,"°","º"))-1)),""))))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26" t="n">
        <v>46337</v>
      </c>
      <c r="G783" s="126" t="n">
        <v>46357</v>
      </c>
      <c r="H783" s="126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IF(E783="","",IF(ISNUMBER(SEARCH("SUBSOLO",E783)),IFERROR(-VALUE(LEFT(E783,FIND("º",SUBSTITUTE(E783,"°","º"))-1)),-1),IF(LEFT(E783,6)="TÉRREO",0,IFERROR(VALUE(LEFT(E783,FIND("º",SUBSTITUTE(E783,"°","º"))-1)),""))))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26" t="n">
        <v>46337</v>
      </c>
      <c r="G784" s="126" t="n">
        <v>46367</v>
      </c>
      <c r="H784" s="126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IF(E784="","",IF(ISNUMBER(SEARCH("SUBSOLO",E784)),IFERROR(-VALUE(LEFT(E784,FIND("º",SUBSTITUTE(E784,"°","º"))-1)),-1),IF(LEFT(E784,6)="TÉRREO",0,IFERROR(VALUE(LEFT(E784,FIND("º",SUBSTITUTE(E784,"°","º"))-1)),""))))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26" t="n">
        <v>46337</v>
      </c>
      <c r="G785" s="126" t="n">
        <v>46350</v>
      </c>
      <c r="H785" s="126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IF(E785="","",IF(ISNUMBER(SEARCH("SUBSOLO",E785)),IFERROR(-VALUE(LEFT(E785,FIND("º",SUBSTITUTE(E785,"°","º"))-1)),-1),IF(LEFT(E785,6)="TÉRREO",0,IFERROR(VALUE(LEFT(E785,FIND("º",SUBSTITUTE(E785,"°","º"))-1)),""))))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26" t="n">
        <v>46338</v>
      </c>
      <c r="G786" s="126" t="n">
        <v>46350</v>
      </c>
      <c r="H786" s="126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IF(E786="","",IF(ISNUMBER(SEARCH("SUBSOLO",E786)),IFERROR(-VALUE(LEFT(E786,FIND("º",SUBSTITUTE(E786,"°","º"))-1)),-1),IF(LEFT(E786,6)="TÉRREO",0,IFERROR(VALUE(LEFT(E786,FIND("º",SUBSTITUTE(E786,"°","º"))-1)),""))))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26" t="n">
        <v>46338</v>
      </c>
      <c r="G787" s="126" t="n">
        <v>46350</v>
      </c>
      <c r="H787" s="126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IF(E787="","",IF(ISNUMBER(SEARCH("SUBSOLO",E787)),IFERROR(-VALUE(LEFT(E787,FIND("º",SUBSTITUTE(E787,"°","º"))-1)),-1),IF(LEFT(E787,6)="TÉRREO",0,IFERROR(VALUE(LEFT(E787,FIND("º",SUBSTITUTE(E787,"°","º"))-1)),""))))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26" t="n">
        <v>46338</v>
      </c>
      <c r="G788" s="126" t="n">
        <v>46350</v>
      </c>
      <c r="H788" s="126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IF(E788="","",IF(ISNUMBER(SEARCH("SUBSOLO",E788)),IFERROR(-VALUE(LEFT(E788,FIND("º",SUBSTITUTE(E788,"°","º"))-1)),-1),IF(LEFT(E788,6)="TÉRREO",0,IFERROR(VALUE(LEFT(E788,FIND("º",SUBSTITUTE(E788,"°","º"))-1)),""))))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26" t="n">
        <v>46338</v>
      </c>
      <c r="G789" s="126" t="n">
        <v>46350</v>
      </c>
      <c r="H789" s="126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IF(E789="","",IF(ISNUMBER(SEARCH("SUBSOLO",E789)),IFERROR(-VALUE(LEFT(E789,FIND("º",SUBSTITUTE(E789,"°","º"))-1)),-1),IF(LEFT(E789,6)="TÉRREO",0,IFERROR(VALUE(LEFT(E789,FIND("º",SUBSTITUTE(E789,"°","º"))-1)),""))))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26" t="n">
        <v>46338</v>
      </c>
      <c r="G790" s="126" t="n">
        <v>46350</v>
      </c>
      <c r="H790" s="126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IF(E790="","",IF(ISNUMBER(SEARCH("SUBSOLO",E790)),IFERROR(-VALUE(LEFT(E790,FIND("º",SUBSTITUTE(E790,"°","º"))-1)),-1),IF(LEFT(E790,6)="TÉRREO",0,IFERROR(VALUE(LEFT(E790,FIND("º",SUBSTITUTE(E790,"°","º"))-1)),""))))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26" t="n">
        <v>46338</v>
      </c>
      <c r="G791" s="126" t="n">
        <v>46350</v>
      </c>
      <c r="H791" s="126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IF(E791="","",IF(ISNUMBER(SEARCH("SUBSOLO",E791)),IFERROR(-VALUE(LEFT(E791,FIND("º",SUBSTITUTE(E791,"°","º"))-1)),-1),IF(LEFT(E791,6)="TÉRREO",0,IFERROR(VALUE(LEFT(E791,FIND("º",SUBSTITUTE(E791,"°","º"))-1)),""))))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26" t="n">
        <v>46339</v>
      </c>
      <c r="G792" s="126" t="n">
        <v>46351</v>
      </c>
      <c r="H792" s="126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IF(E792="","",IF(ISNUMBER(SEARCH("SUBSOLO",E792)),IFERROR(-VALUE(LEFT(E792,FIND("º",SUBSTITUTE(E792,"°","º"))-1)),-1),IF(LEFT(E792,6)="TÉRREO",0,IFERROR(VALUE(LEFT(E792,FIND("º",SUBSTITUTE(E792,"°","º"))-1)),""))))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26" t="n">
        <v>46342</v>
      </c>
      <c r="G793" s="126" t="n">
        <v>46360</v>
      </c>
      <c r="H793" s="126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IF(E793="","",IF(ISNUMBER(SEARCH("SUBSOLO",E793)),IFERROR(-VALUE(LEFT(E793,FIND("º",SUBSTITUTE(E793,"°","º"))-1)),-1),IF(LEFT(E793,6)="TÉRREO",0,IFERROR(VALUE(LEFT(E793,FIND("º",SUBSTITUTE(E793,"°","º"))-1)),""))))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26" t="n">
        <v>46349</v>
      </c>
      <c r="G794" s="126" t="n">
        <v>46363</v>
      </c>
      <c r="H794" s="126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IF(E794="","",IF(ISNUMBER(SEARCH("SUBSOLO",E794)),IFERROR(-VALUE(LEFT(E794,FIND("º",SUBSTITUTE(E794,"°","º"))-1)),-1),IF(LEFT(E794,6)="TÉRREO",0,IFERROR(VALUE(LEFT(E794,FIND("º",SUBSTITUTE(E794,"°","º"))-1)),""))))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26" t="n">
        <v>46349</v>
      </c>
      <c r="G795" s="126" t="n">
        <v>46350</v>
      </c>
      <c r="H795" s="126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IF(E795="","",IF(ISNUMBER(SEARCH("SUBSOLO",E795)),IFERROR(-VALUE(LEFT(E795,FIND("º",SUBSTITUTE(E795,"°","º"))-1)),-1),IF(LEFT(E795,6)="TÉRREO",0,IFERROR(VALUE(LEFT(E795,FIND("º",SUBSTITUTE(E795,"°","º"))-1)),""))))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26" t="n">
        <v>46349</v>
      </c>
      <c r="G796" s="126" t="n">
        <v>46350</v>
      </c>
      <c r="H796" s="126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IF(E796="","",IF(ISNUMBER(SEARCH("SUBSOLO",E796)),IFERROR(-VALUE(LEFT(E796,FIND("º",SUBSTITUTE(E796,"°","º"))-1)),-1),IF(LEFT(E796,6)="TÉRREO",0,IFERROR(VALUE(LEFT(E796,FIND("º",SUBSTITUTE(E796,"°","º"))-1)),""))))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26" t="n">
        <v>46350</v>
      </c>
      <c r="G797" s="126" t="n">
        <v>46351</v>
      </c>
      <c r="H797" s="126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IF(E797="","",IF(ISNUMBER(SEARCH("SUBSOLO",E797)),IFERROR(-VALUE(LEFT(E797,FIND("º",SUBSTITUTE(E797,"°","º"))-1)),-1),IF(LEFT(E797,6)="TÉRREO",0,IFERROR(VALUE(LEFT(E797,FIND("º",SUBSTITUTE(E797,"°","º"))-1)),""))))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26" t="n">
        <v>46352</v>
      </c>
      <c r="G798" s="126" t="n">
        <v>46352</v>
      </c>
      <c r="H798" s="126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IF(E798="","",IF(ISNUMBER(SEARCH("SUBSOLO",E798)),IFERROR(-VALUE(LEFT(E798,FIND("º",SUBSTITUTE(E798,"°","º"))-1)),-1),IF(LEFT(E798,6)="TÉRREO",0,IFERROR(VALUE(LEFT(E798,FIND("º",SUBSTITUTE(E798,"°","º"))-1)),""))))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26" t="n">
        <v>46353</v>
      </c>
      <c r="G799" s="126" t="n">
        <v>46358</v>
      </c>
      <c r="H799" s="126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IF(E799="","",IF(ISNUMBER(SEARCH("SUBSOLO",E799)),IFERROR(-VALUE(LEFT(E799,FIND("º",SUBSTITUTE(E799,"°","º"))-1)),-1),IF(LEFT(E799,6)="TÉRREO",0,IFERROR(VALUE(LEFT(E799,FIND("º",SUBSTITUTE(E799,"°","º"))-1)),""))))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26" t="n">
        <v>46356</v>
      </c>
      <c r="G800" s="126" t="n">
        <v>46359</v>
      </c>
      <c r="H800" s="126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IF(E800="","",IF(ISNUMBER(SEARCH("SUBSOLO",E800)),IFERROR(-VALUE(LEFT(E800,FIND("º",SUBSTITUTE(E800,"°","º"))-1)),-1),IF(LEFT(E800,6)="TÉRREO",0,IFERROR(VALUE(LEFT(E800,FIND("º",SUBSTITUTE(E800,"°","º"))-1)),""))))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26" t="n">
        <v>46358</v>
      </c>
      <c r="G801" s="126" t="n">
        <v>46358</v>
      </c>
      <c r="H801" s="126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IF(E801="","",IF(ISNUMBER(SEARCH("SUBSOLO",E801)),IFERROR(-VALUE(LEFT(E801,FIND("º",SUBSTITUTE(E801,"°","º"))-1)),-1),IF(LEFT(E801,6)="TÉRREO",0,IFERROR(VALUE(LEFT(E801,FIND("º",SUBSTITUTE(E801,"°","º"))-1)),""))))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26" t="n">
        <v>46358</v>
      </c>
      <c r="G802" s="126" t="n">
        <v>46358</v>
      </c>
      <c r="H802" s="126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IF(E802="","",IF(ISNUMBER(SEARCH("SUBSOLO",E802)),IFERROR(-VALUE(LEFT(E802,FIND("º",SUBSTITUTE(E802,"°","º"))-1)),-1),IF(LEFT(E802,6)="TÉRREO",0,IFERROR(VALUE(LEFT(E802,FIND("º",SUBSTITUTE(E802,"°","º"))-1)),""))))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26" t="n">
        <v>46359</v>
      </c>
      <c r="G803" s="126" t="n">
        <v>46363</v>
      </c>
      <c r="H803" s="126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IF(E803="","",IF(ISNUMBER(SEARCH("SUBSOLO",E803)),IFERROR(-VALUE(LEFT(E803,FIND("º",SUBSTITUTE(E803,"°","º"))-1)),-1),IF(LEFT(E803,6)="TÉRREO",0,IFERROR(VALUE(LEFT(E803,FIND("º",SUBSTITUTE(E803,"°","º"))-1)),""))))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26" t="n">
        <v>46351</v>
      </c>
      <c r="G804" s="126" t="n">
        <v>46372</v>
      </c>
      <c r="H804" s="126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IF(E804="","",IF(ISNUMBER(SEARCH("SUBSOLO",E804)),IFERROR(-VALUE(LEFT(E804,FIND("º",SUBSTITUTE(E804,"°","º"))-1)),-1),IF(LEFT(E804,6)="TÉRREO",0,IFERROR(VALUE(LEFT(E804,FIND("º",SUBSTITUTE(E804,"°","º"))-1)),""))))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26" t="n">
        <v>46351</v>
      </c>
      <c r="G805" s="126" t="n">
        <v>46357</v>
      </c>
      <c r="H805" s="126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IF(E805="","",IF(ISNUMBER(SEARCH("SUBSOLO",E805)),IFERROR(-VALUE(LEFT(E805,FIND("º",SUBSTITUTE(E805,"°","º"))-1)),-1),IF(LEFT(E805,6)="TÉRREO",0,IFERROR(VALUE(LEFT(E805,FIND("º",SUBSTITUTE(E805,"°","º"))-1)),""))))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26" t="n">
        <v>46351</v>
      </c>
      <c r="G806" s="126" t="n">
        <v>46363</v>
      </c>
      <c r="H806" s="126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IF(E806="","",IF(ISNUMBER(SEARCH("SUBSOLO",E806)),IFERROR(-VALUE(LEFT(E806,FIND("º",SUBSTITUTE(E806,"°","º"))-1)),-1),IF(LEFT(E806,6)="TÉRREO",0,IFERROR(VALUE(LEFT(E806,FIND("º",SUBSTITUTE(E806,"°","º"))-1)),""))))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26" t="n">
        <v>46351</v>
      </c>
      <c r="G807" s="126" t="n">
        <v>46363</v>
      </c>
      <c r="H807" s="126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IF(E807="","",IF(ISNUMBER(SEARCH("SUBSOLO",E807)),IFERROR(-VALUE(LEFT(E807,FIND("º",SUBSTITUTE(E807,"°","º"))-1)),-1),IF(LEFT(E807,6)="TÉRREO",0,IFERROR(VALUE(LEFT(E807,FIND("º",SUBSTITUTE(E807,"°","º"))-1)),""))))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26" t="n">
        <v>46351</v>
      </c>
      <c r="G808" s="126" t="n">
        <v>46363</v>
      </c>
      <c r="H808" s="126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IF(E808="","",IF(ISNUMBER(SEARCH("SUBSOLO",E808)),IFERROR(-VALUE(LEFT(E808,FIND("º",SUBSTITUTE(E808,"°","º"))-1)),-1),IF(LEFT(E808,6)="TÉRREO",0,IFERROR(VALUE(LEFT(E808,FIND("º",SUBSTITUTE(E808,"°","º"))-1)),""))))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26" t="n">
        <v>46351</v>
      </c>
      <c r="G809" s="126" t="n">
        <v>46363</v>
      </c>
      <c r="H809" s="126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IF(E809="","",IF(ISNUMBER(SEARCH("SUBSOLO",E809)),IFERROR(-VALUE(LEFT(E809,FIND("º",SUBSTITUTE(E809,"°","º"))-1)),-1),IF(LEFT(E809,6)="TÉRREO",0,IFERROR(VALUE(LEFT(E809,FIND("º",SUBSTITUTE(E809,"°","º"))-1)),""))))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26" t="n">
        <v>46351</v>
      </c>
      <c r="G810" s="126" t="n">
        <v>46363</v>
      </c>
      <c r="H810" s="126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IF(E810="","",IF(ISNUMBER(SEARCH("SUBSOLO",E810)),IFERROR(-VALUE(LEFT(E810,FIND("º",SUBSTITUTE(E810,"°","º"))-1)),-1),IF(LEFT(E810,6)="TÉRREO",0,IFERROR(VALUE(LEFT(E810,FIND("º",SUBSTITUTE(E810,"°","º"))-1)),""))))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26" t="n">
        <v>46351</v>
      </c>
      <c r="G811" s="126" t="n">
        <v>46363</v>
      </c>
      <c r="H811" s="126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IF(E811="","",IF(ISNUMBER(SEARCH("SUBSOLO",E811)),IFERROR(-VALUE(LEFT(E811,FIND("º",SUBSTITUTE(E811,"°","º"))-1)),-1),IF(LEFT(E811,6)="TÉRREO",0,IFERROR(VALUE(LEFT(E811,FIND("º",SUBSTITUTE(E811,"°","º"))-1)),""))))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26" t="n">
        <v>46351</v>
      </c>
      <c r="G812" s="126" t="n">
        <v>46359</v>
      </c>
      <c r="H812" s="126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IF(E812="","",IF(ISNUMBER(SEARCH("SUBSOLO",E812)),IFERROR(-VALUE(LEFT(E812,FIND("º",SUBSTITUTE(E812,"°","º"))-1)),-1),IF(LEFT(E812,6)="TÉRREO",0,IFERROR(VALUE(LEFT(E812,FIND("º",SUBSTITUTE(E812,"°","º"))-1)),""))))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26" t="n">
        <v>46352</v>
      </c>
      <c r="G813" s="126" t="n">
        <v>46374</v>
      </c>
      <c r="H813" s="126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IF(E813="","",IF(ISNUMBER(SEARCH("SUBSOLO",E813)),IFERROR(-VALUE(LEFT(E813,FIND("º",SUBSTITUTE(E813,"°","º"))-1)),-1),IF(LEFT(E813,6)="TÉRREO",0,IFERROR(VALUE(LEFT(E813,FIND("º",SUBSTITUTE(E813,"°","º"))-1)),""))))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26" t="n">
        <v>46352</v>
      </c>
      <c r="G814" s="126" t="n">
        <v>46365</v>
      </c>
      <c r="H814" s="126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IF(E814="","",IF(ISNUMBER(SEARCH("SUBSOLO",E814)),IFERROR(-VALUE(LEFT(E814,FIND("º",SUBSTITUTE(E814,"°","º"))-1)),-1),IF(LEFT(E814,6)="TÉRREO",0,IFERROR(VALUE(LEFT(E814,FIND("º",SUBSTITUTE(E814,"°","º"))-1)),""))))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26" t="n">
        <v>46357</v>
      </c>
      <c r="G815" s="126" t="n">
        <v>46399</v>
      </c>
      <c r="H815" s="126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IF(E815="","",IF(ISNUMBER(SEARCH("SUBSOLO",E815)),IFERROR(-VALUE(LEFT(E815,FIND("º",SUBSTITUTE(E815,"°","º"))-1)),-1),IF(LEFT(E815,6)="TÉRREO",0,IFERROR(VALUE(LEFT(E815,FIND("º",SUBSTITUTE(E815,"°","º"))-1)),""))))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26" t="n">
        <v>46357</v>
      </c>
      <c r="G816" s="126" t="n">
        <v>46413</v>
      </c>
      <c r="H816" s="126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IF(E816="","",IF(ISNUMBER(SEARCH("SUBSOLO",E816)),IFERROR(-VALUE(LEFT(E816,FIND("º",SUBSTITUTE(E816,"°","º"))-1)),-1),IF(LEFT(E816,6)="TÉRREO",0,IFERROR(VALUE(LEFT(E816,FIND("º",SUBSTITUTE(E816,"°","º"))-1)),""))))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26" t="n">
        <v>46357</v>
      </c>
      <c r="G817" s="126" t="n">
        <v>46366</v>
      </c>
      <c r="H817" s="126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IF(E817="","",IF(ISNUMBER(SEARCH("SUBSOLO",E817)),IFERROR(-VALUE(LEFT(E817,FIND("º",SUBSTITUTE(E817,"°","º"))-1)),-1),IF(LEFT(E817,6)="TÉRREO",0,IFERROR(VALUE(LEFT(E817,FIND("º",SUBSTITUTE(E817,"°","º"))-1)),""))))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26" t="n">
        <v>46367</v>
      </c>
      <c r="G818" s="126" t="n">
        <v>46394</v>
      </c>
      <c r="H818" s="126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IF(E818="","",IF(ISNUMBER(SEARCH("SUBSOLO",E818)),IFERROR(-VALUE(LEFT(E818,FIND("º",SUBSTITUTE(E818,"°","º"))-1)),-1),IF(LEFT(E818,6)="TÉRREO",0,IFERROR(VALUE(LEFT(E818,FIND("º",SUBSTITUTE(E818,"°","º"))-1)),""))))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26" t="n">
        <v>46373</v>
      </c>
      <c r="G819" s="126" t="n">
        <v>46400</v>
      </c>
      <c r="H819" s="126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IF(E819="","",IF(ISNUMBER(SEARCH("SUBSOLO",E819)),IFERROR(-VALUE(LEFT(E819,FIND("º",SUBSTITUTE(E819,"°","º"))-1)),-1),IF(LEFT(E819,6)="TÉRREO",0,IFERROR(VALUE(LEFT(E819,FIND("º",SUBSTITUTE(E819,"°","º"))-1)),""))))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26" t="n">
        <v>46401</v>
      </c>
      <c r="G820" s="126" t="n">
        <v>46407</v>
      </c>
      <c r="H820" s="126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IF(E820="","",IF(ISNUMBER(SEARCH("SUBSOLO",E820)),IFERROR(-VALUE(LEFT(E820,FIND("º",SUBSTITUTE(E820,"°","º"))-1)),-1),IF(LEFT(E820,6)="TÉRREO",0,IFERROR(VALUE(LEFT(E820,FIND("º",SUBSTITUTE(E820,"°","º"))-1)),""))))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26" t="n">
        <v>46408</v>
      </c>
      <c r="G821" s="126" t="n">
        <v>46413</v>
      </c>
      <c r="H821" s="126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IF(E821="","",IF(ISNUMBER(SEARCH("SUBSOLO",E821)),IFERROR(-VALUE(LEFT(E821,FIND("º",SUBSTITUTE(E821,"°","º"))-1)),-1),IF(LEFT(E821,6)="TÉRREO",0,IFERROR(VALUE(LEFT(E821,FIND("º",SUBSTITUTE(E821,"°","º"))-1)),""))))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26" t="n">
        <v>46357</v>
      </c>
      <c r="G822" s="126" t="n">
        <v>46370</v>
      </c>
      <c r="H822" s="126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IF(E822="","",IF(ISNUMBER(SEARCH("SUBSOLO",E822)),IFERROR(-VALUE(LEFT(E822,FIND("º",SUBSTITUTE(E822,"°","º"))-1)),-1),IF(LEFT(E822,6)="TÉRREO",0,IFERROR(VALUE(LEFT(E822,FIND("º",SUBSTITUTE(E822,"°","º"))-1)),""))))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26" t="n">
        <v>46357</v>
      </c>
      <c r="G823" s="126" t="n">
        <v>46370</v>
      </c>
      <c r="H823" s="126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IF(E823="","",IF(ISNUMBER(SEARCH("SUBSOLO",E823)),IFERROR(-VALUE(LEFT(E823,FIND("º",SUBSTITUTE(E823,"°","º"))-1)),-1),IF(LEFT(E823,6)="TÉRREO",0,IFERROR(VALUE(LEFT(E823,FIND("º",SUBSTITUTE(E823,"°","º"))-1)),""))))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26" t="n">
        <v>46360</v>
      </c>
      <c r="G824" s="126" t="n">
        <v>46374</v>
      </c>
      <c r="H824" s="126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IF(E824="","",IF(ISNUMBER(SEARCH("SUBSOLO",E824)),IFERROR(-VALUE(LEFT(E824,FIND("º",SUBSTITUTE(E824,"°","º"))-1)),-1),IF(LEFT(E824,6)="TÉRREO",0,IFERROR(VALUE(LEFT(E824,FIND("º",SUBSTITUTE(E824,"°","º"))-1)),""))))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26" t="n">
        <v>46363</v>
      </c>
      <c r="G825" s="126" t="n">
        <v>46407</v>
      </c>
      <c r="H825" s="126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IF(E825="","",IF(ISNUMBER(SEARCH("SUBSOLO",E825)),IFERROR(-VALUE(LEFT(E825,FIND("º",SUBSTITUTE(E825,"°","º"))-1)),-1),IF(LEFT(E825,6)="TÉRREO",0,IFERROR(VALUE(LEFT(E825,FIND("º",SUBSTITUTE(E825,"°","º"))-1)),""))))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26" t="n">
        <v>46365</v>
      </c>
      <c r="G826" s="126" t="n">
        <v>46399</v>
      </c>
      <c r="H826" s="126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IF(E826="","",IF(ISNUMBER(SEARCH("SUBSOLO",E826)),IFERROR(-VALUE(LEFT(E826,FIND("º",SUBSTITUTE(E826,"°","º"))-1)),-1),IF(LEFT(E826,6)="TÉRREO",0,IFERROR(VALUE(LEFT(E826,FIND("º",SUBSTITUTE(E826,"°","º"))-1)),""))))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26" t="n">
        <v>46365</v>
      </c>
      <c r="G827" s="126" t="n">
        <v>46371</v>
      </c>
      <c r="H827" s="126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IF(E827="","",IF(ISNUMBER(SEARCH("SUBSOLO",E827)),IFERROR(-VALUE(LEFT(E827,FIND("º",SUBSTITUTE(E827,"°","º"))-1)),-1),IF(LEFT(E827,6)="TÉRREO",0,IFERROR(VALUE(LEFT(E827,FIND("º",SUBSTITUTE(E827,"°","º"))-1)),""))))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26" t="n">
        <v>46365</v>
      </c>
      <c r="G828" s="126" t="n">
        <v>46391</v>
      </c>
      <c r="H828" s="126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IF(E828="","",IF(ISNUMBER(SEARCH("SUBSOLO",E828)),IFERROR(-VALUE(LEFT(E828,FIND("º",SUBSTITUTE(E828,"°","º"))-1)),-1),IF(LEFT(E828,6)="TÉRREO",0,IFERROR(VALUE(LEFT(E828,FIND("º",SUBSTITUTE(E828,"°","º"))-1)),""))))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26" t="n">
        <v>46365</v>
      </c>
      <c r="G829" s="126" t="n">
        <v>46391</v>
      </c>
      <c r="H829" s="126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IF(E829="","",IF(ISNUMBER(SEARCH("SUBSOLO",E829)),IFERROR(-VALUE(LEFT(E829,FIND("º",SUBSTITUTE(E829,"°","º"))-1)),-1),IF(LEFT(E829,6)="TÉRREO",0,IFERROR(VALUE(LEFT(E829,FIND("º",SUBSTITUTE(E829,"°","º"))-1)),""))))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26" t="n">
        <v>46365</v>
      </c>
      <c r="G830" s="126" t="n">
        <v>46391</v>
      </c>
      <c r="H830" s="126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IF(E830="","",IF(ISNUMBER(SEARCH("SUBSOLO",E830)),IFERROR(-VALUE(LEFT(E830,FIND("º",SUBSTITUTE(E830,"°","º"))-1)),-1),IF(LEFT(E830,6)="TÉRREO",0,IFERROR(VALUE(LEFT(E830,FIND("º",SUBSTITUTE(E830,"°","º"))-1)),""))))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26" t="n">
        <v>46365</v>
      </c>
      <c r="G831" s="126" t="n">
        <v>46374</v>
      </c>
      <c r="H831" s="126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IF(E831="","",IF(ISNUMBER(SEARCH("SUBSOLO",E831)),IFERROR(-VALUE(LEFT(E831,FIND("º",SUBSTITUTE(E831,"°","º"))-1)),-1),IF(LEFT(E831,6)="TÉRREO",0,IFERROR(VALUE(LEFT(E831,FIND("º",SUBSTITUTE(E831,"°","º"))-1)),""))))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26" t="n">
        <v>46365</v>
      </c>
      <c r="G832" s="126" t="n">
        <v>46366</v>
      </c>
      <c r="H832" s="126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IF(E832="","",IF(ISNUMBER(SEARCH("SUBSOLO",E832)),IFERROR(-VALUE(LEFT(E832,FIND("º",SUBSTITUTE(E832,"°","º"))-1)),-1),IF(LEFT(E832,6)="TÉRREO",0,IFERROR(VALUE(LEFT(E832,FIND("º",SUBSTITUTE(E832,"°","º"))-1)),""))))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26" t="n">
        <v>46365</v>
      </c>
      <c r="G833" s="126" t="n">
        <v>46366</v>
      </c>
      <c r="H833" s="126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IF(E833="","",IF(ISNUMBER(SEARCH("SUBSOLO",E833)),IFERROR(-VALUE(LEFT(E833,FIND("º",SUBSTITUTE(E833,"°","º"))-1)),-1),IF(LEFT(E833,6)="TÉRREO",0,IFERROR(VALUE(LEFT(E833,FIND("º",SUBSTITUTE(E833,"°","º"))-1)),""))))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26" t="n">
        <v>46366</v>
      </c>
      <c r="G834" s="126" t="n">
        <v>46367</v>
      </c>
      <c r="H834" s="126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IF(E834="","",IF(ISNUMBER(SEARCH("SUBSOLO",E834)),IFERROR(-VALUE(LEFT(E834,FIND("º",SUBSTITUTE(E834,"°","º"))-1)),-1),IF(LEFT(E834,6)="TÉRREO",0,IFERROR(VALUE(LEFT(E834,FIND("º",SUBSTITUTE(E834,"°","º"))-1)),""))))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26" t="n">
        <v>46370</v>
      </c>
      <c r="G835" s="126" t="n">
        <v>46370</v>
      </c>
      <c r="H835" s="126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IF(E835="","",IF(ISNUMBER(SEARCH("SUBSOLO",E835)),IFERROR(-VALUE(LEFT(E835,FIND("º",SUBSTITUTE(E835,"°","º"))-1)),-1),IF(LEFT(E835,6)="TÉRREO",0,IFERROR(VALUE(LEFT(E835,FIND("º",SUBSTITUTE(E835,"°","º"))-1)),""))))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26" t="n">
        <v>46371</v>
      </c>
      <c r="G836" s="126" t="n">
        <v>46374</v>
      </c>
      <c r="H836" s="126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IF(E836="","",IF(ISNUMBER(SEARCH("SUBSOLO",E836)),IFERROR(-VALUE(LEFT(E836,FIND("º",SUBSTITUTE(E836,"°","º"))-1)),-1),IF(LEFT(E836,6)="TÉRREO",0,IFERROR(VALUE(LEFT(E836,FIND("º",SUBSTITUTE(E836,"°","º"))-1)),""))))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26" t="n">
        <v>46372</v>
      </c>
      <c r="G837" s="126" t="n">
        <v>46374</v>
      </c>
      <c r="H837" s="126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IF(E837="","",IF(ISNUMBER(SEARCH("SUBSOLO",E837)),IFERROR(-VALUE(LEFT(E837,FIND("º",SUBSTITUTE(E837,"°","º"))-1)),-1),IF(LEFT(E837,6)="TÉRREO",0,IFERROR(VALUE(LEFT(E837,FIND("º",SUBSTITUTE(E837,"°","º"))-1)),""))))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26" t="n">
        <v>46373</v>
      </c>
      <c r="G838" s="126" t="n">
        <v>46373</v>
      </c>
      <c r="H838" s="126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IF(E838="","",IF(ISNUMBER(SEARCH("SUBSOLO",E838)),IFERROR(-VALUE(LEFT(E838,FIND("º",SUBSTITUTE(E838,"°","º"))-1)),-1),IF(LEFT(E838,6)="TÉRREO",0,IFERROR(VALUE(LEFT(E838,FIND("º",SUBSTITUTE(E838,"°","º"))-1)),""))))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26" t="n">
        <v>46373</v>
      </c>
      <c r="G839" s="126" t="n">
        <v>46373</v>
      </c>
      <c r="H839" s="126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IF(E839="","",IF(ISNUMBER(SEARCH("SUBSOLO",E839)),IFERROR(-VALUE(LEFT(E839,FIND("º",SUBSTITUTE(E839,"°","º"))-1)),-1),IF(LEFT(E839,6)="TÉRREO",0,IFERROR(VALUE(LEFT(E839,FIND("º",SUBSTITUTE(E839,"°","º"))-1)),""))))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26" t="n">
        <v>46374</v>
      </c>
      <c r="G840" s="126" t="n">
        <v>46374</v>
      </c>
      <c r="H840" s="126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IF(E840="","",IF(ISNUMBER(SEARCH("SUBSOLO",E840)),IFERROR(-VALUE(LEFT(E840,FIND("º",SUBSTITUTE(E840,"°","º"))-1)),-1),IF(LEFT(E840,6)="TÉRREO",0,IFERROR(VALUE(LEFT(E840,FIND("º",SUBSTITUTE(E840,"°","º"))-1)),""))))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26" t="n">
        <v>46366</v>
      </c>
      <c r="G841" s="126" t="n">
        <v>46366</v>
      </c>
      <c r="H841" s="126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IF(E841="","",IF(ISNUMBER(SEARCH("SUBSOLO",E841)),IFERROR(-VALUE(LEFT(E841,FIND("º",SUBSTITUTE(E841,"°","º"))-1)),-1),IF(LEFT(E841,6)="TÉRREO",0,IFERROR(VALUE(LEFT(E841,FIND("º",SUBSTITUTE(E841,"°","º"))-1)),""))))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26" t="n">
        <v>46366</v>
      </c>
      <c r="G842" s="126" t="n">
        <v>46392</v>
      </c>
      <c r="H842" s="126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IF(E842="","",IF(ISNUMBER(SEARCH("SUBSOLO",E842)),IFERROR(-VALUE(LEFT(E842,FIND("º",SUBSTITUTE(E842,"°","º"))-1)),-1),IF(LEFT(E842,6)="TÉRREO",0,IFERROR(VALUE(LEFT(E842,FIND("º",SUBSTITUTE(E842,"°","º"))-1)),""))))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26" t="n">
        <v>46366</v>
      </c>
      <c r="G843" s="126" t="n">
        <v>46518</v>
      </c>
      <c r="H843" s="126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IF(E843="","",IF(ISNUMBER(SEARCH("SUBSOLO",E843)),IFERROR(-VALUE(LEFT(E843,FIND("º",SUBSTITUTE(E843,"°","º"))-1)),-1),IF(LEFT(E843,6)="TÉRREO",0,IFERROR(VALUE(LEFT(E843,FIND("º",SUBSTITUTE(E843,"°","º"))-1)),""))))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26" t="n">
        <v>46367</v>
      </c>
      <c r="G844" s="126" t="n">
        <v>46393</v>
      </c>
      <c r="H844" s="126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IF(E844="","",IF(ISNUMBER(SEARCH("SUBSOLO",E844)),IFERROR(-VALUE(LEFT(E844,FIND("º",SUBSTITUTE(E844,"°","º"))-1)),-1),IF(LEFT(E844,6)="TÉRREO",0,IFERROR(VALUE(LEFT(E844,FIND("º",SUBSTITUTE(E844,"°","º"))-1)),""))))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26" t="n">
        <v>46370</v>
      </c>
      <c r="G845" s="126" t="n">
        <v>46443</v>
      </c>
      <c r="H845" s="126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IF(E845="","",IF(ISNUMBER(SEARCH("SUBSOLO",E845)),IFERROR(-VALUE(LEFT(E845,FIND("º",SUBSTITUTE(E845,"°","º"))-1)),-1),IF(LEFT(E845,6)="TÉRREO",0,IFERROR(VALUE(LEFT(E845,FIND("º",SUBSTITUTE(E845,"°","º"))-1)),""))))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26" t="n">
        <v>46371</v>
      </c>
      <c r="G846" s="126" t="n">
        <v>46395</v>
      </c>
      <c r="H846" s="126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IF(E846="","",IF(ISNUMBER(SEARCH("SUBSOLO",E846)),IFERROR(-VALUE(LEFT(E846,FIND("º",SUBSTITUTE(E846,"°","º"))-1)),-1),IF(LEFT(E846,6)="TÉRREO",0,IFERROR(VALUE(LEFT(E846,FIND("º",SUBSTITUTE(E846,"°","º"))-1)),""))))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26" t="n">
        <v>46371</v>
      </c>
      <c r="G847" s="126" t="n">
        <v>46416</v>
      </c>
      <c r="H847" s="126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IF(E847="","",IF(ISNUMBER(SEARCH("SUBSOLO",E847)),IFERROR(-VALUE(LEFT(E847,FIND("º",SUBSTITUTE(E847,"°","º"))-1)),-1),IF(LEFT(E847,6)="TÉRREO",0,IFERROR(VALUE(LEFT(E847,FIND("º",SUBSTITUTE(E847,"°","º"))-1)),""))))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26" t="n">
        <v>46373</v>
      </c>
      <c r="G848" s="126" t="n">
        <v>46399</v>
      </c>
      <c r="H848" s="126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IF(E848="","",IF(ISNUMBER(SEARCH("SUBSOLO",E848)),IFERROR(-VALUE(LEFT(E848,FIND("º",SUBSTITUTE(E848,"°","º"))-1)),-1),IF(LEFT(E848,6)="TÉRREO",0,IFERROR(VALUE(LEFT(E848,FIND("º",SUBSTITUTE(E848,"°","º"))-1)),""))))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26" t="n">
        <v>46391</v>
      </c>
      <c r="G849" s="126" t="n">
        <v>46499</v>
      </c>
      <c r="H849" s="126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IF(E849="","",IF(ISNUMBER(SEARCH("SUBSOLO",E849)),IFERROR(-VALUE(LEFT(E849,FIND("º",SUBSTITUTE(E849,"°","º"))-1)),-1),IF(LEFT(E849,6)="TÉRREO",0,IFERROR(VALUE(LEFT(E849,FIND("º",SUBSTITUTE(E849,"°","º"))-1)),""))))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26" t="n">
        <v>46391</v>
      </c>
      <c r="G850" s="126" t="n">
        <v>46409</v>
      </c>
      <c r="H850" s="126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IF(E850="","",IF(ISNUMBER(SEARCH("SUBSOLO",E850)),IFERROR(-VALUE(LEFT(E850,FIND("º",SUBSTITUTE(E850,"°","º"))-1)),-1),IF(LEFT(E850,6)="TÉRREO",0,IFERROR(VALUE(LEFT(E850,FIND("º",SUBSTITUTE(E850,"°","º"))-1)),""))))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26" t="n">
        <v>46391</v>
      </c>
      <c r="G851" s="126" t="n">
        <v>46399</v>
      </c>
      <c r="H851" s="126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IF(E851="","",IF(ISNUMBER(SEARCH("SUBSOLO",E851)),IFERROR(-VALUE(LEFT(E851,FIND("º",SUBSTITUTE(E851,"°","º"))-1)),-1),IF(LEFT(E851,6)="TÉRREO",0,IFERROR(VALUE(LEFT(E851,FIND("º",SUBSTITUTE(E851,"°","º"))-1)),""))))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26" t="n">
        <v>46391</v>
      </c>
      <c r="G852" s="126" t="n">
        <v>46405</v>
      </c>
      <c r="H852" s="126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IF(E852="","",IF(ISNUMBER(SEARCH("SUBSOLO",E852)),IFERROR(-VALUE(LEFT(E852,FIND("º",SUBSTITUTE(E852,"°","º"))-1)),-1),IF(LEFT(E852,6)="TÉRREO",0,IFERROR(VALUE(LEFT(E852,FIND("º",SUBSTITUTE(E852,"°","º"))-1)),""))))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26" t="n">
        <v>46391</v>
      </c>
      <c r="G853" s="126" t="n">
        <v>46392</v>
      </c>
      <c r="H853" s="126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IF(E853="","",IF(ISNUMBER(SEARCH("SUBSOLO",E853)),IFERROR(-VALUE(LEFT(E853,FIND("º",SUBSTITUTE(E853,"°","º"))-1)),-1),IF(LEFT(E853,6)="TÉRREO",0,IFERROR(VALUE(LEFT(E853,FIND("º",SUBSTITUTE(E853,"°","º"))-1)),""))))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26" t="n">
        <v>46391</v>
      </c>
      <c r="G854" s="126" t="n">
        <v>46392</v>
      </c>
      <c r="H854" s="126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IF(E854="","",IF(ISNUMBER(SEARCH("SUBSOLO",E854)),IFERROR(-VALUE(LEFT(E854,FIND("º",SUBSTITUTE(E854,"°","º"))-1)),-1),IF(LEFT(E854,6)="TÉRREO",0,IFERROR(VALUE(LEFT(E854,FIND("º",SUBSTITUTE(E854,"°","º"))-1)),""))))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26" t="n">
        <v>46392</v>
      </c>
      <c r="G855" s="126" t="n">
        <v>46393</v>
      </c>
      <c r="H855" s="126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IF(E855="","",IF(ISNUMBER(SEARCH("SUBSOLO",E855)),IFERROR(-VALUE(LEFT(E855,FIND("º",SUBSTITUTE(E855,"°","º"))-1)),-1),IF(LEFT(E855,6)="TÉRREO",0,IFERROR(VALUE(LEFT(E855,FIND("º",SUBSTITUTE(E855,"°","º"))-1)),""))))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26" t="n">
        <v>46394</v>
      </c>
      <c r="G856" s="126" t="n">
        <v>46394</v>
      </c>
      <c r="H856" s="126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IF(E856="","",IF(ISNUMBER(SEARCH("SUBSOLO",E856)),IFERROR(-VALUE(LEFT(E856,FIND("º",SUBSTITUTE(E856,"°","º"))-1)),-1),IF(LEFT(E856,6)="TÉRREO",0,IFERROR(VALUE(LEFT(E856,FIND("º",SUBSTITUTE(E856,"°","º"))-1)),""))))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26" t="n">
        <v>46395</v>
      </c>
      <c r="G857" s="126" t="n">
        <v>46399</v>
      </c>
      <c r="H857" s="126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IF(E857="","",IF(ISNUMBER(SEARCH("SUBSOLO",E857)),IFERROR(-VALUE(LEFT(E857,FIND("º",SUBSTITUTE(E857,"°","º"))-1)),-1),IF(LEFT(E857,6)="TÉRREO",0,IFERROR(VALUE(LEFT(E857,FIND("º",SUBSTITUTE(E857,"°","º"))-1)),""))))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26" t="n">
        <v>46398</v>
      </c>
      <c r="G858" s="126" t="n">
        <v>46400</v>
      </c>
      <c r="H858" s="126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IF(E858="","",IF(ISNUMBER(SEARCH("SUBSOLO",E858)),IFERROR(-VALUE(LEFT(E858,FIND("º",SUBSTITUTE(E858,"°","º"))-1)),-1),IF(LEFT(E858,6)="TÉRREO",0,IFERROR(VALUE(LEFT(E858,FIND("º",SUBSTITUTE(E858,"°","º"))-1)),""))))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26" t="n">
        <v>46399</v>
      </c>
      <c r="G859" s="126" t="n">
        <v>46399</v>
      </c>
      <c r="H859" s="126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IF(E859="","",IF(ISNUMBER(SEARCH("SUBSOLO",E859)),IFERROR(-VALUE(LEFT(E859,FIND("º",SUBSTITUTE(E859,"°","º"))-1)),-1),IF(LEFT(E859,6)="TÉRREO",0,IFERROR(VALUE(LEFT(E859,FIND("º",SUBSTITUTE(E859,"°","º"))-1)),""))))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26" t="n">
        <v>46399</v>
      </c>
      <c r="G860" s="126" t="n">
        <v>46399</v>
      </c>
      <c r="H860" s="126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IF(E860="","",IF(ISNUMBER(SEARCH("SUBSOLO",E860)),IFERROR(-VALUE(LEFT(E860,FIND("º",SUBSTITUTE(E860,"°","º"))-1)),-1),IF(LEFT(E860,6)="TÉRREO",0,IFERROR(VALUE(LEFT(E860,FIND("º",SUBSTITUTE(E860,"°","º"))-1)),""))))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26" t="n">
        <v>46400</v>
      </c>
      <c r="G861" s="126" t="n">
        <v>46405</v>
      </c>
      <c r="H861" s="126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IF(E861="","",IF(ISNUMBER(SEARCH("SUBSOLO",E861)),IFERROR(-VALUE(LEFT(E861,FIND("º",SUBSTITUTE(E861,"°","º"))-1)),-1),IF(LEFT(E861,6)="TÉRREO",0,IFERROR(VALUE(LEFT(E861,FIND("º",SUBSTITUTE(E861,"°","º"))-1)),""))))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26" t="n">
        <v>46392</v>
      </c>
      <c r="G862" s="126" t="n">
        <v>46505</v>
      </c>
      <c r="H862" s="126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IF(E862="","",IF(ISNUMBER(SEARCH("SUBSOLO",E862)),IFERROR(-VALUE(LEFT(E862,FIND("º",SUBSTITUTE(E862,"°","º"))-1)),-1),IF(LEFT(E862,6)="TÉRREO",0,IFERROR(VALUE(LEFT(E862,FIND("º",SUBSTITUTE(E862,"°","º"))-1)),""))))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26" t="n">
        <v>46392</v>
      </c>
      <c r="G863" s="126" t="n">
        <v>46398</v>
      </c>
      <c r="H863" s="126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IF(E863="","",IF(ISNUMBER(SEARCH("SUBSOLO",E863)),IFERROR(-VALUE(LEFT(E863,FIND("º",SUBSTITUTE(E863,"°","º"))-1)),-1),IF(LEFT(E863,6)="TÉRREO",0,IFERROR(VALUE(LEFT(E863,FIND("º",SUBSTITUTE(E863,"°","º"))-1)),""))))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26" t="n">
        <v>46394</v>
      </c>
      <c r="G864" s="126" t="n">
        <v>46407</v>
      </c>
      <c r="H864" s="126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IF(E864="","",IF(ISNUMBER(SEARCH("SUBSOLO",E864)),IFERROR(-VALUE(LEFT(E864,FIND("º",SUBSTITUTE(E864,"°","º"))-1)),-1),IF(LEFT(E864,6)="TÉRREO",0,IFERROR(VALUE(LEFT(E864,FIND("º",SUBSTITUTE(E864,"°","º"))-1)),""))))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26" t="n">
        <v>46394</v>
      </c>
      <c r="G865" s="126" t="n">
        <v>46406</v>
      </c>
      <c r="H865" s="126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IF(E865="","",IF(ISNUMBER(SEARCH("SUBSOLO",E865)),IFERROR(-VALUE(LEFT(E865,FIND("º",SUBSTITUTE(E865,"°","º"))-1)),-1),IF(LEFT(E865,6)="TÉRREO",0,IFERROR(VALUE(LEFT(E865,FIND("º",SUBSTITUTE(E865,"°","º"))-1)),""))))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26" t="n">
        <v>46395</v>
      </c>
      <c r="G866" s="126" t="n">
        <v>46407</v>
      </c>
      <c r="H866" s="126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IF(E866="","",IF(ISNUMBER(SEARCH("SUBSOLO",E866)),IFERROR(-VALUE(LEFT(E866,FIND("º",SUBSTITUTE(E866,"°","º"))-1)),-1),IF(LEFT(E866,6)="TÉRREO",0,IFERROR(VALUE(LEFT(E866,FIND("º",SUBSTITUTE(E866,"°","º"))-1)),""))))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26" t="n">
        <v>46395</v>
      </c>
      <c r="G867" s="126" t="n">
        <v>46407</v>
      </c>
      <c r="H867" s="126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IF(E867="","",IF(ISNUMBER(SEARCH("SUBSOLO",E867)),IFERROR(-VALUE(LEFT(E867,FIND("º",SUBSTITUTE(E867,"°","º"))-1)),-1),IF(LEFT(E867,6)="TÉRREO",0,IFERROR(VALUE(LEFT(E867,FIND("º",SUBSTITUTE(E867,"°","º"))-1)),""))))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26" t="n">
        <v>46398</v>
      </c>
      <c r="G868" s="126" t="n">
        <v>46442</v>
      </c>
      <c r="H868" s="126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IF(E868="","",IF(ISNUMBER(SEARCH("SUBSOLO",E868)),IFERROR(-VALUE(LEFT(E868,FIND("º",SUBSTITUTE(E868,"°","º"))-1)),-1),IF(LEFT(E868,6)="TÉRREO",0,IFERROR(VALUE(LEFT(E868,FIND("º",SUBSTITUTE(E868,"°","º"))-1)),""))))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26" t="n">
        <v>46398</v>
      </c>
      <c r="G869" s="126" t="n">
        <v>46408</v>
      </c>
      <c r="H869" s="126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IF(E869="","",IF(ISNUMBER(SEARCH("SUBSOLO",E869)),IFERROR(-VALUE(LEFT(E869,FIND("º",SUBSTITUTE(E869,"°","º"))-1)),-1),IF(LEFT(E869,6)="TÉRREO",0,IFERROR(VALUE(LEFT(E869,FIND("º",SUBSTITUTE(E869,"°","º"))-1)),""))))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26" t="n">
        <v>46398</v>
      </c>
      <c r="G870" s="126" t="n">
        <v>46408</v>
      </c>
      <c r="H870" s="126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IF(E870="","",IF(ISNUMBER(SEARCH("SUBSOLO",E870)),IFERROR(-VALUE(LEFT(E870,FIND("º",SUBSTITUTE(E870,"°","º"))-1)),-1),IF(LEFT(E870,6)="TÉRREO",0,IFERROR(VALUE(LEFT(E870,FIND("º",SUBSTITUTE(E870,"°","º"))-1)),""))))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26" t="n">
        <v>46398</v>
      </c>
      <c r="G871" s="126" t="n">
        <v>46408</v>
      </c>
      <c r="H871" s="126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IF(E871="","",IF(ISNUMBER(SEARCH("SUBSOLO",E871)),IFERROR(-VALUE(LEFT(E871,FIND("º",SUBSTITUTE(E871,"°","º"))-1)),-1),IF(LEFT(E871,6)="TÉRREO",0,IFERROR(VALUE(LEFT(E871,FIND("º",SUBSTITUTE(E871,"°","º"))-1)),""))))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26" t="n">
        <v>46400</v>
      </c>
      <c r="G872" s="126" t="n">
        <v>46429</v>
      </c>
      <c r="H872" s="126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IF(E872="","",IF(ISNUMBER(SEARCH("SUBSOLO",E872)),IFERROR(-VALUE(LEFT(E872,FIND("º",SUBSTITUTE(E872,"°","º"))-1)),-1),IF(LEFT(E872,6)="TÉRREO",0,IFERROR(VALUE(LEFT(E872,FIND("º",SUBSTITUTE(E872,"°","º"))-1)),""))))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26" t="n">
        <v>46400</v>
      </c>
      <c r="G873" s="126" t="n">
        <v>46412</v>
      </c>
      <c r="H873" s="126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IF(E873="","",IF(ISNUMBER(SEARCH("SUBSOLO",E873)),IFERROR(-VALUE(LEFT(E873,FIND("º",SUBSTITUTE(E873,"°","º"))-1)),-1),IF(LEFT(E873,6)="TÉRREO",0,IFERROR(VALUE(LEFT(E873,FIND("º",SUBSTITUTE(E873,"°","º"))-1)),""))))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26" t="n">
        <v>46400</v>
      </c>
      <c r="G874" s="126" t="n">
        <v>46412</v>
      </c>
      <c r="H874" s="126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IF(E874="","",IF(ISNUMBER(SEARCH("SUBSOLO",E874)),IFERROR(-VALUE(LEFT(E874,FIND("º",SUBSTITUTE(E874,"°","º"))-1)),-1),IF(LEFT(E874,6)="TÉRREO",0,IFERROR(VALUE(LEFT(E874,FIND("º",SUBSTITUTE(E874,"°","º"))-1)),""))))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26" t="n">
        <v>46400</v>
      </c>
      <c r="G875" s="126" t="n">
        <v>46420</v>
      </c>
      <c r="H875" s="126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IF(E875="","",IF(ISNUMBER(SEARCH("SUBSOLO",E875)),IFERROR(-VALUE(LEFT(E875,FIND("º",SUBSTITUTE(E875,"°","º"))-1)),-1),IF(LEFT(E875,6)="TÉRREO",0,IFERROR(VALUE(LEFT(E875,FIND("º",SUBSTITUTE(E875,"°","º"))-1)),""))))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26" t="n">
        <v>46400</v>
      </c>
      <c r="G876" s="126" t="n">
        <v>46420</v>
      </c>
      <c r="H876" s="126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IF(E876="","",IF(ISNUMBER(SEARCH("SUBSOLO",E876)),IFERROR(-VALUE(LEFT(E876,FIND("º",SUBSTITUTE(E876,"°","º"))-1)),-1),IF(LEFT(E876,6)="TÉRREO",0,IFERROR(VALUE(LEFT(E876,FIND("º",SUBSTITUTE(E876,"°","º"))-1)),""))))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26" t="n">
        <v>46405</v>
      </c>
      <c r="G877" s="126" t="n">
        <v>46415</v>
      </c>
      <c r="H877" s="126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IF(E877="","",IF(ISNUMBER(SEARCH("SUBSOLO",E877)),IFERROR(-VALUE(LEFT(E877,FIND("º",SUBSTITUTE(E877,"°","º"))-1)),-1),IF(LEFT(E877,6)="TÉRREO",0,IFERROR(VALUE(LEFT(E877,FIND("º",SUBSTITUTE(E877,"°","º"))-1)),""))))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26" t="n">
        <v>46406</v>
      </c>
      <c r="G878" s="126" t="n">
        <v>46420</v>
      </c>
      <c r="H878" s="126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IF(E878="","",IF(ISNUMBER(SEARCH("SUBSOLO",E878)),IFERROR(-VALUE(LEFT(E878,FIND("º",SUBSTITUTE(E878,"°","º"))-1)),-1),IF(LEFT(E878,6)="TÉRREO",0,IFERROR(VALUE(LEFT(E878,FIND("º",SUBSTITUTE(E878,"°","º"))-1)),""))))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26" t="n">
        <v>46406</v>
      </c>
      <c r="G879" s="126" t="n">
        <v>46407</v>
      </c>
      <c r="H879" s="126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IF(E879="","",IF(ISNUMBER(SEARCH("SUBSOLO",E879)),IFERROR(-VALUE(LEFT(E879,FIND("º",SUBSTITUTE(E879,"°","º"))-1)),-1),IF(LEFT(E879,6)="TÉRREO",0,IFERROR(VALUE(LEFT(E879,FIND("º",SUBSTITUTE(E879,"°","º"))-1)),""))))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26" t="n">
        <v>46406</v>
      </c>
      <c r="G880" s="126" t="n">
        <v>46407</v>
      </c>
      <c r="H880" s="126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IF(E880="","",IF(ISNUMBER(SEARCH("SUBSOLO",E880)),IFERROR(-VALUE(LEFT(E880,FIND("º",SUBSTITUTE(E880,"°","º"))-1)),-1),IF(LEFT(E880,6)="TÉRREO",0,IFERROR(VALUE(LEFT(E880,FIND("º",SUBSTITUTE(E880,"°","º"))-1)),""))))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26" t="n">
        <v>46407</v>
      </c>
      <c r="G881" s="126" t="n">
        <v>46408</v>
      </c>
      <c r="H881" s="126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IF(E881="","",IF(ISNUMBER(SEARCH("SUBSOLO",E881)),IFERROR(-VALUE(LEFT(E881,FIND("º",SUBSTITUTE(E881,"°","º"))-1)),-1),IF(LEFT(E881,6)="TÉRREO",0,IFERROR(VALUE(LEFT(E881,FIND("º",SUBSTITUTE(E881,"°","º"))-1)),""))))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26" t="n">
        <v>46409</v>
      </c>
      <c r="G882" s="126" t="n">
        <v>46409</v>
      </c>
      <c r="H882" s="126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IF(E882="","",IF(ISNUMBER(SEARCH("SUBSOLO",E882)),IFERROR(-VALUE(LEFT(E882,FIND("º",SUBSTITUTE(E882,"°","º"))-1)),-1),IF(LEFT(E882,6)="TÉRREO",0,IFERROR(VALUE(LEFT(E882,FIND("º",SUBSTITUTE(E882,"°","º"))-1)),""))))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26" t="n">
        <v>46412</v>
      </c>
      <c r="G883" s="126" t="n">
        <v>46415</v>
      </c>
      <c r="H883" s="126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IF(E883="","",IF(ISNUMBER(SEARCH("SUBSOLO",E883)),IFERROR(-VALUE(LEFT(E883,FIND("º",SUBSTITUTE(E883,"°","º"))-1)),-1),IF(LEFT(E883,6)="TÉRREO",0,IFERROR(VALUE(LEFT(E883,FIND("º",SUBSTITUTE(E883,"°","º"))-1)),""))))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26" t="n">
        <v>46413</v>
      </c>
      <c r="G884" s="126" t="n">
        <v>46416</v>
      </c>
      <c r="H884" s="126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IF(E884="","",IF(ISNUMBER(SEARCH("SUBSOLO",E884)),IFERROR(-VALUE(LEFT(E884,FIND("º",SUBSTITUTE(E884,"°","º"))-1)),-1),IF(LEFT(E884,6)="TÉRREO",0,IFERROR(VALUE(LEFT(E884,FIND("º",SUBSTITUTE(E884,"°","º"))-1)),""))))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26" t="n">
        <v>46415</v>
      </c>
      <c r="G885" s="126" t="n">
        <v>46415</v>
      </c>
      <c r="H885" s="126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IF(E885="","",IF(ISNUMBER(SEARCH("SUBSOLO",E885)),IFERROR(-VALUE(LEFT(E885,FIND("º",SUBSTITUTE(E885,"°","º"))-1)),-1),IF(LEFT(E885,6)="TÉRREO",0,IFERROR(VALUE(LEFT(E885,FIND("º",SUBSTITUTE(E885,"°","º"))-1)),""))))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26" t="n">
        <v>46415</v>
      </c>
      <c r="G886" s="126" t="n">
        <v>46415</v>
      </c>
      <c r="H886" s="126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IF(E886="","",IF(ISNUMBER(SEARCH("SUBSOLO",E886)),IFERROR(-VALUE(LEFT(E886,FIND("º",SUBSTITUTE(E886,"°","º"))-1)),-1),IF(LEFT(E886,6)="TÉRREO",0,IFERROR(VALUE(LEFT(E886,FIND("º",SUBSTITUTE(E886,"°","º"))-1)),""))))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26" t="n">
        <v>46416</v>
      </c>
      <c r="G887" s="126" t="n">
        <v>46420</v>
      </c>
      <c r="H887" s="126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IF(E887="","",IF(ISNUMBER(SEARCH("SUBSOLO",E887)),IFERROR(-VALUE(LEFT(E887,FIND("º",SUBSTITUTE(E887,"°","º"))-1)),-1),IF(LEFT(E887,6)="TÉRREO",0,IFERROR(VALUE(LEFT(E887,FIND("º",SUBSTITUTE(E887,"°","º"))-1)),""))))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26" t="n">
        <v>46408</v>
      </c>
      <c r="G888" s="126" t="n">
        <v>46437</v>
      </c>
      <c r="H888" s="126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IF(E888="","",IF(ISNUMBER(SEARCH("SUBSOLO",E888)),IFERROR(-VALUE(LEFT(E888,FIND("º",SUBSTITUTE(E888,"°","º"))-1)),-1),IF(LEFT(E888,6)="TÉRREO",0,IFERROR(VALUE(LEFT(E888,FIND("º",SUBSTITUTE(E888,"°","º"))-1)),""))))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26" t="n">
        <v>46408</v>
      </c>
      <c r="G889" s="126" t="n">
        <v>46421</v>
      </c>
      <c r="H889" s="126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IF(E889="","",IF(ISNUMBER(SEARCH("SUBSOLO",E889)),IFERROR(-VALUE(LEFT(E889,FIND("º",SUBSTITUTE(E889,"°","º"))-1)),-1),IF(LEFT(E889,6)="TÉRREO",0,IFERROR(VALUE(LEFT(E889,FIND("º",SUBSTITUTE(E889,"°","º"))-1)),""))))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26" t="n">
        <v>46408</v>
      </c>
      <c r="G890" s="126" t="n">
        <v>46420</v>
      </c>
      <c r="H890" s="126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IF(E890="","",IF(ISNUMBER(SEARCH("SUBSOLO",E890)),IFERROR(-VALUE(LEFT(E890,FIND("º",SUBSTITUTE(E890,"°","º"))-1)),-1),IF(LEFT(E890,6)="TÉRREO",0,IFERROR(VALUE(LEFT(E890,FIND("º",SUBSTITUTE(E890,"°","º"))-1)),""))))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26" t="n">
        <v>46408</v>
      </c>
      <c r="G891" s="126" t="n">
        <v>46420</v>
      </c>
      <c r="H891" s="126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IF(E891="","",IF(ISNUMBER(SEARCH("SUBSOLO",E891)),IFERROR(-VALUE(LEFT(E891,FIND("º",SUBSTITUTE(E891,"°","º"))-1)),-1),IF(LEFT(E891,6)="TÉRREO",0,IFERROR(VALUE(LEFT(E891,FIND("º",SUBSTITUTE(E891,"°","º"))-1)),""))))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26" t="n">
        <v>46409</v>
      </c>
      <c r="G892" s="126" t="n">
        <v>46421</v>
      </c>
      <c r="H892" s="126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IF(E892="","",IF(ISNUMBER(SEARCH("SUBSOLO",E892)),IFERROR(-VALUE(LEFT(E892,FIND("º",SUBSTITUTE(E892,"°","º"))-1)),-1),IF(LEFT(E892,6)="TÉRREO",0,IFERROR(VALUE(LEFT(E892,FIND("º",SUBSTITUTE(E892,"°","º"))-1)),""))))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26" t="n">
        <v>46409</v>
      </c>
      <c r="G893" s="126" t="n">
        <v>46421</v>
      </c>
      <c r="H893" s="126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IF(E893="","",IF(ISNUMBER(SEARCH("SUBSOLO",E893)),IFERROR(-VALUE(LEFT(E893,FIND("º",SUBSTITUTE(E893,"°","º"))-1)),-1),IF(LEFT(E893,6)="TÉRREO",0,IFERROR(VALUE(LEFT(E893,FIND("º",SUBSTITUTE(E893,"°","º"))-1)),""))))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26" t="n">
        <v>46409</v>
      </c>
      <c r="G894" s="126" t="n">
        <v>46421</v>
      </c>
      <c r="H894" s="126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IF(E894="","",IF(ISNUMBER(SEARCH("SUBSOLO",E894)),IFERROR(-VALUE(LEFT(E894,FIND("º",SUBSTITUTE(E894,"°","º"))-1)),-1),IF(LEFT(E894,6)="TÉRREO",0,IFERROR(VALUE(LEFT(E894,FIND("º",SUBSTITUTE(E894,"°","º"))-1)),""))))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26" t="n">
        <v>46412</v>
      </c>
      <c r="G895" s="126" t="n">
        <v>46430</v>
      </c>
      <c r="H895" s="126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IF(E895="","",IF(ISNUMBER(SEARCH("SUBSOLO",E895)),IFERROR(-VALUE(LEFT(E895,FIND("º",SUBSTITUTE(E895,"°","º"))-1)),-1),IF(LEFT(E895,6)="TÉRREO",0,IFERROR(VALUE(LEFT(E895,FIND("º",SUBSTITUTE(E895,"°","º"))-1)),""))))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26" t="n">
        <v>46413</v>
      </c>
      <c r="G896" s="126" t="n">
        <v>46423</v>
      </c>
      <c r="H896" s="126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IF(E896="","",IF(ISNUMBER(SEARCH("SUBSOLO",E896)),IFERROR(-VALUE(LEFT(E896,FIND("º",SUBSTITUTE(E896,"°","º"))-1)),-1),IF(LEFT(E896,6)="TÉRREO",0,IFERROR(VALUE(LEFT(E896,FIND("º",SUBSTITUTE(E896,"°","º"))-1)),""))))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26" t="n">
        <v>46413</v>
      </c>
      <c r="G897" s="126" t="n">
        <v>46423</v>
      </c>
      <c r="H897" s="126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IF(E897="","",IF(ISNUMBER(SEARCH("SUBSOLO",E897)),IFERROR(-VALUE(LEFT(E897,FIND("º",SUBSTITUTE(E897,"°","º"))-1)),-1),IF(LEFT(E897,6)="TÉRREO",0,IFERROR(VALUE(LEFT(E897,FIND("º",SUBSTITUTE(E897,"°","º"))-1)),""))))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26" t="n">
        <v>46413</v>
      </c>
      <c r="G898" s="126" t="n">
        <v>46413</v>
      </c>
      <c r="H898" s="126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IF(E898="","",IF(ISNUMBER(SEARCH("SUBSOLO",E898)),IFERROR(-VALUE(LEFT(E898,FIND("º",SUBSTITUTE(E898,"°","º"))-1)),-1),IF(LEFT(E898,6)="TÉRREO",0,IFERROR(VALUE(LEFT(E898,FIND("º",SUBSTITUTE(E898,"°","º"))-1)),""))))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26" t="n">
        <v>46413</v>
      </c>
      <c r="G899" s="126" t="n">
        <v>46423</v>
      </c>
      <c r="H899" s="126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IF(E899="","",IF(ISNUMBER(SEARCH("SUBSOLO",E899)),IFERROR(-VALUE(LEFT(E899,FIND("º",SUBSTITUTE(E899,"°","º"))-1)),-1),IF(LEFT(E899,6)="TÉRREO",0,IFERROR(VALUE(LEFT(E899,FIND("º",SUBSTITUTE(E899,"°","º"))-1)),""))))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26" t="n">
        <v>46414</v>
      </c>
      <c r="G900" s="126" t="n">
        <v>46426</v>
      </c>
      <c r="H900" s="126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IF(E900="","",IF(ISNUMBER(SEARCH("SUBSOLO",E900)),IFERROR(-VALUE(LEFT(E900,FIND("º",SUBSTITUTE(E900,"°","º"))-1)),-1),IF(LEFT(E900,6)="TÉRREO",0,IFERROR(VALUE(LEFT(E900,FIND("º",SUBSTITUTE(E900,"°","º"))-1)),""))))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26" t="n">
        <v>46416</v>
      </c>
      <c r="G901" s="126" t="n">
        <v>46430</v>
      </c>
      <c r="H901" s="126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IF(E901="","",IF(ISNUMBER(SEARCH("SUBSOLO",E901)),IFERROR(-VALUE(LEFT(E901,FIND("º",SUBSTITUTE(E901,"°","º"))-1)),-1),IF(LEFT(E901,6)="TÉRREO",0,IFERROR(VALUE(LEFT(E901,FIND("º",SUBSTITUTE(E901,"°","º"))-1)),""))))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26" t="n">
        <v>46421</v>
      </c>
      <c r="G902" s="126" t="n">
        <v>46433</v>
      </c>
      <c r="H902" s="126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IF(E902="","",IF(ISNUMBER(SEARCH("SUBSOLO",E902)),IFERROR(-VALUE(LEFT(E902,FIND("º",SUBSTITUTE(E902,"°","º"))-1)),-1),IF(LEFT(E902,6)="TÉRREO",0,IFERROR(VALUE(LEFT(E902,FIND("º",SUBSTITUTE(E902,"°","º"))-1)),""))))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26" t="n">
        <v>46421</v>
      </c>
      <c r="G903" s="126" t="n">
        <v>46434</v>
      </c>
      <c r="H903" s="126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IF(E903="","",IF(ISNUMBER(SEARCH("SUBSOLO",E903)),IFERROR(-VALUE(LEFT(E903,FIND("º",SUBSTITUTE(E903,"°","º"))-1)),-1),IF(LEFT(E903,6)="TÉRREO",0,IFERROR(VALUE(LEFT(E903,FIND("º",SUBSTITUTE(E903,"°","º"))-1)),""))))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26" t="n">
        <v>46421</v>
      </c>
      <c r="G904" s="126" t="n">
        <v>46433</v>
      </c>
      <c r="H904" s="126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IF(E904="","",IF(ISNUMBER(SEARCH("SUBSOLO",E904)),IFERROR(-VALUE(LEFT(E904,FIND("º",SUBSTITUTE(E904,"°","º"))-1)),-1),IF(LEFT(E904,6)="TÉRREO",0,IFERROR(VALUE(LEFT(E904,FIND("º",SUBSTITUTE(E904,"°","º"))-1)),""))))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26" t="n">
        <v>46421</v>
      </c>
      <c r="G905" s="126" t="n">
        <v>46433</v>
      </c>
      <c r="H905" s="126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IF(E905="","",IF(ISNUMBER(SEARCH("SUBSOLO",E905)),IFERROR(-VALUE(LEFT(E905,FIND("º",SUBSTITUTE(E905,"°","º"))-1)),-1),IF(LEFT(E905,6)="TÉRREO",0,IFERROR(VALUE(LEFT(E905,FIND("º",SUBSTITUTE(E905,"°","º"))-1)),""))))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26" t="n">
        <v>46421</v>
      </c>
      <c r="G906" s="126" t="n">
        <v>46433</v>
      </c>
      <c r="H906" s="126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IF(E906="","",IF(ISNUMBER(SEARCH("SUBSOLO",E906)),IFERROR(-VALUE(LEFT(E906,FIND("º",SUBSTITUTE(E906,"°","º"))-1)),-1),IF(LEFT(E906,6)="TÉRREO",0,IFERROR(VALUE(LEFT(E906,FIND("º",SUBSTITUTE(E906,"°","º"))-1)),""))))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26" t="n">
        <v>46421</v>
      </c>
      <c r="G907" s="126" t="n">
        <v>46433</v>
      </c>
      <c r="H907" s="126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IF(E907="","",IF(ISNUMBER(SEARCH("SUBSOLO",E907)),IFERROR(-VALUE(LEFT(E907,FIND("º",SUBSTITUTE(E907,"°","º"))-1)),-1),IF(LEFT(E907,6)="TÉRREO",0,IFERROR(VALUE(LEFT(E907,FIND("º",SUBSTITUTE(E907,"°","º"))-1)),""))))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26" t="n">
        <v>46421</v>
      </c>
      <c r="G908" s="126" t="n">
        <v>46428</v>
      </c>
      <c r="H908" s="126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IF(E908="","",IF(ISNUMBER(SEARCH("SUBSOLO",E908)),IFERROR(-VALUE(LEFT(E908,FIND("º",SUBSTITUTE(E908,"°","º"))-1)),-1),IF(LEFT(E908,6)="TÉRREO",0,IFERROR(VALUE(LEFT(E908,FIND("º",SUBSTITUTE(E908,"°","º"))-1)),""))))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26" t="n">
        <v>46421</v>
      </c>
      <c r="G909" s="126" t="n">
        <v>46435</v>
      </c>
      <c r="H909" s="126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IF(E909="","",IF(ISNUMBER(SEARCH("SUBSOLO",E909)),IFERROR(-VALUE(LEFT(E909,FIND("º",SUBSTITUTE(E909,"°","º"))-1)),-1),IF(LEFT(E909,6)="TÉRREO",0,IFERROR(VALUE(LEFT(E909,FIND("º",SUBSTITUTE(E909,"°","º"))-1)),""))))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26" t="n">
        <v>46421</v>
      </c>
      <c r="G910" s="126" t="n">
        <v>46422</v>
      </c>
      <c r="H910" s="126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IF(E910="","",IF(ISNUMBER(SEARCH("SUBSOLO",E910)),IFERROR(-VALUE(LEFT(E910,FIND("º",SUBSTITUTE(E910,"°","º"))-1)),-1),IF(LEFT(E910,6)="TÉRREO",0,IFERROR(VALUE(LEFT(E910,FIND("º",SUBSTITUTE(E910,"°","º"))-1)),""))))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26" t="n">
        <v>46421</v>
      </c>
      <c r="G911" s="126" t="n">
        <v>46422</v>
      </c>
      <c r="H911" s="126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IF(E911="","",IF(ISNUMBER(SEARCH("SUBSOLO",E911)),IFERROR(-VALUE(LEFT(E911,FIND("º",SUBSTITUTE(E911,"°","º"))-1)),-1),IF(LEFT(E911,6)="TÉRREO",0,IFERROR(VALUE(LEFT(E911,FIND("º",SUBSTITUTE(E911,"°","º"))-1)),""))))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26" t="n">
        <v>46422</v>
      </c>
      <c r="G912" s="126" t="n">
        <v>46423</v>
      </c>
      <c r="H912" s="126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IF(E912="","",IF(ISNUMBER(SEARCH("SUBSOLO",E912)),IFERROR(-VALUE(LEFT(E912,FIND("º",SUBSTITUTE(E912,"°","º"))-1)),-1),IF(LEFT(E912,6)="TÉRREO",0,IFERROR(VALUE(LEFT(E912,FIND("º",SUBSTITUTE(E912,"°","º"))-1)),""))))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26" t="n">
        <v>46426</v>
      </c>
      <c r="G913" s="126" t="n">
        <v>46426</v>
      </c>
      <c r="H913" s="126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IF(E913="","",IF(ISNUMBER(SEARCH("SUBSOLO",E913)),IFERROR(-VALUE(LEFT(E913,FIND("º",SUBSTITUTE(E913,"°","º"))-1)),-1),IF(LEFT(E913,6)="TÉRREO",0,IFERROR(VALUE(LEFT(E913,FIND("º",SUBSTITUTE(E913,"°","º"))-1)),""))))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26" t="n">
        <v>46427</v>
      </c>
      <c r="G914" s="126" t="n">
        <v>46430</v>
      </c>
      <c r="H914" s="126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IF(E914="","",IF(ISNUMBER(SEARCH("SUBSOLO",E914)),IFERROR(-VALUE(LEFT(E914,FIND("º",SUBSTITUTE(E914,"°","º"))-1)),-1),IF(LEFT(E914,6)="TÉRREO",0,IFERROR(VALUE(LEFT(E914,FIND("º",SUBSTITUTE(E914,"°","º"))-1)),""))))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26" t="n">
        <v>46428</v>
      </c>
      <c r="G915" s="126" t="n">
        <v>46433</v>
      </c>
      <c r="H915" s="126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IF(E915="","",IF(ISNUMBER(SEARCH("SUBSOLO",E915)),IFERROR(-VALUE(LEFT(E915,FIND("º",SUBSTITUTE(E915,"°","º"))-1)),-1),IF(LEFT(E915,6)="TÉRREO",0,IFERROR(VALUE(LEFT(E915,FIND("º",SUBSTITUTE(E915,"°","º"))-1)),""))))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26" t="n">
        <v>46430</v>
      </c>
      <c r="G916" s="126" t="n">
        <v>46430</v>
      </c>
      <c r="H916" s="126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IF(E916="","",IF(ISNUMBER(SEARCH("SUBSOLO",E916)),IFERROR(-VALUE(LEFT(E916,FIND("º",SUBSTITUTE(E916,"°","º"))-1)),-1),IF(LEFT(E916,6)="TÉRREO",0,IFERROR(VALUE(LEFT(E916,FIND("º",SUBSTITUTE(E916,"°","º"))-1)),""))))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26" t="n">
        <v>46430</v>
      </c>
      <c r="G917" s="126" t="n">
        <v>46430</v>
      </c>
      <c r="H917" s="126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IF(E917="","",IF(ISNUMBER(SEARCH("SUBSOLO",E917)),IFERROR(-VALUE(LEFT(E917,FIND("º",SUBSTITUTE(E917,"°","º"))-1)),-1),IF(LEFT(E917,6)="TÉRREO",0,IFERROR(VALUE(LEFT(E917,FIND("º",SUBSTITUTE(E917,"°","º"))-1)),""))))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26" t="n">
        <v>46433</v>
      </c>
      <c r="G918" s="126" t="n">
        <v>46435</v>
      </c>
      <c r="H918" s="126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IF(E918="","",IF(ISNUMBER(SEARCH("SUBSOLO",E918)),IFERROR(-VALUE(LEFT(E918,FIND("º",SUBSTITUTE(E918,"°","º"))-1)),-1),IF(LEFT(E918,6)="TÉRREO",0,IFERROR(VALUE(LEFT(E918,FIND("º",SUBSTITUTE(E918,"°","º"))-1)),""))))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26" t="n">
        <v>46422</v>
      </c>
      <c r="G919" s="126" t="n">
        <v>46442</v>
      </c>
      <c r="H919" s="126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IF(E919="","",IF(ISNUMBER(SEARCH("SUBSOLO",E919)),IFERROR(-VALUE(LEFT(E919,FIND("º",SUBSTITUTE(E919,"°","º"))-1)),-1),IF(LEFT(E919,6)="TÉRREO",0,IFERROR(VALUE(LEFT(E919,FIND("º",SUBSTITUTE(E919,"°","º"))-1)),""))))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26" t="n">
        <v>46422</v>
      </c>
      <c r="G920" s="126" t="n">
        <v>46428</v>
      </c>
      <c r="H920" s="126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IF(E920="","",IF(ISNUMBER(SEARCH("SUBSOLO",E920)),IFERROR(-VALUE(LEFT(E920,FIND("º",SUBSTITUTE(E920,"°","º"))-1)),-1),IF(LEFT(E920,6)="TÉRREO",0,IFERROR(VALUE(LEFT(E920,FIND("º",SUBSTITUTE(E920,"°","º"))-1)),""))))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26" t="n">
        <v>46422</v>
      </c>
      <c r="G921" s="126" t="n">
        <v>46434</v>
      </c>
      <c r="H921" s="126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IF(E921="","",IF(ISNUMBER(SEARCH("SUBSOLO",E921)),IFERROR(-VALUE(LEFT(E921,FIND("º",SUBSTITUTE(E921,"°","º"))-1)),-1),IF(LEFT(E921,6)="TÉRREO",0,IFERROR(VALUE(LEFT(E921,FIND("º",SUBSTITUTE(E921,"°","º"))-1)),""))))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26" t="n">
        <v>46426</v>
      </c>
      <c r="G922" s="126" t="n">
        <v>46436</v>
      </c>
      <c r="H922" s="126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IF(E922="","",IF(ISNUMBER(SEARCH("SUBSOLO",E922)),IFERROR(-VALUE(LEFT(E922,FIND("º",SUBSTITUTE(E922,"°","º"))-1)),-1),IF(LEFT(E922,6)="TÉRREO",0,IFERROR(VALUE(LEFT(E922,FIND("º",SUBSTITUTE(E922,"°","º"))-1)),""))))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26" t="n">
        <v>46426</v>
      </c>
      <c r="G923" s="126" t="n">
        <v>46436</v>
      </c>
      <c r="H923" s="126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IF(E923="","",IF(ISNUMBER(SEARCH("SUBSOLO",E923)),IFERROR(-VALUE(LEFT(E923,FIND("º",SUBSTITUTE(E923,"°","º"))-1)),-1),IF(LEFT(E923,6)="TÉRREO",0,IFERROR(VALUE(LEFT(E923,FIND("º",SUBSTITUTE(E923,"°","º"))-1)),""))))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26" t="n">
        <v>46426</v>
      </c>
      <c r="G924" s="126" t="n">
        <v>46426</v>
      </c>
      <c r="H924" s="126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IF(E924="","",IF(ISNUMBER(SEARCH("SUBSOLO",E924)),IFERROR(-VALUE(LEFT(E924,FIND("º",SUBSTITUTE(E924,"°","º"))-1)),-1),IF(LEFT(E924,6)="TÉRREO",0,IFERROR(VALUE(LEFT(E924,FIND("º",SUBSTITUTE(E924,"°","º"))-1)),""))))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26" t="n">
        <v>46427</v>
      </c>
      <c r="G925" s="126" t="n">
        <v>46440</v>
      </c>
      <c r="H925" s="126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IF(E925="","",IF(ISNUMBER(SEARCH("SUBSOLO",E925)),IFERROR(-VALUE(LEFT(E925,FIND("º",SUBSTITUTE(E925,"°","º"))-1)),-1),IF(LEFT(E925,6)="TÉRREO",0,IFERROR(VALUE(LEFT(E925,FIND("º",SUBSTITUTE(E925,"°","º"))-1)),""))))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26" t="n">
        <v>46427</v>
      </c>
      <c r="G926" s="126" t="n">
        <v>46437</v>
      </c>
      <c r="H926" s="126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IF(E926="","",IF(ISNUMBER(SEARCH("SUBSOLO",E926)),IFERROR(-VALUE(LEFT(E926,FIND("º",SUBSTITUTE(E926,"°","º"))-1)),-1),IF(LEFT(E926,6)="TÉRREO",0,IFERROR(VALUE(LEFT(E926,FIND("º",SUBSTITUTE(E926,"°","º"))-1)),""))))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26" t="n">
        <v>46427</v>
      </c>
      <c r="G927" s="126" t="n">
        <v>46437</v>
      </c>
      <c r="H927" s="126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IF(E927="","",IF(ISNUMBER(SEARCH("SUBSOLO",E927)),IFERROR(-VALUE(LEFT(E927,FIND("º",SUBSTITUTE(E927,"°","º"))-1)),-1),IF(LEFT(E927,6)="TÉRREO",0,IFERROR(VALUE(LEFT(E927,FIND("º",SUBSTITUTE(E927,"°","º"))-1)),""))))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26" t="n">
        <v>46427</v>
      </c>
      <c r="G928" s="126" t="n">
        <v>46437</v>
      </c>
      <c r="H928" s="126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IF(E928="","",IF(ISNUMBER(SEARCH("SUBSOLO",E928)),IFERROR(-VALUE(LEFT(E928,FIND("º",SUBSTITUTE(E928,"°","º"))-1)),-1),IF(LEFT(E928,6)="TÉRREO",0,IFERROR(VALUE(LEFT(E928,FIND("º",SUBSTITUTE(E928,"°","º"))-1)),""))))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26" t="n">
        <v>46427</v>
      </c>
      <c r="G929" s="126" t="n">
        <v>46437</v>
      </c>
      <c r="H929" s="126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IF(E929="","",IF(ISNUMBER(SEARCH("SUBSOLO",E929)),IFERROR(-VALUE(LEFT(E929,FIND("º",SUBSTITUTE(E929,"°","º"))-1)),-1),IF(LEFT(E929,6)="TÉRREO",0,IFERROR(VALUE(LEFT(E929,FIND("º",SUBSTITUTE(E929,"°","º"))-1)),""))))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26" t="n">
        <v>46428</v>
      </c>
      <c r="G930" s="126" t="n">
        <v>46584</v>
      </c>
      <c r="H930" s="126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IF(E930="","",IF(ISNUMBER(SEARCH("SUBSOLO",E930)),IFERROR(-VALUE(LEFT(E930,FIND("º",SUBSTITUTE(E930,"°","º"))-1)),-1),IF(LEFT(E930,6)="TÉRREO",0,IFERROR(VALUE(LEFT(E930,FIND("º",SUBSTITUTE(E930,"°","º"))-1)),""))))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26" t="n">
        <v>46428</v>
      </c>
      <c r="G931" s="126" t="n">
        <v>46462</v>
      </c>
      <c r="H931" s="126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IF(E931="","",IF(ISNUMBER(SEARCH("SUBSOLO",E931)),IFERROR(-VALUE(LEFT(E931,FIND("º",SUBSTITUTE(E931,"°","º"))-1)),-1),IF(LEFT(E931,6)="TÉRREO",0,IFERROR(VALUE(LEFT(E931,FIND("º",SUBSTITUTE(E931,"°","º"))-1)),""))))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26" t="n">
        <v>46463</v>
      </c>
      <c r="G932" s="126" t="n">
        <v>46491</v>
      </c>
      <c r="H932" s="126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IF(E932="","",IF(ISNUMBER(SEARCH("SUBSOLO",E932)),IFERROR(-VALUE(LEFT(E932,FIND("º",SUBSTITUTE(E932,"°","º"))-1)),-1),IF(LEFT(E932,6)="TÉRREO",0,IFERROR(VALUE(LEFT(E932,FIND("º",SUBSTITUTE(E932,"°","º"))-1)),""))))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26" t="n">
        <v>46492</v>
      </c>
      <c r="G933" s="126" t="n">
        <v>46520</v>
      </c>
      <c r="H933" s="126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IF(E933="","",IF(ISNUMBER(SEARCH("SUBSOLO",E933)),IFERROR(-VALUE(LEFT(E933,FIND("º",SUBSTITUTE(E933,"°","º"))-1)),-1),IF(LEFT(E933,6)="TÉRREO",0,IFERROR(VALUE(LEFT(E933,FIND("º",SUBSTITUTE(E933,"°","º"))-1)),""))))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26" t="n">
        <v>46521</v>
      </c>
      <c r="G934" s="126" t="n">
        <v>46556</v>
      </c>
      <c r="H934" s="126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IF(E934="","",IF(ISNUMBER(SEARCH("SUBSOLO",E934)),IFERROR(-VALUE(LEFT(E934,FIND("º",SUBSTITUTE(E934,"°","º"))-1)),-1),IF(LEFT(E934,6)="TÉRREO",0,IFERROR(VALUE(LEFT(E934,FIND("º",SUBSTITUTE(E934,"°","º"))-1)),""))))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26" t="n">
        <v>46559</v>
      </c>
      <c r="G935" s="126" t="n">
        <v>46584</v>
      </c>
      <c r="H935" s="126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IF(E935="","",IF(ISNUMBER(SEARCH("SUBSOLO",E935)),IFERROR(-VALUE(LEFT(E935,FIND("º",SUBSTITUTE(E935,"°","º"))-1)),-1),IF(LEFT(E935,6)="TÉRREO",0,IFERROR(VALUE(LEFT(E935,FIND("º",SUBSTITUTE(E935,"°","º"))-1)),""))))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26" t="n">
        <v>46429</v>
      </c>
      <c r="G936" s="126" t="n">
        <v>46449</v>
      </c>
      <c r="H936" s="126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IF(E936="","",IF(ISNUMBER(SEARCH("SUBSOLO",E936)),IFERROR(-VALUE(LEFT(E936,FIND("º",SUBSTITUTE(E936,"°","º"))-1)),-1),IF(LEFT(E936,6)="TÉRREO",0,IFERROR(VALUE(LEFT(E936,FIND("º",SUBSTITUTE(E936,"°","º"))-1)),""))))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26" t="n">
        <v>46430</v>
      </c>
      <c r="G937" s="126" t="n">
        <v>46461</v>
      </c>
      <c r="H937" s="126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IF(E937="","",IF(ISNUMBER(SEARCH("SUBSOLO",E937)),IFERROR(-VALUE(LEFT(E937,FIND("º",SUBSTITUTE(E937,"°","º"))-1)),-1),IF(LEFT(E937,6)="TÉRREO",0,IFERROR(VALUE(LEFT(E937,FIND("º",SUBSTITUTE(E937,"°","º"))-1)),""))))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26" t="n">
        <v>46430</v>
      </c>
      <c r="G938" s="126" t="n">
        <v>46443</v>
      </c>
      <c r="H938" s="126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IF(E938="","",IF(ISNUMBER(SEARCH("SUBSOLO",E938)),IFERROR(-VALUE(LEFT(E938,FIND("º",SUBSTITUTE(E938,"°","º"))-1)),-1),IF(LEFT(E938,6)="TÉRREO",0,IFERROR(VALUE(LEFT(E938,FIND("º",SUBSTITUTE(E938,"°","º"))-1)),""))))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26" t="n">
        <v>46433</v>
      </c>
      <c r="G939" s="126" t="n">
        <v>46689</v>
      </c>
      <c r="H939" s="126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IF(E939="","",IF(ISNUMBER(SEARCH("SUBSOLO",E939)),IFERROR(-VALUE(LEFT(E939,FIND("º",SUBSTITUTE(E939,"°","º"))-1)),-1),IF(LEFT(E939,6)="TÉRREO",0,IFERROR(VALUE(LEFT(E939,FIND("º",SUBSTITUTE(E939,"°","º"))-1)),""))))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26" t="n">
        <v>46433</v>
      </c>
      <c r="G940" s="126" t="n">
        <v>46451</v>
      </c>
      <c r="H940" s="126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IF(E940="","",IF(ISNUMBER(SEARCH("SUBSOLO",E940)),IFERROR(-VALUE(LEFT(E940,FIND("º",SUBSTITUTE(E940,"°","º"))-1)),-1),IF(LEFT(E940,6)="TÉRREO",0,IFERROR(VALUE(LEFT(E940,FIND("º",SUBSTITUTE(E940,"°","º"))-1)),""))))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26" t="n">
        <v>46434</v>
      </c>
      <c r="G941" s="126" t="n">
        <v>46444</v>
      </c>
      <c r="H941" s="126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IF(E941="","",IF(ISNUMBER(SEARCH("SUBSOLO",E941)),IFERROR(-VALUE(LEFT(E941,FIND("º",SUBSTITUTE(E941,"°","º"))-1)),-1),IF(LEFT(E941,6)="TÉRREO",0,IFERROR(VALUE(LEFT(E941,FIND("º",SUBSTITUTE(E941,"°","º"))-1)),""))))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26" t="n">
        <v>46434</v>
      </c>
      <c r="G942" s="126" t="n">
        <v>46444</v>
      </c>
      <c r="H942" s="126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IF(E942="","",IF(ISNUMBER(SEARCH("SUBSOLO",E942)),IFERROR(-VALUE(LEFT(E942,FIND("º",SUBSTITUTE(E942,"°","º"))-1)),-1),IF(LEFT(E942,6)="TÉRREO",0,IFERROR(VALUE(LEFT(E942,FIND("º",SUBSTITUTE(E942,"°","º"))-1)),""))))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26" t="n">
        <v>46434</v>
      </c>
      <c r="G943" s="126" t="n">
        <v>46444</v>
      </c>
      <c r="H943" s="126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IF(E943="","",IF(ISNUMBER(SEARCH("SUBSOLO",E943)),IFERROR(-VALUE(LEFT(E943,FIND("º",SUBSTITUTE(E943,"°","º"))-1)),-1),IF(LEFT(E943,6)="TÉRREO",0,IFERROR(VALUE(LEFT(E943,FIND("º",SUBSTITUTE(E943,"°","º"))-1)),""))))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26" t="n">
        <v>46434</v>
      </c>
      <c r="G944" s="126" t="n">
        <v>46444</v>
      </c>
      <c r="H944" s="126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IF(E944="","",IF(ISNUMBER(SEARCH("SUBSOLO",E944)),IFERROR(-VALUE(LEFT(E944,FIND("º",SUBSTITUTE(E944,"°","º"))-1)),-1),IF(LEFT(E944,6)="TÉRREO",0,IFERROR(VALUE(LEFT(E944,FIND("º",SUBSTITUTE(E944,"°","º"))-1)),""))))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26" t="n">
        <v>46434</v>
      </c>
      <c r="G945" s="126" t="n">
        <v>46444</v>
      </c>
      <c r="H945" s="126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IF(E945="","",IF(ISNUMBER(SEARCH("SUBSOLO",E945)),IFERROR(-VALUE(LEFT(E945,FIND("º",SUBSTITUTE(E945,"°","º"))-1)),-1),IF(LEFT(E945,6)="TÉRREO",0,IFERROR(VALUE(LEFT(E945,FIND("º",SUBSTITUTE(E945,"°","º"))-1)),""))))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26" t="n">
        <v>46435</v>
      </c>
      <c r="G946" s="126" t="n">
        <v>46448</v>
      </c>
      <c r="H946" s="126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IF(E946="","",IF(ISNUMBER(SEARCH("SUBSOLO",E946)),IFERROR(-VALUE(LEFT(E946,FIND("º",SUBSTITUTE(E946,"°","º"))-1)),-1),IF(LEFT(E946,6)="TÉRREO",0,IFERROR(VALUE(LEFT(E946,FIND("º",SUBSTITUTE(E946,"°","º"))-1)),""))))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26" t="n">
        <v>46435</v>
      </c>
      <c r="G947" s="126" t="n">
        <v>46447</v>
      </c>
      <c r="H947" s="126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IF(E947="","",IF(ISNUMBER(SEARCH("SUBSOLO",E947)),IFERROR(-VALUE(LEFT(E947,FIND("º",SUBSTITUTE(E947,"°","º"))-1)),-1),IF(LEFT(E947,6)="TÉRREO",0,IFERROR(VALUE(LEFT(E947,FIND("º",SUBSTITUTE(E947,"°","º"))-1)),""))))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26" t="n">
        <v>46436</v>
      </c>
      <c r="G948" s="126" t="n">
        <v>46450</v>
      </c>
      <c r="H948" s="126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IF(E948="","",IF(ISNUMBER(SEARCH("SUBSOLO",E948)),IFERROR(-VALUE(LEFT(E948,FIND("º",SUBSTITUTE(E948,"°","º"))-1)),-1),IF(LEFT(E948,6)="TÉRREO",0,IFERROR(VALUE(LEFT(E948,FIND("º",SUBSTITUTE(E948,"°","º"))-1)),""))))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26" t="n">
        <v>46436</v>
      </c>
      <c r="G949" s="126" t="n">
        <v>46437</v>
      </c>
      <c r="H949" s="126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IF(E949="","",IF(ISNUMBER(SEARCH("SUBSOLO",E949)),IFERROR(-VALUE(LEFT(E949,FIND("º",SUBSTITUTE(E949,"°","º"))-1)),-1),IF(LEFT(E949,6)="TÉRREO",0,IFERROR(VALUE(LEFT(E949,FIND("º",SUBSTITUTE(E949,"°","º"))-1)),""))))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26" t="n">
        <v>46436</v>
      </c>
      <c r="G950" s="126" t="n">
        <v>46437</v>
      </c>
      <c r="H950" s="126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IF(E950="","",IF(ISNUMBER(SEARCH("SUBSOLO",E950)),IFERROR(-VALUE(LEFT(E950,FIND("º",SUBSTITUTE(E950,"°","º"))-1)),-1),IF(LEFT(E950,6)="TÉRREO",0,IFERROR(VALUE(LEFT(E950,FIND("º",SUBSTITUTE(E950,"°","º"))-1)),""))))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26" t="n">
        <v>46437</v>
      </c>
      <c r="G951" s="126" t="n">
        <v>46440</v>
      </c>
      <c r="H951" s="126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IF(E951="","",IF(ISNUMBER(SEARCH("SUBSOLO",E951)),IFERROR(-VALUE(LEFT(E951,FIND("º",SUBSTITUTE(E951,"°","º"))-1)),-1),IF(LEFT(E951,6)="TÉRREO",0,IFERROR(VALUE(LEFT(E951,FIND("º",SUBSTITUTE(E951,"°","º"))-1)),""))))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26" t="n">
        <v>46441</v>
      </c>
      <c r="G952" s="126" t="n">
        <v>46441</v>
      </c>
      <c r="H952" s="126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IF(E952="","",IF(ISNUMBER(SEARCH("SUBSOLO",E952)),IFERROR(-VALUE(LEFT(E952,FIND("º",SUBSTITUTE(E952,"°","º"))-1)),-1),IF(LEFT(E952,6)="TÉRREO",0,IFERROR(VALUE(LEFT(E952,FIND("º",SUBSTITUTE(E952,"°","º"))-1)),""))))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26" t="n">
        <v>46442</v>
      </c>
      <c r="G953" s="126" t="n">
        <v>46447</v>
      </c>
      <c r="H953" s="126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IF(E953="","",IF(ISNUMBER(SEARCH("SUBSOLO",E953)),IFERROR(-VALUE(LEFT(E953,FIND("º",SUBSTITUTE(E953,"°","º"))-1)),-1),IF(LEFT(E953,6)="TÉRREO",0,IFERROR(VALUE(LEFT(E953,FIND("º",SUBSTITUTE(E953,"°","º"))-1)),""))))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26" t="n">
        <v>46443</v>
      </c>
      <c r="G954" s="126" t="n">
        <v>46448</v>
      </c>
      <c r="H954" s="126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IF(E954="","",IF(ISNUMBER(SEARCH("SUBSOLO",E954)),IFERROR(-VALUE(LEFT(E954,FIND("º",SUBSTITUTE(E954,"°","º"))-1)),-1),IF(LEFT(E954,6)="TÉRREO",0,IFERROR(VALUE(LEFT(E954,FIND("º",SUBSTITUTE(E954,"°","º"))-1)),""))))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26" t="n">
        <v>46447</v>
      </c>
      <c r="G955" s="126" t="n">
        <v>46447</v>
      </c>
      <c r="H955" s="126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IF(E955="","",IF(ISNUMBER(SEARCH("SUBSOLO",E955)),IFERROR(-VALUE(LEFT(E955,FIND("º",SUBSTITUTE(E955,"°","º"))-1)),-1),IF(LEFT(E955,6)="TÉRREO",0,IFERROR(VALUE(LEFT(E955,FIND("º",SUBSTITUTE(E955,"°","º"))-1)),""))))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26" t="n">
        <v>46447</v>
      </c>
      <c r="G956" s="126" t="n">
        <v>46447</v>
      </c>
      <c r="H956" s="126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IF(E956="","",IF(ISNUMBER(SEARCH("SUBSOLO",E956)),IFERROR(-VALUE(LEFT(E956,FIND("º",SUBSTITUTE(E956,"°","º"))-1)),-1),IF(LEFT(E956,6)="TÉRREO",0,IFERROR(VALUE(LEFT(E956,FIND("º",SUBSTITUTE(E956,"°","º"))-1)),""))))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26" t="n">
        <v>46448</v>
      </c>
      <c r="G957" s="126" t="n">
        <v>46450</v>
      </c>
      <c r="H957" s="126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IF(E957="","",IF(ISNUMBER(SEARCH("SUBSOLO",E957)),IFERROR(-VALUE(LEFT(E957,FIND("º",SUBSTITUTE(E957,"°","º"))-1)),-1),IF(LEFT(E957,6)="TÉRREO",0,IFERROR(VALUE(LEFT(E957,FIND("º",SUBSTITUTE(E957,"°","º"))-1)),""))))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26" t="n">
        <v>46437</v>
      </c>
      <c r="G958" s="126" t="n">
        <v>46449</v>
      </c>
      <c r="H958" s="126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IF(E958="","",IF(ISNUMBER(SEARCH("SUBSOLO",E958)),IFERROR(-VALUE(LEFT(E958,FIND("º",SUBSTITUTE(E958,"°","º"))-1)),-1),IF(LEFT(E958,6)="TÉRREO",0,IFERROR(VALUE(LEFT(E958,FIND("º",SUBSTITUTE(E958,"°","º"))-1)),""))))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26" t="n">
        <v>46437</v>
      </c>
      <c r="G959" s="126" t="n">
        <v>46449</v>
      </c>
      <c r="H959" s="126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IF(E959="","",IF(ISNUMBER(SEARCH("SUBSOLO",E959)),IFERROR(-VALUE(LEFT(E959,FIND("º",SUBSTITUTE(E959,"°","º"))-1)),-1),IF(LEFT(E959,6)="TÉRREO",0,IFERROR(VALUE(LEFT(E959,FIND("º",SUBSTITUTE(E959,"°","º"))-1)),""))))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26" t="n">
        <v>46437</v>
      </c>
      <c r="G960" s="126" t="n">
        <v>46449</v>
      </c>
      <c r="H960" s="126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IF(E960="","",IF(ISNUMBER(SEARCH("SUBSOLO",E960)),IFERROR(-VALUE(LEFT(E960,FIND("º",SUBSTITUTE(E960,"°","º"))-1)),-1),IF(LEFT(E960,6)="TÉRREO",0,IFERROR(VALUE(LEFT(E960,FIND("º",SUBSTITUTE(E960,"°","º"))-1)),""))))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26" t="n">
        <v>46440</v>
      </c>
      <c r="G961" s="126" t="n">
        <v>46458</v>
      </c>
      <c r="H961" s="126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IF(E961="","",IF(ISNUMBER(SEARCH("SUBSOLO",E961)),IFERROR(-VALUE(LEFT(E961,FIND("º",SUBSTITUTE(E961,"°","º"))-1)),-1),IF(LEFT(E961,6)="TÉRREO",0,IFERROR(VALUE(LEFT(E961,FIND("º",SUBSTITUTE(E961,"°","º"))-1)),""))))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26" t="n">
        <v>46440</v>
      </c>
      <c r="G962" s="126" t="n">
        <v>46451</v>
      </c>
      <c r="H962" s="126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IF(E962="","",IF(ISNUMBER(SEARCH("SUBSOLO",E962)),IFERROR(-VALUE(LEFT(E962,FIND("º",SUBSTITUTE(E962,"°","º"))-1)),-1),IF(LEFT(E962,6)="TÉRREO",0,IFERROR(VALUE(LEFT(E962,FIND("º",SUBSTITUTE(E962,"°","º"))-1)),""))))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26" t="n">
        <v>46440</v>
      </c>
      <c r="G963" s="126" t="n">
        <v>46450</v>
      </c>
      <c r="H963" s="126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IF(E963="","",IF(ISNUMBER(SEARCH("SUBSOLO",E963)),IFERROR(-VALUE(LEFT(E963,FIND("º",SUBSTITUTE(E963,"°","º"))-1)),-1),IF(LEFT(E963,6)="TÉRREO",0,IFERROR(VALUE(LEFT(E963,FIND("º",SUBSTITUTE(E963,"°","º"))-1)),""))))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26" t="n">
        <v>46440</v>
      </c>
      <c r="G964" s="126" t="n">
        <v>46450</v>
      </c>
      <c r="H964" s="126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IF(E964="","",IF(ISNUMBER(SEARCH("SUBSOLO",E964)),IFERROR(-VALUE(LEFT(E964,FIND("º",SUBSTITUTE(E964,"°","º"))-1)),-1),IF(LEFT(E964,6)="TÉRREO",0,IFERROR(VALUE(LEFT(E964,FIND("º",SUBSTITUTE(E964,"°","º"))-1)),""))))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26" t="n">
        <v>46440</v>
      </c>
      <c r="G965" s="126" t="n">
        <v>46450</v>
      </c>
      <c r="H965" s="126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IF(E965="","",IF(ISNUMBER(SEARCH("SUBSOLO",E965)),IFERROR(-VALUE(LEFT(E965,FIND("º",SUBSTITUTE(E965,"°","º"))-1)),-1),IF(LEFT(E965,6)="TÉRREO",0,IFERROR(VALUE(LEFT(E965,FIND("º",SUBSTITUTE(E965,"°","º"))-1)),""))))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26" t="n">
        <v>46441</v>
      </c>
      <c r="G966" s="126" t="n">
        <v>46454</v>
      </c>
      <c r="H966" s="126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IF(E966="","",IF(ISNUMBER(SEARCH("SUBSOLO",E966)),IFERROR(-VALUE(LEFT(E966,FIND("º",SUBSTITUTE(E966,"°","º"))-1)),-1),IF(LEFT(E966,6)="TÉRREO",0,IFERROR(VALUE(LEFT(E966,FIND("º",SUBSTITUTE(E966,"°","º"))-1)),""))))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26" t="n">
        <v>46441</v>
      </c>
      <c r="G967" s="126" t="n">
        <v>46451</v>
      </c>
      <c r="H967" s="126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IF(E967="","",IF(ISNUMBER(SEARCH("SUBSOLO",E967)),IFERROR(-VALUE(LEFT(E967,FIND("º",SUBSTITUTE(E967,"°","º"))-1)),-1),IF(LEFT(E967,6)="TÉRREO",0,IFERROR(VALUE(LEFT(E967,FIND("º",SUBSTITUTE(E967,"°","º"))-1)),""))))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26" t="n">
        <v>46442</v>
      </c>
      <c r="G968" s="126" t="n">
        <v>46454</v>
      </c>
      <c r="H968" s="126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IF(E968="","",IF(ISNUMBER(SEARCH("SUBSOLO",E968)),IFERROR(-VALUE(LEFT(E968,FIND("º",SUBSTITUTE(E968,"°","º"))-1)),-1),IF(LEFT(E968,6)="TÉRREO",0,IFERROR(VALUE(LEFT(E968,FIND("º",SUBSTITUTE(E968,"°","º"))-1)),""))))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26" t="n">
        <v>46443</v>
      </c>
      <c r="G969" s="126" t="n">
        <v>46475</v>
      </c>
      <c r="H969" s="126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IF(E969="","",IF(ISNUMBER(SEARCH("SUBSOLO",E969)),IFERROR(-VALUE(LEFT(E969,FIND("º",SUBSTITUTE(E969,"°","º"))-1)),-1),IF(LEFT(E969,6)="TÉRREO",0,IFERROR(VALUE(LEFT(E969,FIND("º",SUBSTITUTE(E969,"°","º"))-1)),""))))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26" t="n">
        <v>46443</v>
      </c>
      <c r="G970" s="126" t="n">
        <v>46455</v>
      </c>
      <c r="H970" s="126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IF(E970="","",IF(ISNUMBER(SEARCH("SUBSOLO",E970)),IFERROR(-VALUE(LEFT(E970,FIND("º",SUBSTITUTE(E970,"°","º"))-1)),-1),IF(LEFT(E970,6)="TÉRREO",0,IFERROR(VALUE(LEFT(E970,FIND("º",SUBSTITUTE(E970,"°","º"))-1)),""))))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26" t="n">
        <v>46447</v>
      </c>
      <c r="G971" s="126" t="n">
        <v>46457</v>
      </c>
      <c r="H971" s="126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IF(E971="","",IF(ISNUMBER(SEARCH("SUBSOLO",E971)),IFERROR(-VALUE(LEFT(E971,FIND("º",SUBSTITUTE(E971,"°","º"))-1)),-1),IF(LEFT(E971,6)="TÉRREO",0,IFERROR(VALUE(LEFT(E971,FIND("º",SUBSTITUTE(E971,"°","º"))-1)),""))))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26" t="n">
        <v>46447</v>
      </c>
      <c r="G972" s="126" t="n">
        <v>46457</v>
      </c>
      <c r="H972" s="126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IF(E972="","",IF(ISNUMBER(SEARCH("SUBSOLO",E972)),IFERROR(-VALUE(LEFT(E972,FIND("º",SUBSTITUTE(E972,"°","º"))-1)),-1),IF(LEFT(E972,6)="TÉRREO",0,IFERROR(VALUE(LEFT(E972,FIND("º",SUBSTITUTE(E972,"°","º"))-1)),""))))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26" t="n">
        <v>46447</v>
      </c>
      <c r="G973" s="126" t="n">
        <v>46447</v>
      </c>
      <c r="H973" s="126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IF(E973="","",IF(ISNUMBER(SEARCH("SUBSOLO",E973)),IFERROR(-VALUE(LEFT(E973,FIND("º",SUBSTITUTE(E973,"°","º"))-1)),-1),IF(LEFT(E973,6)="TÉRREO",0,IFERROR(VALUE(LEFT(E973,FIND("º",SUBSTITUTE(E973,"°","º"))-1)),""))))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26" t="n">
        <v>46447</v>
      </c>
      <c r="G974" s="126" t="n">
        <v>46465</v>
      </c>
      <c r="H974" s="126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IF(E974="","",IF(ISNUMBER(SEARCH("SUBSOLO",E974)),IFERROR(-VALUE(LEFT(E974,FIND("º",SUBSTITUTE(E974,"°","º"))-1)),-1),IF(LEFT(E974,6)="TÉRREO",0,IFERROR(VALUE(LEFT(E974,FIND("º",SUBSTITUTE(E974,"°","º"))-1)),""))))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26" t="n">
        <v>46447</v>
      </c>
      <c r="G975" s="126" t="n">
        <v>46451</v>
      </c>
      <c r="H975" s="126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IF(E975="","",IF(ISNUMBER(SEARCH("SUBSOLO",E975)),IFERROR(-VALUE(LEFT(E975,FIND("º",SUBSTITUTE(E975,"°","º"))-1)),-1),IF(LEFT(E975,6)="TÉRREO",0,IFERROR(VALUE(LEFT(E975,FIND("º",SUBSTITUTE(E975,"°","º"))-1)),""))))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26" t="n">
        <v>46448</v>
      </c>
      <c r="G976" s="126" t="n">
        <v>46458</v>
      </c>
      <c r="H976" s="126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IF(E976="","",IF(ISNUMBER(SEARCH("SUBSOLO",E976)),IFERROR(-VALUE(LEFT(E976,FIND("º",SUBSTITUTE(E976,"°","º"))-1)),-1),IF(LEFT(E976,6)="TÉRREO",0,IFERROR(VALUE(LEFT(E976,FIND("º",SUBSTITUTE(E976,"°","º"))-1)),""))))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26" t="n">
        <v>46449</v>
      </c>
      <c r="G977" s="126" t="n">
        <v>46462</v>
      </c>
      <c r="H977" s="126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IF(E977="","",IF(ISNUMBER(SEARCH("SUBSOLO",E977)),IFERROR(-VALUE(LEFT(E977,FIND("º",SUBSTITUTE(E977,"°","º"))-1)),-1),IF(LEFT(E977,6)="TÉRREO",0,IFERROR(VALUE(LEFT(E977,FIND("º",SUBSTITUTE(E977,"°","º"))-1)),""))))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26" t="n">
        <v>46450</v>
      </c>
      <c r="G978" s="126" t="n">
        <v>46462</v>
      </c>
      <c r="H978" s="126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IF(E978="","",IF(ISNUMBER(SEARCH("SUBSOLO",E978)),IFERROR(-VALUE(LEFT(E978,FIND("º",SUBSTITUTE(E978,"°","º"))-1)),-1),IF(LEFT(E978,6)="TÉRREO",0,IFERROR(VALUE(LEFT(E978,FIND("º",SUBSTITUTE(E978,"°","º"))-1)),""))))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26" t="n">
        <v>46450</v>
      </c>
      <c r="G979" s="126" t="n">
        <v>46462</v>
      </c>
      <c r="H979" s="126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IF(E979="","",IF(ISNUMBER(SEARCH("SUBSOLO",E979)),IFERROR(-VALUE(LEFT(E979,FIND("º",SUBSTITUTE(E979,"°","º"))-1)),-1),IF(LEFT(E979,6)="TÉRREO",0,IFERROR(VALUE(LEFT(E979,FIND("º",SUBSTITUTE(E979,"°","º"))-1)),""))))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26" t="n">
        <v>46450</v>
      </c>
      <c r="G980" s="126" t="n">
        <v>46456</v>
      </c>
      <c r="H980" s="126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IF(E980="","",IF(ISNUMBER(SEARCH("SUBSOLO",E980)),IFERROR(-VALUE(LEFT(E980,FIND("º",SUBSTITUTE(E980,"°","º"))-1)),-1),IF(LEFT(E980,6)="TÉRREO",0,IFERROR(VALUE(LEFT(E980,FIND("º",SUBSTITUTE(E980,"°","º"))-1)),""))))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26" t="n">
        <v>46451</v>
      </c>
      <c r="G981" s="126" t="n">
        <v>46463</v>
      </c>
      <c r="H981" s="126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IF(E981="","",IF(ISNUMBER(SEARCH("SUBSOLO",E981)),IFERROR(-VALUE(LEFT(E981,FIND("º",SUBSTITUTE(E981,"°","º"))-1)),-1),IF(LEFT(E981,6)="TÉRREO",0,IFERROR(VALUE(LEFT(E981,FIND("º",SUBSTITUTE(E981,"°","º"))-1)),""))))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26" t="n">
        <v>46451</v>
      </c>
      <c r="G982" s="126" t="n">
        <v>46463</v>
      </c>
      <c r="H982" s="126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IF(E982="","",IF(ISNUMBER(SEARCH("SUBSOLO",E982)),IFERROR(-VALUE(LEFT(E982,FIND("º",SUBSTITUTE(E982,"°","º"))-1)),-1),IF(LEFT(E982,6)="TÉRREO",0,IFERROR(VALUE(LEFT(E982,FIND("º",SUBSTITUTE(E982,"°","º"))-1)),""))))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26" t="n">
        <v>46451</v>
      </c>
      <c r="G983" s="126" t="n">
        <v>46463</v>
      </c>
      <c r="H983" s="126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IF(E983="","",IF(ISNUMBER(SEARCH("SUBSOLO",E983)),IFERROR(-VALUE(LEFT(E983,FIND("º",SUBSTITUTE(E983,"°","º"))-1)),-1),IF(LEFT(E983,6)="TÉRREO",0,IFERROR(VALUE(LEFT(E983,FIND("º",SUBSTITUTE(E983,"°","º"))-1)),""))))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26" t="n">
        <v>46451</v>
      </c>
      <c r="G984" s="126" t="n">
        <v>46465</v>
      </c>
      <c r="H984" s="126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IF(E984="","",IF(ISNUMBER(SEARCH("SUBSOLO",E984)),IFERROR(-VALUE(LEFT(E984,FIND("º",SUBSTITUTE(E984,"°","º"))-1)),-1),IF(LEFT(E984,6)="TÉRREO",0,IFERROR(VALUE(LEFT(E984,FIND("º",SUBSTITUTE(E984,"°","º"))-1)),""))))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26" t="n">
        <v>46451</v>
      </c>
      <c r="G985" s="126" t="n">
        <v>46454</v>
      </c>
      <c r="H985" s="126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IF(E985="","",IF(ISNUMBER(SEARCH("SUBSOLO",E985)),IFERROR(-VALUE(LEFT(E985,FIND("º",SUBSTITUTE(E985,"°","º"))-1)),-1),IF(LEFT(E985,6)="TÉRREO",0,IFERROR(VALUE(LEFT(E985,FIND("º",SUBSTITUTE(E985,"°","º"))-1)),""))))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26" t="n">
        <v>46451</v>
      </c>
      <c r="G986" s="126" t="n">
        <v>46454</v>
      </c>
      <c r="H986" s="126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IF(E986="","",IF(ISNUMBER(SEARCH("SUBSOLO",E986)),IFERROR(-VALUE(LEFT(E986,FIND("º",SUBSTITUTE(E986,"°","º"))-1)),-1),IF(LEFT(E986,6)="TÉRREO",0,IFERROR(VALUE(LEFT(E986,FIND("º",SUBSTITUTE(E986,"°","º"))-1)),""))))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26" t="n">
        <v>46454</v>
      </c>
      <c r="G987" s="126" t="n">
        <v>46455</v>
      </c>
      <c r="H987" s="126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IF(E987="","",IF(ISNUMBER(SEARCH("SUBSOLO",E987)),IFERROR(-VALUE(LEFT(E987,FIND("º",SUBSTITUTE(E987,"°","º"))-1)),-1),IF(LEFT(E987,6)="TÉRREO",0,IFERROR(VALUE(LEFT(E987,FIND("º",SUBSTITUTE(E987,"°","º"))-1)),""))))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26" t="n">
        <v>46456</v>
      </c>
      <c r="G988" s="126" t="n">
        <v>46456</v>
      </c>
      <c r="H988" s="126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IF(E988="","",IF(ISNUMBER(SEARCH("SUBSOLO",E988)),IFERROR(-VALUE(LEFT(E988,FIND("º",SUBSTITUTE(E988,"°","º"))-1)),-1),IF(LEFT(E988,6)="TÉRREO",0,IFERROR(VALUE(LEFT(E988,FIND("º",SUBSTITUTE(E988,"°","º"))-1)),""))))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26" t="n">
        <v>46457</v>
      </c>
      <c r="G989" s="126" t="n">
        <v>46462</v>
      </c>
      <c r="H989" s="126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IF(E989="","",IF(ISNUMBER(SEARCH("SUBSOLO",E989)),IFERROR(-VALUE(LEFT(E989,FIND("º",SUBSTITUTE(E989,"°","º"))-1)),-1),IF(LEFT(E989,6)="TÉRREO",0,IFERROR(VALUE(LEFT(E989,FIND("º",SUBSTITUTE(E989,"°","º"))-1)),""))))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26" t="n">
        <v>46458</v>
      </c>
      <c r="G990" s="126" t="n">
        <v>46463</v>
      </c>
      <c r="H990" s="126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IF(E990="","",IF(ISNUMBER(SEARCH("SUBSOLO",E990)),IFERROR(-VALUE(LEFT(E990,FIND("º",SUBSTITUTE(E990,"°","º"))-1)),-1),IF(LEFT(E990,6)="TÉRREO",0,IFERROR(VALUE(LEFT(E990,FIND("º",SUBSTITUTE(E990,"°","º"))-1)),""))))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26" t="n">
        <v>46462</v>
      </c>
      <c r="G991" s="126" t="n">
        <v>46462</v>
      </c>
      <c r="H991" s="126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IF(E991="","",IF(ISNUMBER(SEARCH("SUBSOLO",E991)),IFERROR(-VALUE(LEFT(E991,FIND("º",SUBSTITUTE(E991,"°","º"))-1)),-1),IF(LEFT(E991,6)="TÉRREO",0,IFERROR(VALUE(LEFT(E991,FIND("º",SUBSTITUTE(E991,"°","º"))-1)),""))))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26" t="n">
        <v>46462</v>
      </c>
      <c r="G992" s="126" t="n">
        <v>46462</v>
      </c>
      <c r="H992" s="126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IF(E992="","",IF(ISNUMBER(SEARCH("SUBSOLO",E992)),IFERROR(-VALUE(LEFT(E992,FIND("º",SUBSTITUTE(E992,"°","º"))-1)),-1),IF(LEFT(E992,6)="TÉRREO",0,IFERROR(VALUE(LEFT(E992,FIND("º",SUBSTITUTE(E992,"°","º"))-1)),""))))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26" t="n">
        <v>46463</v>
      </c>
      <c r="G993" s="126" t="n">
        <v>46465</v>
      </c>
      <c r="H993" s="126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IF(E993="","",IF(ISNUMBER(SEARCH("SUBSOLO",E993)),IFERROR(-VALUE(LEFT(E993,FIND("º",SUBSTITUTE(E993,"°","º"))-1)),-1),IF(LEFT(E993,6)="TÉRREO",0,IFERROR(VALUE(LEFT(E993,FIND("º",SUBSTITUTE(E993,"°","º"))-1)),""))))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26" t="n">
        <v>46454</v>
      </c>
      <c r="G994" s="126" t="n">
        <v>46465</v>
      </c>
      <c r="H994" s="126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IF(E994="","",IF(ISNUMBER(SEARCH("SUBSOLO",E994)),IFERROR(-VALUE(LEFT(E994,FIND("º",SUBSTITUTE(E994,"°","º"))-1)),-1),IF(LEFT(E994,6)="TÉRREO",0,IFERROR(VALUE(LEFT(E994,FIND("º",SUBSTITUTE(E994,"°","º"))-1)),""))))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26" t="n">
        <v>46454</v>
      </c>
      <c r="G995" s="126" t="n">
        <v>46475</v>
      </c>
      <c r="H995" s="126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IF(E995="","",IF(ISNUMBER(SEARCH("SUBSOLO",E995)),IFERROR(-VALUE(LEFT(E995,FIND("º",SUBSTITUTE(E995,"°","º"))-1)),-1),IF(LEFT(E995,6)="TÉRREO",0,IFERROR(VALUE(LEFT(E995,FIND("º",SUBSTITUTE(E995,"°","º"))-1)),""))))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26" t="n">
        <v>46454</v>
      </c>
      <c r="G996" s="126" t="n">
        <v>46465</v>
      </c>
      <c r="H996" s="126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IF(E996="","",IF(ISNUMBER(SEARCH("SUBSOLO",E996)),IFERROR(-VALUE(LEFT(E996,FIND("º",SUBSTITUTE(E996,"°","º"))-1)),-1),IF(LEFT(E996,6)="TÉRREO",0,IFERROR(VALUE(LEFT(E996,FIND("º",SUBSTITUTE(E996,"°","º"))-1)),""))))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26" t="n">
        <v>46454</v>
      </c>
      <c r="G997" s="126" t="n">
        <v>46464</v>
      </c>
      <c r="H997" s="126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IF(E997="","",IF(ISNUMBER(SEARCH("SUBSOLO",E997)),IFERROR(-VALUE(LEFT(E997,FIND("º",SUBSTITUTE(E997,"°","º"))-1)),-1),IF(LEFT(E997,6)="TÉRREO",0,IFERROR(VALUE(LEFT(E997,FIND("º",SUBSTITUTE(E997,"°","º"))-1)),""))))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26" t="n">
        <v>46455</v>
      </c>
      <c r="G998" s="126" t="n">
        <v>46465</v>
      </c>
      <c r="H998" s="126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IF(E998="","",IF(ISNUMBER(SEARCH("SUBSOLO",E998)),IFERROR(-VALUE(LEFT(E998,FIND("º",SUBSTITUTE(E998,"°","º"))-1)),-1),IF(LEFT(E998,6)="TÉRREO",0,IFERROR(VALUE(LEFT(E998,FIND("º",SUBSTITUTE(E998,"°","º"))-1)),""))))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26" t="n">
        <v>46455</v>
      </c>
      <c r="G999" s="126" t="n">
        <v>46465</v>
      </c>
      <c r="H999" s="126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IF(E999="","",IF(ISNUMBER(SEARCH("SUBSOLO",E999)),IFERROR(-VALUE(LEFT(E999,FIND("º",SUBSTITUTE(E999,"°","º"))-1)),-1),IF(LEFT(E999,6)="TÉRREO",0,IFERROR(VALUE(LEFT(E999,FIND("º",SUBSTITUTE(E999,"°","º"))-1)),""))))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26" t="n">
        <v>46456</v>
      </c>
      <c r="G1000" s="126" t="n">
        <v>46468</v>
      </c>
      <c r="H1000" s="126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IF(E1000="","",IF(ISNUMBER(SEARCH("SUBSOLO",E1000)),IFERROR(-VALUE(LEFT(E1000,FIND("º",SUBSTITUTE(E1000,"°","º"))-1)),-1),IF(LEFT(E1000,6)="TÉRREO",0,IFERROR(VALUE(LEFT(E1000,FIND("º",SUBSTITUTE(E1000,"°","º"))-1)),""))))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26" t="n">
        <v>46456</v>
      </c>
      <c r="G1001" s="126" t="n">
        <v>46468</v>
      </c>
      <c r="H1001" s="126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IF(E1001="","",IF(ISNUMBER(SEARCH("SUBSOLO",E1001)),IFERROR(-VALUE(LEFT(E1001,FIND("º",SUBSTITUTE(E1001,"°","º"))-1)),-1),IF(LEFT(E1001,6)="TÉRREO",0,IFERROR(VALUE(LEFT(E1001,FIND("º",SUBSTITUTE(E1001,"°","º"))-1)),""))))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26" t="n">
        <v>46457</v>
      </c>
      <c r="G1002" s="126" t="n">
        <v>46478</v>
      </c>
      <c r="H1002" s="126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IF(E1002="","",IF(ISNUMBER(SEARCH("SUBSOLO",E1002)),IFERROR(-VALUE(LEFT(E1002,FIND("º",SUBSTITUTE(E1002,"°","º"))-1)),-1),IF(LEFT(E1002,6)="TÉRREO",0,IFERROR(VALUE(LEFT(E1002,FIND("º",SUBSTITUTE(E1002,"°","º"))-1)),""))))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26" t="n">
        <v>46457</v>
      </c>
      <c r="G1003" s="126" t="n">
        <v>46463</v>
      </c>
      <c r="H1003" s="126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IF(E1003="","",IF(ISNUMBER(SEARCH("SUBSOLO",E1003)),IFERROR(-VALUE(LEFT(E1003,FIND("º",SUBSTITUTE(E1003,"°","º"))-1)),-1),IF(LEFT(E1003,6)="TÉRREO",0,IFERROR(VALUE(LEFT(E1003,FIND("º",SUBSTITUTE(E1003,"°","º"))-1)),""))))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26" t="n">
        <v>46458</v>
      </c>
      <c r="G1004" s="126" t="n">
        <v>46470</v>
      </c>
      <c r="H1004" s="126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IF(E1004="","",IF(ISNUMBER(SEARCH("SUBSOLO",E1004)),IFERROR(-VALUE(LEFT(E1004,FIND("º",SUBSTITUTE(E1004,"°","º"))-1)),-1),IF(LEFT(E1004,6)="TÉRREO",0,IFERROR(VALUE(LEFT(E1004,FIND("º",SUBSTITUTE(E1004,"°","º"))-1)),""))))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26" t="n">
        <v>46458</v>
      </c>
      <c r="G1005" s="126" t="n">
        <v>46470</v>
      </c>
      <c r="H1005" s="126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IF(E1005="","",IF(ISNUMBER(SEARCH("SUBSOLO",E1005)),IFERROR(-VALUE(LEFT(E1005,FIND("º",SUBSTITUTE(E1005,"°","º"))-1)),-1),IF(LEFT(E1005,6)="TÉRREO",0,IFERROR(VALUE(LEFT(E1005,FIND("º",SUBSTITUTE(E1005,"°","º"))-1)),""))))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26" t="n">
        <v>46458</v>
      </c>
      <c r="G1006" s="126" t="n">
        <v>46470</v>
      </c>
      <c r="H1006" s="126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IF(E1006="","",IF(ISNUMBER(SEARCH("SUBSOLO",E1006)),IFERROR(-VALUE(LEFT(E1006,FIND("º",SUBSTITUTE(E1006,"°","º"))-1)),-1),IF(LEFT(E1006,6)="TÉRREO",0,IFERROR(VALUE(LEFT(E1006,FIND("º",SUBSTITUTE(E1006,"°","º"))-1)),""))))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26" t="n">
        <v>46461</v>
      </c>
      <c r="G1007" s="126" t="n">
        <v>46475</v>
      </c>
      <c r="H1007" s="126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IF(E1007="","",IF(ISNUMBER(SEARCH("SUBSOLO",E1007)),IFERROR(-VALUE(LEFT(E1007,FIND("º",SUBSTITUTE(E1007,"°","º"))-1)),-1),IF(LEFT(E1007,6)="TÉRREO",0,IFERROR(VALUE(LEFT(E1007,FIND("º",SUBSTITUTE(E1007,"°","º"))-1)),""))))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26" t="n">
        <v>46461</v>
      </c>
      <c r="G1008" s="126" t="n">
        <v>46475</v>
      </c>
      <c r="H1008" s="126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IF(E1008="","",IF(ISNUMBER(SEARCH("SUBSOLO",E1008)),IFERROR(-VALUE(LEFT(E1008,FIND("º",SUBSTITUTE(E1008,"°","º"))-1)),-1),IF(LEFT(E1008,6)="TÉRREO",0,IFERROR(VALUE(LEFT(E1008,FIND("º",SUBSTITUTE(E1008,"°","º"))-1)),""))))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26" t="n">
        <v>46461</v>
      </c>
      <c r="G1009" s="126" t="n">
        <v>46471</v>
      </c>
      <c r="H1009" s="126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IF(E1009="","",IF(ISNUMBER(SEARCH("SUBSOLO",E1009)),IFERROR(-VALUE(LEFT(E1009,FIND("º",SUBSTITUTE(E1009,"°","º"))-1)),-1),IF(LEFT(E1009,6)="TÉRREO",0,IFERROR(VALUE(LEFT(E1009,FIND("º",SUBSTITUTE(E1009,"°","º"))-1)),""))))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26" t="n">
        <v>46462</v>
      </c>
      <c r="G1010" s="126" t="n">
        <v>46492</v>
      </c>
      <c r="H1010" s="126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IF(E1010="","",IF(ISNUMBER(SEARCH("SUBSOLO",E1010)),IFERROR(-VALUE(LEFT(E1010,FIND("º",SUBSTITUTE(E1010,"°","º"))-1)),-1),IF(LEFT(E1010,6)="TÉRREO",0,IFERROR(VALUE(LEFT(E1010,FIND("º",SUBSTITUTE(E1010,"°","º"))-1)),""))))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26" t="n">
        <v>46462</v>
      </c>
      <c r="G1011" s="126" t="n">
        <v>46506</v>
      </c>
      <c r="H1011" s="126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IF(E1011="","",IF(ISNUMBER(SEARCH("SUBSOLO",E1011)),IFERROR(-VALUE(LEFT(E1011,FIND("º",SUBSTITUTE(E1011,"°","º"))-1)),-1),IF(LEFT(E1011,6)="TÉRREO",0,IFERROR(VALUE(LEFT(E1011,FIND("º",SUBSTITUTE(E1011,"°","º"))-1)),""))))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26" t="n">
        <v>46463</v>
      </c>
      <c r="G1012" s="126" t="n">
        <v>46484</v>
      </c>
      <c r="H1012" s="126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IF(E1012="","",IF(ISNUMBER(SEARCH("SUBSOLO",E1012)),IFERROR(-VALUE(LEFT(E1012,FIND("º",SUBSTITUTE(E1012,"°","º"))-1)),-1),IF(LEFT(E1012,6)="TÉRREO",0,IFERROR(VALUE(LEFT(E1012,FIND("º",SUBSTITUTE(E1012,"°","º"))-1)),""))))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26" t="n">
        <v>46463</v>
      </c>
      <c r="G1013" s="126" t="n">
        <v>46469</v>
      </c>
      <c r="H1013" s="126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IF(E1013="","",IF(ISNUMBER(SEARCH("SUBSOLO",E1013)),IFERROR(-VALUE(LEFT(E1013,FIND("º",SUBSTITUTE(E1013,"°","º"))-1)),-1),IF(LEFT(E1013,6)="TÉRREO",0,IFERROR(VALUE(LEFT(E1013,FIND("º",SUBSTITUTE(E1013,"°","º"))-1)),""))))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26" t="n">
        <v>46463</v>
      </c>
      <c r="G1014" s="126" t="n">
        <v>46484</v>
      </c>
      <c r="H1014" s="126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IF(E1014="","",IF(ISNUMBER(SEARCH("SUBSOLO",E1014)),IFERROR(-VALUE(LEFT(E1014,FIND("º",SUBSTITUTE(E1014,"°","º"))-1)),-1),IF(LEFT(E1014,6)="TÉRREO",0,IFERROR(VALUE(LEFT(E1014,FIND("º",SUBSTITUTE(E1014,"°","º"))-1)),""))))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26" t="n">
        <v>46463</v>
      </c>
      <c r="G1015" s="126" t="n">
        <v>46469</v>
      </c>
      <c r="H1015" s="126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IF(E1015="","",IF(ISNUMBER(SEARCH("SUBSOLO",E1015)),IFERROR(-VALUE(LEFT(E1015,FIND("º",SUBSTITUTE(E1015,"°","º"))-1)),-1),IF(LEFT(E1015,6)="TÉRREO",0,IFERROR(VALUE(LEFT(E1015,FIND("º",SUBSTITUTE(E1015,"°","º"))-1)),""))))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26" t="n">
        <v>46463</v>
      </c>
      <c r="G1016" s="126" t="n">
        <v>46476</v>
      </c>
      <c r="H1016" s="126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IF(E1016="","",IF(ISNUMBER(SEARCH("SUBSOLO",E1016)),IFERROR(-VALUE(LEFT(E1016,FIND("º",SUBSTITUTE(E1016,"°","º"))-1)),-1),IF(LEFT(E1016,6)="TÉRREO",0,IFERROR(VALUE(LEFT(E1016,FIND("º",SUBSTITUTE(E1016,"°","º"))-1)),""))))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26" t="n">
        <v>46464</v>
      </c>
      <c r="G1017" s="126" t="n">
        <v>46477</v>
      </c>
      <c r="H1017" s="126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IF(E1017="","",IF(ISNUMBER(SEARCH("SUBSOLO",E1017)),IFERROR(-VALUE(LEFT(E1017,FIND("º",SUBSTITUTE(E1017,"°","º"))-1)),-1),IF(LEFT(E1017,6)="TÉRREO",0,IFERROR(VALUE(LEFT(E1017,FIND("º",SUBSTITUTE(E1017,"°","º"))-1)),""))))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26" t="n">
        <v>46464</v>
      </c>
      <c r="G1018" s="126" t="n">
        <v>46477</v>
      </c>
      <c r="H1018" s="126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IF(E1018="","",IF(ISNUMBER(SEARCH("SUBSOLO",E1018)),IFERROR(-VALUE(LEFT(E1018,FIND("º",SUBSTITUTE(E1018,"°","º"))-1)),-1),IF(LEFT(E1018,6)="TÉRREO",0,IFERROR(VALUE(LEFT(E1018,FIND("º",SUBSTITUTE(E1018,"°","º"))-1)),""))))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26" t="n">
        <v>46464</v>
      </c>
      <c r="G1019" s="126" t="n">
        <v>46477</v>
      </c>
      <c r="H1019" s="126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IF(E1019="","",IF(ISNUMBER(SEARCH("SUBSOLO",E1019)),IFERROR(-VALUE(LEFT(E1019,FIND("º",SUBSTITUTE(E1019,"°","º"))-1)),-1),IF(LEFT(E1019,6)="TÉRREO",0,IFERROR(VALUE(LEFT(E1019,FIND("º",SUBSTITUTE(E1019,"°","º"))-1)),""))))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26" t="n">
        <v>46464</v>
      </c>
      <c r="G1020" s="126" t="n">
        <v>46470</v>
      </c>
      <c r="H1020" s="126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IF(E1020="","",IF(ISNUMBER(SEARCH("SUBSOLO",E1020)),IFERROR(-VALUE(LEFT(E1020,FIND("º",SUBSTITUTE(E1020,"°","º"))-1)),-1),IF(LEFT(E1020,6)="TÉRREO",0,IFERROR(VALUE(LEFT(E1020,FIND("º",SUBSTITUTE(E1020,"°","º"))-1)),""))))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26" t="n">
        <v>46468</v>
      </c>
      <c r="G1021" s="126" t="n">
        <v>46482</v>
      </c>
      <c r="H1021" s="126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IF(E1021="","",IF(ISNUMBER(SEARCH("SUBSOLO",E1021)),IFERROR(-VALUE(LEFT(E1021,FIND("º",SUBSTITUTE(E1021,"°","º"))-1)),-1),IF(LEFT(E1021,6)="TÉRREO",0,IFERROR(VALUE(LEFT(E1021,FIND("º",SUBSTITUTE(E1021,"°","º"))-1)),""))))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26" t="n">
        <v>46468</v>
      </c>
      <c r="G1022" s="126" t="n">
        <v>46479</v>
      </c>
      <c r="H1022" s="126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IF(E1022="","",IF(ISNUMBER(SEARCH("SUBSOLO",E1022)),IFERROR(-VALUE(LEFT(E1022,FIND("º",SUBSTITUTE(E1022,"°","º"))-1)),-1),IF(LEFT(E1022,6)="TÉRREO",0,IFERROR(VALUE(LEFT(E1022,FIND("º",SUBSTITUTE(E1022,"°","º"))-1)),""))))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26" t="n">
        <v>46468</v>
      </c>
      <c r="G1023" s="126" t="n">
        <v>46479</v>
      </c>
      <c r="H1023" s="126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IF(E1023="","",IF(ISNUMBER(SEARCH("SUBSOLO",E1023)),IFERROR(-VALUE(LEFT(E1023,FIND("º",SUBSTITUTE(E1023,"°","º"))-1)),-1),IF(LEFT(E1023,6)="TÉRREO",0,IFERROR(VALUE(LEFT(E1023,FIND("º",SUBSTITUTE(E1023,"°","º"))-1)),""))))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26" t="n">
        <v>46468</v>
      </c>
      <c r="G1024" s="126" t="n">
        <v>46482</v>
      </c>
      <c r="H1024" s="126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IF(E1024="","",IF(ISNUMBER(SEARCH("SUBSOLO",E1024)),IFERROR(-VALUE(LEFT(E1024,FIND("º",SUBSTITUTE(E1024,"°","º"))-1)),-1),IF(LEFT(E1024,6)="TÉRREO",0,IFERROR(VALUE(LEFT(E1024,FIND("º",SUBSTITUTE(E1024,"°","º"))-1)),""))))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26" t="n">
        <v>46468</v>
      </c>
      <c r="G1025" s="126" t="n">
        <v>46479</v>
      </c>
      <c r="H1025" s="126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IF(E1025="","",IF(ISNUMBER(SEARCH("SUBSOLO",E1025)),IFERROR(-VALUE(LEFT(E1025,FIND("º",SUBSTITUTE(E1025,"°","º"))-1)),-1),IF(LEFT(E1025,6)="TÉRREO",0,IFERROR(VALUE(LEFT(E1025,FIND("º",SUBSTITUTE(E1025,"°","º"))-1)),""))))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26" t="n">
        <v>46468</v>
      </c>
      <c r="G1026" s="126" t="n">
        <v>46483</v>
      </c>
      <c r="H1026" s="126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IF(E1026="","",IF(ISNUMBER(SEARCH("SUBSOLO",E1026)),IFERROR(-VALUE(LEFT(E1026,FIND("º",SUBSTITUTE(E1026,"°","º"))-1)),-1),IF(LEFT(E1026,6)="TÉRREO",0,IFERROR(VALUE(LEFT(E1026,FIND("º",SUBSTITUTE(E1026,"°","º"))-1)),""))))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26" t="n">
        <v>46468</v>
      </c>
      <c r="G1027" s="126" t="n">
        <v>46469</v>
      </c>
      <c r="H1027" s="126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IF(E1027="","",IF(ISNUMBER(SEARCH("SUBSOLO",E1027)),IFERROR(-VALUE(LEFT(E1027,FIND("º",SUBSTITUTE(E1027,"°","º"))-1)),-1),IF(LEFT(E1027,6)="TÉRREO",0,IFERROR(VALUE(LEFT(E1027,FIND("º",SUBSTITUTE(E1027,"°","º"))-1)),""))))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26" t="n">
        <v>46468</v>
      </c>
      <c r="G1028" s="126" t="n">
        <v>46469</v>
      </c>
      <c r="H1028" s="126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IF(E1028="","",IF(ISNUMBER(SEARCH("SUBSOLO",E1028)),IFERROR(-VALUE(LEFT(E1028,FIND("º",SUBSTITUTE(E1028,"°","º"))-1)),-1),IF(LEFT(E1028,6)="TÉRREO",0,IFERROR(VALUE(LEFT(E1028,FIND("º",SUBSTITUTE(E1028,"°","º"))-1)),""))))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26" t="n">
        <v>46469</v>
      </c>
      <c r="G1029" s="126" t="n">
        <v>46470</v>
      </c>
      <c r="H1029" s="126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IF(E1029="","",IF(ISNUMBER(SEARCH("SUBSOLO",E1029)),IFERROR(-VALUE(LEFT(E1029,FIND("º",SUBSTITUTE(E1029,"°","º"))-1)),-1),IF(LEFT(E1029,6)="TÉRREO",0,IFERROR(VALUE(LEFT(E1029,FIND("º",SUBSTITUTE(E1029,"°","º"))-1)),""))))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26" t="n">
        <v>46471</v>
      </c>
      <c r="G1030" s="126" t="n">
        <v>46471</v>
      </c>
      <c r="H1030" s="126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IF(E1030="","",IF(ISNUMBER(SEARCH("SUBSOLO",E1030)),IFERROR(-VALUE(LEFT(E1030,FIND("º",SUBSTITUTE(E1030,"°","º"))-1)),-1),IF(LEFT(E1030,6)="TÉRREO",0,IFERROR(VALUE(LEFT(E1030,FIND("º",SUBSTITUTE(E1030,"°","º"))-1)),""))))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26" t="n">
        <v>46475</v>
      </c>
      <c r="G1031" s="126" t="n">
        <v>46477</v>
      </c>
      <c r="H1031" s="126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IF(E1031="","",IF(ISNUMBER(SEARCH("SUBSOLO",E1031)),IFERROR(-VALUE(LEFT(E1031,FIND("º",SUBSTITUTE(E1031,"°","º"))-1)),-1),IF(LEFT(E1031,6)="TÉRREO",0,IFERROR(VALUE(LEFT(E1031,FIND("º",SUBSTITUTE(E1031,"°","º"))-1)),""))))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26" t="n">
        <v>46476</v>
      </c>
      <c r="G1032" s="126" t="n">
        <v>46477</v>
      </c>
      <c r="H1032" s="126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IF(E1032="","",IF(ISNUMBER(SEARCH("SUBSOLO",E1032)),IFERROR(-VALUE(LEFT(E1032,FIND("º",SUBSTITUTE(E1032,"°","º"))-1)),-1),IF(LEFT(E1032,6)="TÉRREO",0,IFERROR(VALUE(LEFT(E1032,FIND("º",SUBSTITUTE(E1032,"°","º"))-1)),""))))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26" t="n">
        <v>46476</v>
      </c>
      <c r="G1033" s="126" t="n">
        <v>46476</v>
      </c>
      <c r="H1033" s="126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IF(E1033="","",IF(ISNUMBER(SEARCH("SUBSOLO",E1033)),IFERROR(-VALUE(LEFT(E1033,FIND("º",SUBSTITUTE(E1033,"°","º"))-1)),-1),IF(LEFT(E1033,6)="TÉRREO",0,IFERROR(VALUE(LEFT(E1033,FIND("º",SUBSTITUTE(E1033,"°","º"))-1)),""))))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26" t="n">
        <v>46476</v>
      </c>
      <c r="G1034" s="126" t="n">
        <v>46476</v>
      </c>
      <c r="H1034" s="126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IF(E1034="","",IF(ISNUMBER(SEARCH("SUBSOLO",E1034)),IFERROR(-VALUE(LEFT(E1034,FIND("º",SUBSTITUTE(E1034,"°","º"))-1)),-1),IF(LEFT(E1034,6)="TÉRREO",0,IFERROR(VALUE(LEFT(E1034,FIND("º",SUBSTITUTE(E1034,"°","º"))-1)),""))))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26" t="n">
        <v>46477</v>
      </c>
      <c r="G1035" s="126" t="n">
        <v>46483</v>
      </c>
      <c r="H1035" s="126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IF(E1035="","",IF(ISNUMBER(SEARCH("SUBSOLO",E1035)),IFERROR(-VALUE(LEFT(E1035,FIND("º",SUBSTITUTE(E1035,"°","º"))-1)),-1),IF(LEFT(E1035,6)="TÉRREO",0,IFERROR(VALUE(LEFT(E1035,FIND("º",SUBSTITUTE(E1035,"°","º"))-1)),""))))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26" t="n">
        <v>46469</v>
      </c>
      <c r="G1036" s="126" t="n">
        <v>46469</v>
      </c>
      <c r="H1036" s="126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IF(E1036="","",IF(ISNUMBER(SEARCH("SUBSOLO",E1036)),IFERROR(-VALUE(LEFT(E1036,FIND("º",SUBSTITUTE(E1036,"°","º"))-1)),-1),IF(LEFT(E1036,6)="TÉRREO",0,IFERROR(VALUE(LEFT(E1036,FIND("º",SUBSTITUTE(E1036,"°","º"))-1)),""))))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26" t="n">
        <v>46469</v>
      </c>
      <c r="G1037" s="126" t="n">
        <v>46482</v>
      </c>
      <c r="H1037" s="126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IF(E1037="","",IF(ISNUMBER(SEARCH("SUBSOLO",E1037)),IFERROR(-VALUE(LEFT(E1037,FIND("º",SUBSTITUTE(E1037,"°","º"))-1)),-1),IF(LEFT(E1037,6)="TÉRREO",0,IFERROR(VALUE(LEFT(E1037,FIND("º",SUBSTITUTE(E1037,"°","º"))-1)),""))))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26" t="n">
        <v>46469</v>
      </c>
      <c r="G1038" s="126" t="n">
        <v>46482</v>
      </c>
      <c r="H1038" s="126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IF(E1038="","",IF(ISNUMBER(SEARCH("SUBSOLO",E1038)),IFERROR(-VALUE(LEFT(E1038,FIND("º",SUBSTITUTE(E1038,"°","º"))-1)),-1),IF(LEFT(E1038,6)="TÉRREO",0,IFERROR(VALUE(LEFT(E1038,FIND("º",SUBSTITUTE(E1038,"°","º"))-1)),""))))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26" t="n">
        <v>46470</v>
      </c>
      <c r="G1039" s="126" t="n">
        <v>46483</v>
      </c>
      <c r="H1039" s="126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IF(E1039="","",IF(ISNUMBER(SEARCH("SUBSOLO",E1039)),IFERROR(-VALUE(LEFT(E1039,FIND("º",SUBSTITUTE(E1039,"°","º"))-1)),-1),IF(LEFT(E1039,6)="TÉRREO",0,IFERROR(VALUE(LEFT(E1039,FIND("º",SUBSTITUTE(E1039,"°","º"))-1)),""))))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26" t="n">
        <v>46470</v>
      </c>
      <c r="G1040" s="126" t="n">
        <v>46483</v>
      </c>
      <c r="H1040" s="126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IF(E1040="","",IF(ISNUMBER(SEARCH("SUBSOLO",E1040)),IFERROR(-VALUE(LEFT(E1040,FIND("º",SUBSTITUTE(E1040,"°","º"))-1)),-1),IF(LEFT(E1040,6)="TÉRREO",0,IFERROR(VALUE(LEFT(E1040,FIND("º",SUBSTITUTE(E1040,"°","º"))-1)),""))))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26" t="n">
        <v>46471</v>
      </c>
      <c r="G1041" s="126" t="n">
        <v>46484</v>
      </c>
      <c r="H1041" s="126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IF(E1041="","",IF(ISNUMBER(SEARCH("SUBSOLO",E1041)),IFERROR(-VALUE(LEFT(E1041,FIND("º",SUBSTITUTE(E1041,"°","º"))-1)),-1),IF(LEFT(E1041,6)="TÉRREO",0,IFERROR(VALUE(LEFT(E1041,FIND("º",SUBSTITUTE(E1041,"°","º"))-1)),""))))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26" t="n">
        <v>46471</v>
      </c>
      <c r="G1042" s="126" t="n">
        <v>46484</v>
      </c>
      <c r="H1042" s="126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IF(E1042="","",IF(ISNUMBER(SEARCH("SUBSOLO",E1042)),IFERROR(-VALUE(LEFT(E1042,FIND("º",SUBSTITUTE(E1042,"°","º"))-1)),-1),IF(LEFT(E1042,6)="TÉRREO",0,IFERROR(VALUE(LEFT(E1042,FIND("º",SUBSTITUTE(E1042,"°","º"))-1)),""))))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26" t="n">
        <v>46471</v>
      </c>
      <c r="G1043" s="126" t="n">
        <v>46478</v>
      </c>
      <c r="H1043" s="126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IF(E1043="","",IF(ISNUMBER(SEARCH("SUBSOLO",E1043)),IFERROR(-VALUE(LEFT(E1043,FIND("º",SUBSTITUTE(E1043,"°","º"))-1)),-1),IF(LEFT(E1043,6)="TÉRREO",0,IFERROR(VALUE(LEFT(E1043,FIND("º",SUBSTITUTE(E1043,"°","º"))-1)),""))))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26" t="n">
        <v>46476</v>
      </c>
      <c r="G1044" s="126" t="n">
        <v>46496</v>
      </c>
      <c r="H1044" s="126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IF(E1044="","",IF(ISNUMBER(SEARCH("SUBSOLO",E1044)),IFERROR(-VALUE(LEFT(E1044,FIND("º",SUBSTITUTE(E1044,"°","º"))-1)),-1),IF(LEFT(E1044,6)="TÉRREO",0,IFERROR(VALUE(LEFT(E1044,FIND("º",SUBSTITUTE(E1044,"°","º"))-1)),""))))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26" t="n">
        <v>46476</v>
      </c>
      <c r="G1045" s="126" t="n">
        <v>46506</v>
      </c>
      <c r="H1045" s="126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IF(E1045="","",IF(ISNUMBER(SEARCH("SUBSOLO",E1045)),IFERROR(-VALUE(LEFT(E1045,FIND("º",SUBSTITUTE(E1045,"°","º"))-1)),-1),IF(LEFT(E1045,6)="TÉRREO",0,IFERROR(VALUE(LEFT(E1045,FIND("º",SUBSTITUTE(E1045,"°","º"))-1)),""))))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26" t="n">
        <v>46476</v>
      </c>
      <c r="G1046" s="126" t="n">
        <v>46489</v>
      </c>
      <c r="H1046" s="126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IF(E1046="","",IF(ISNUMBER(SEARCH("SUBSOLO",E1046)),IFERROR(-VALUE(LEFT(E1046,FIND("º",SUBSTITUTE(E1046,"°","º"))-1)),-1),IF(LEFT(E1046,6)="TÉRREO",0,IFERROR(VALUE(LEFT(E1046,FIND("º",SUBSTITUTE(E1046,"°","º"))-1)),""))))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26" t="n">
        <v>46476</v>
      </c>
      <c r="G1047" s="126" t="n">
        <v>46486</v>
      </c>
      <c r="H1047" s="126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IF(E1047="","",IF(ISNUMBER(SEARCH("SUBSOLO",E1047)),IFERROR(-VALUE(LEFT(E1047,FIND("º",SUBSTITUTE(E1047,"°","º"))-1)),-1),IF(LEFT(E1047,6)="TÉRREO",0,IFERROR(VALUE(LEFT(E1047,FIND("º",SUBSTITUTE(E1047,"°","º"))-1)),""))))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26" t="n">
        <v>46477</v>
      </c>
      <c r="G1048" s="126" t="n">
        <v>46489</v>
      </c>
      <c r="H1048" s="126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IF(E1048="","",IF(ISNUMBER(SEARCH("SUBSOLO",E1048)),IFERROR(-VALUE(LEFT(E1048,FIND("º",SUBSTITUTE(E1048,"°","º"))-1)),-1),IF(LEFT(E1048,6)="TÉRREO",0,IFERROR(VALUE(LEFT(E1048,FIND("º",SUBSTITUTE(E1048,"°","º"))-1)),""))))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26" t="n">
        <v>46477</v>
      </c>
      <c r="G1049" s="126" t="n">
        <v>46489</v>
      </c>
      <c r="H1049" s="126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IF(E1049="","",IF(ISNUMBER(SEARCH("SUBSOLO",E1049)),IFERROR(-VALUE(LEFT(E1049,FIND("º",SUBSTITUTE(E1049,"°","º"))-1)),-1),IF(LEFT(E1049,6)="TÉRREO",0,IFERROR(VALUE(LEFT(E1049,FIND("º",SUBSTITUTE(E1049,"°","º"))-1)),""))))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26" t="n">
        <v>46478</v>
      </c>
      <c r="G1050" s="126" t="n">
        <v>46499</v>
      </c>
      <c r="H1050" s="126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IF(E1050="","",IF(ISNUMBER(SEARCH("SUBSOLO",E1050)),IFERROR(-VALUE(LEFT(E1050,FIND("º",SUBSTITUTE(E1050,"°","º"))-1)),-1),IF(LEFT(E1050,6)="TÉRREO",0,IFERROR(VALUE(LEFT(E1050,FIND("º",SUBSTITUTE(E1050,"°","º"))-1)),""))))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26" t="n">
        <v>46478</v>
      </c>
      <c r="G1051" s="126" t="n">
        <v>46484</v>
      </c>
      <c r="H1051" s="126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IF(E1051="","",IF(ISNUMBER(SEARCH("SUBSOLO",E1051)),IFERROR(-VALUE(LEFT(E1051,FIND("º",SUBSTITUTE(E1051,"°","º"))-1)),-1),IF(LEFT(E1051,6)="TÉRREO",0,IFERROR(VALUE(LEFT(E1051,FIND("º",SUBSTITUTE(E1051,"°","º"))-1)),""))))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26" t="n">
        <v>46478</v>
      </c>
      <c r="G1052" s="126" t="n">
        <v>46617</v>
      </c>
      <c r="H1052" s="126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IF(E1052="","",IF(ISNUMBER(SEARCH("SUBSOLO",E1052)),IFERROR(-VALUE(LEFT(E1052,FIND("º",SUBSTITUTE(E1052,"°","º"))-1)),-1),IF(LEFT(E1052,6)="TÉRREO",0,IFERROR(VALUE(LEFT(E1052,FIND("º",SUBSTITUTE(E1052,"°","º"))-1)),""))))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26" t="n">
        <v>46479</v>
      </c>
      <c r="G1053" s="126" t="n">
        <v>46500</v>
      </c>
      <c r="H1053" s="126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IF(E1053="","",IF(ISNUMBER(SEARCH("SUBSOLO",E1053)),IFERROR(-VALUE(LEFT(E1053,FIND("º",SUBSTITUTE(E1053,"°","º"))-1)),-1),IF(LEFT(E1053,6)="TÉRREO",0,IFERROR(VALUE(LEFT(E1053,FIND("º",SUBSTITUTE(E1053,"°","º"))-1)),""))))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26" t="n">
        <v>46479</v>
      </c>
      <c r="G1054" s="126" t="n">
        <v>46485</v>
      </c>
      <c r="H1054" s="126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IF(E1054="","",IF(ISNUMBER(SEARCH("SUBSOLO",E1054)),IFERROR(-VALUE(LEFT(E1054,FIND("º",SUBSTITUTE(E1054,"°","º"))-1)),-1),IF(LEFT(E1054,6)="TÉRREO",0,IFERROR(VALUE(LEFT(E1054,FIND("º",SUBSTITUTE(E1054,"°","º"))-1)),""))))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26" t="n">
        <v>46482</v>
      </c>
      <c r="G1055" s="126" t="n">
        <v>46492</v>
      </c>
      <c r="H1055" s="126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IF(E1055="","",IF(ISNUMBER(SEARCH("SUBSOLO",E1055)),IFERROR(-VALUE(LEFT(E1055,FIND("º",SUBSTITUTE(E1055,"°","º"))-1)),-1),IF(LEFT(E1055,6)="TÉRREO",0,IFERROR(VALUE(LEFT(E1055,FIND("º",SUBSTITUTE(E1055,"°","º"))-1)),""))))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26" t="n">
        <v>46482</v>
      </c>
      <c r="G1056" s="126" t="n">
        <v>46492</v>
      </c>
      <c r="H1056" s="126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IF(E1056="","",IF(ISNUMBER(SEARCH("SUBSOLO",E1056)),IFERROR(-VALUE(LEFT(E1056,FIND("º",SUBSTITUTE(E1056,"°","º"))-1)),-1),IF(LEFT(E1056,6)="TÉRREO",0,IFERROR(VALUE(LEFT(E1056,FIND("º",SUBSTITUTE(E1056,"°","º"))-1)),""))))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26" t="n">
        <v>46482</v>
      </c>
      <c r="G1057" s="126" t="n">
        <v>46492</v>
      </c>
      <c r="H1057" s="126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IF(E1057="","",IF(ISNUMBER(SEARCH("SUBSOLO",E1057)),IFERROR(-VALUE(LEFT(E1057,FIND("º",SUBSTITUTE(E1057,"°","º"))-1)),-1),IF(LEFT(E1057,6)="TÉRREO",0,IFERROR(VALUE(LEFT(E1057,FIND("º",SUBSTITUTE(E1057,"°","º"))-1)),""))))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26" t="n">
        <v>46482</v>
      </c>
      <c r="G1058" s="126" t="n">
        <v>46492</v>
      </c>
      <c r="H1058" s="126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IF(E1058="","",IF(ISNUMBER(SEARCH("SUBSOLO",E1058)),IFERROR(-VALUE(LEFT(E1058,FIND("º",SUBSTITUTE(E1058,"°","º"))-1)),-1),IF(LEFT(E1058,6)="TÉRREO",0,IFERROR(VALUE(LEFT(E1058,FIND("º",SUBSTITUTE(E1058,"°","º"))-1)),""))))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26" t="n">
        <v>46483</v>
      </c>
      <c r="G1059" s="126" t="n">
        <v>46496</v>
      </c>
      <c r="H1059" s="126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IF(E1059="","",IF(ISNUMBER(SEARCH("SUBSOLO",E1059)),IFERROR(-VALUE(LEFT(E1059,FIND("º",SUBSTITUTE(E1059,"°","º"))-1)),-1),IF(LEFT(E1059,6)="TÉRREO",0,IFERROR(VALUE(LEFT(E1059,FIND("º",SUBSTITUTE(E1059,"°","º"))-1)),""))))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26" t="n">
        <v>46483</v>
      </c>
      <c r="G1060" s="126" t="n">
        <v>46496</v>
      </c>
      <c r="H1060" s="126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IF(E1060="","",IF(ISNUMBER(SEARCH("SUBSOLO",E1060)),IFERROR(-VALUE(LEFT(E1060,FIND("º",SUBSTITUTE(E1060,"°","º"))-1)),-1),IF(LEFT(E1060,6)="TÉRREO",0,IFERROR(VALUE(LEFT(E1060,FIND("º",SUBSTITUTE(E1060,"°","º"))-1)),""))))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26" t="n">
        <v>46483</v>
      </c>
      <c r="G1061" s="126" t="n">
        <v>46493</v>
      </c>
      <c r="H1061" s="126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IF(E1061="","",IF(ISNUMBER(SEARCH("SUBSOLO",E1061)),IFERROR(-VALUE(LEFT(E1061,FIND("º",SUBSTITUTE(E1061,"°","º"))-1)),-1),IF(LEFT(E1061,6)="TÉRREO",0,IFERROR(VALUE(LEFT(E1061,FIND("º",SUBSTITUTE(E1061,"°","º"))-1)),""))))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26" t="n">
        <v>46483</v>
      </c>
      <c r="G1062" s="126" t="n">
        <v>46493</v>
      </c>
      <c r="H1062" s="126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IF(E1062="","",IF(ISNUMBER(SEARCH("SUBSOLO",E1062)),IFERROR(-VALUE(LEFT(E1062,FIND("º",SUBSTITUTE(E1062,"°","º"))-1)),-1),IF(LEFT(E1062,6)="TÉRREO",0,IFERROR(VALUE(LEFT(E1062,FIND("º",SUBSTITUTE(E1062,"°","º"))-1)),""))))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26" t="n">
        <v>46483</v>
      </c>
      <c r="G1063" s="126" t="n">
        <v>46493</v>
      </c>
      <c r="H1063" s="126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IF(E1063="","",IF(ISNUMBER(SEARCH("SUBSOLO",E1063)),IFERROR(-VALUE(LEFT(E1063,FIND("º",SUBSTITUTE(E1063,"°","º"))-1)),-1),IF(LEFT(E1063,6)="TÉRREO",0,IFERROR(VALUE(LEFT(E1063,FIND("º",SUBSTITUTE(E1063,"°","º"))-1)),""))))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26" t="n">
        <v>46484</v>
      </c>
      <c r="G1064" s="126" t="n">
        <v>46569</v>
      </c>
      <c r="H1064" s="126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IF(E1064="","",IF(ISNUMBER(SEARCH("SUBSOLO",E1064)),IFERROR(-VALUE(LEFT(E1064,FIND("º",SUBSTITUTE(E1064,"°","º"))-1)),-1),IF(LEFT(E1064,6)="TÉRREO",0,IFERROR(VALUE(LEFT(E1064,FIND("º",SUBSTITUTE(E1064,"°","º"))-1)),""))))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26" t="n">
        <v>46484</v>
      </c>
      <c r="G1065" s="126" t="n">
        <v>46496</v>
      </c>
      <c r="H1065" s="126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IF(E1065="","",IF(ISNUMBER(SEARCH("SUBSOLO",E1065)),IFERROR(-VALUE(LEFT(E1065,FIND("º",SUBSTITUTE(E1065,"°","º"))-1)),-1),IF(LEFT(E1065,6)="TÉRREO",0,IFERROR(VALUE(LEFT(E1065,FIND("º",SUBSTITUTE(E1065,"°","º"))-1)),""))))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26" t="n">
        <v>46485</v>
      </c>
      <c r="G1066" s="126" t="n">
        <v>46506</v>
      </c>
      <c r="H1066" s="126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IF(E1066="","",IF(ISNUMBER(SEARCH("SUBSOLO",E1066)),IFERROR(-VALUE(LEFT(E1066,FIND("º",SUBSTITUTE(E1066,"°","º"))-1)),-1),IF(LEFT(E1066,6)="TÉRREO",0,IFERROR(VALUE(LEFT(E1066,FIND("º",SUBSTITUTE(E1066,"°","º"))-1)),""))))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26" t="n">
        <v>46485</v>
      </c>
      <c r="G1067" s="126" t="n">
        <v>46497</v>
      </c>
      <c r="H1067" s="126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IF(E1067="","",IF(ISNUMBER(SEARCH("SUBSOLO",E1067)),IFERROR(-VALUE(LEFT(E1067,FIND("º",SUBSTITUTE(E1067,"°","º"))-1)),-1),IF(LEFT(E1067,6)="TÉRREO",0,IFERROR(VALUE(LEFT(E1067,FIND("º",SUBSTITUTE(E1067,"°","º"))-1)),""))))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26" t="n">
        <v>46485</v>
      </c>
      <c r="G1068" s="126" t="n">
        <v>46506</v>
      </c>
      <c r="H1068" s="126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IF(E1068="","",IF(ISNUMBER(SEARCH("SUBSOLO",E1068)),IFERROR(-VALUE(LEFT(E1068,FIND("º",SUBSTITUTE(E1068,"°","º"))-1)),-1),IF(LEFT(E1068,6)="TÉRREO",0,IFERROR(VALUE(LEFT(E1068,FIND("º",SUBSTITUTE(E1068,"°","º"))-1)),""))))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26" t="n">
        <v>46485</v>
      </c>
      <c r="G1069" s="126" t="n">
        <v>46491</v>
      </c>
      <c r="H1069" s="126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IF(E1069="","",IF(ISNUMBER(SEARCH("SUBSOLO",E1069)),IFERROR(-VALUE(LEFT(E1069,FIND("º",SUBSTITUTE(E1069,"°","º"))-1)),-1),IF(LEFT(E1069,6)="TÉRREO",0,IFERROR(VALUE(LEFT(E1069,FIND("º",SUBSTITUTE(E1069,"°","º"))-1)),""))))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26" t="n">
        <v>46485</v>
      </c>
      <c r="G1070" s="126" t="n">
        <v>46506</v>
      </c>
      <c r="H1070" s="126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IF(E1070="","",IF(ISNUMBER(SEARCH("SUBSOLO",E1070)),IFERROR(-VALUE(LEFT(E1070,FIND("º",SUBSTITUTE(E1070,"°","º"))-1)),-1),IF(LEFT(E1070,6)="TÉRREO",0,IFERROR(VALUE(LEFT(E1070,FIND("º",SUBSTITUTE(E1070,"°","º"))-1)),""))))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26" t="n">
        <v>46485</v>
      </c>
      <c r="G1071" s="126" t="n">
        <v>46497</v>
      </c>
      <c r="H1071" s="126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IF(E1071="","",IF(ISNUMBER(SEARCH("SUBSOLO",E1071)),IFERROR(-VALUE(LEFT(E1071,FIND("º",SUBSTITUTE(E1071,"°","º"))-1)),-1),IF(LEFT(E1071,6)="TÉRREO",0,IFERROR(VALUE(LEFT(E1071,FIND("º",SUBSTITUTE(E1071,"°","º"))-1)),""))))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26" t="n">
        <v>46485</v>
      </c>
      <c r="G1072" s="126" t="n">
        <v>46497</v>
      </c>
      <c r="H1072" s="126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IF(E1072="","",IF(ISNUMBER(SEARCH("SUBSOLO",E1072)),IFERROR(-VALUE(LEFT(E1072,FIND("º",SUBSTITUTE(E1072,"°","º"))-1)),-1),IF(LEFT(E1072,6)="TÉRREO",0,IFERROR(VALUE(LEFT(E1072,FIND("º",SUBSTITUTE(E1072,"°","º"))-1)),""))))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26" t="n">
        <v>46486</v>
      </c>
      <c r="G1073" s="126" t="n">
        <v>46492</v>
      </c>
      <c r="H1073" s="126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IF(E1073="","",IF(ISNUMBER(SEARCH("SUBSOLO",E1073)),IFERROR(-VALUE(LEFT(E1073,FIND("º",SUBSTITUTE(E1073,"°","º"))-1)),-1),IF(LEFT(E1073,6)="TÉRREO",0,IFERROR(VALUE(LEFT(E1073,FIND("º",SUBSTITUTE(E1073,"°","º"))-1)),""))))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26" t="n">
        <v>46489</v>
      </c>
      <c r="G1074" s="126" t="n">
        <v>46503</v>
      </c>
      <c r="H1074" s="126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IF(E1074="","",IF(ISNUMBER(SEARCH("SUBSOLO",E1074)),IFERROR(-VALUE(LEFT(E1074,FIND("º",SUBSTITUTE(E1074,"°","º"))-1)),-1),IF(LEFT(E1074,6)="TÉRREO",0,IFERROR(VALUE(LEFT(E1074,FIND("º",SUBSTITUTE(E1074,"°","º"))-1)),""))))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26" t="n">
        <v>46490</v>
      </c>
      <c r="G1075" s="126" t="n">
        <v>46503</v>
      </c>
      <c r="H1075" s="126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IF(E1075="","",IF(ISNUMBER(SEARCH("SUBSOLO",E1075)),IFERROR(-VALUE(LEFT(E1075,FIND("º",SUBSTITUTE(E1075,"°","º"))-1)),-1),IF(LEFT(E1075,6)="TÉRREO",0,IFERROR(VALUE(LEFT(E1075,FIND("º",SUBSTITUTE(E1075,"°","º"))-1)),""))))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26" t="n">
        <v>46490</v>
      </c>
      <c r="G1076" s="126" t="n">
        <v>46503</v>
      </c>
      <c r="H1076" s="126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IF(E1076="","",IF(ISNUMBER(SEARCH("SUBSOLO",E1076)),IFERROR(-VALUE(LEFT(E1076,FIND("º",SUBSTITUTE(E1076,"°","º"))-1)),-1),IF(LEFT(E1076,6)="TÉRREO",0,IFERROR(VALUE(LEFT(E1076,FIND("º",SUBSTITUTE(E1076,"°","º"))-1)),""))))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26" t="n">
        <v>46490</v>
      </c>
      <c r="G1077" s="126" t="n">
        <v>46503</v>
      </c>
      <c r="H1077" s="126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IF(E1077="","",IF(ISNUMBER(SEARCH("SUBSOLO",E1077)),IFERROR(-VALUE(LEFT(E1077,FIND("º",SUBSTITUTE(E1077,"°","º"))-1)),-1),IF(LEFT(E1077,6)="TÉRREO",0,IFERROR(VALUE(LEFT(E1077,FIND("º",SUBSTITUTE(E1077,"°","º"))-1)),""))))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26" t="n">
        <v>46490</v>
      </c>
      <c r="G1078" s="126" t="n">
        <v>46503</v>
      </c>
      <c r="H1078" s="126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IF(E1078="","",IF(ISNUMBER(SEARCH("SUBSOLO",E1078)),IFERROR(-VALUE(LEFT(E1078,FIND("º",SUBSTITUTE(E1078,"°","º"))-1)),-1),IF(LEFT(E1078,6)="TÉRREO",0,IFERROR(VALUE(LEFT(E1078,FIND("º",SUBSTITUTE(E1078,"°","º"))-1)),""))))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26" t="n">
        <v>46493</v>
      </c>
      <c r="G1079" s="126" t="n">
        <v>46507</v>
      </c>
      <c r="H1079" s="126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IF(E1079="","",IF(ISNUMBER(SEARCH("SUBSOLO",E1079)),IFERROR(-VALUE(LEFT(E1079,FIND("º",SUBSTITUTE(E1079,"°","º"))-1)),-1),IF(LEFT(E1079,6)="TÉRREO",0,IFERROR(VALUE(LEFT(E1079,FIND("º",SUBSTITUTE(E1079,"°","º"))-1)),""))))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26" t="n">
        <v>46493</v>
      </c>
      <c r="G1080" s="126" t="n">
        <v>46506</v>
      </c>
      <c r="H1080" s="126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IF(E1080="","",IF(ISNUMBER(SEARCH("SUBSOLO",E1080)),IFERROR(-VALUE(LEFT(E1080,FIND("º",SUBSTITUTE(E1080,"°","º"))-1)),-1),IF(LEFT(E1080,6)="TÉRREO",0,IFERROR(VALUE(LEFT(E1080,FIND("º",SUBSTITUTE(E1080,"°","º"))-1)),""))))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26" t="n">
        <v>46493</v>
      </c>
      <c r="G1081" s="126" t="n">
        <v>46506</v>
      </c>
      <c r="H1081" s="126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IF(E1081="","",IF(ISNUMBER(SEARCH("SUBSOLO",E1081)),IFERROR(-VALUE(LEFT(E1081,FIND("º",SUBSTITUTE(E1081,"°","º"))-1)),-1),IF(LEFT(E1081,6)="TÉRREO",0,IFERROR(VALUE(LEFT(E1081,FIND("º",SUBSTITUTE(E1081,"°","º"))-1)),""))))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26" t="n">
        <v>46493</v>
      </c>
      <c r="G1082" s="126" t="n">
        <v>46493</v>
      </c>
      <c r="H1082" s="126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IF(E1082="","",IF(ISNUMBER(SEARCH("SUBSOLO",E1082)),IFERROR(-VALUE(LEFT(E1082,FIND("º",SUBSTITUTE(E1082,"°","º"))-1)),-1),IF(LEFT(E1082,6)="TÉRREO",0,IFERROR(VALUE(LEFT(E1082,FIND("º",SUBSTITUTE(E1082,"°","º"))-1)),""))))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26" t="n">
        <v>46493</v>
      </c>
      <c r="G1083" s="126" t="n">
        <v>46506</v>
      </c>
      <c r="H1083" s="126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IF(E1083="","",IF(ISNUMBER(SEARCH("SUBSOLO",E1083)),IFERROR(-VALUE(LEFT(E1083,FIND("º",SUBSTITUTE(E1083,"°","º"))-1)),-1),IF(LEFT(E1083,6)="TÉRREO",0,IFERROR(VALUE(LEFT(E1083,FIND("º",SUBSTITUTE(E1083,"°","º"))-1)),""))))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26" t="n">
        <v>46493</v>
      </c>
      <c r="G1084" s="126" t="n">
        <v>46500</v>
      </c>
      <c r="H1084" s="126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IF(E1084="","",IF(ISNUMBER(SEARCH("SUBSOLO",E1084)),IFERROR(-VALUE(LEFT(E1084,FIND("º",SUBSTITUTE(E1084,"°","º"))-1)),-1),IF(LEFT(E1084,6)="TÉRREO",0,IFERROR(VALUE(LEFT(E1084,FIND("º",SUBSTITUTE(E1084,"°","º"))-1)),""))))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26" t="n">
        <v>46496</v>
      </c>
      <c r="G1085" s="126" t="n">
        <v>46507</v>
      </c>
      <c r="H1085" s="126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IF(E1085="","",IF(ISNUMBER(SEARCH("SUBSOLO",E1085)),IFERROR(-VALUE(LEFT(E1085,FIND("º",SUBSTITUTE(E1085,"°","º"))-1)),-1),IF(LEFT(E1085,6)="TÉRREO",0,IFERROR(VALUE(LEFT(E1085,FIND("º",SUBSTITUTE(E1085,"°","º"))-1)),""))))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26" t="n">
        <v>46496</v>
      </c>
      <c r="G1086" s="126" t="n">
        <v>46507</v>
      </c>
      <c r="H1086" s="126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IF(E1086="","",IF(ISNUMBER(SEARCH("SUBSOLO",E1086)),IFERROR(-VALUE(LEFT(E1086,FIND("º",SUBSTITUTE(E1086,"°","º"))-1)),-1),IF(LEFT(E1086,6)="TÉRREO",0,IFERROR(VALUE(LEFT(E1086,FIND("º",SUBSTITUTE(E1086,"°","º"))-1)),""))))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26" t="n">
        <v>46496</v>
      </c>
      <c r="G1087" s="126" t="n">
        <v>46507</v>
      </c>
      <c r="H1087" s="126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IF(E1087="","",IF(ISNUMBER(SEARCH("SUBSOLO",E1087)),IFERROR(-VALUE(LEFT(E1087,FIND("º",SUBSTITUTE(E1087,"°","º"))-1)),-1),IF(LEFT(E1087,6)="TÉRREO",0,IFERROR(VALUE(LEFT(E1087,FIND("º",SUBSTITUTE(E1087,"°","º"))-1)),""))))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26" t="n">
        <v>46497</v>
      </c>
      <c r="G1088" s="126" t="n">
        <v>46511</v>
      </c>
      <c r="H1088" s="126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IF(E1088="","",IF(ISNUMBER(SEARCH("SUBSOLO",E1088)),IFERROR(-VALUE(LEFT(E1088,FIND("º",SUBSTITUTE(E1088,"°","º"))-1)),-1),IF(LEFT(E1088,6)="TÉRREO",0,IFERROR(VALUE(LEFT(E1088,FIND("º",SUBSTITUTE(E1088,"°","º"))-1)),""))))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26" t="n">
        <v>46497</v>
      </c>
      <c r="G1089" s="126" t="n">
        <v>46527</v>
      </c>
      <c r="H1089" s="126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IF(E1089="","",IF(ISNUMBER(SEARCH("SUBSOLO",E1089)),IFERROR(-VALUE(LEFT(E1089,FIND("º",SUBSTITUTE(E1089,"°","º"))-1)),-1),IF(LEFT(E1089,6)="TÉRREO",0,IFERROR(VALUE(LEFT(E1089,FIND("º",SUBSTITUTE(E1089,"°","º"))-1)),""))))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26" t="n">
        <v>46497</v>
      </c>
      <c r="G1090" s="126" t="n">
        <v>46518</v>
      </c>
      <c r="H1090" s="126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IF(E1090="","",IF(ISNUMBER(SEARCH("SUBSOLO",E1090)),IFERROR(-VALUE(LEFT(E1090,FIND("º",SUBSTITUTE(E1090,"°","º"))-1)),-1),IF(LEFT(E1090,6)="TÉRREO",0,IFERROR(VALUE(LEFT(E1090,FIND("º",SUBSTITUTE(E1090,"°","º"))-1)),""))))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26" t="n">
        <v>46497</v>
      </c>
      <c r="G1091" s="126" t="n">
        <v>46504</v>
      </c>
      <c r="H1091" s="126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IF(E1091="","",IF(ISNUMBER(SEARCH("SUBSOLO",E1091)),IFERROR(-VALUE(LEFT(E1091,FIND("º",SUBSTITUTE(E1091,"°","º"))-1)),-1),IF(LEFT(E1091,6)="TÉRREO",0,IFERROR(VALUE(LEFT(E1091,FIND("º",SUBSTITUTE(E1091,"°","º"))-1)),""))))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26" t="n">
        <v>46497</v>
      </c>
      <c r="G1092" s="126" t="n">
        <v>46511</v>
      </c>
      <c r="H1092" s="126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IF(E1092="","",IF(ISNUMBER(SEARCH("SUBSOLO",E1092)),IFERROR(-VALUE(LEFT(E1092,FIND("º",SUBSTITUTE(E1092,"°","º"))-1)),-1),IF(LEFT(E1092,6)="TÉRREO",0,IFERROR(VALUE(LEFT(E1092,FIND("º",SUBSTITUTE(E1092,"°","º"))-1)),""))))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26" t="n">
        <v>46497</v>
      </c>
      <c r="G1093" s="126" t="n">
        <v>46518</v>
      </c>
      <c r="H1093" s="126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IF(E1093="","",IF(ISNUMBER(SEARCH("SUBSOLO",E1093)),IFERROR(-VALUE(LEFT(E1093,FIND("º",SUBSTITUTE(E1093,"°","º"))-1)),-1),IF(LEFT(E1093,6)="TÉRREO",0,IFERROR(VALUE(LEFT(E1093,FIND("º",SUBSTITUTE(E1093,"°","º"))-1)),""))))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26" t="n">
        <v>46497</v>
      </c>
      <c r="G1094" s="126" t="n">
        <v>46518</v>
      </c>
      <c r="H1094" s="126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IF(E1094="","",IF(ISNUMBER(SEARCH("SUBSOLO",E1094)),IFERROR(-VALUE(LEFT(E1094,FIND("º",SUBSTITUTE(E1094,"°","º"))-1)),-1),IF(LEFT(E1094,6)="TÉRREO",0,IFERROR(VALUE(LEFT(E1094,FIND("º",SUBSTITUTE(E1094,"°","º"))-1)),""))))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26" t="n">
        <v>46497</v>
      </c>
      <c r="G1095" s="126" t="n">
        <v>46611</v>
      </c>
      <c r="H1095" s="126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IF(E1095="","",IF(ISNUMBER(SEARCH("SUBSOLO",E1095)),IFERROR(-VALUE(LEFT(E1095,FIND("º",SUBSTITUTE(E1095,"°","º"))-1)),-1),IF(LEFT(E1095,6)="TÉRREO",0,IFERROR(VALUE(LEFT(E1095,FIND("º",SUBSTITUTE(E1095,"°","º"))-1)),""))))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26" t="n">
        <v>46497</v>
      </c>
      <c r="G1096" s="126" t="n">
        <v>46560</v>
      </c>
      <c r="H1096" s="126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IF(E1096="","",IF(ISNUMBER(SEARCH("SUBSOLO",E1096)),IFERROR(-VALUE(LEFT(E1096,FIND("º",SUBSTITUTE(E1096,"°","º"))-1)),-1),IF(LEFT(E1096,6)="TÉRREO",0,IFERROR(VALUE(LEFT(E1096,FIND("º",SUBSTITUTE(E1096,"°","º"))-1)),""))))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26" t="n">
        <v>46519</v>
      </c>
      <c r="G1097" s="126" t="n">
        <v>46581</v>
      </c>
      <c r="H1097" s="126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IF(E1097="","",IF(ISNUMBER(SEARCH("SUBSOLO",E1097)),IFERROR(-VALUE(LEFT(E1097,FIND("º",SUBSTITUTE(E1097,"°","º"))-1)),-1),IF(LEFT(E1097,6)="TÉRREO",0,IFERROR(VALUE(LEFT(E1097,FIND("º",SUBSTITUTE(E1097,"°","º"))-1)),""))))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26" t="n">
        <v>46582</v>
      </c>
      <c r="G1098" s="126" t="n">
        <v>46611</v>
      </c>
      <c r="H1098" s="126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IF(E1098="","",IF(ISNUMBER(SEARCH("SUBSOLO",E1098)),IFERROR(-VALUE(LEFT(E1098,FIND("º",SUBSTITUTE(E1098,"°","º"))-1)),-1),IF(LEFT(E1098,6)="TÉRREO",0,IFERROR(VALUE(LEFT(E1098,FIND("º",SUBSTITUTE(E1098,"°","º"))-1)),""))))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26" t="n">
        <v>46499</v>
      </c>
      <c r="G1099" s="126" t="n">
        <v>46511</v>
      </c>
      <c r="H1099" s="126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IF(E1099="","",IF(ISNUMBER(SEARCH("SUBSOLO",E1099)),IFERROR(-VALUE(LEFT(E1099,FIND("º",SUBSTITUTE(E1099,"°","º"))-1)),-1),IF(LEFT(E1099,6)="TÉRREO",0,IFERROR(VALUE(LEFT(E1099,FIND("º",SUBSTITUTE(E1099,"°","º"))-1)),""))))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26" t="n">
        <v>46499</v>
      </c>
      <c r="G1100" s="126" t="n">
        <v>46511</v>
      </c>
      <c r="H1100" s="126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IF(E1100="","",IF(ISNUMBER(SEARCH("SUBSOLO",E1100)),IFERROR(-VALUE(LEFT(E1100,FIND("º",SUBSTITUTE(E1100,"°","º"))-1)),-1),IF(LEFT(E1100,6)="TÉRREO",0,IFERROR(VALUE(LEFT(E1100,FIND("º",SUBSTITUTE(E1100,"°","º"))-1)),""))))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26" t="n">
        <v>46499</v>
      </c>
      <c r="G1101" s="126" t="n">
        <v>46511</v>
      </c>
      <c r="H1101" s="126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IF(E1101="","",IF(ISNUMBER(SEARCH("SUBSOLO",E1101)),IFERROR(-VALUE(LEFT(E1101,FIND("º",SUBSTITUTE(E1101,"°","º"))-1)),-1),IF(LEFT(E1101,6)="TÉRREO",0,IFERROR(VALUE(LEFT(E1101,FIND("º",SUBSTITUTE(E1101,"°","º"))-1)),""))))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26" t="n">
        <v>46499</v>
      </c>
      <c r="G1102" s="126" t="n">
        <v>46511</v>
      </c>
      <c r="H1102" s="126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IF(E1102="","",IF(ISNUMBER(SEARCH("SUBSOLO",E1102)),IFERROR(-VALUE(LEFT(E1102,FIND("º",SUBSTITUTE(E1102,"°","º"))-1)),-1),IF(LEFT(E1102,6)="TÉRREO",0,IFERROR(VALUE(LEFT(E1102,FIND("º",SUBSTITUTE(E1102,"°","º"))-1)),""))))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26" t="n">
        <v>46500</v>
      </c>
      <c r="G1103" s="126" t="n">
        <v>46594</v>
      </c>
      <c r="H1103" s="126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IF(E1103="","",IF(ISNUMBER(SEARCH("SUBSOLO",E1103)),IFERROR(-VALUE(LEFT(E1103,FIND("º",SUBSTITUTE(E1103,"°","º"))-1)),-1),IF(LEFT(E1103,6)="TÉRREO",0,IFERROR(VALUE(LEFT(E1103,FIND("º",SUBSTITUTE(E1103,"°","º"))-1)),""))))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26" t="n">
        <v>46500</v>
      </c>
      <c r="G1104" s="126" t="n">
        <v>46512</v>
      </c>
      <c r="H1104" s="126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IF(E1104="","",IF(ISNUMBER(SEARCH("SUBSOLO",E1104)),IFERROR(-VALUE(LEFT(E1104,FIND("º",SUBSTITUTE(E1104,"°","º"))-1)),-1),IF(LEFT(E1104,6)="TÉRREO",0,IFERROR(VALUE(LEFT(E1104,FIND("º",SUBSTITUTE(E1104,"°","º"))-1)),""))))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26" t="n">
        <v>46500</v>
      </c>
      <c r="G1105" s="126" t="n">
        <v>46512</v>
      </c>
      <c r="H1105" s="126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IF(E1105="","",IF(ISNUMBER(SEARCH("SUBSOLO",E1105)),IFERROR(-VALUE(LEFT(E1105,FIND("º",SUBSTITUTE(E1105,"°","º"))-1)),-1),IF(LEFT(E1105,6)="TÉRREO",0,IFERROR(VALUE(LEFT(E1105,FIND("º",SUBSTITUTE(E1105,"°","º"))-1)),""))))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26" t="n">
        <v>46503</v>
      </c>
      <c r="G1106" s="126" t="n">
        <v>46521</v>
      </c>
      <c r="H1106" s="126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IF(E1106="","",IF(ISNUMBER(SEARCH("SUBSOLO",E1106)),IFERROR(-VALUE(LEFT(E1106,FIND("º",SUBSTITUTE(E1106,"°","º"))-1)),-1),IF(LEFT(E1106,6)="TÉRREO",0,IFERROR(VALUE(LEFT(E1106,FIND("º",SUBSTITUTE(E1106,"°","º"))-1)),""))))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26" t="n">
        <v>46503</v>
      </c>
      <c r="G1107" s="126" t="n">
        <v>46507</v>
      </c>
      <c r="H1107" s="126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IF(E1107="","",IF(ISNUMBER(SEARCH("SUBSOLO",E1107)),IFERROR(-VALUE(LEFT(E1107,FIND("º",SUBSTITUTE(E1107,"°","º"))-1)),-1),IF(LEFT(E1107,6)="TÉRREO",0,IFERROR(VALUE(LEFT(E1107,FIND("º",SUBSTITUTE(E1107,"°","º"))-1)),""))))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26" t="n">
        <v>46504</v>
      </c>
      <c r="G1108" s="126" t="n">
        <v>46514</v>
      </c>
      <c r="H1108" s="126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IF(E1108="","",IF(ISNUMBER(SEARCH("SUBSOLO",E1108)),IFERROR(-VALUE(LEFT(E1108,FIND("º",SUBSTITUTE(E1108,"°","º"))-1)),-1),IF(LEFT(E1108,6)="TÉRREO",0,IFERROR(VALUE(LEFT(E1108,FIND("º",SUBSTITUTE(E1108,"°","º"))-1)),""))))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26" t="n">
        <v>46504</v>
      </c>
      <c r="G1109" s="126" t="n">
        <v>46514</v>
      </c>
      <c r="H1109" s="126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IF(E1109="","",IF(ISNUMBER(SEARCH("SUBSOLO",E1109)),IFERROR(-VALUE(LEFT(E1109,FIND("º",SUBSTITUTE(E1109,"°","º"))-1)),-1),IF(LEFT(E1109,6)="TÉRREO",0,IFERROR(VALUE(LEFT(E1109,FIND("º",SUBSTITUTE(E1109,"°","º"))-1)),""))))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26" t="n">
        <v>46504</v>
      </c>
      <c r="G1110" s="126" t="n">
        <v>46514</v>
      </c>
      <c r="H1110" s="126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IF(E1110="","",IF(ISNUMBER(SEARCH("SUBSOLO",E1110)),IFERROR(-VALUE(LEFT(E1110,FIND("º",SUBSTITUTE(E1110,"°","º"))-1)),-1),IF(LEFT(E1110,6)="TÉRREO",0,IFERROR(VALUE(LEFT(E1110,FIND("º",SUBSTITUTE(E1110,"°","º"))-1)),""))))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26" t="n">
        <v>46504</v>
      </c>
      <c r="G1111" s="126" t="n">
        <v>46517</v>
      </c>
      <c r="H1111" s="126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IF(E1111="","",IF(ISNUMBER(SEARCH("SUBSOLO",E1111)),IFERROR(-VALUE(LEFT(E1111,FIND("º",SUBSTITUTE(E1111,"°","º"))-1)),-1),IF(LEFT(E1111,6)="TÉRREO",0,IFERROR(VALUE(LEFT(E1111,FIND("º",SUBSTITUTE(E1111,"°","º"))-1)),""))))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26" t="n">
        <v>46504</v>
      </c>
      <c r="G1112" s="126" t="n">
        <v>46514</v>
      </c>
      <c r="H1112" s="126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IF(E1112="","",IF(ISNUMBER(SEARCH("SUBSOLO",E1112)),IFERROR(-VALUE(LEFT(E1112,FIND("º",SUBSTITUTE(E1112,"°","º"))-1)),-1),IF(LEFT(E1112,6)="TÉRREO",0,IFERROR(VALUE(LEFT(E1112,FIND("º",SUBSTITUTE(E1112,"°","º"))-1)),""))))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26" t="n">
        <v>46504</v>
      </c>
      <c r="G1113" s="126" t="n">
        <v>46514</v>
      </c>
      <c r="H1113" s="126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IF(E1113="","",IF(ISNUMBER(SEARCH("SUBSOLO",E1113)),IFERROR(-VALUE(LEFT(E1113,FIND("º",SUBSTITUTE(E1113,"°","º"))-1)),-1),IF(LEFT(E1113,6)="TÉRREO",0,IFERROR(VALUE(LEFT(E1113,FIND("º",SUBSTITUTE(E1113,"°","º"))-1)),""))))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26" t="n">
        <v>46507</v>
      </c>
      <c r="G1114" s="126" t="n">
        <v>46527</v>
      </c>
      <c r="H1114" s="126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IF(E1114="","",IF(ISNUMBER(SEARCH("SUBSOLO",E1114)),IFERROR(-VALUE(LEFT(E1114,FIND("º",SUBSTITUTE(E1114,"°","º"))-1)),-1),IF(LEFT(E1114,6)="TÉRREO",0,IFERROR(VALUE(LEFT(E1114,FIND("º",SUBSTITUTE(E1114,"°","º"))-1)),""))))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26" t="n">
        <v>46507</v>
      </c>
      <c r="G1115" s="126" t="n">
        <v>46519</v>
      </c>
      <c r="H1115" s="126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IF(E1115="","",IF(ISNUMBER(SEARCH("SUBSOLO",E1115)),IFERROR(-VALUE(LEFT(E1115,FIND("º",SUBSTITUTE(E1115,"°","º"))-1)),-1),IF(LEFT(E1115,6)="TÉRREO",0,IFERROR(VALUE(LEFT(E1115,FIND("º",SUBSTITUTE(E1115,"°","º"))-1)),""))))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26" t="n">
        <v>46507</v>
      </c>
      <c r="G1116" s="126" t="n">
        <v>46520</v>
      </c>
      <c r="H1116" s="126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IF(E1116="","",IF(ISNUMBER(SEARCH("SUBSOLO",E1116)),IFERROR(-VALUE(LEFT(E1116,FIND("º",SUBSTITUTE(E1116,"°","º"))-1)),-1),IF(LEFT(E1116,6)="TÉRREO",0,IFERROR(VALUE(LEFT(E1116,FIND("º",SUBSTITUTE(E1116,"°","º"))-1)),""))))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26" t="n">
        <v>46507</v>
      </c>
      <c r="G1117" s="126" t="n">
        <v>46527</v>
      </c>
      <c r="H1117" s="126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IF(E1117="","",IF(ISNUMBER(SEARCH("SUBSOLO",E1117)),IFERROR(-VALUE(LEFT(E1117,FIND("º",SUBSTITUTE(E1117,"°","º"))-1)),-1),IF(LEFT(E1117,6)="TÉRREO",0,IFERROR(VALUE(LEFT(E1117,FIND("º",SUBSTITUTE(E1117,"°","º"))-1)),""))))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26" t="n">
        <v>46507</v>
      </c>
      <c r="G1118" s="126" t="n">
        <v>46513</v>
      </c>
      <c r="H1118" s="126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IF(E1118="","",IF(ISNUMBER(SEARCH("SUBSOLO",E1118)),IFERROR(-VALUE(LEFT(E1118,FIND("º",SUBSTITUTE(E1118,"°","º"))-1)),-1),IF(LEFT(E1118,6)="TÉRREO",0,IFERROR(VALUE(LEFT(E1118,FIND("º",SUBSTITUTE(E1118,"°","º"))-1)),""))))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26" t="n">
        <v>46510</v>
      </c>
      <c r="G1119" s="126" t="n">
        <v>46540</v>
      </c>
      <c r="H1119" s="126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IF(E1119="","",IF(ISNUMBER(SEARCH("SUBSOLO",E1119)),IFERROR(-VALUE(LEFT(E1119,FIND("º",SUBSTITUTE(E1119,"°","º"))-1)),-1),IF(LEFT(E1119,6)="TÉRREO",0,IFERROR(VALUE(LEFT(E1119,FIND("º",SUBSTITUTE(E1119,"°","º"))-1)),""))))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26" t="n">
        <v>46510</v>
      </c>
      <c r="G1120" s="126" t="n">
        <v>46521</v>
      </c>
      <c r="H1120" s="126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IF(E1120="","",IF(ISNUMBER(SEARCH("SUBSOLO",E1120)),IFERROR(-VALUE(LEFT(E1120,FIND("º",SUBSTITUTE(E1120,"°","º"))-1)),-1),IF(LEFT(E1120,6)="TÉRREO",0,IFERROR(VALUE(LEFT(E1120,FIND("º",SUBSTITUTE(E1120,"°","º"))-1)),""))))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26" t="n">
        <v>46510</v>
      </c>
      <c r="G1121" s="126" t="n">
        <v>46520</v>
      </c>
      <c r="H1121" s="126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IF(E1121="","",IF(ISNUMBER(SEARCH("SUBSOLO",E1121)),IFERROR(-VALUE(LEFT(E1121,FIND("º",SUBSTITUTE(E1121,"°","º"))-1)),-1),IF(LEFT(E1121,6)="TÉRREO",0,IFERROR(VALUE(LEFT(E1121,FIND("º",SUBSTITUTE(E1121,"°","º"))-1)),""))))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26" t="n">
        <v>46510</v>
      </c>
      <c r="G1122" s="126" t="n">
        <v>46528</v>
      </c>
      <c r="H1122" s="126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IF(E1122="","",IF(ISNUMBER(SEARCH("SUBSOLO",E1122)),IFERROR(-VALUE(LEFT(E1122,FIND("º",SUBSTITUTE(E1122,"°","º"))-1)),-1),IF(LEFT(E1122,6)="TÉRREO",0,IFERROR(VALUE(LEFT(E1122,FIND("º",SUBSTITUTE(E1122,"°","º"))-1)),""))))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26" t="n">
        <v>46510</v>
      </c>
      <c r="G1123" s="126" t="n">
        <v>46514</v>
      </c>
      <c r="H1123" s="126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IF(E1123="","",IF(ISNUMBER(SEARCH("SUBSOLO",E1123)),IFERROR(-VALUE(LEFT(E1123,FIND("º",SUBSTITUTE(E1123,"°","º"))-1)),-1),IF(LEFT(E1123,6)="TÉRREO",0,IFERROR(VALUE(LEFT(E1123,FIND("º",SUBSTITUTE(E1123,"°","º"))-1)),""))))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26" t="n">
        <v>46512</v>
      </c>
      <c r="G1124" s="126" t="n">
        <v>46512</v>
      </c>
      <c r="H1124" s="126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IF(E1124="","",IF(ISNUMBER(SEARCH("SUBSOLO",E1124)),IFERROR(-VALUE(LEFT(E1124,FIND("º",SUBSTITUTE(E1124,"°","º"))-1)),-1),IF(LEFT(E1124,6)="TÉRREO",0,IFERROR(VALUE(LEFT(E1124,FIND("º",SUBSTITUTE(E1124,"°","º"))-1)),""))))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26" t="n">
        <v>46512</v>
      </c>
      <c r="G1125" s="126" t="n">
        <v>46532</v>
      </c>
      <c r="H1125" s="126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IF(E1125="","",IF(ISNUMBER(SEARCH("SUBSOLO",E1125)),IFERROR(-VALUE(LEFT(E1125,FIND("º",SUBSTITUTE(E1125,"°","º"))-1)),-1),IF(LEFT(E1125,6)="TÉRREO",0,IFERROR(VALUE(LEFT(E1125,FIND("º",SUBSTITUTE(E1125,"°","º"))-1)),""))))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26" t="n">
        <v>46512</v>
      </c>
      <c r="G1126" s="126" t="n">
        <v>46518</v>
      </c>
      <c r="H1126" s="126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IF(E1126="","",IF(ISNUMBER(SEARCH("SUBSOLO",E1126)),IFERROR(-VALUE(LEFT(E1126,FIND("º",SUBSTITUTE(E1126,"°","º"))-1)),-1),IF(LEFT(E1126,6)="TÉRREO",0,IFERROR(VALUE(LEFT(E1126,FIND("º",SUBSTITUTE(E1126,"°","º"))-1)),""))))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26" t="n">
        <v>46512</v>
      </c>
      <c r="G1127" s="126" t="n">
        <v>46524</v>
      </c>
      <c r="H1127" s="126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IF(E1127="","",IF(ISNUMBER(SEARCH("SUBSOLO",E1127)),IFERROR(-VALUE(LEFT(E1127,FIND("º",SUBSTITUTE(E1127,"°","º"))-1)),-1),IF(LEFT(E1127,6)="TÉRREO",0,IFERROR(VALUE(LEFT(E1127,FIND("º",SUBSTITUTE(E1127,"°","º"))-1)),""))))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26" t="n">
        <v>46512</v>
      </c>
      <c r="G1128" s="126" t="n">
        <v>46524</v>
      </c>
      <c r="H1128" s="126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IF(E1128="","",IF(ISNUMBER(SEARCH("SUBSOLO",E1128)),IFERROR(-VALUE(LEFT(E1128,FIND("º",SUBSTITUTE(E1128,"°","º"))-1)),-1),IF(LEFT(E1128,6)="TÉRREO",0,IFERROR(VALUE(LEFT(E1128,FIND("º",SUBSTITUTE(E1128,"°","º"))-1)),""))))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26" t="n">
        <v>46512</v>
      </c>
      <c r="G1129" s="126" t="n">
        <v>46524</v>
      </c>
      <c r="H1129" s="126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IF(E1129="","",IF(ISNUMBER(SEARCH("SUBSOLO",E1129)),IFERROR(-VALUE(LEFT(E1129,FIND("º",SUBSTITUTE(E1129,"°","º"))-1)),-1),IF(LEFT(E1129,6)="TÉRREO",0,IFERROR(VALUE(LEFT(E1129,FIND("º",SUBSTITUTE(E1129,"°","º"))-1)),""))))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26" t="n">
        <v>46513</v>
      </c>
      <c r="G1130" s="126" t="n">
        <v>46525</v>
      </c>
      <c r="H1130" s="126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IF(E1130="","",IF(ISNUMBER(SEARCH("SUBSOLO",E1130)),IFERROR(-VALUE(LEFT(E1130,FIND("º",SUBSTITUTE(E1130,"°","º"))-1)),-1),IF(LEFT(E1130,6)="TÉRREO",0,IFERROR(VALUE(LEFT(E1130,FIND("º",SUBSTITUTE(E1130,"°","º"))-1)),""))))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26" t="n">
        <v>46513</v>
      </c>
      <c r="G1131" s="126" t="n">
        <v>46525</v>
      </c>
      <c r="H1131" s="126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IF(E1131="","",IF(ISNUMBER(SEARCH("SUBSOLO",E1131)),IFERROR(-VALUE(LEFT(E1131,FIND("º",SUBSTITUTE(E1131,"°","º"))-1)),-1),IF(LEFT(E1131,6)="TÉRREO",0,IFERROR(VALUE(LEFT(E1131,FIND("º",SUBSTITUTE(E1131,"°","º"))-1)),""))))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26" t="n">
        <v>46517</v>
      </c>
      <c r="G1132" s="126" t="n">
        <v>46527</v>
      </c>
      <c r="H1132" s="126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IF(E1132="","",IF(ISNUMBER(SEARCH("SUBSOLO",E1132)),IFERROR(-VALUE(LEFT(E1132,FIND("º",SUBSTITUTE(E1132,"°","º"))-1)),-1),IF(LEFT(E1132,6)="TÉRREO",0,IFERROR(VALUE(LEFT(E1132,FIND("º",SUBSTITUTE(E1132,"°","º"))-1)),""))))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26" t="n">
        <v>46517</v>
      </c>
      <c r="G1133" s="126" t="n">
        <v>46527</v>
      </c>
      <c r="H1133" s="126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IF(E1133="","",IF(ISNUMBER(SEARCH("SUBSOLO",E1133)),IFERROR(-VALUE(LEFT(E1133,FIND("º",SUBSTITUTE(E1133,"°","º"))-1)),-1),IF(LEFT(E1133,6)="TÉRREO",0,IFERROR(VALUE(LEFT(E1133,FIND("º",SUBSTITUTE(E1133,"°","º"))-1)),""))))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26" t="n">
        <v>46517</v>
      </c>
      <c r="G1134" s="126" t="n">
        <v>46527</v>
      </c>
      <c r="H1134" s="126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IF(E1134="","",IF(ISNUMBER(SEARCH("SUBSOLO",E1134)),IFERROR(-VALUE(LEFT(E1134,FIND("º",SUBSTITUTE(E1134,"°","º"))-1)),-1),IF(LEFT(E1134,6)="TÉRREO",0,IFERROR(VALUE(LEFT(E1134,FIND("º",SUBSTITUTE(E1134,"°","º"))-1)),""))))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26" t="n">
        <v>46517</v>
      </c>
      <c r="G1135" s="126" t="n">
        <v>46527</v>
      </c>
      <c r="H1135" s="126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IF(E1135="","",IF(ISNUMBER(SEARCH("SUBSOLO",E1135)),IFERROR(-VALUE(LEFT(E1135,FIND("º",SUBSTITUTE(E1135,"°","º"))-1)),-1),IF(LEFT(E1135,6)="TÉRREO",0,IFERROR(VALUE(LEFT(E1135,FIND("º",SUBSTITUTE(E1135,"°","º"))-1)),""))))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26" t="n">
        <v>46517</v>
      </c>
      <c r="G1136" s="126" t="n">
        <v>46527</v>
      </c>
      <c r="H1136" s="126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IF(E1136="","",IF(ISNUMBER(SEARCH("SUBSOLO",E1136)),IFERROR(-VALUE(LEFT(E1136,FIND("º",SUBSTITUTE(E1136,"°","º"))-1)),-1),IF(LEFT(E1136,6)="TÉRREO",0,IFERROR(VALUE(LEFT(E1136,FIND("º",SUBSTITUTE(E1136,"°","º"))-1)),""))))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26" t="n">
        <v>46518</v>
      </c>
      <c r="G1137" s="126" t="n">
        <v>46531</v>
      </c>
      <c r="H1137" s="126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IF(E1137="","",IF(ISNUMBER(SEARCH("SUBSOLO",E1137)),IFERROR(-VALUE(LEFT(E1137,FIND("º",SUBSTITUTE(E1137,"°","º"))-1)),-1),IF(LEFT(E1137,6)="TÉRREO",0,IFERROR(VALUE(LEFT(E1137,FIND("º",SUBSTITUTE(E1137,"°","º"))-1)),""))))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26" t="n">
        <v>46519</v>
      </c>
      <c r="G1138" s="126" t="n">
        <v>46540</v>
      </c>
      <c r="H1138" s="126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IF(E1138="","",IF(ISNUMBER(SEARCH("SUBSOLO",E1138)),IFERROR(-VALUE(LEFT(E1138,FIND("º",SUBSTITUTE(E1138,"°","º"))-1)),-1),IF(LEFT(E1138,6)="TÉRREO",0,IFERROR(VALUE(LEFT(E1138,FIND("º",SUBSTITUTE(E1138,"°","º"))-1)),""))))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26" t="n">
        <v>46519</v>
      </c>
      <c r="G1139" s="126" t="n">
        <v>46540</v>
      </c>
      <c r="H1139" s="126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IF(E1139="","",IF(ISNUMBER(SEARCH("SUBSOLO",E1139)),IFERROR(-VALUE(LEFT(E1139,FIND("º",SUBSTITUTE(E1139,"°","º"))-1)),-1),IF(LEFT(E1139,6)="TÉRREO",0,IFERROR(VALUE(LEFT(E1139,FIND("º",SUBSTITUTE(E1139,"°","º"))-1)),""))))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26" t="n">
        <v>46519</v>
      </c>
      <c r="G1140" s="126" t="n">
        <v>46540</v>
      </c>
      <c r="H1140" s="126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IF(E1140="","",IF(ISNUMBER(SEARCH("SUBSOLO",E1140)),IFERROR(-VALUE(LEFT(E1140,FIND("º",SUBSTITUTE(E1140,"°","º"))-1)),-1),IF(LEFT(E1140,6)="TÉRREO",0,IFERROR(VALUE(LEFT(E1140,FIND("º",SUBSTITUTE(E1140,"°","º"))-1)),""))))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26" t="n">
        <v>46519</v>
      </c>
      <c r="G1141" s="126" t="n">
        <v>46540</v>
      </c>
      <c r="H1141" s="126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IF(E1141="","",IF(ISNUMBER(SEARCH("SUBSOLO",E1141)),IFERROR(-VALUE(LEFT(E1141,FIND("º",SUBSTITUTE(E1141,"°","º"))-1)),-1),IF(LEFT(E1141,6)="TÉRREO",0,IFERROR(VALUE(LEFT(E1141,FIND("º",SUBSTITUTE(E1141,"°","º"))-1)),""))))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26" t="n">
        <v>46519</v>
      </c>
      <c r="G1142" s="126" t="n">
        <v>46532</v>
      </c>
      <c r="H1142" s="126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IF(E1142="","",IF(ISNUMBER(SEARCH("SUBSOLO",E1142)),IFERROR(-VALUE(LEFT(E1142,FIND("º",SUBSTITUTE(E1142,"°","º"))-1)),-1),IF(LEFT(E1142,6)="TÉRREO",0,IFERROR(VALUE(LEFT(E1142,FIND("º",SUBSTITUTE(E1142,"°","º"))-1)),""))))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26" t="n">
        <v>46520</v>
      </c>
      <c r="G1143" s="126" t="n">
        <v>46532</v>
      </c>
      <c r="H1143" s="126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IF(E1143="","",IF(ISNUMBER(SEARCH("SUBSOLO",E1143)),IFERROR(-VALUE(LEFT(E1143,FIND("º",SUBSTITUTE(E1143,"°","º"))-1)),-1),IF(LEFT(E1143,6)="TÉRREO",0,IFERROR(VALUE(LEFT(E1143,FIND("º",SUBSTITUTE(E1143,"°","º"))-1)),""))))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26" t="n">
        <v>46520</v>
      </c>
      <c r="G1144" s="126" t="n">
        <v>46532</v>
      </c>
      <c r="H1144" s="126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IF(E1144="","",IF(ISNUMBER(SEARCH("SUBSOLO",E1144)),IFERROR(-VALUE(LEFT(E1144,FIND("º",SUBSTITUTE(E1144,"°","º"))-1)),-1),IF(LEFT(E1144,6)="TÉRREO",0,IFERROR(VALUE(LEFT(E1144,FIND("º",SUBSTITUTE(E1144,"°","º"))-1)),""))))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26" t="n">
        <v>46520</v>
      </c>
      <c r="G1145" s="126" t="n">
        <v>46532</v>
      </c>
      <c r="H1145" s="126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IF(E1145="","",IF(ISNUMBER(SEARCH("SUBSOLO",E1145)),IFERROR(-VALUE(LEFT(E1145,FIND("º",SUBSTITUTE(E1145,"°","º"))-1)),-1),IF(LEFT(E1145,6)="TÉRREO",0,IFERROR(VALUE(LEFT(E1145,FIND("º",SUBSTITUTE(E1145,"°","º"))-1)),""))))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26" t="n">
        <v>46521</v>
      </c>
      <c r="G1146" s="126" t="n">
        <v>46535</v>
      </c>
      <c r="H1146" s="126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IF(E1146="","",IF(ISNUMBER(SEARCH("SUBSOLO",E1146)),IFERROR(-VALUE(LEFT(E1146,FIND("º",SUBSTITUTE(E1146,"°","º"))-1)),-1),IF(LEFT(E1146,6)="TÉRREO",0,IFERROR(VALUE(LEFT(E1146,FIND("º",SUBSTITUTE(E1146,"°","º"))-1)),""))))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26" t="n">
        <v>46524</v>
      </c>
      <c r="G1147" s="126" t="n">
        <v>46528</v>
      </c>
      <c r="H1147" s="126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IF(E1147="","",IF(ISNUMBER(SEARCH("SUBSOLO",E1147)),IFERROR(-VALUE(LEFT(E1147,FIND("º",SUBSTITUTE(E1147,"°","º"))-1)),-1),IF(LEFT(E1147,6)="TÉRREO",0,IFERROR(VALUE(LEFT(E1147,FIND("º",SUBSTITUTE(E1147,"°","º"))-1)),""))))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26" t="n">
        <v>46524</v>
      </c>
      <c r="G1148" s="126" t="n">
        <v>46545</v>
      </c>
      <c r="H1148" s="126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IF(E1148="","",IF(ISNUMBER(SEARCH("SUBSOLO",E1148)),IFERROR(-VALUE(LEFT(E1148,FIND("º",SUBSTITUTE(E1148,"°","º"))-1)),-1),IF(LEFT(E1148,6)="TÉRREO",0,IFERROR(VALUE(LEFT(E1148,FIND("º",SUBSTITUTE(E1148,"°","º"))-1)),""))))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26" t="n">
        <v>46525</v>
      </c>
      <c r="G1149" s="126" t="n">
        <v>46538</v>
      </c>
      <c r="H1149" s="126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IF(E1149="","",IF(ISNUMBER(SEARCH("SUBSOLO",E1149)),IFERROR(-VALUE(LEFT(E1149,FIND("º",SUBSTITUTE(E1149,"°","º"))-1)),-1),IF(LEFT(E1149,6)="TÉRREO",0,IFERROR(VALUE(LEFT(E1149,FIND("º",SUBSTITUTE(E1149,"°","º"))-1)),""))))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26" t="n">
        <v>46525</v>
      </c>
      <c r="G1150" s="126" t="n">
        <v>46538</v>
      </c>
      <c r="H1150" s="126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IF(E1150="","",IF(ISNUMBER(SEARCH("SUBSOLO",E1150)),IFERROR(-VALUE(LEFT(E1150,FIND("º",SUBSTITUTE(E1150,"°","º"))-1)),-1),IF(LEFT(E1150,6)="TÉRREO",0,IFERROR(VALUE(LEFT(E1150,FIND("º",SUBSTITUTE(E1150,"°","º"))-1)),""))))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26" t="n">
        <v>46526</v>
      </c>
      <c r="G1151" s="126" t="n">
        <v>46540</v>
      </c>
      <c r="H1151" s="126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IF(E1151="","",IF(ISNUMBER(SEARCH("SUBSOLO",E1151)),IFERROR(-VALUE(LEFT(E1151,FIND("º",SUBSTITUTE(E1151,"°","º"))-1)),-1),IF(LEFT(E1151,6)="TÉRREO",0,IFERROR(VALUE(LEFT(E1151,FIND("º",SUBSTITUTE(E1151,"°","º"))-1)),""))))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26" t="n">
        <v>46526</v>
      </c>
      <c r="G1152" s="126" t="n">
        <v>46539</v>
      </c>
      <c r="H1152" s="126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IF(E1152="","",IF(ISNUMBER(SEARCH("SUBSOLO",E1152)),IFERROR(-VALUE(LEFT(E1152,FIND("º",SUBSTITUTE(E1152,"°","º"))-1)),-1),IF(LEFT(E1152,6)="TÉRREO",0,IFERROR(VALUE(LEFT(E1152,FIND("º",SUBSTITUTE(E1152,"°","º"))-1)),""))))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26" t="n">
        <v>46526</v>
      </c>
      <c r="G1153" s="126" t="n">
        <v>46526</v>
      </c>
      <c r="H1153" s="126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IF(E1153="","",IF(ISNUMBER(SEARCH("SUBSOLO",E1153)),IFERROR(-VALUE(LEFT(E1153,FIND("º",SUBSTITUTE(E1153,"°","º"))-1)),-1),IF(LEFT(E1153,6)="TÉRREO",0,IFERROR(VALUE(LEFT(E1153,FIND("º",SUBSTITUTE(E1153,"°","º"))-1)),""))))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26" t="n">
        <v>46527</v>
      </c>
      <c r="G1154" s="126" t="n">
        <v>46540</v>
      </c>
      <c r="H1154" s="126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IF(E1154="","",IF(ISNUMBER(SEARCH("SUBSOLO",E1154)),IFERROR(-VALUE(LEFT(E1154,FIND("º",SUBSTITUTE(E1154,"°","º"))-1)),-1),IF(LEFT(E1154,6)="TÉRREO",0,IFERROR(VALUE(LEFT(E1154,FIND("º",SUBSTITUTE(E1154,"°","º"))-1)),""))))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26" t="n">
        <v>46528</v>
      </c>
      <c r="G1155" s="126" t="n">
        <v>46560</v>
      </c>
      <c r="H1155" s="126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IF(E1155="","",IF(ISNUMBER(SEARCH("SUBSOLO",E1155)),IFERROR(-VALUE(LEFT(E1155,FIND("º",SUBSTITUTE(E1155,"°","º"))-1)),-1),IF(LEFT(E1155,6)="TÉRREO",0,IFERROR(VALUE(LEFT(E1155,FIND("º",SUBSTITUTE(E1155,"°","º"))-1)),""))))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26" t="n">
        <v>46528</v>
      </c>
      <c r="G1156" s="126" t="n">
        <v>46535</v>
      </c>
      <c r="H1156" s="126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IF(E1156="","",IF(ISNUMBER(SEARCH("SUBSOLO",E1156)),IFERROR(-VALUE(LEFT(E1156,FIND("º",SUBSTITUTE(E1156,"°","º"))-1)),-1),IF(LEFT(E1156,6)="TÉRREO",0,IFERROR(VALUE(LEFT(E1156,FIND("º",SUBSTITUTE(E1156,"°","º"))-1)),""))))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26" t="n">
        <v>46528</v>
      </c>
      <c r="G1157" s="126" t="n">
        <v>46541</v>
      </c>
      <c r="H1157" s="126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IF(E1157="","",IF(ISNUMBER(SEARCH("SUBSOLO",E1157)),IFERROR(-VALUE(LEFT(E1157,FIND("º",SUBSTITUTE(E1157,"°","º"))-1)),-1),IF(LEFT(E1157,6)="TÉRREO",0,IFERROR(VALUE(LEFT(E1157,FIND("º",SUBSTITUTE(E1157,"°","º"))-1)),""))))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26" t="n">
        <v>46528</v>
      </c>
      <c r="G1158" s="126" t="n">
        <v>46549</v>
      </c>
      <c r="H1158" s="126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IF(E1158="","",IF(ISNUMBER(SEARCH("SUBSOLO",E1158)),IFERROR(-VALUE(LEFT(E1158,FIND("º",SUBSTITUTE(E1158,"°","º"))-1)),-1),IF(LEFT(E1158,6)="TÉRREO",0,IFERROR(VALUE(LEFT(E1158,FIND("º",SUBSTITUTE(E1158,"°","º"))-1)),""))))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26" t="n">
        <v>46528</v>
      </c>
      <c r="G1159" s="126" t="n">
        <v>46535</v>
      </c>
      <c r="H1159" s="126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IF(E1159="","",IF(ISNUMBER(SEARCH("SUBSOLO",E1159)),IFERROR(-VALUE(LEFT(E1159,FIND("º",SUBSTITUTE(E1159,"°","º"))-1)),-1),IF(LEFT(E1159,6)="TÉRREO",0,IFERROR(VALUE(LEFT(E1159,FIND("º",SUBSTITUTE(E1159,"°","º"))-1)),""))))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26" t="n">
        <v>46528</v>
      </c>
      <c r="G1160" s="126" t="n">
        <v>46541</v>
      </c>
      <c r="H1160" s="126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IF(E1160="","",IF(ISNUMBER(SEARCH("SUBSOLO",E1160)),IFERROR(-VALUE(LEFT(E1160,FIND("º",SUBSTITUTE(E1160,"°","º"))-1)),-1),IF(LEFT(E1160,6)="TÉRREO",0,IFERROR(VALUE(LEFT(E1160,FIND("º",SUBSTITUTE(E1160,"°","º"))-1)),""))))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26" t="n">
        <v>46528</v>
      </c>
      <c r="G1161" s="126" t="n">
        <v>46541</v>
      </c>
      <c r="H1161" s="126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IF(E1161="","",IF(ISNUMBER(SEARCH("SUBSOLO",E1161)),IFERROR(-VALUE(LEFT(E1161,FIND("º",SUBSTITUTE(E1161,"°","º"))-1)),-1),IF(LEFT(E1161,6)="TÉRREO",0,IFERROR(VALUE(LEFT(E1161,FIND("º",SUBSTITUTE(E1161,"°","º"))-1)),""))))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26" t="n">
        <v>46528</v>
      </c>
      <c r="G1162" s="126" t="n">
        <v>46541</v>
      </c>
      <c r="H1162" s="126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IF(E1162="","",IF(ISNUMBER(SEARCH("SUBSOLO",E1162)),IFERROR(-VALUE(LEFT(E1162,FIND("º",SUBSTITUTE(E1162,"°","º"))-1)),-1),IF(LEFT(E1162,6)="TÉRREO",0,IFERROR(VALUE(LEFT(E1162,FIND("º",SUBSTITUTE(E1162,"°","º"))-1)),""))))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26" t="n">
        <v>46531</v>
      </c>
      <c r="G1163" s="126" t="n">
        <v>46542</v>
      </c>
      <c r="H1163" s="126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IF(E1163="","",IF(ISNUMBER(SEARCH("SUBSOLO",E1163)),IFERROR(-VALUE(LEFT(E1163,FIND("º",SUBSTITUTE(E1163,"°","º"))-1)),-1),IF(LEFT(E1163,6)="TÉRREO",0,IFERROR(VALUE(LEFT(E1163,FIND("º",SUBSTITUTE(E1163,"°","º"))-1)),""))))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26" t="n">
        <v>46532</v>
      </c>
      <c r="G1164" s="126" t="n">
        <v>46539</v>
      </c>
      <c r="H1164" s="126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IF(E1164="","",IF(ISNUMBER(SEARCH("SUBSOLO",E1164)),IFERROR(-VALUE(LEFT(E1164,FIND("º",SUBSTITUTE(E1164,"°","º"))-1)),-1),IF(LEFT(E1164,6)="TÉRREO",0,IFERROR(VALUE(LEFT(E1164,FIND("º",SUBSTITUTE(E1164,"°","º"))-1)),""))))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26" t="n">
        <v>46533</v>
      </c>
      <c r="G1165" s="126" t="n">
        <v>46533</v>
      </c>
      <c r="H1165" s="126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IF(E1165="","",IF(ISNUMBER(SEARCH("SUBSOLO",E1165)),IFERROR(-VALUE(LEFT(E1165,FIND("º",SUBSTITUTE(E1165,"°","º"))-1)),-1),IF(LEFT(E1165,6)="TÉRREO",0,IFERROR(VALUE(LEFT(E1165,FIND("º",SUBSTITUTE(E1165,"°","º"))-1)),""))))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26" t="n">
        <v>46533</v>
      </c>
      <c r="G1166" s="126" t="n">
        <v>46554</v>
      </c>
      <c r="H1166" s="126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IF(E1166="","",IF(ISNUMBER(SEARCH("SUBSOLO",E1166)),IFERROR(-VALUE(LEFT(E1166,FIND("º",SUBSTITUTE(E1166,"°","º"))-1)),-1),IF(LEFT(E1166,6)="TÉRREO",0,IFERROR(VALUE(LEFT(E1166,FIND("º",SUBSTITUTE(E1166,"°","º"))-1)),""))))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26" t="n">
        <v>46533</v>
      </c>
      <c r="G1167" s="126" t="n">
        <v>46554</v>
      </c>
      <c r="H1167" s="126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IF(E1167="","",IF(ISNUMBER(SEARCH("SUBSOLO",E1167)),IFERROR(-VALUE(LEFT(E1167,FIND("º",SUBSTITUTE(E1167,"°","º"))-1)),-1),IF(LEFT(E1167,6)="TÉRREO",0,IFERROR(VALUE(LEFT(E1167,FIND("º",SUBSTITUTE(E1167,"°","º"))-1)),""))))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26" t="n">
        <v>46533</v>
      </c>
      <c r="G1168" s="126" t="n">
        <v>46546</v>
      </c>
      <c r="H1168" s="126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IF(E1168="","",IF(ISNUMBER(SEARCH("SUBSOLO",E1168)),IFERROR(-VALUE(LEFT(E1168,FIND("º",SUBSTITUTE(E1168,"°","º"))-1)),-1),IF(LEFT(E1168,6)="TÉRREO",0,IFERROR(VALUE(LEFT(E1168,FIND("º",SUBSTITUTE(E1168,"°","º"))-1)),""))))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26" t="n">
        <v>46533</v>
      </c>
      <c r="G1169" s="126" t="n">
        <v>46546</v>
      </c>
      <c r="H1169" s="126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IF(E1169="","",IF(ISNUMBER(SEARCH("SUBSOLO",E1169)),IFERROR(-VALUE(LEFT(E1169,FIND("º",SUBSTITUTE(E1169,"°","º"))-1)),-1),IF(LEFT(E1169,6)="TÉRREO",0,IFERROR(VALUE(LEFT(E1169,FIND("º",SUBSTITUTE(E1169,"°","º"))-1)),""))))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26" t="n">
        <v>46535</v>
      </c>
      <c r="G1170" s="126" t="n">
        <v>46547</v>
      </c>
      <c r="H1170" s="126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IF(E1170="","",IF(ISNUMBER(SEARCH("SUBSOLO",E1170)),IFERROR(-VALUE(LEFT(E1170,FIND("º",SUBSTITUTE(E1170,"°","º"))-1)),-1),IF(LEFT(E1170,6)="TÉRREO",0,IFERROR(VALUE(LEFT(E1170,FIND("º",SUBSTITUTE(E1170,"°","º"))-1)),""))))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26" t="n">
        <v>46538</v>
      </c>
      <c r="G1171" s="126" t="n">
        <v>46542</v>
      </c>
      <c r="H1171" s="126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IF(E1171="","",IF(ISNUMBER(SEARCH("SUBSOLO",E1171)),IFERROR(-VALUE(LEFT(E1171,FIND("º",SUBSTITUTE(E1171,"°","º"))-1)),-1),IF(LEFT(E1171,6)="TÉRREO",0,IFERROR(VALUE(LEFT(E1171,FIND("º",SUBSTITUTE(E1171,"°","º"))-1)),""))))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26" t="n">
        <v>46538</v>
      </c>
      <c r="G1172" s="126" t="n">
        <v>46542</v>
      </c>
      <c r="H1172" s="126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IF(E1172="","",IF(ISNUMBER(SEARCH("SUBSOLO",E1172)),IFERROR(-VALUE(LEFT(E1172,FIND("º",SUBSTITUTE(E1172,"°","º"))-1)),-1),IF(LEFT(E1172,6)="TÉRREO",0,IFERROR(VALUE(LEFT(E1172,FIND("º",SUBSTITUTE(E1172,"°","º"))-1)),""))))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26" t="n">
        <v>46538</v>
      </c>
      <c r="G1173" s="126" t="n">
        <v>46549</v>
      </c>
      <c r="H1173" s="126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IF(E1173="","",IF(ISNUMBER(SEARCH("SUBSOLO",E1173)),IFERROR(-VALUE(LEFT(E1173,FIND("º",SUBSTITUTE(E1173,"°","º"))-1)),-1),IF(LEFT(E1173,6)="TÉRREO",0,IFERROR(VALUE(LEFT(E1173,FIND("º",SUBSTITUTE(E1173,"°","º"))-1)),""))))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26" t="n">
        <v>46538</v>
      </c>
      <c r="G1174" s="126" t="n">
        <v>46556</v>
      </c>
      <c r="H1174" s="126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IF(E1174="","",IF(ISNUMBER(SEARCH("SUBSOLO",E1174)),IFERROR(-VALUE(LEFT(E1174,FIND("º",SUBSTITUTE(E1174,"°","º"))-1)),-1),IF(LEFT(E1174,6)="TÉRREO",0,IFERROR(VALUE(LEFT(E1174,FIND("º",SUBSTITUTE(E1174,"°","º"))-1)),""))))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26" t="n">
        <v>46539</v>
      </c>
      <c r="G1175" s="126" t="n">
        <v>46552</v>
      </c>
      <c r="H1175" s="126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IF(E1175="","",IF(ISNUMBER(SEARCH("SUBSOLO",E1175)),IFERROR(-VALUE(LEFT(E1175,FIND("º",SUBSTITUTE(E1175,"°","º"))-1)),-1),IF(LEFT(E1175,6)="TÉRREO",0,IFERROR(VALUE(LEFT(E1175,FIND("º",SUBSTITUTE(E1175,"°","º"))-1)),""))))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26" t="n">
        <v>46539</v>
      </c>
      <c r="G1176" s="126" t="n">
        <v>46559</v>
      </c>
      <c r="H1176" s="126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IF(E1176="","",IF(ISNUMBER(SEARCH("SUBSOLO",E1176)),IFERROR(-VALUE(LEFT(E1176,FIND("º",SUBSTITUTE(E1176,"°","º"))-1)),-1),IF(LEFT(E1176,6)="TÉRREO",0,IFERROR(VALUE(LEFT(E1176,FIND("º",SUBSTITUTE(E1176,"°","º"))-1)),""))))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26" t="n">
        <v>46539</v>
      </c>
      <c r="G1177" s="126" t="n">
        <v>46545</v>
      </c>
      <c r="H1177" s="126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IF(E1177="","",IF(ISNUMBER(SEARCH("SUBSOLO",E1177)),IFERROR(-VALUE(LEFT(E1177,FIND("º",SUBSTITUTE(E1177,"°","º"))-1)),-1),IF(LEFT(E1177,6)="TÉRREO",0,IFERROR(VALUE(LEFT(E1177,FIND("º",SUBSTITUTE(E1177,"°","º"))-1)),""))))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26" t="n">
        <v>46541</v>
      </c>
      <c r="G1178" s="126" t="n">
        <v>46570</v>
      </c>
      <c r="H1178" s="126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IF(E1178="","",IF(ISNUMBER(SEARCH("SUBSOLO",E1178)),IFERROR(-VALUE(LEFT(E1178,FIND("º",SUBSTITUTE(E1178,"°","º"))-1)),-1),IF(LEFT(E1178,6)="TÉRREO",0,IFERROR(VALUE(LEFT(E1178,FIND("º",SUBSTITUTE(E1178,"°","º"))-1)),""))))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26" t="n">
        <v>46541</v>
      </c>
      <c r="G1179" s="126" t="n">
        <v>46554</v>
      </c>
      <c r="H1179" s="126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IF(E1179="","",IF(ISNUMBER(SEARCH("SUBSOLO",E1179)),IFERROR(-VALUE(LEFT(E1179,FIND("º",SUBSTITUTE(E1179,"°","º"))-1)),-1),IF(LEFT(E1179,6)="TÉRREO",0,IFERROR(VALUE(LEFT(E1179,FIND("º",SUBSTITUTE(E1179,"°","º"))-1)),""))))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26" t="n">
        <v>46541</v>
      </c>
      <c r="G1180" s="126" t="n">
        <v>46553</v>
      </c>
      <c r="H1180" s="126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IF(E1180="","",IF(ISNUMBER(SEARCH("SUBSOLO",E1180)),IFERROR(-VALUE(LEFT(E1180,FIND("º",SUBSTITUTE(E1180,"°","º"))-1)),-1),IF(LEFT(E1180,6)="TÉRREO",0,IFERROR(VALUE(LEFT(E1180,FIND("º",SUBSTITUTE(E1180,"°","º"))-1)),""))))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26" t="n">
        <v>46541</v>
      </c>
      <c r="G1181" s="126" t="n">
        <v>46549</v>
      </c>
      <c r="H1181" s="126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IF(E1181="","",IF(ISNUMBER(SEARCH("SUBSOLO",E1181)),IFERROR(-VALUE(LEFT(E1181,FIND("º",SUBSTITUTE(E1181,"°","º"))-1)),-1),IF(LEFT(E1181,6)="TÉRREO",0,IFERROR(VALUE(LEFT(E1181,FIND("º",SUBSTITUTE(E1181,"°","º"))-1)),""))))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26" t="n">
        <v>46541</v>
      </c>
      <c r="G1182" s="126" t="n">
        <v>46561</v>
      </c>
      <c r="H1182" s="126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IF(E1182="","",IF(ISNUMBER(SEARCH("SUBSOLO",E1182)),IFERROR(-VALUE(LEFT(E1182,FIND("º",SUBSTITUTE(E1182,"°","º"))-1)),-1),IF(LEFT(E1182,6)="TÉRREO",0,IFERROR(VALUE(LEFT(E1182,FIND("º",SUBSTITUTE(E1182,"°","º"))-1)),""))))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26" t="n">
        <v>46541</v>
      </c>
      <c r="G1183" s="126" t="n">
        <v>46554</v>
      </c>
      <c r="H1183" s="126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IF(E1183="","",IF(ISNUMBER(SEARCH("SUBSOLO",E1183)),IFERROR(-VALUE(LEFT(E1183,FIND("º",SUBSTITUTE(E1183,"°","º"))-1)),-1),IF(LEFT(E1183,6)="TÉRREO",0,IFERROR(VALUE(LEFT(E1183,FIND("º",SUBSTITUTE(E1183,"°","º"))-1)),""))))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26" t="n">
        <v>46541</v>
      </c>
      <c r="G1184" s="126" t="n">
        <v>46554</v>
      </c>
      <c r="H1184" s="126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IF(E1184="","",IF(ISNUMBER(SEARCH("SUBSOLO",E1184)),IFERROR(-VALUE(LEFT(E1184,FIND("º",SUBSTITUTE(E1184,"°","º"))-1)),-1),IF(LEFT(E1184,6)="TÉRREO",0,IFERROR(VALUE(LEFT(E1184,FIND("º",SUBSTITUTE(E1184,"°","º"))-1)),""))))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26" t="n">
        <v>46541</v>
      </c>
      <c r="G1185" s="126" t="n">
        <v>46553</v>
      </c>
      <c r="H1185" s="126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IF(E1185="","",IF(ISNUMBER(SEARCH("SUBSOLO",E1185)),IFERROR(-VALUE(LEFT(E1185,FIND("º",SUBSTITUTE(E1185,"°","º"))-1)),-1),IF(LEFT(E1185,6)="TÉRREO",0,IFERROR(VALUE(LEFT(E1185,FIND("º",SUBSTITUTE(E1185,"°","º"))-1)),""))))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26" t="n">
        <v>46541</v>
      </c>
      <c r="G1186" s="126" t="n">
        <v>46554</v>
      </c>
      <c r="H1186" s="126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IF(E1186="","",IF(ISNUMBER(SEARCH("SUBSOLO",E1186)),IFERROR(-VALUE(LEFT(E1186,FIND("º",SUBSTITUTE(E1186,"°","º"))-1)),-1),IF(LEFT(E1186,6)="TÉRREO",0,IFERROR(VALUE(LEFT(E1186,FIND("º",SUBSTITUTE(E1186,"°","º"))-1)),""))))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26" t="n">
        <v>46541</v>
      </c>
      <c r="G1187" s="126" t="n">
        <v>46553</v>
      </c>
      <c r="H1187" s="126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IF(E1187="","",IF(ISNUMBER(SEARCH("SUBSOLO",E1187)),IFERROR(-VALUE(LEFT(E1187,FIND("º",SUBSTITUTE(E1187,"°","º"))-1)),-1),IF(LEFT(E1187,6)="TÉRREO",0,IFERROR(VALUE(LEFT(E1187,FIND("º",SUBSTITUTE(E1187,"°","º"))-1)),""))))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26" t="n">
        <v>46542</v>
      </c>
      <c r="G1188" s="126" t="n">
        <v>46554</v>
      </c>
      <c r="H1188" s="126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IF(E1188="","",IF(ISNUMBER(SEARCH("SUBSOLO",E1188)),IFERROR(-VALUE(LEFT(E1188,FIND("º",SUBSTITUTE(E1188,"°","º"))-1)),-1),IF(LEFT(E1188,6)="TÉRREO",0,IFERROR(VALUE(LEFT(E1188,FIND("º",SUBSTITUTE(E1188,"°","º"))-1)),""))))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26" t="n">
        <v>46542</v>
      </c>
      <c r="G1189" s="126" t="n">
        <v>46562</v>
      </c>
      <c r="H1189" s="126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IF(E1189="","",IF(ISNUMBER(SEARCH("SUBSOLO",E1189)),IFERROR(-VALUE(LEFT(E1189,FIND("º",SUBSTITUTE(E1189,"°","º"))-1)),-1),IF(LEFT(E1189,6)="TÉRREO",0,IFERROR(VALUE(LEFT(E1189,FIND("º",SUBSTITUTE(E1189,"°","º"))-1)),""))))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26" t="n">
        <v>46542</v>
      </c>
      <c r="G1190" s="126" t="n">
        <v>46548</v>
      </c>
      <c r="H1190" s="126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IF(E1190="","",IF(ISNUMBER(SEARCH("SUBSOLO",E1190)),IFERROR(-VALUE(LEFT(E1190,FIND("º",SUBSTITUTE(E1190,"°","º"))-1)),-1),IF(LEFT(E1190,6)="TÉRREO",0,IFERROR(VALUE(LEFT(E1190,FIND("º",SUBSTITUTE(E1190,"°","º"))-1)),""))))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26" t="n">
        <v>46542</v>
      </c>
      <c r="G1191" s="126" t="n">
        <v>46554</v>
      </c>
      <c r="H1191" s="126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IF(E1191="","",IF(ISNUMBER(SEARCH("SUBSOLO",E1191)),IFERROR(-VALUE(LEFT(E1191,FIND("º",SUBSTITUTE(E1191,"°","º"))-1)),-1),IF(LEFT(E1191,6)="TÉRREO",0,IFERROR(VALUE(LEFT(E1191,FIND("º",SUBSTITUTE(E1191,"°","º"))-1)),""))))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26" t="n">
        <v>46542</v>
      </c>
      <c r="G1192" s="126" t="n">
        <v>46554</v>
      </c>
      <c r="H1192" s="126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IF(E1192="","",IF(ISNUMBER(SEARCH("SUBSOLO",E1192)),IFERROR(-VALUE(LEFT(E1192,FIND("º",SUBSTITUTE(E1192,"°","º"))-1)),-1),IF(LEFT(E1192,6)="TÉRREO",0,IFERROR(VALUE(LEFT(E1192,FIND("º",SUBSTITUTE(E1192,"°","º"))-1)),""))))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26" t="n">
        <v>46545</v>
      </c>
      <c r="G1193" s="126" t="n">
        <v>46555</v>
      </c>
      <c r="H1193" s="126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IF(E1193="","",IF(ISNUMBER(SEARCH("SUBSOLO",E1193)),IFERROR(-VALUE(LEFT(E1193,FIND("º",SUBSTITUTE(E1193,"°","º"))-1)),-1),IF(LEFT(E1193,6)="TÉRREO",0,IFERROR(VALUE(LEFT(E1193,FIND("º",SUBSTITUTE(E1193,"°","º"))-1)),""))))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26" t="n">
        <v>46546</v>
      </c>
      <c r="G1194" s="126" t="n">
        <v>46566</v>
      </c>
      <c r="H1194" s="126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IF(E1194="","",IF(ISNUMBER(SEARCH("SUBSOLO",E1194)),IFERROR(-VALUE(LEFT(E1194,FIND("º",SUBSTITUTE(E1194,"°","º"))-1)),-1),IF(LEFT(E1194,6)="TÉRREO",0,IFERROR(VALUE(LEFT(E1194,FIND("º",SUBSTITUTE(E1194,"°","º"))-1)),""))))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26" t="n">
        <v>46547</v>
      </c>
      <c r="G1195" s="126" t="n">
        <v>46559</v>
      </c>
      <c r="H1195" s="126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IF(E1195="","",IF(ISNUMBER(SEARCH("SUBSOLO",E1195)),IFERROR(-VALUE(LEFT(E1195,FIND("º",SUBSTITUTE(E1195,"°","º"))-1)),-1),IF(LEFT(E1195,6)="TÉRREO",0,IFERROR(VALUE(LEFT(E1195,FIND("º",SUBSTITUTE(E1195,"°","º"))-1)),""))))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26" t="n">
        <v>46547</v>
      </c>
      <c r="G1196" s="126" t="n">
        <v>46559</v>
      </c>
      <c r="H1196" s="126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IF(E1196="","",IF(ISNUMBER(SEARCH("SUBSOLO",E1196)),IFERROR(-VALUE(LEFT(E1196,FIND("º",SUBSTITUTE(E1196,"°","º"))-1)),-1),IF(LEFT(E1196,6)="TÉRREO",0,IFERROR(VALUE(LEFT(E1196,FIND("º",SUBSTITUTE(E1196,"°","º"))-1)),""))))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26" t="n">
        <v>46547</v>
      </c>
      <c r="G1197" s="126" t="n">
        <v>46559</v>
      </c>
      <c r="H1197" s="126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IF(E1197="","",IF(ISNUMBER(SEARCH("SUBSOLO",E1197)),IFERROR(-VALUE(LEFT(E1197,FIND("º",SUBSTITUTE(E1197,"°","º"))-1)),-1),IF(LEFT(E1197,6)="TÉRREO",0,IFERROR(VALUE(LEFT(E1197,FIND("º",SUBSTITUTE(E1197,"°","º"))-1)),""))))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26" t="n">
        <v>46548</v>
      </c>
      <c r="G1198" s="126" t="n">
        <v>46561</v>
      </c>
      <c r="H1198" s="126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IF(E1198="","",IF(ISNUMBER(SEARCH("SUBSOLO",E1198)),IFERROR(-VALUE(LEFT(E1198,FIND("º",SUBSTITUTE(E1198,"°","º"))-1)),-1),IF(LEFT(E1198,6)="TÉRREO",0,IFERROR(VALUE(LEFT(E1198,FIND("º",SUBSTITUTE(E1198,"°","º"))-1)),""))))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26" t="n">
        <v>46548</v>
      </c>
      <c r="G1199" s="126" t="n">
        <v>46560</v>
      </c>
      <c r="H1199" s="126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IF(E1199="","",IF(ISNUMBER(SEARCH("SUBSOLO",E1199)),IFERROR(-VALUE(LEFT(E1199,FIND("º",SUBSTITUTE(E1199,"°","º"))-1)),-1),IF(LEFT(E1199,6)="TÉRREO",0,IFERROR(VALUE(LEFT(E1199,FIND("º",SUBSTITUTE(E1199,"°","º"))-1)),""))))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26" t="n">
        <v>46549</v>
      </c>
      <c r="G1200" s="126" t="n">
        <v>46639</v>
      </c>
      <c r="H1200" s="126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IF(E1200="","",IF(ISNUMBER(SEARCH("SUBSOLO",E1200)),IFERROR(-VALUE(LEFT(E1200,FIND("º",SUBSTITUTE(E1200,"°","º"))-1)),-1),IF(LEFT(E1200,6)="TÉRREO",0,IFERROR(VALUE(LEFT(E1200,FIND("º",SUBSTITUTE(E1200,"°","º"))-1)),""))))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26" t="n">
        <v>46552</v>
      </c>
      <c r="G1201" s="126" t="n">
        <v>46556</v>
      </c>
      <c r="H1201" s="126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IF(E1201="","",IF(ISNUMBER(SEARCH("SUBSOLO",E1201)),IFERROR(-VALUE(LEFT(E1201,FIND("º",SUBSTITUTE(E1201,"°","º"))-1)),-1),IF(LEFT(E1201,6)="TÉRREO",0,IFERROR(VALUE(LEFT(E1201,FIND("º",SUBSTITUTE(E1201,"°","º"))-1)),""))))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26" t="n">
        <v>46552</v>
      </c>
      <c r="G1202" s="126" t="n">
        <v>46561</v>
      </c>
      <c r="H1202" s="126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IF(E1202="","",IF(ISNUMBER(SEARCH("SUBSOLO",E1202)),IFERROR(-VALUE(LEFT(E1202,FIND("º",SUBSTITUTE(E1202,"°","º"))-1)),-1),IF(LEFT(E1202,6)="TÉRREO",0,IFERROR(VALUE(LEFT(E1202,FIND("º",SUBSTITUTE(E1202,"°","º"))-1)),""))))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26" t="n">
        <v>46552</v>
      </c>
      <c r="G1203" s="126" t="n">
        <v>46562</v>
      </c>
      <c r="H1203" s="126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IF(E1203="","",IF(ISNUMBER(SEARCH("SUBSOLO",E1203)),IFERROR(-VALUE(LEFT(E1203,FIND("º",SUBSTITUTE(E1203,"°","º"))-1)),-1),IF(LEFT(E1203,6)="TÉRREO",0,IFERROR(VALUE(LEFT(E1203,FIND("º",SUBSTITUTE(E1203,"°","º"))-1)),""))))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26" t="n">
        <v>46552</v>
      </c>
      <c r="G1204" s="126" t="n">
        <v>46562</v>
      </c>
      <c r="H1204" s="126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IF(E1204="","",IF(ISNUMBER(SEARCH("SUBSOLO",E1204)),IFERROR(-VALUE(LEFT(E1204,FIND("º",SUBSTITUTE(E1204,"°","º"))-1)),-1),IF(LEFT(E1204,6)="TÉRREO",0,IFERROR(VALUE(LEFT(E1204,FIND("º",SUBSTITUTE(E1204,"°","º"))-1)),""))))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26" t="n">
        <v>46553</v>
      </c>
      <c r="G1205" s="126" t="n">
        <v>46559</v>
      </c>
      <c r="H1205" s="126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IF(E1205="","",IF(ISNUMBER(SEARCH("SUBSOLO",E1205)),IFERROR(-VALUE(LEFT(E1205,FIND("º",SUBSTITUTE(E1205,"°","º"))-1)),-1),IF(LEFT(E1205,6)="TÉRREO",0,IFERROR(VALUE(LEFT(E1205,FIND("º",SUBSTITUTE(E1205,"°","º"))-1)),""))))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26" t="n">
        <v>46554</v>
      </c>
      <c r="G1206" s="126" t="n">
        <v>46567</v>
      </c>
      <c r="H1206" s="126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IF(E1206="","",IF(ISNUMBER(SEARCH("SUBSOLO",E1206)),IFERROR(-VALUE(LEFT(E1206,FIND("º",SUBSTITUTE(E1206,"°","º"))-1)),-1),IF(LEFT(E1206,6)="TÉRREO",0,IFERROR(VALUE(LEFT(E1206,FIND("º",SUBSTITUTE(E1206,"°","º"))-1)),""))))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26" t="n">
        <v>46555</v>
      </c>
      <c r="G1207" s="126" t="n">
        <v>46555</v>
      </c>
      <c r="H1207" s="126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IF(E1207="","",IF(ISNUMBER(SEARCH("SUBSOLO",E1207)),IFERROR(-VALUE(LEFT(E1207,FIND("º",SUBSTITUTE(E1207,"°","º"))-1)),-1),IF(LEFT(E1207,6)="TÉRREO",0,IFERROR(VALUE(LEFT(E1207,FIND("º",SUBSTITUTE(E1207,"°","º"))-1)),""))))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26" t="n">
        <v>46555</v>
      </c>
      <c r="G1208" s="126" t="n">
        <v>46563</v>
      </c>
      <c r="H1208" s="126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IF(E1208="","",IF(ISNUMBER(SEARCH("SUBSOLO",E1208)),IFERROR(-VALUE(LEFT(E1208,FIND("º",SUBSTITUTE(E1208,"°","º"))-1)),-1),IF(LEFT(E1208,6)="TÉRREO",0,IFERROR(VALUE(LEFT(E1208,FIND("º",SUBSTITUTE(E1208,"°","º"))-1)),""))))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26" t="n">
        <v>46555</v>
      </c>
      <c r="G1209" s="126" t="n">
        <v>46575</v>
      </c>
      <c r="H1209" s="126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IF(E1209="","",IF(ISNUMBER(SEARCH("SUBSOLO",E1209)),IFERROR(-VALUE(LEFT(E1209,FIND("º",SUBSTITUTE(E1209,"°","º"))-1)),-1),IF(LEFT(E1209,6)="TÉRREO",0,IFERROR(VALUE(LEFT(E1209,FIND("º",SUBSTITUTE(E1209,"°","º"))-1)),""))))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26" t="n">
        <v>46555</v>
      </c>
      <c r="G1210" s="126" t="n">
        <v>46567</v>
      </c>
      <c r="H1210" s="126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IF(E1210="","",IF(ISNUMBER(SEARCH("SUBSOLO",E1210)),IFERROR(-VALUE(LEFT(E1210,FIND("º",SUBSTITUTE(E1210,"°","º"))-1)),-1),IF(LEFT(E1210,6)="TÉRREO",0,IFERROR(VALUE(LEFT(E1210,FIND("º",SUBSTITUTE(E1210,"°","º"))-1)),""))))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26" t="n">
        <v>46555</v>
      </c>
      <c r="G1211" s="126" t="n">
        <v>46567</v>
      </c>
      <c r="H1211" s="126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IF(E1211="","",IF(ISNUMBER(SEARCH("SUBSOLO",E1211)),IFERROR(-VALUE(LEFT(E1211,FIND("º",SUBSTITUTE(E1211,"°","º"))-1)),-1),IF(LEFT(E1211,6)="TÉRREO",0,IFERROR(VALUE(LEFT(E1211,FIND("º",SUBSTITUTE(E1211,"°","º"))-1)),""))))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26" t="n">
        <v>46555</v>
      </c>
      <c r="G1212" s="126" t="n">
        <v>46568</v>
      </c>
      <c r="H1212" s="126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IF(E1212="","",IF(ISNUMBER(SEARCH("SUBSOLO",E1212)),IFERROR(-VALUE(LEFT(E1212,FIND("º",SUBSTITUTE(E1212,"°","º"))-1)),-1),IF(LEFT(E1212,6)="TÉRREO",0,IFERROR(VALUE(LEFT(E1212,FIND("º",SUBSTITUTE(E1212,"°","º"))-1)),""))))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26" t="n">
        <v>46555</v>
      </c>
      <c r="G1213" s="126" t="n">
        <v>46568</v>
      </c>
      <c r="H1213" s="126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IF(E1213="","",IF(ISNUMBER(SEARCH("SUBSOLO",E1213)),IFERROR(-VALUE(LEFT(E1213,FIND("º",SUBSTITUTE(E1213,"°","º"))-1)),-1),IF(LEFT(E1213,6)="TÉRREO",0,IFERROR(VALUE(LEFT(E1213,FIND("º",SUBSTITUTE(E1213,"°","º"))-1)),""))))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26" t="n">
        <v>46555</v>
      </c>
      <c r="G1214" s="126" t="n">
        <v>46568</v>
      </c>
      <c r="H1214" s="126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IF(E1214="","",IF(ISNUMBER(SEARCH("SUBSOLO",E1214)),IFERROR(-VALUE(LEFT(E1214,FIND("º",SUBSTITUTE(E1214,"°","º"))-1)),-1),IF(LEFT(E1214,6)="TÉRREO",0,IFERROR(VALUE(LEFT(E1214,FIND("º",SUBSTITUTE(E1214,"°","º"))-1)),""))))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26" t="n">
        <v>46555</v>
      </c>
      <c r="G1215" s="126" t="n">
        <v>46567</v>
      </c>
      <c r="H1215" s="126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IF(E1215="","",IF(ISNUMBER(SEARCH("SUBSOLO",E1215)),IFERROR(-VALUE(LEFT(E1215,FIND("º",SUBSTITUTE(E1215,"°","º"))-1)),-1),IF(LEFT(E1215,6)="TÉRREO",0,IFERROR(VALUE(LEFT(E1215,FIND("º",SUBSTITUTE(E1215,"°","º"))-1)),""))))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26" t="n">
        <v>46555</v>
      </c>
      <c r="G1216" s="126" t="n">
        <v>46567</v>
      </c>
      <c r="H1216" s="126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IF(E1216="","",IF(ISNUMBER(SEARCH("SUBSOLO",E1216)),IFERROR(-VALUE(LEFT(E1216,FIND("º",SUBSTITUTE(E1216,"°","º"))-1)),-1),IF(LEFT(E1216,6)="TÉRREO",0,IFERROR(VALUE(LEFT(E1216,FIND("º",SUBSTITUTE(E1216,"°","º"))-1)),""))))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26" t="n">
        <v>46555</v>
      </c>
      <c r="G1217" s="126" t="n">
        <v>46567</v>
      </c>
      <c r="H1217" s="126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IF(E1217="","",IF(ISNUMBER(SEARCH("SUBSOLO",E1217)),IFERROR(-VALUE(LEFT(E1217,FIND("º",SUBSTITUTE(E1217,"°","º"))-1)),-1),IF(LEFT(E1217,6)="TÉRREO",0,IFERROR(VALUE(LEFT(E1217,FIND("º",SUBSTITUTE(E1217,"°","º"))-1)),""))))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26" t="n">
        <v>46556</v>
      </c>
      <c r="G1218" s="126" t="n">
        <v>46568</v>
      </c>
      <c r="H1218" s="126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IF(E1218="","",IF(ISNUMBER(SEARCH("SUBSOLO",E1218)),IFERROR(-VALUE(LEFT(E1218,FIND("º",SUBSTITUTE(E1218,"°","º"))-1)),-1),IF(LEFT(E1218,6)="TÉRREO",0,IFERROR(VALUE(LEFT(E1218,FIND("º",SUBSTITUTE(E1218,"°","º"))-1)),""))))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26" t="n">
        <v>46556</v>
      </c>
      <c r="G1219" s="126" t="n">
        <v>46556</v>
      </c>
      <c r="H1219" s="126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IF(E1219="","",IF(ISNUMBER(SEARCH("SUBSOLO",E1219)),IFERROR(-VALUE(LEFT(E1219,FIND("º",SUBSTITUTE(E1219,"°","º"))-1)),-1),IF(LEFT(E1219,6)="TÉRREO",0,IFERROR(VALUE(LEFT(E1219,FIND("º",SUBSTITUTE(E1219,"°","º"))-1)),""))))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26" t="n">
        <v>46559</v>
      </c>
      <c r="G1220" s="126" t="n">
        <v>46569</v>
      </c>
      <c r="H1220" s="126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IF(E1220="","",IF(ISNUMBER(SEARCH("SUBSOLO",E1220)),IFERROR(-VALUE(LEFT(E1220,FIND("º",SUBSTITUTE(E1220,"°","º"))-1)),-1),IF(LEFT(E1220,6)="TÉRREO",0,IFERROR(VALUE(LEFT(E1220,FIND("º",SUBSTITUTE(E1220,"°","º"))-1)),""))))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26" t="n">
        <v>46559</v>
      </c>
      <c r="G1221" s="126" t="n">
        <v>46563</v>
      </c>
      <c r="H1221" s="126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IF(E1221="","",IF(ISNUMBER(SEARCH("SUBSOLO",E1221)),IFERROR(-VALUE(LEFT(E1221,FIND("º",SUBSTITUTE(E1221,"°","º"))-1)),-1),IF(LEFT(E1221,6)="TÉRREO",0,IFERROR(VALUE(LEFT(E1221,FIND("º",SUBSTITUTE(E1221,"°","º"))-1)),""))))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26" t="n">
        <v>46559</v>
      </c>
      <c r="G1222" s="126" t="n">
        <v>46570</v>
      </c>
      <c r="H1222" s="126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IF(E1222="","",IF(ISNUMBER(SEARCH("SUBSOLO",E1222)),IFERROR(-VALUE(LEFT(E1222,FIND("º",SUBSTITUTE(E1222,"°","º"))-1)),-1),IF(LEFT(E1222,6)="TÉRREO",0,IFERROR(VALUE(LEFT(E1222,FIND("º",SUBSTITUTE(E1222,"°","º"))-1)),""))))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26" t="n">
        <v>46559</v>
      </c>
      <c r="G1223" s="126" t="n">
        <v>46563</v>
      </c>
      <c r="H1223" s="126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IF(E1223="","",IF(ISNUMBER(SEARCH("SUBSOLO",E1223)),IFERROR(-VALUE(LEFT(E1223,FIND("º",SUBSTITUTE(E1223,"°","º"))-1)),-1),IF(LEFT(E1223,6)="TÉRREO",0,IFERROR(VALUE(LEFT(E1223,FIND("º",SUBSTITUTE(E1223,"°","º"))-1)),""))))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26" t="n">
        <v>46566</v>
      </c>
      <c r="G1224" s="126" t="n">
        <v>46570</v>
      </c>
      <c r="H1224" s="126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IF(E1224="","",IF(ISNUMBER(SEARCH("SUBSOLO",E1224)),IFERROR(-VALUE(LEFT(E1224,FIND("º",SUBSTITUTE(E1224,"°","º"))-1)),-1),IF(LEFT(E1224,6)="TÉRREO",0,IFERROR(VALUE(LEFT(E1224,FIND("º",SUBSTITUTE(E1224,"°","º"))-1)),""))))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26" t="n">
        <v>46559</v>
      </c>
      <c r="G1225" s="126" t="n">
        <v>46569</v>
      </c>
      <c r="H1225" s="126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IF(E1225="","",IF(ISNUMBER(SEARCH("SUBSOLO",E1225)),IFERROR(-VALUE(LEFT(E1225,FIND("º",SUBSTITUTE(E1225,"°","º"))-1)),-1),IF(LEFT(E1225,6)="TÉRREO",0,IFERROR(VALUE(LEFT(E1225,FIND("º",SUBSTITUTE(E1225,"°","º"))-1)),""))))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26" t="n">
        <v>46560</v>
      </c>
      <c r="G1226" s="126" t="n">
        <v>46580</v>
      </c>
      <c r="H1226" s="126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IF(E1226="","",IF(ISNUMBER(SEARCH("SUBSOLO",E1226)),IFERROR(-VALUE(LEFT(E1226,FIND("º",SUBSTITUTE(E1226,"°","º"))-1)),-1),IF(LEFT(E1226,6)="TÉRREO",0,IFERROR(VALUE(LEFT(E1226,FIND("º",SUBSTITUTE(E1226,"°","º"))-1)),""))))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26" t="n">
        <v>46560</v>
      </c>
      <c r="G1227" s="126" t="n">
        <v>46570</v>
      </c>
      <c r="H1227" s="126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IF(E1227="","",IF(ISNUMBER(SEARCH("SUBSOLO",E1227)),IFERROR(-VALUE(LEFT(E1227,FIND("º",SUBSTITUTE(E1227,"°","º"))-1)),-1),IF(LEFT(E1227,6)="TÉRREO",0,IFERROR(VALUE(LEFT(E1227,FIND("º",SUBSTITUTE(E1227,"°","º"))-1)),""))))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26" t="n">
        <v>46560</v>
      </c>
      <c r="G1228" s="126" t="n">
        <v>46570</v>
      </c>
      <c r="H1228" s="126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IF(E1228="","",IF(ISNUMBER(SEARCH("SUBSOLO",E1228)),IFERROR(-VALUE(LEFT(E1228,FIND("º",SUBSTITUTE(E1228,"°","º"))-1)),-1),IF(LEFT(E1228,6)="TÉRREO",0,IFERROR(VALUE(LEFT(E1228,FIND("º",SUBSTITUTE(E1228,"°","º"))-1)),""))))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26" t="n">
        <v>46560</v>
      </c>
      <c r="G1229" s="126" t="n">
        <v>46570</v>
      </c>
      <c r="H1229" s="126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IF(E1229="","",IF(ISNUMBER(SEARCH("SUBSOLO",E1229)),IFERROR(-VALUE(LEFT(E1229,FIND("º",SUBSTITUTE(E1229,"°","º"))-1)),-1),IF(LEFT(E1229,6)="TÉRREO",0,IFERROR(VALUE(LEFT(E1229,FIND("º",SUBSTITUTE(E1229,"°","º"))-1)),""))))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26" t="n">
        <v>46561</v>
      </c>
      <c r="G1230" s="126" t="n">
        <v>46590</v>
      </c>
      <c r="H1230" s="126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IF(E1230="","",IF(ISNUMBER(SEARCH("SUBSOLO",E1230)),IFERROR(-VALUE(LEFT(E1230,FIND("º",SUBSTITUTE(E1230,"°","º"))-1)),-1),IF(LEFT(E1230,6)="TÉRREO",0,IFERROR(VALUE(LEFT(E1230,FIND("º",SUBSTITUTE(E1230,"°","º"))-1)),""))))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26" t="n">
        <v>46561</v>
      </c>
      <c r="G1231" s="126" t="n">
        <v>46622</v>
      </c>
      <c r="H1231" s="126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IF(E1231="","",IF(ISNUMBER(SEARCH("SUBSOLO",E1231)),IFERROR(-VALUE(LEFT(E1231,FIND("º",SUBSTITUTE(E1231,"°","º"))-1)),-1),IF(LEFT(E1231,6)="TÉRREO",0,IFERROR(VALUE(LEFT(E1231,FIND("º",SUBSTITUTE(E1231,"°","º"))-1)),""))))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26" t="n">
        <v>46562</v>
      </c>
      <c r="G1232" s="126" t="n">
        <v>46575</v>
      </c>
      <c r="H1232" s="126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IF(E1232="","",IF(ISNUMBER(SEARCH("SUBSOLO",E1232)),IFERROR(-VALUE(LEFT(E1232,FIND("º",SUBSTITUTE(E1232,"°","º"))-1)),-1),IF(LEFT(E1232,6)="TÉRREO",0,IFERROR(VALUE(LEFT(E1232,FIND("º",SUBSTITUTE(E1232,"°","º"))-1)),""))))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26" t="n">
        <v>46562</v>
      </c>
      <c r="G1233" s="126" t="n">
        <v>46574</v>
      </c>
      <c r="H1233" s="126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IF(E1233="","",IF(ISNUMBER(SEARCH("SUBSOLO",E1233)),IFERROR(-VALUE(LEFT(E1233,FIND("º",SUBSTITUTE(E1233,"°","º"))-1)),-1),IF(LEFT(E1233,6)="TÉRREO",0,IFERROR(VALUE(LEFT(E1233,FIND("º",SUBSTITUTE(E1233,"°","º"))-1)),""))))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26" t="n">
        <v>46562</v>
      </c>
      <c r="G1234" s="126" t="n">
        <v>46582</v>
      </c>
      <c r="H1234" s="126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IF(E1234="","",IF(ISNUMBER(SEARCH("SUBSOLO",E1234)),IFERROR(-VALUE(LEFT(E1234,FIND("º",SUBSTITUTE(E1234,"°","º"))-1)),-1),IF(LEFT(E1234,6)="TÉRREO",0,IFERROR(VALUE(LEFT(E1234,FIND("º",SUBSTITUTE(E1234,"°","º"))-1)),""))))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26" t="n">
        <v>46563</v>
      </c>
      <c r="G1235" s="126" t="n">
        <v>46575</v>
      </c>
      <c r="H1235" s="126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IF(E1235="","",IF(ISNUMBER(SEARCH("SUBSOLO",E1235)),IFERROR(-VALUE(LEFT(E1235,FIND("º",SUBSTITUTE(E1235,"°","º"))-1)),-1),IF(LEFT(E1235,6)="TÉRREO",0,IFERROR(VALUE(LEFT(E1235,FIND("º",SUBSTITUTE(E1235,"°","º"))-1)),""))))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26" t="n">
        <v>46563</v>
      </c>
      <c r="G1236" s="126" t="n">
        <v>46575</v>
      </c>
      <c r="H1236" s="126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IF(E1236="","",IF(ISNUMBER(SEARCH("SUBSOLO",E1236)),IFERROR(-VALUE(LEFT(E1236,FIND("º",SUBSTITUTE(E1236,"°","º"))-1)),-1),IF(LEFT(E1236,6)="TÉRREO",0,IFERROR(VALUE(LEFT(E1236,FIND("º",SUBSTITUTE(E1236,"°","º"))-1)),""))))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26" t="n">
        <v>46563</v>
      </c>
      <c r="G1237" s="126" t="n">
        <v>46575</v>
      </c>
      <c r="H1237" s="126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IF(E1237="","",IF(ISNUMBER(SEARCH("SUBSOLO",E1237)),IFERROR(-VALUE(LEFT(E1237,FIND("º",SUBSTITUTE(E1237,"°","º"))-1)),-1),IF(LEFT(E1237,6)="TÉRREO",0,IFERROR(VALUE(LEFT(E1237,FIND("º",SUBSTITUTE(E1237,"°","º"))-1)),""))))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26" t="n">
        <v>46563</v>
      </c>
      <c r="G1238" s="126" t="n">
        <v>46575</v>
      </c>
      <c r="H1238" s="126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IF(E1238="","",IF(ISNUMBER(SEARCH("SUBSOLO",E1238)),IFERROR(-VALUE(LEFT(E1238,FIND("º",SUBSTITUTE(E1238,"°","º"))-1)),-1),IF(LEFT(E1238,6)="TÉRREO",0,IFERROR(VALUE(LEFT(E1238,FIND("º",SUBSTITUTE(E1238,"°","º"))-1)),""))))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26" t="n">
        <v>46563</v>
      </c>
      <c r="G1239" s="126" t="n">
        <v>46575</v>
      </c>
      <c r="H1239" s="126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IF(E1239="","",IF(ISNUMBER(SEARCH("SUBSOLO",E1239)),IFERROR(-VALUE(LEFT(E1239,FIND("º",SUBSTITUTE(E1239,"°","º"))-1)),-1),IF(LEFT(E1239,6)="TÉRREO",0,IFERROR(VALUE(LEFT(E1239,FIND("º",SUBSTITUTE(E1239,"°","º"))-1)),""))))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26" t="n">
        <v>46566</v>
      </c>
      <c r="G1240" s="126" t="n">
        <v>46595</v>
      </c>
      <c r="H1240" s="126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IF(E1240="","",IF(ISNUMBER(SEARCH("SUBSOLO",E1240)),IFERROR(-VALUE(LEFT(E1240,FIND("º",SUBSTITUTE(E1240,"°","º"))-1)),-1),IF(LEFT(E1240,6)="TÉRREO",0,IFERROR(VALUE(LEFT(E1240,FIND("º",SUBSTITUTE(E1240,"°","º"))-1)),""))))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26" t="n">
        <v>46566</v>
      </c>
      <c r="G1241" s="126" t="n">
        <v>46577</v>
      </c>
      <c r="H1241" s="126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IF(E1241="","",IF(ISNUMBER(SEARCH("SUBSOLO",E1241)),IFERROR(-VALUE(LEFT(E1241,FIND("º",SUBSTITUTE(E1241,"°","º"))-1)),-1),IF(LEFT(E1241,6)="TÉRREO",0,IFERROR(VALUE(LEFT(E1241,FIND("º",SUBSTITUTE(E1241,"°","º"))-1)),""))))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26" t="n">
        <v>46566</v>
      </c>
      <c r="G1242" s="126" t="n">
        <v>46575</v>
      </c>
      <c r="H1242" s="126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IF(E1242="","",IF(ISNUMBER(SEARCH("SUBSOLO",E1242)),IFERROR(-VALUE(LEFT(E1242,FIND("º",SUBSTITUTE(E1242,"°","º"))-1)),-1),IF(LEFT(E1242,6)="TÉRREO",0,IFERROR(VALUE(LEFT(E1242,FIND("º",SUBSTITUTE(E1242,"°","º"))-1)),""))))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26" t="n">
        <v>46567</v>
      </c>
      <c r="G1243" s="126" t="n">
        <v>46580</v>
      </c>
      <c r="H1243" s="126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IF(E1243="","",IF(ISNUMBER(SEARCH("SUBSOLO",E1243)),IFERROR(-VALUE(LEFT(E1243,FIND("º",SUBSTITUTE(E1243,"°","º"))-1)),-1),IF(LEFT(E1243,6)="TÉRREO",0,IFERROR(VALUE(LEFT(E1243,FIND("º",SUBSTITUTE(E1243,"°","º"))-1)),""))))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26" t="n">
        <v>46568</v>
      </c>
      <c r="G1244" s="126" t="n">
        <v>46581</v>
      </c>
      <c r="H1244" s="126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IF(E1244="","",IF(ISNUMBER(SEARCH("SUBSOLO",E1244)),IFERROR(-VALUE(LEFT(E1244,FIND("º",SUBSTITUTE(E1244,"°","º"))-1)),-1),IF(LEFT(E1244,6)="TÉRREO",0,IFERROR(VALUE(LEFT(E1244,FIND("º",SUBSTITUTE(E1244,"°","º"))-1)),""))))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26" t="n">
        <v>46568</v>
      </c>
      <c r="G1245" s="126" t="n">
        <v>46580</v>
      </c>
      <c r="H1245" s="126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IF(E1245="","",IF(ISNUMBER(SEARCH("SUBSOLO",E1245)),IFERROR(-VALUE(LEFT(E1245,FIND("º",SUBSTITUTE(E1245,"°","º"))-1)),-1),IF(LEFT(E1245,6)="TÉRREO",0,IFERROR(VALUE(LEFT(E1245,FIND("º",SUBSTITUTE(E1245,"°","º"))-1)),""))))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26" t="n">
        <v>46568</v>
      </c>
      <c r="G1246" s="126" t="n">
        <v>46580</v>
      </c>
      <c r="H1246" s="126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IF(E1246="","",IF(ISNUMBER(SEARCH("SUBSOLO",E1246)),IFERROR(-VALUE(LEFT(E1246,FIND("º",SUBSTITUTE(E1246,"°","º"))-1)),-1),IF(LEFT(E1246,6)="TÉRREO",0,IFERROR(VALUE(LEFT(E1246,FIND("º",SUBSTITUTE(E1246,"°","º"))-1)),""))))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26" t="n">
        <v>46568</v>
      </c>
      <c r="G1247" s="126" t="n">
        <v>46580</v>
      </c>
      <c r="H1247" s="126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IF(E1247="","",IF(ISNUMBER(SEARCH("SUBSOLO",E1247)),IFERROR(-VALUE(LEFT(E1247,FIND("º",SUBSTITUTE(E1247,"°","º"))-1)),-1),IF(LEFT(E1247,6)="TÉRREO",0,IFERROR(VALUE(LEFT(E1247,FIND("º",SUBSTITUTE(E1247,"°","º"))-1)),""))))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26" t="n">
        <v>46568</v>
      </c>
      <c r="G1248" s="126" t="n">
        <v>46580</v>
      </c>
      <c r="H1248" s="126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IF(E1248="","",IF(ISNUMBER(SEARCH("SUBSOLO",E1248)),IFERROR(-VALUE(LEFT(E1248,FIND("º",SUBSTITUTE(E1248,"°","º"))-1)),-1),IF(LEFT(E1248,6)="TÉRREO",0,IFERROR(VALUE(LEFT(E1248,FIND("º",SUBSTITUTE(E1248,"°","º"))-1)),""))))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26" t="n">
        <v>46568</v>
      </c>
      <c r="G1249" s="126" t="n">
        <v>46580</v>
      </c>
      <c r="H1249" s="126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IF(E1249="","",IF(ISNUMBER(SEARCH("SUBSOLO",E1249)),IFERROR(-VALUE(LEFT(E1249,FIND("º",SUBSTITUTE(E1249,"°","º"))-1)),-1),IF(LEFT(E1249,6)="TÉRREO",0,IFERROR(VALUE(LEFT(E1249,FIND("º",SUBSTITUTE(E1249,"°","º"))-1)),""))))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26" t="n">
        <v>46568</v>
      </c>
      <c r="G1250" s="126" t="n">
        <v>46580</v>
      </c>
      <c r="H1250" s="126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IF(E1250="","",IF(ISNUMBER(SEARCH("SUBSOLO",E1250)),IFERROR(-VALUE(LEFT(E1250,FIND("º",SUBSTITUTE(E1250,"°","º"))-1)),-1),IF(LEFT(E1250,6)="TÉRREO",0,IFERROR(VALUE(LEFT(E1250,FIND("º",SUBSTITUTE(E1250,"°","º"))-1)),""))))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26" t="n">
        <v>46568</v>
      </c>
      <c r="G1251" s="126" t="n">
        <v>46580</v>
      </c>
      <c r="H1251" s="126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IF(E1251="","",IF(ISNUMBER(SEARCH("SUBSOLO",E1251)),IFERROR(-VALUE(LEFT(E1251,FIND("º",SUBSTITUTE(E1251,"°","º"))-1)),-1),IF(LEFT(E1251,6)="TÉRREO",0,IFERROR(VALUE(LEFT(E1251,FIND("º",SUBSTITUTE(E1251,"°","º"))-1)),""))))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26" t="n">
        <v>46569</v>
      </c>
      <c r="G1252" s="126" t="n">
        <v>46661</v>
      </c>
      <c r="H1252" s="126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IF(E1252="","",IF(ISNUMBER(SEARCH("SUBSOLO",E1252)),IFERROR(-VALUE(LEFT(E1252,FIND("º",SUBSTITUTE(E1252,"°","º"))-1)),-1),IF(LEFT(E1252,6)="TÉRREO",0,IFERROR(VALUE(LEFT(E1252,FIND("º",SUBSTITUTE(E1252,"°","º"))-1)),""))))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26" t="n">
        <v>46569</v>
      </c>
      <c r="G1253" s="126" t="n">
        <v>46582</v>
      </c>
      <c r="H1253" s="126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IF(E1253="","",IF(ISNUMBER(SEARCH("SUBSOLO",E1253)),IFERROR(-VALUE(LEFT(E1253,FIND("º",SUBSTITUTE(E1253,"°","º"))-1)),-1),IF(LEFT(E1253,6)="TÉRREO",0,IFERROR(VALUE(LEFT(E1253,FIND("º",SUBSTITUTE(E1253,"°","º"))-1)),""))))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26" t="n">
        <v>46569</v>
      </c>
      <c r="G1254" s="126" t="n">
        <v>46581</v>
      </c>
      <c r="H1254" s="126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IF(E1254="","",IF(ISNUMBER(SEARCH("SUBSOLO",E1254)),IFERROR(-VALUE(LEFT(E1254,FIND("º",SUBSTITUTE(E1254,"°","º"))-1)),-1),IF(LEFT(E1254,6)="TÉRREO",0,IFERROR(VALUE(LEFT(E1254,FIND("º",SUBSTITUTE(E1254,"°","º"))-1)),""))))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26" t="n">
        <v>46569</v>
      </c>
      <c r="G1255" s="126" t="n">
        <v>46582</v>
      </c>
      <c r="H1255" s="126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IF(E1255="","",IF(ISNUMBER(SEARCH("SUBSOLO",E1255)),IFERROR(-VALUE(LEFT(E1255,FIND("º",SUBSTITUTE(E1255,"°","º"))-1)),-1),IF(LEFT(E1255,6)="TÉRREO",0,IFERROR(VALUE(LEFT(E1255,FIND("º",SUBSTITUTE(E1255,"°","º"))-1)),""))))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26" t="n">
        <v>46569</v>
      </c>
      <c r="G1256" s="126" t="n">
        <v>46582</v>
      </c>
      <c r="H1256" s="126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IF(E1256="","",IF(ISNUMBER(SEARCH("SUBSOLO",E1256)),IFERROR(-VALUE(LEFT(E1256,FIND("º",SUBSTITUTE(E1256,"°","º"))-1)),-1),IF(LEFT(E1256,6)="TÉRREO",0,IFERROR(VALUE(LEFT(E1256,FIND("º",SUBSTITUTE(E1256,"°","º"))-1)),""))))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26" t="n">
        <v>46569</v>
      </c>
      <c r="G1257" s="126" t="n">
        <v>46582</v>
      </c>
      <c r="H1257" s="126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IF(E1257="","",IF(ISNUMBER(SEARCH("SUBSOLO",E1257)),IFERROR(-VALUE(LEFT(E1257,FIND("º",SUBSTITUTE(E1257,"°","º"))-1)),-1),IF(LEFT(E1257,6)="TÉRREO",0,IFERROR(VALUE(LEFT(E1257,FIND("º",SUBSTITUTE(E1257,"°","º"))-1)),""))))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26" t="n">
        <v>46570</v>
      </c>
      <c r="G1258" s="126" t="n">
        <v>46696</v>
      </c>
      <c r="H1258" s="126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IF(E1258="","",IF(ISNUMBER(SEARCH("SUBSOLO",E1258)),IFERROR(-VALUE(LEFT(E1258,FIND("º",SUBSTITUTE(E1258,"°","º"))-1)),-1),IF(LEFT(E1258,6)="TÉRREO",0,IFERROR(VALUE(LEFT(E1258,FIND("º",SUBSTITUTE(E1258,"°","º"))-1)),""))))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26" t="n">
        <v>46570</v>
      </c>
      <c r="G1259" s="126" t="n">
        <v>46583</v>
      </c>
      <c r="H1259" s="126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IF(E1259="","",IF(ISNUMBER(SEARCH("SUBSOLO",E1259)),IFERROR(-VALUE(LEFT(E1259,FIND("º",SUBSTITUTE(E1259,"°","º"))-1)),-1),IF(LEFT(E1259,6)="TÉRREO",0,IFERROR(VALUE(LEFT(E1259,FIND("º",SUBSTITUTE(E1259,"°","º"))-1)),""))))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26" t="n">
        <v>46570</v>
      </c>
      <c r="G1260" s="126" t="n">
        <v>46582</v>
      </c>
      <c r="H1260" s="126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IF(E1260="","",IF(ISNUMBER(SEARCH("SUBSOLO",E1260)),IFERROR(-VALUE(LEFT(E1260,FIND("º",SUBSTITUTE(E1260,"°","º"))-1)),-1),IF(LEFT(E1260,6)="TÉRREO",0,IFERROR(VALUE(LEFT(E1260,FIND("º",SUBSTITUTE(E1260,"°","º"))-1)),""))))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26" t="n">
        <v>46573</v>
      </c>
      <c r="G1261" s="126" t="n">
        <v>46584</v>
      </c>
      <c r="H1261" s="126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IF(E1261="","",IF(ISNUMBER(SEARCH("SUBSOLO",E1261)),IFERROR(-VALUE(LEFT(E1261,FIND("º",SUBSTITUTE(E1261,"°","º"))-1)),-1),IF(LEFT(E1261,6)="TÉRREO",0,IFERROR(VALUE(LEFT(E1261,FIND("º",SUBSTITUTE(E1261,"°","º"))-1)),""))))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26" t="n">
        <v>46573</v>
      </c>
      <c r="G1262" s="126" t="n">
        <v>46584</v>
      </c>
      <c r="H1262" s="126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IF(E1262="","",IF(ISNUMBER(SEARCH("SUBSOLO",E1262)),IFERROR(-VALUE(LEFT(E1262,FIND("º",SUBSTITUTE(E1262,"°","º"))-1)),-1),IF(LEFT(E1262,6)="TÉRREO",0,IFERROR(VALUE(LEFT(E1262,FIND("º",SUBSTITUTE(E1262,"°","º"))-1)),""))))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26" t="n">
        <v>46573</v>
      </c>
      <c r="G1263" s="126" t="n">
        <v>46583</v>
      </c>
      <c r="H1263" s="126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IF(E1263="","",IF(ISNUMBER(SEARCH("SUBSOLO",E1263)),IFERROR(-VALUE(LEFT(E1263,FIND("º",SUBSTITUTE(E1263,"°","º"))-1)),-1),IF(LEFT(E1263,6)="TÉRREO",0,IFERROR(VALUE(LEFT(E1263,FIND("º",SUBSTITUTE(E1263,"°","º"))-1)),""))))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26" t="n">
        <v>46573</v>
      </c>
      <c r="G1264" s="126" t="n">
        <v>46591</v>
      </c>
      <c r="H1264" s="126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IF(E1264="","",IF(ISNUMBER(SEARCH("SUBSOLO",E1264)),IFERROR(-VALUE(LEFT(E1264,FIND("º",SUBSTITUTE(E1264,"°","º"))-1)),-1),IF(LEFT(E1264,6)="TÉRREO",0,IFERROR(VALUE(LEFT(E1264,FIND("º",SUBSTITUTE(E1264,"°","º"))-1)),""))))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26" t="n">
        <v>46573</v>
      </c>
      <c r="G1265" s="126" t="n">
        <v>46577</v>
      </c>
      <c r="H1265" s="126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IF(E1265="","",IF(ISNUMBER(SEARCH("SUBSOLO",E1265)),IFERROR(-VALUE(LEFT(E1265,FIND("º",SUBSTITUTE(E1265,"°","º"))-1)),-1),IF(LEFT(E1265,6)="TÉRREO",0,IFERROR(VALUE(LEFT(E1265,FIND("º",SUBSTITUTE(E1265,"°","º"))-1)),""))))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26" t="n">
        <v>46573</v>
      </c>
      <c r="G1266" s="126" t="n">
        <v>46583</v>
      </c>
      <c r="H1266" s="126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IF(E1266="","",IF(ISNUMBER(SEARCH("SUBSOLO",E1266)),IFERROR(-VALUE(LEFT(E1266,FIND("º",SUBSTITUTE(E1266,"°","º"))-1)),-1),IF(LEFT(E1266,6)="TÉRREO",0,IFERROR(VALUE(LEFT(E1266,FIND("º",SUBSTITUTE(E1266,"°","º"))-1)),""))))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26" t="n">
        <v>46575</v>
      </c>
      <c r="G1267" s="126" t="n">
        <v>46588</v>
      </c>
      <c r="H1267" s="126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IF(E1267="","",IF(ISNUMBER(SEARCH("SUBSOLO",E1267)),IFERROR(-VALUE(LEFT(E1267,FIND("º",SUBSTITUTE(E1267,"°","º"))-1)),-1),IF(LEFT(E1267,6)="TÉRREO",0,IFERROR(VALUE(LEFT(E1267,FIND("º",SUBSTITUTE(E1267,"°","º"))-1)),""))))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26" t="n">
        <v>46576</v>
      </c>
      <c r="G1268" s="126" t="n">
        <v>46576</v>
      </c>
      <c r="H1268" s="126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IF(E1268="","",IF(ISNUMBER(SEARCH("SUBSOLO",E1268)),IFERROR(-VALUE(LEFT(E1268,FIND("º",SUBSTITUTE(E1268,"°","º"))-1)),-1),IF(LEFT(E1268,6)="TÉRREO",0,IFERROR(VALUE(LEFT(E1268,FIND("º",SUBSTITUTE(E1268,"°","º"))-1)),""))))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26" t="n">
        <v>46576</v>
      </c>
      <c r="G1269" s="126" t="n">
        <v>46584</v>
      </c>
      <c r="H1269" s="126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IF(E1269="","",IF(ISNUMBER(SEARCH("SUBSOLO",E1269)),IFERROR(-VALUE(LEFT(E1269,FIND("º",SUBSTITUTE(E1269,"°","º"))-1)),-1),IF(LEFT(E1269,6)="TÉRREO",0,IFERROR(VALUE(LEFT(E1269,FIND("º",SUBSTITUTE(E1269,"°","º"))-1)),""))))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26" t="n">
        <v>46576</v>
      </c>
      <c r="G1270" s="126" t="n">
        <v>46588</v>
      </c>
      <c r="H1270" s="126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IF(E1270="","",IF(ISNUMBER(SEARCH("SUBSOLO",E1270)),IFERROR(-VALUE(LEFT(E1270,FIND("º",SUBSTITUTE(E1270,"°","º"))-1)),-1),IF(LEFT(E1270,6)="TÉRREO",0,IFERROR(VALUE(LEFT(E1270,FIND("º",SUBSTITUTE(E1270,"°","º"))-1)),""))))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26" t="n">
        <v>46576</v>
      </c>
      <c r="G1271" s="126" t="n">
        <v>46588</v>
      </c>
      <c r="H1271" s="126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IF(E1271="","",IF(ISNUMBER(SEARCH("SUBSOLO",E1271)),IFERROR(-VALUE(LEFT(E1271,FIND("º",SUBSTITUTE(E1271,"°","º"))-1)),-1),IF(LEFT(E1271,6)="TÉRREO",0,IFERROR(VALUE(LEFT(E1271,FIND("º",SUBSTITUTE(E1271,"°","º"))-1)),""))))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26" t="n">
        <v>46576</v>
      </c>
      <c r="G1272" s="126" t="n">
        <v>46588</v>
      </c>
      <c r="H1272" s="126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IF(E1272="","",IF(ISNUMBER(SEARCH("SUBSOLO",E1272)),IFERROR(-VALUE(LEFT(E1272,FIND("º",SUBSTITUTE(E1272,"°","º"))-1)),-1),IF(LEFT(E1272,6)="TÉRREO",0,IFERROR(VALUE(LEFT(E1272,FIND("º",SUBSTITUTE(E1272,"°","º"))-1)),""))))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26" t="n">
        <v>46576</v>
      </c>
      <c r="G1273" s="126" t="n">
        <v>46588</v>
      </c>
      <c r="H1273" s="126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IF(E1273="","",IF(ISNUMBER(SEARCH("SUBSOLO",E1273)),IFERROR(-VALUE(LEFT(E1273,FIND("º",SUBSTITUTE(E1273,"°","º"))-1)),-1),IF(LEFT(E1273,6)="TÉRREO",0,IFERROR(VALUE(LEFT(E1273,FIND("º",SUBSTITUTE(E1273,"°","º"))-1)),""))))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26" t="n">
        <v>46577</v>
      </c>
      <c r="G1274" s="126" t="n">
        <v>46589</v>
      </c>
      <c r="H1274" s="126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IF(E1274="","",IF(ISNUMBER(SEARCH("SUBSOLO",E1274)),IFERROR(-VALUE(LEFT(E1274,FIND("º",SUBSTITUTE(E1274,"°","º"))-1)),-1),IF(LEFT(E1274,6)="TÉRREO",0,IFERROR(VALUE(LEFT(E1274,FIND("º",SUBSTITUTE(E1274,"°","º"))-1)),""))))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26" t="n">
        <v>46580</v>
      </c>
      <c r="G1275" s="126" t="n">
        <v>46622</v>
      </c>
      <c r="H1275" s="126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IF(E1275="","",IF(ISNUMBER(SEARCH("SUBSOLO",E1275)),IFERROR(-VALUE(LEFT(E1275,FIND("º",SUBSTITUTE(E1275,"°","º"))-1)),-1),IF(LEFT(E1275,6)="TÉRREO",0,IFERROR(VALUE(LEFT(E1275,FIND("º",SUBSTITUTE(E1275,"°","º"))-1)),""))))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26" t="n">
        <v>46580</v>
      </c>
      <c r="G1276" s="126" t="n">
        <v>46588</v>
      </c>
      <c r="H1276" s="126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IF(E1276="","",IF(ISNUMBER(SEARCH("SUBSOLO",E1276)),IFERROR(-VALUE(LEFT(E1276,FIND("º",SUBSTITUTE(E1276,"°","º"))-1)),-1),IF(LEFT(E1276,6)="TÉRREO",0,IFERROR(VALUE(LEFT(E1276,FIND("º",SUBSTITUTE(E1276,"°","º"))-1)),""))))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26" t="n">
        <v>46589</v>
      </c>
      <c r="G1277" s="126" t="n">
        <v>46602</v>
      </c>
      <c r="H1277" s="126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IF(E1277="","",IF(ISNUMBER(SEARCH("SUBSOLO",E1277)),IFERROR(-VALUE(LEFT(E1277,FIND("º",SUBSTITUTE(E1277,"°","º"))-1)),-1),IF(LEFT(E1277,6)="TÉRREO",0,IFERROR(VALUE(LEFT(E1277,FIND("º",SUBSTITUTE(E1277,"°","º"))-1)),""))))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26" t="n">
        <v>46595</v>
      </c>
      <c r="G1278" s="126" t="n">
        <v>46608</v>
      </c>
      <c r="H1278" s="126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IF(E1278="","",IF(ISNUMBER(SEARCH("SUBSOLO",E1278)),IFERROR(-VALUE(LEFT(E1278,FIND("º",SUBSTITUTE(E1278,"°","º"))-1)),-1),IF(LEFT(E1278,6)="TÉRREO",0,IFERROR(VALUE(LEFT(E1278,FIND("º",SUBSTITUTE(E1278,"°","º"))-1)),""))))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26" t="n">
        <v>46609</v>
      </c>
      <c r="G1279" s="126" t="n">
        <v>46615</v>
      </c>
      <c r="H1279" s="126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IF(E1279="","",IF(ISNUMBER(SEARCH("SUBSOLO",E1279)),IFERROR(-VALUE(LEFT(E1279,FIND("º",SUBSTITUTE(E1279,"°","º"))-1)),-1),IF(LEFT(E1279,6)="TÉRREO",0,IFERROR(VALUE(LEFT(E1279,FIND("º",SUBSTITUTE(E1279,"°","º"))-1)),""))))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26" t="n">
        <v>46616</v>
      </c>
      <c r="G1280" s="126" t="n">
        <v>46622</v>
      </c>
      <c r="H1280" s="126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IF(E1280="","",IF(ISNUMBER(SEARCH("SUBSOLO",E1280)),IFERROR(-VALUE(LEFT(E1280,FIND("º",SUBSTITUTE(E1280,"°","º"))-1)),-1),IF(LEFT(E1280,6)="TÉRREO",0,IFERROR(VALUE(LEFT(E1280,FIND("º",SUBSTITUTE(E1280,"°","º"))-1)),""))))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26" t="n">
        <v>46580</v>
      </c>
      <c r="G1281" s="126" t="n">
        <v>46598</v>
      </c>
      <c r="H1281" s="126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IF(E1281="","",IF(ISNUMBER(SEARCH("SUBSOLO",E1281)),IFERROR(-VALUE(LEFT(E1281,FIND("º",SUBSTITUTE(E1281,"°","º"))-1)),-1),IF(LEFT(E1281,6)="TÉRREO",0,IFERROR(VALUE(LEFT(E1281,FIND("º",SUBSTITUTE(E1281,"°","º"))-1)),""))))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26" t="n">
        <v>46581</v>
      </c>
      <c r="G1282" s="126" t="n">
        <v>46587</v>
      </c>
      <c r="H1282" s="126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IF(E1282="","",IF(ISNUMBER(SEARCH("SUBSOLO",E1282)),IFERROR(-VALUE(LEFT(E1282,FIND("º",SUBSTITUTE(E1282,"°","º"))-1)),-1),IF(LEFT(E1282,6)="TÉRREO",0,IFERROR(VALUE(LEFT(E1282,FIND("º",SUBSTITUTE(E1282,"°","º"))-1)),""))))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26" t="n">
        <v>46581</v>
      </c>
      <c r="G1283" s="126" t="n">
        <v>46591</v>
      </c>
      <c r="H1283" s="126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IF(E1283="","",IF(ISNUMBER(SEARCH("SUBSOLO",E1283)),IFERROR(-VALUE(LEFT(E1283,FIND("º",SUBSTITUTE(E1283,"°","º"))-1)),-1),IF(LEFT(E1283,6)="TÉRREO",0,IFERROR(VALUE(LEFT(E1283,FIND("º",SUBSTITUTE(E1283,"°","º"))-1)),""))))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26" t="n">
        <v>46581</v>
      </c>
      <c r="G1284" s="126" t="n">
        <v>46591</v>
      </c>
      <c r="H1284" s="126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IF(E1284="","",IF(ISNUMBER(SEARCH("SUBSOLO",E1284)),IFERROR(-VALUE(LEFT(E1284,FIND("º",SUBSTITUTE(E1284,"°","º"))-1)),-1),IF(LEFT(E1284,6)="TÉRREO",0,IFERROR(VALUE(LEFT(E1284,FIND("º",SUBSTITUTE(E1284,"°","º"))-1)),""))))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26" t="n">
        <v>46581</v>
      </c>
      <c r="G1285" s="126" t="n">
        <v>46591</v>
      </c>
      <c r="H1285" s="126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IF(E1285="","",IF(ISNUMBER(SEARCH("SUBSOLO",E1285)),IFERROR(-VALUE(LEFT(E1285,FIND("º",SUBSTITUTE(E1285,"°","º"))-1)),-1),IF(LEFT(E1285,6)="TÉRREO",0,IFERROR(VALUE(LEFT(E1285,FIND("º",SUBSTITUTE(E1285,"°","º"))-1)),""))))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26" t="n">
        <v>46581</v>
      </c>
      <c r="G1286" s="126" t="n">
        <v>46591</v>
      </c>
      <c r="H1286" s="126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IF(E1286="","",IF(ISNUMBER(SEARCH("SUBSOLO",E1286)),IFERROR(-VALUE(LEFT(E1286,FIND("º",SUBSTITUTE(E1286,"°","º"))-1)),-1),IF(LEFT(E1286,6)="TÉRREO",0,IFERROR(VALUE(LEFT(E1286,FIND("º",SUBSTITUTE(E1286,"°","º"))-1)),""))))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26" t="n">
        <v>46581</v>
      </c>
      <c r="G1287" s="126" t="n">
        <v>46591</v>
      </c>
      <c r="H1287" s="126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IF(E1287="","",IF(ISNUMBER(SEARCH("SUBSOLO",E1287)),IFERROR(-VALUE(LEFT(E1287,FIND("º",SUBSTITUTE(E1287,"°","º"))-1)),-1),IF(LEFT(E1287,6)="TÉRREO",0,IFERROR(VALUE(LEFT(E1287,FIND("º",SUBSTITUTE(E1287,"°","º"))-1)),""))))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26" t="n">
        <v>46581</v>
      </c>
      <c r="G1288" s="126" t="n">
        <v>46591</v>
      </c>
      <c r="H1288" s="126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IF(E1288="","",IF(ISNUMBER(SEARCH("SUBSOLO",E1288)),IFERROR(-VALUE(LEFT(E1288,FIND("º",SUBSTITUTE(E1288,"°","º"))-1)),-1),IF(LEFT(E1288,6)="TÉRREO",0,IFERROR(VALUE(LEFT(E1288,FIND("º",SUBSTITUTE(E1288,"°","º"))-1)),""))))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26" t="n">
        <v>46581</v>
      </c>
      <c r="G1289" s="126" t="n">
        <v>46591</v>
      </c>
      <c r="H1289" s="126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IF(E1289="","",IF(ISNUMBER(SEARCH("SUBSOLO",E1289)),IFERROR(-VALUE(LEFT(E1289,FIND("º",SUBSTITUTE(E1289,"°","º"))-1)),-1),IF(LEFT(E1289,6)="TÉRREO",0,IFERROR(VALUE(LEFT(E1289,FIND("º",SUBSTITUTE(E1289,"°","º"))-1)),""))))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26" t="n">
        <v>46581</v>
      </c>
      <c r="G1290" s="126" t="n">
        <v>46591</v>
      </c>
      <c r="H1290" s="126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IF(E1290="","",IF(ISNUMBER(SEARCH("SUBSOLO",E1290)),IFERROR(-VALUE(LEFT(E1290,FIND("º",SUBSTITUTE(E1290,"°","º"))-1)),-1),IF(LEFT(E1290,6)="TÉRREO",0,IFERROR(VALUE(LEFT(E1290,FIND("º",SUBSTITUTE(E1290,"°","º"))-1)),""))))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26" t="n">
        <v>46581</v>
      </c>
      <c r="G1291" s="126" t="n">
        <v>46591</v>
      </c>
      <c r="H1291" s="126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IF(E1291="","",IF(ISNUMBER(SEARCH("SUBSOLO",E1291)),IFERROR(-VALUE(LEFT(E1291,FIND("º",SUBSTITUTE(E1291,"°","º"))-1)),-1),IF(LEFT(E1291,6)="TÉRREO",0,IFERROR(VALUE(LEFT(E1291,FIND("º",SUBSTITUTE(E1291,"°","º"))-1)),""))))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26" t="n">
        <v>46581</v>
      </c>
      <c r="G1292" s="126" t="n">
        <v>46594</v>
      </c>
      <c r="H1292" s="126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IF(E1292="","",IF(ISNUMBER(SEARCH("SUBSOLO",E1292)),IFERROR(-VALUE(LEFT(E1292,FIND("º",SUBSTITUTE(E1292,"°","º"))-1)),-1),IF(LEFT(E1292,6)="TÉRREO",0,IFERROR(VALUE(LEFT(E1292,FIND("º",SUBSTITUTE(E1292,"°","º"))-1)),""))))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26" t="n">
        <v>46582</v>
      </c>
      <c r="G1293" s="126" t="n">
        <v>46595</v>
      </c>
      <c r="H1293" s="126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IF(E1293="","",IF(ISNUMBER(SEARCH("SUBSOLO",E1293)),IFERROR(-VALUE(LEFT(E1293,FIND("º",SUBSTITUTE(E1293,"°","º"))-1)),-1),IF(LEFT(E1293,6)="TÉRREO",0,IFERROR(VALUE(LEFT(E1293,FIND("º",SUBSTITUTE(E1293,"°","º"))-1)),""))))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26" t="n">
        <v>46583</v>
      </c>
      <c r="G1294" s="126" t="n">
        <v>46596</v>
      </c>
      <c r="H1294" s="126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IF(E1294="","",IF(ISNUMBER(SEARCH("SUBSOLO",E1294)),IFERROR(-VALUE(LEFT(E1294,FIND("º",SUBSTITUTE(E1294,"°","º"))-1)),-1),IF(LEFT(E1294,6)="TÉRREO",0,IFERROR(VALUE(LEFT(E1294,FIND("º",SUBSTITUTE(E1294,"°","º"))-1)),""))))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26" t="n">
        <v>46583</v>
      </c>
      <c r="G1295" s="126" t="n">
        <v>46589</v>
      </c>
      <c r="H1295" s="126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IF(E1295="","",IF(ISNUMBER(SEARCH("SUBSOLO",E1295)),IFERROR(-VALUE(LEFT(E1295,FIND("º",SUBSTITUTE(E1295,"°","º"))-1)),-1),IF(LEFT(E1295,6)="TÉRREO",0,IFERROR(VALUE(LEFT(E1295,FIND("º",SUBSTITUTE(E1295,"°","º"))-1)),""))))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26" t="n">
        <v>46590</v>
      </c>
      <c r="G1296" s="126" t="n">
        <v>46596</v>
      </c>
      <c r="H1296" s="126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IF(E1296="","",IF(ISNUMBER(SEARCH("SUBSOLO",E1296)),IFERROR(-VALUE(LEFT(E1296,FIND("º",SUBSTITUTE(E1296,"°","º"))-1)),-1),IF(LEFT(E1296,6)="TÉRREO",0,IFERROR(VALUE(LEFT(E1296,FIND("º",SUBSTITUTE(E1296,"°","º"))-1)),""))))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26" t="n">
        <v>46583</v>
      </c>
      <c r="G1297" s="126" t="n">
        <v>46603</v>
      </c>
      <c r="H1297" s="126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IF(E1297="","",IF(ISNUMBER(SEARCH("SUBSOLO",E1297)),IFERROR(-VALUE(LEFT(E1297,FIND("º",SUBSTITUTE(E1297,"°","º"))-1)),-1),IF(LEFT(E1297,6)="TÉRREO",0,IFERROR(VALUE(LEFT(E1297,FIND("º",SUBSTITUTE(E1297,"°","º"))-1)),""))))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26" t="n">
        <v>46583</v>
      </c>
      <c r="G1298" s="126" t="n">
        <v>46596</v>
      </c>
      <c r="H1298" s="126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IF(E1298="","",IF(ISNUMBER(SEARCH("SUBSOLO",E1298)),IFERROR(-VALUE(LEFT(E1298,FIND("º",SUBSTITUTE(E1298,"°","º"))-1)),-1),IF(LEFT(E1298,6)="TÉRREO",0,IFERROR(VALUE(LEFT(E1298,FIND("º",SUBSTITUTE(E1298,"°","º"))-1)),""))))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26" t="n">
        <v>46583</v>
      </c>
      <c r="G1299" s="126" t="n">
        <v>46595</v>
      </c>
      <c r="H1299" s="126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IF(E1299="","",IF(ISNUMBER(SEARCH("SUBSOLO",E1299)),IFERROR(-VALUE(LEFT(E1299,FIND("º",SUBSTITUTE(E1299,"°","º"))-1)),-1),IF(LEFT(E1299,6)="TÉRREO",0,IFERROR(VALUE(LEFT(E1299,FIND("º",SUBSTITUTE(E1299,"°","º"))-1)),""))))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26" t="n">
        <v>46583</v>
      </c>
      <c r="G1300" s="126" t="n">
        <v>46603</v>
      </c>
      <c r="H1300" s="126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IF(E1300="","",IF(ISNUMBER(SEARCH("SUBSOLO",E1300)),IFERROR(-VALUE(LEFT(E1300,FIND("º",SUBSTITUTE(E1300,"°","º"))-1)),-1),IF(LEFT(E1300,6)="TÉRREO",0,IFERROR(VALUE(LEFT(E1300,FIND("º",SUBSTITUTE(E1300,"°","º"))-1)),""))))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26" t="n">
        <v>46583</v>
      </c>
      <c r="G1301" s="126" t="n">
        <v>46589</v>
      </c>
      <c r="H1301" s="126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IF(E1301="","",IF(ISNUMBER(SEARCH("SUBSOLO",E1301)),IFERROR(-VALUE(LEFT(E1301,FIND("º",SUBSTITUTE(E1301,"°","º"))-1)),-1),IF(LEFT(E1301,6)="TÉRREO",0,IFERROR(VALUE(LEFT(E1301,FIND("º",SUBSTITUTE(E1301,"°","º"))-1)),""))))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26" t="n">
        <v>46583</v>
      </c>
      <c r="G1302" s="126" t="n">
        <v>46596</v>
      </c>
      <c r="H1302" s="126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IF(E1302="","",IF(ISNUMBER(SEARCH("SUBSOLO",E1302)),IFERROR(-VALUE(LEFT(E1302,FIND("º",SUBSTITUTE(E1302,"°","º"))-1)),-1),IF(LEFT(E1302,6)="TÉRREO",0,IFERROR(VALUE(LEFT(E1302,FIND("º",SUBSTITUTE(E1302,"°","º"))-1)),""))))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26" t="n">
        <v>46583</v>
      </c>
      <c r="G1303" s="126" t="n">
        <v>46596</v>
      </c>
      <c r="H1303" s="126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IF(E1303="","",IF(ISNUMBER(SEARCH("SUBSOLO",E1303)),IFERROR(-VALUE(LEFT(E1303,FIND("º",SUBSTITUTE(E1303,"°","º"))-1)),-1),IF(LEFT(E1303,6)="TÉRREO",0,IFERROR(VALUE(LEFT(E1303,FIND("º",SUBSTITUTE(E1303,"°","º"))-1)),""))))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26" t="n">
        <v>46584</v>
      </c>
      <c r="G1304" s="126" t="n">
        <v>46597</v>
      </c>
      <c r="H1304" s="126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IF(E1304="","",IF(ISNUMBER(SEARCH("SUBSOLO",E1304)),IFERROR(-VALUE(LEFT(E1304,FIND("º",SUBSTITUTE(E1304,"°","º"))-1)),-1),IF(LEFT(E1304,6)="TÉRREO",0,IFERROR(VALUE(LEFT(E1304,FIND("º",SUBSTITUTE(E1304,"°","º"))-1)),""))))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26" t="n">
        <v>46584</v>
      </c>
      <c r="G1305" s="126" t="n">
        <v>46596</v>
      </c>
      <c r="H1305" s="126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IF(E1305="","",IF(ISNUMBER(SEARCH("SUBSOLO",E1305)),IFERROR(-VALUE(LEFT(E1305,FIND("º",SUBSTITUTE(E1305,"°","º"))-1)),-1),IF(LEFT(E1305,6)="TÉRREO",0,IFERROR(VALUE(LEFT(E1305,FIND("º",SUBSTITUTE(E1305,"°","º"))-1)),""))))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26" t="n">
        <v>46584</v>
      </c>
      <c r="G1306" s="126" t="n">
        <v>46584</v>
      </c>
      <c r="H1306" s="126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IF(E1306="","",IF(ISNUMBER(SEARCH("SUBSOLO",E1306)),IFERROR(-VALUE(LEFT(E1306,FIND("º",SUBSTITUTE(E1306,"°","º"))-1)),-1),IF(LEFT(E1306,6)="TÉRREO",0,IFERROR(VALUE(LEFT(E1306,FIND("º",SUBSTITUTE(E1306,"°","º"))-1)),""))))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26" t="n">
        <v>46587</v>
      </c>
      <c r="G1307" s="126" t="n">
        <v>46598</v>
      </c>
      <c r="H1307" s="126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IF(E1307="","",IF(ISNUMBER(SEARCH("SUBSOLO",E1307)),IFERROR(-VALUE(LEFT(E1307,FIND("º",SUBSTITUTE(E1307,"°","º"))-1)),-1),IF(LEFT(E1307,6)="TÉRREO",0,IFERROR(VALUE(LEFT(E1307,FIND("º",SUBSTITUTE(E1307,"°","º"))-1)),""))))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26" t="n">
        <v>46587</v>
      </c>
      <c r="G1308" s="126" t="n">
        <v>46598</v>
      </c>
      <c r="H1308" s="126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IF(E1308="","",IF(ISNUMBER(SEARCH("SUBSOLO",E1308)),IFERROR(-VALUE(LEFT(E1308,FIND("º",SUBSTITUTE(E1308,"°","º"))-1)),-1),IF(LEFT(E1308,6)="TÉRREO",0,IFERROR(VALUE(LEFT(E1308,FIND("º",SUBSTITUTE(E1308,"°","º"))-1)),""))))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26" t="n">
        <v>46587</v>
      </c>
      <c r="G1309" s="126" t="n">
        <v>46596</v>
      </c>
      <c r="H1309" s="126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IF(E1309="","",IF(ISNUMBER(SEARCH("SUBSOLO",E1309)),IFERROR(-VALUE(LEFT(E1309,FIND("º",SUBSTITUTE(E1309,"°","º"))-1)),-1),IF(LEFT(E1309,6)="TÉRREO",0,IFERROR(VALUE(LEFT(E1309,FIND("º",SUBSTITUTE(E1309,"°","º"))-1)),""))))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26" t="n">
        <v>46587</v>
      </c>
      <c r="G1310" s="126" t="n">
        <v>46597</v>
      </c>
      <c r="H1310" s="126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IF(E1310="","",IF(ISNUMBER(SEARCH("SUBSOLO",E1310)),IFERROR(-VALUE(LEFT(E1310,FIND("º",SUBSTITUTE(E1310,"°","º"))-1)),-1),IF(LEFT(E1310,6)="TÉRREO",0,IFERROR(VALUE(LEFT(E1310,FIND("º",SUBSTITUTE(E1310,"°","º"))-1)),""))))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26" t="n">
        <v>46588</v>
      </c>
      <c r="G1311" s="126" t="n">
        <v>46594</v>
      </c>
      <c r="H1311" s="126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IF(E1311="","",IF(ISNUMBER(SEARCH("SUBSOLO",E1311)),IFERROR(-VALUE(LEFT(E1311,FIND("º",SUBSTITUTE(E1311,"°","º"))-1)),-1),IF(LEFT(E1311,6)="TÉRREO",0,IFERROR(VALUE(LEFT(E1311,FIND("º",SUBSTITUTE(E1311,"°","º"))-1)),""))))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26" t="n">
        <v>46589</v>
      </c>
      <c r="G1312" s="126" t="n">
        <v>46602</v>
      </c>
      <c r="H1312" s="126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IF(E1312="","",IF(ISNUMBER(SEARCH("SUBSOLO",E1312)),IFERROR(-VALUE(LEFT(E1312,FIND("º",SUBSTITUTE(E1312,"°","º"))-1)),-1),IF(LEFT(E1312,6)="TÉRREO",0,IFERROR(VALUE(LEFT(E1312,FIND("º",SUBSTITUTE(E1312,"°","º"))-1)),""))))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26" t="n">
        <v>46589</v>
      </c>
      <c r="G1313" s="126" t="n">
        <v>46589</v>
      </c>
      <c r="H1313" s="126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IF(E1313="","",IF(ISNUMBER(SEARCH("SUBSOLO",E1313)),IFERROR(-VALUE(LEFT(E1313,FIND("º",SUBSTITUTE(E1313,"°","º"))-1)),-1),IF(LEFT(E1313,6)="TÉRREO",0,IFERROR(VALUE(LEFT(E1313,FIND("º",SUBSTITUTE(E1313,"°","º"))-1)),""))))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26" t="n">
        <v>46589</v>
      </c>
      <c r="G1314" s="126" t="n">
        <v>46601</v>
      </c>
      <c r="H1314" s="126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IF(E1314="","",IF(ISNUMBER(SEARCH("SUBSOLO",E1314)),IFERROR(-VALUE(LEFT(E1314,FIND("º",SUBSTITUTE(E1314,"°","º"))-1)),-1),IF(LEFT(E1314,6)="TÉRREO",0,IFERROR(VALUE(LEFT(E1314,FIND("º",SUBSTITUTE(E1314,"°","º"))-1)),""))))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26" t="n">
        <v>46589</v>
      </c>
      <c r="G1315" s="126" t="n">
        <v>46601</v>
      </c>
      <c r="H1315" s="126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IF(E1315="","",IF(ISNUMBER(SEARCH("SUBSOLO",E1315)),IFERROR(-VALUE(LEFT(E1315,FIND("º",SUBSTITUTE(E1315,"°","º"))-1)),-1),IF(LEFT(E1315,6)="TÉRREO",0,IFERROR(VALUE(LEFT(E1315,FIND("º",SUBSTITUTE(E1315,"°","º"))-1)),""))))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26" t="n">
        <v>46589</v>
      </c>
      <c r="G1316" s="126" t="n">
        <v>46601</v>
      </c>
      <c r="H1316" s="126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IF(E1316="","",IF(ISNUMBER(SEARCH("SUBSOLO",E1316)),IFERROR(-VALUE(LEFT(E1316,FIND("º",SUBSTITUTE(E1316,"°","º"))-1)),-1),IF(LEFT(E1316,6)="TÉRREO",0,IFERROR(VALUE(LEFT(E1316,FIND("º",SUBSTITUTE(E1316,"°","º"))-1)),""))))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26" t="n">
        <v>46589</v>
      </c>
      <c r="G1317" s="126" t="n">
        <v>46601</v>
      </c>
      <c r="H1317" s="126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IF(E1317="","",IF(ISNUMBER(SEARCH("SUBSOLO",E1317)),IFERROR(-VALUE(LEFT(E1317,FIND("º",SUBSTITUTE(E1317,"°","º"))-1)),-1),IF(LEFT(E1317,6)="TÉRREO",0,IFERROR(VALUE(LEFT(E1317,FIND("º",SUBSTITUTE(E1317,"°","º"))-1)),""))))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26" t="n">
        <v>46590</v>
      </c>
      <c r="G1318" s="126" t="n">
        <v>46603</v>
      </c>
      <c r="H1318" s="126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IF(E1318="","",IF(ISNUMBER(SEARCH("SUBSOLO",E1318)),IFERROR(-VALUE(LEFT(E1318,FIND("º",SUBSTITUTE(E1318,"°","º"))-1)),-1),IF(LEFT(E1318,6)="TÉRREO",0,IFERROR(VALUE(LEFT(E1318,FIND("º",SUBSTITUTE(E1318,"°","º"))-1)),""))))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26" t="n">
        <v>46590</v>
      </c>
      <c r="G1319" s="126" t="n">
        <v>46602</v>
      </c>
      <c r="H1319" s="126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IF(E1319="","",IF(ISNUMBER(SEARCH("SUBSOLO",E1319)),IFERROR(-VALUE(LEFT(E1319,FIND("º",SUBSTITUTE(E1319,"°","º"))-1)),-1),IF(LEFT(E1319,6)="TÉRREO",0,IFERROR(VALUE(LEFT(E1319,FIND("º",SUBSTITUTE(E1319,"°","º"))-1)),""))))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26" t="n">
        <v>46590</v>
      </c>
      <c r="G1320" s="126" t="n">
        <v>46602</v>
      </c>
      <c r="H1320" s="126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IF(E1320="","",IF(ISNUMBER(SEARCH("SUBSOLO",E1320)),IFERROR(-VALUE(LEFT(E1320,FIND("º",SUBSTITUTE(E1320,"°","º"))-1)),-1),IF(LEFT(E1320,6)="TÉRREO",0,IFERROR(VALUE(LEFT(E1320,FIND("º",SUBSTITUTE(E1320,"°","º"))-1)),""))))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26" t="n">
        <v>46591</v>
      </c>
      <c r="G1321" s="126" t="n">
        <v>46611</v>
      </c>
      <c r="H1321" s="126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IF(E1321="","",IF(ISNUMBER(SEARCH("SUBSOLO",E1321)),IFERROR(-VALUE(LEFT(E1321,FIND("º",SUBSTITUTE(E1321,"°","º"))-1)),-1),IF(LEFT(E1321,6)="TÉRREO",0,IFERROR(VALUE(LEFT(E1321,FIND("º",SUBSTITUTE(E1321,"°","º"))-1)),""))))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26" t="n">
        <v>46591</v>
      </c>
      <c r="G1322" s="126" t="n">
        <v>46758</v>
      </c>
      <c r="H1322" s="126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IF(E1322="","",IF(ISNUMBER(SEARCH("SUBSOLO",E1322)),IFERROR(-VALUE(LEFT(E1322,FIND("º",SUBSTITUTE(E1322,"°","º"))-1)),-1),IF(LEFT(E1322,6)="TÉRREO",0,IFERROR(VALUE(LEFT(E1322,FIND("º",SUBSTITUTE(E1322,"°","º"))-1)),""))))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26" t="n">
        <v>46594</v>
      </c>
      <c r="G1323" s="126" t="n">
        <v>46604</v>
      </c>
      <c r="H1323" s="126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IF(E1323="","",IF(ISNUMBER(SEARCH("SUBSOLO",E1323)),IFERROR(-VALUE(LEFT(E1323,FIND("º",SUBSTITUTE(E1323,"°","º"))-1)),-1),IF(LEFT(E1323,6)="TÉRREO",0,IFERROR(VALUE(LEFT(E1323,FIND("º",SUBSTITUTE(E1323,"°","º"))-1)),""))))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26" t="n">
        <v>46594</v>
      </c>
      <c r="G1324" s="126" t="n">
        <v>46612</v>
      </c>
      <c r="H1324" s="126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IF(E1324="","",IF(ISNUMBER(SEARCH("SUBSOLO",E1324)),IFERROR(-VALUE(LEFT(E1324,FIND("º",SUBSTITUTE(E1324,"°","º"))-1)),-1),IF(LEFT(E1324,6)="TÉRREO",0,IFERROR(VALUE(LEFT(E1324,FIND("º",SUBSTITUTE(E1324,"°","º"))-1)),""))))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26" t="n">
        <v>46594</v>
      </c>
      <c r="G1325" s="126" t="n">
        <v>46598</v>
      </c>
      <c r="H1325" s="126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IF(E1325="","",IF(ISNUMBER(SEARCH("SUBSOLO",E1325)),IFERROR(-VALUE(LEFT(E1325,FIND("º",SUBSTITUTE(E1325,"°","º"))-1)),-1),IF(LEFT(E1325,6)="TÉRREO",0,IFERROR(VALUE(LEFT(E1325,FIND("º",SUBSTITUTE(E1325,"°","º"))-1)),""))))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26" t="n">
        <v>46594</v>
      </c>
      <c r="G1326" s="126" t="n">
        <v>46604</v>
      </c>
      <c r="H1326" s="126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IF(E1326="","",IF(ISNUMBER(SEARCH("SUBSOLO",E1326)),IFERROR(-VALUE(LEFT(E1326,FIND("º",SUBSTITUTE(E1326,"°","º"))-1)),-1),IF(LEFT(E1326,6)="TÉRREO",0,IFERROR(VALUE(LEFT(E1326,FIND("º",SUBSTITUTE(E1326,"°","º"))-1)),""))))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26" t="n">
        <v>46594</v>
      </c>
      <c r="G1327" s="126" t="n">
        <v>46604</v>
      </c>
      <c r="H1327" s="126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IF(E1327="","",IF(ISNUMBER(SEARCH("SUBSOLO",E1327)),IFERROR(-VALUE(LEFT(E1327,FIND("º",SUBSTITUTE(E1327,"°","º"))-1)),-1),IF(LEFT(E1327,6)="TÉRREO",0,IFERROR(VALUE(LEFT(E1327,FIND("º",SUBSTITUTE(E1327,"°","º"))-1)),""))))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26" t="n">
        <v>46594</v>
      </c>
      <c r="G1328" s="126" t="n">
        <v>46604</v>
      </c>
      <c r="H1328" s="126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IF(E1328="","",IF(ISNUMBER(SEARCH("SUBSOLO",E1328)),IFERROR(-VALUE(LEFT(E1328,FIND("º",SUBSTITUTE(E1328,"°","º"))-1)),-1),IF(LEFT(E1328,6)="TÉRREO",0,IFERROR(VALUE(LEFT(E1328,FIND("º",SUBSTITUTE(E1328,"°","º"))-1)),""))))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26" t="n">
        <v>46594</v>
      </c>
      <c r="G1329" s="126" t="n">
        <v>46604</v>
      </c>
      <c r="H1329" s="126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IF(E1329="","",IF(ISNUMBER(SEARCH("SUBSOLO",E1329)),IFERROR(-VALUE(LEFT(E1329,FIND("º",SUBSTITUTE(E1329,"°","º"))-1)),-1),IF(LEFT(E1329,6)="TÉRREO",0,IFERROR(VALUE(LEFT(E1329,FIND("º",SUBSTITUTE(E1329,"°","º"))-1)),""))))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26" t="n">
        <v>46594</v>
      </c>
      <c r="G1330" s="126" t="n">
        <v>46604</v>
      </c>
      <c r="H1330" s="126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IF(E1330="","",IF(ISNUMBER(SEARCH("SUBSOLO",E1330)),IFERROR(-VALUE(LEFT(E1330,FIND("º",SUBSTITUTE(E1330,"°","º"))-1)),-1),IF(LEFT(E1330,6)="TÉRREO",0,IFERROR(VALUE(LEFT(E1330,FIND("º",SUBSTITUTE(E1330,"°","º"))-1)),""))))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26" t="n">
        <v>46594</v>
      </c>
      <c r="G1331" s="126" t="n">
        <v>46604</v>
      </c>
      <c r="H1331" s="126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IF(E1331="","",IF(ISNUMBER(SEARCH("SUBSOLO",E1331)),IFERROR(-VALUE(LEFT(E1331,FIND("º",SUBSTITUTE(E1331,"°","º"))-1)),-1),IF(LEFT(E1331,6)="TÉRREO",0,IFERROR(VALUE(LEFT(E1331,FIND("º",SUBSTITUTE(E1331,"°","º"))-1)),""))))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26" t="n">
        <v>46594</v>
      </c>
      <c r="G1332" s="126" t="n">
        <v>46604</v>
      </c>
      <c r="H1332" s="126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IF(E1332="","",IF(ISNUMBER(SEARCH("SUBSOLO",E1332)),IFERROR(-VALUE(LEFT(E1332,FIND("º",SUBSTITUTE(E1332,"°","º"))-1)),-1),IF(LEFT(E1332,6)="TÉRREO",0,IFERROR(VALUE(LEFT(E1332,FIND("º",SUBSTITUTE(E1332,"°","º"))-1)),""))))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26" t="n">
        <v>46594</v>
      </c>
      <c r="G1333" s="126" t="n">
        <v>46604</v>
      </c>
      <c r="H1333" s="126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IF(E1333="","",IF(ISNUMBER(SEARCH("SUBSOLO",E1333)),IFERROR(-VALUE(LEFT(E1333,FIND("º",SUBSTITUTE(E1333,"°","º"))-1)),-1),IF(LEFT(E1333,6)="TÉRREO",0,IFERROR(VALUE(LEFT(E1333,FIND("º",SUBSTITUTE(E1333,"°","º"))-1)),""))))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26" t="n">
        <v>46594</v>
      </c>
      <c r="G1334" s="126" t="n">
        <v>46604</v>
      </c>
      <c r="H1334" s="126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IF(E1334="","",IF(ISNUMBER(SEARCH("SUBSOLO",E1334)),IFERROR(-VALUE(LEFT(E1334,FIND("º",SUBSTITUTE(E1334,"°","º"))-1)),-1),IF(LEFT(E1334,6)="TÉRREO",0,IFERROR(VALUE(LEFT(E1334,FIND("º",SUBSTITUTE(E1334,"°","º"))-1)),""))))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26" t="n">
        <v>46595</v>
      </c>
      <c r="G1335" s="126" t="n">
        <v>46615</v>
      </c>
      <c r="H1335" s="126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IF(E1335="","",IF(ISNUMBER(SEARCH("SUBSOLO",E1335)),IFERROR(-VALUE(LEFT(E1335,FIND("º",SUBSTITUTE(E1335,"°","º"))-1)),-1),IF(LEFT(E1335,6)="TÉRREO",0,IFERROR(VALUE(LEFT(E1335,FIND("º",SUBSTITUTE(E1335,"°","º"))-1)),""))))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26" t="n">
        <v>46596</v>
      </c>
      <c r="G1336" s="126" t="n">
        <v>46632</v>
      </c>
      <c r="H1336" s="126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IF(E1336="","",IF(ISNUMBER(SEARCH("SUBSOLO",E1336)),IFERROR(-VALUE(LEFT(E1336,FIND("º",SUBSTITUTE(E1336,"°","º"))-1)),-1),IF(LEFT(E1336,6)="TÉRREO",0,IFERROR(VALUE(LEFT(E1336,FIND("º",SUBSTITUTE(E1336,"°","º"))-1)),""))))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26" t="n">
        <v>46596</v>
      </c>
      <c r="G1337" s="126" t="n">
        <v>46616</v>
      </c>
      <c r="H1337" s="126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IF(E1337="","",IF(ISNUMBER(SEARCH("SUBSOLO",E1337)),IFERROR(-VALUE(LEFT(E1337,FIND("º",SUBSTITUTE(E1337,"°","º"))-1)),-1),IF(LEFT(E1337,6)="TÉRREO",0,IFERROR(VALUE(LEFT(E1337,FIND("º",SUBSTITUTE(E1337,"°","º"))-1)),""))))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26" t="n">
        <v>46596</v>
      </c>
      <c r="G1338" s="126" t="n">
        <v>46602</v>
      </c>
      <c r="H1338" s="126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IF(E1338="","",IF(ISNUMBER(SEARCH("SUBSOLO",E1338)),IFERROR(-VALUE(LEFT(E1338,FIND("º",SUBSTITUTE(E1338,"°","º"))-1)),-1),IF(LEFT(E1338,6)="TÉRREO",0,IFERROR(VALUE(LEFT(E1338,FIND("º",SUBSTITUTE(E1338,"°","º"))-1)),""))))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26" t="n">
        <v>46596</v>
      </c>
      <c r="G1339" s="126" t="n">
        <v>46609</v>
      </c>
      <c r="H1339" s="126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IF(E1339="","",IF(ISNUMBER(SEARCH("SUBSOLO",E1339)),IFERROR(-VALUE(LEFT(E1339,FIND("º",SUBSTITUTE(E1339,"°","º"))-1)),-1),IF(LEFT(E1339,6)="TÉRREO",0,IFERROR(VALUE(LEFT(E1339,FIND("º",SUBSTITUTE(E1339,"°","º"))-1)),""))))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26" t="n">
        <v>46597</v>
      </c>
      <c r="G1340" s="126" t="n">
        <v>46610</v>
      </c>
      <c r="H1340" s="126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IF(E1340="","",IF(ISNUMBER(SEARCH("SUBSOLO",E1340)),IFERROR(-VALUE(LEFT(E1340,FIND("º",SUBSTITUTE(E1340,"°","º"))-1)),-1),IF(LEFT(E1340,6)="TÉRREO",0,IFERROR(VALUE(LEFT(E1340,FIND("º",SUBSTITUTE(E1340,"°","º"))-1)),""))))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26" t="n">
        <v>46597</v>
      </c>
      <c r="G1341" s="126" t="n">
        <v>46603</v>
      </c>
      <c r="H1341" s="126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IF(E1341="","",IF(ISNUMBER(SEARCH("SUBSOLO",E1341)),IFERROR(-VALUE(LEFT(E1341,FIND("º",SUBSTITUTE(E1341,"°","º"))-1)),-1),IF(LEFT(E1341,6)="TÉRREO",0,IFERROR(VALUE(LEFT(E1341,FIND("º",SUBSTITUTE(E1341,"°","º"))-1)),""))))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26" t="n">
        <v>46597</v>
      </c>
      <c r="G1342" s="126" t="n">
        <v>46610</v>
      </c>
      <c r="H1342" s="126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IF(E1342="","",IF(ISNUMBER(SEARCH("SUBSOLO",E1342)),IFERROR(-VALUE(LEFT(E1342,FIND("º",SUBSTITUTE(E1342,"°","º"))-1)),-1),IF(LEFT(E1342,6)="TÉRREO",0,IFERROR(VALUE(LEFT(E1342,FIND("º",SUBSTITUTE(E1342,"°","º"))-1)),""))))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26" t="n">
        <v>46597</v>
      </c>
      <c r="G1343" s="126" t="n">
        <v>46610</v>
      </c>
      <c r="H1343" s="126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IF(E1343="","",IF(ISNUMBER(SEARCH("SUBSOLO",E1343)),IFERROR(-VALUE(LEFT(E1343,FIND("º",SUBSTITUTE(E1343,"°","º"))-1)),-1),IF(LEFT(E1343,6)="TÉRREO",0,IFERROR(VALUE(LEFT(E1343,FIND("º",SUBSTITUTE(E1343,"°","º"))-1)),""))))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26" t="n">
        <v>46598</v>
      </c>
      <c r="G1344" s="126" t="n">
        <v>46611</v>
      </c>
      <c r="H1344" s="126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IF(E1344="","",IF(ISNUMBER(SEARCH("SUBSOLO",E1344)),IFERROR(-VALUE(LEFT(E1344,FIND("º",SUBSTITUTE(E1344,"°","º"))-1)),-1),IF(LEFT(E1344,6)="TÉRREO",0,IFERROR(VALUE(LEFT(E1344,FIND("º",SUBSTITUTE(E1344,"°","º"))-1)),""))))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26" t="n">
        <v>46598</v>
      </c>
      <c r="G1345" s="126" t="n">
        <v>46610</v>
      </c>
      <c r="H1345" s="126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IF(E1345="","",IF(ISNUMBER(SEARCH("SUBSOLO",E1345)),IFERROR(-VALUE(LEFT(E1345,FIND("º",SUBSTITUTE(E1345,"°","º"))-1)),-1),IF(LEFT(E1345,6)="TÉRREO",0,IFERROR(VALUE(LEFT(E1345,FIND("º",SUBSTITUTE(E1345,"°","º"))-1)),""))))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26" t="n">
        <v>46601</v>
      </c>
      <c r="G1346" s="126" t="n">
        <v>46626</v>
      </c>
      <c r="H1346" s="126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IF(E1346="","",IF(ISNUMBER(SEARCH("SUBSOLO",E1346)),IFERROR(-VALUE(LEFT(E1346,FIND("º",SUBSTITUTE(E1346,"°","º"))-1)),-1),IF(LEFT(E1346,6)="TÉRREO",0,IFERROR(VALUE(LEFT(E1346,FIND("º",SUBSTITUTE(E1346,"°","º"))-1)),""))))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26" t="n">
        <v>46601</v>
      </c>
      <c r="G1347" s="126" t="n">
        <v>46612</v>
      </c>
      <c r="H1347" s="126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IF(E1347="","",IF(ISNUMBER(SEARCH("SUBSOLO",E1347)),IFERROR(-VALUE(LEFT(E1347,FIND("º",SUBSTITUTE(E1347,"°","º"))-1)),-1),IF(LEFT(E1347,6)="TÉRREO",0,IFERROR(VALUE(LEFT(E1347,FIND("º",SUBSTITUTE(E1347,"°","º"))-1)),""))))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26" t="n">
        <v>46601</v>
      </c>
      <c r="G1348" s="126" t="n">
        <v>46612</v>
      </c>
      <c r="H1348" s="126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IF(E1348="","",IF(ISNUMBER(SEARCH("SUBSOLO",E1348)),IFERROR(-VALUE(LEFT(E1348,FIND("º",SUBSTITUTE(E1348,"°","º"))-1)),-1),IF(LEFT(E1348,6)="TÉRREO",0,IFERROR(VALUE(LEFT(E1348,FIND("º",SUBSTITUTE(E1348,"°","º"))-1)),""))))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26" t="n">
        <v>46601</v>
      </c>
      <c r="G1349" s="126" t="n">
        <v>46612</v>
      </c>
      <c r="H1349" s="126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IF(E1349="","",IF(ISNUMBER(SEARCH("SUBSOLO",E1349)),IFERROR(-VALUE(LEFT(E1349,FIND("º",SUBSTITUTE(E1349,"°","º"))-1)),-1),IF(LEFT(E1349,6)="TÉRREO",0,IFERROR(VALUE(LEFT(E1349,FIND("º",SUBSTITUTE(E1349,"°","º"))-1)),""))))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26" t="n">
        <v>46601</v>
      </c>
      <c r="G1350" s="126" t="n">
        <v>46619</v>
      </c>
      <c r="H1350" s="126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IF(E1350="","",IF(ISNUMBER(SEARCH("SUBSOLO",E1350)),IFERROR(-VALUE(LEFT(E1350,FIND("º",SUBSTITUTE(E1350,"°","º"))-1)),-1),IF(LEFT(E1350,6)="TÉRREO",0,IFERROR(VALUE(LEFT(E1350,FIND("º",SUBSTITUTE(E1350,"°","º"))-1)),""))))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26" t="n">
        <v>46602</v>
      </c>
      <c r="G1351" s="126" t="n">
        <v>46612</v>
      </c>
      <c r="H1351" s="126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IF(E1351="","",IF(ISNUMBER(SEARCH("SUBSOLO",E1351)),IFERROR(-VALUE(LEFT(E1351,FIND("º",SUBSTITUTE(E1351,"°","º"))-1)),-1),IF(LEFT(E1351,6)="TÉRREO",0,IFERROR(VALUE(LEFT(E1351,FIND("º",SUBSTITUTE(E1351,"°","º"))-1)),""))))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26" t="n">
        <v>46602</v>
      </c>
      <c r="G1352" s="126" t="n">
        <v>46612</v>
      </c>
      <c r="H1352" s="126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IF(E1352="","",IF(ISNUMBER(SEARCH("SUBSOLO",E1352)),IFERROR(-VALUE(LEFT(E1352,FIND("º",SUBSTITUTE(E1352,"°","º"))-1)),-1),IF(LEFT(E1352,6)="TÉRREO",0,IFERROR(VALUE(LEFT(E1352,FIND("º",SUBSTITUTE(E1352,"°","º"))-1)),""))))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26" t="n">
        <v>46602</v>
      </c>
      <c r="G1353" s="126" t="n">
        <v>46612</v>
      </c>
      <c r="H1353" s="126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IF(E1353="","",IF(ISNUMBER(SEARCH("SUBSOLO",E1353)),IFERROR(-VALUE(LEFT(E1353,FIND("º",SUBSTITUTE(E1353,"°","º"))-1)),-1),IF(LEFT(E1353,6)="TÉRREO",0,IFERROR(VALUE(LEFT(E1353,FIND("º",SUBSTITUTE(E1353,"°","º"))-1)),""))))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26" t="n">
        <v>46603</v>
      </c>
      <c r="G1354" s="126" t="n">
        <v>46616</v>
      </c>
      <c r="H1354" s="126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IF(E1354="","",IF(ISNUMBER(SEARCH("SUBSOLO",E1354)),IFERROR(-VALUE(LEFT(E1354,FIND("º",SUBSTITUTE(E1354,"°","º"))-1)),-1),IF(LEFT(E1354,6)="TÉRREO",0,IFERROR(VALUE(LEFT(E1354,FIND("º",SUBSTITUTE(E1354,"°","º"))-1)),""))))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26" t="n">
        <v>46603</v>
      </c>
      <c r="G1355" s="126" t="n">
        <v>46616</v>
      </c>
      <c r="H1355" s="126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IF(E1355="","",IF(ISNUMBER(SEARCH("SUBSOLO",E1355)),IFERROR(-VALUE(LEFT(E1355,FIND("º",SUBSTITUTE(E1355,"°","º"))-1)),-1),IF(LEFT(E1355,6)="TÉRREO",0,IFERROR(VALUE(LEFT(E1355,FIND("º",SUBSTITUTE(E1355,"°","º"))-1)),""))))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26" t="n">
        <v>46603</v>
      </c>
      <c r="G1356" s="126" t="n">
        <v>46615</v>
      </c>
      <c r="H1356" s="126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IF(E1356="","",IF(ISNUMBER(SEARCH("SUBSOLO",E1356)),IFERROR(-VALUE(LEFT(E1356,FIND("º",SUBSTITUTE(E1356,"°","º"))-1)),-1),IF(LEFT(E1356,6)="TÉRREO",0,IFERROR(VALUE(LEFT(E1356,FIND("º",SUBSTITUTE(E1356,"°","º"))-1)),""))))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26" t="n">
        <v>46604</v>
      </c>
      <c r="G1357" s="126" t="n">
        <v>46624</v>
      </c>
      <c r="H1357" s="126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IF(E1357="","",IF(ISNUMBER(SEARCH("SUBSOLO",E1357)),IFERROR(-VALUE(LEFT(E1357,FIND("º",SUBSTITUTE(E1357,"°","º"))-1)),-1),IF(LEFT(E1357,6)="TÉRREO",0,IFERROR(VALUE(LEFT(E1357,FIND("º",SUBSTITUTE(E1357,"°","º"))-1)),""))))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26" t="n">
        <v>46604</v>
      </c>
      <c r="G1358" s="126" t="n">
        <v>46617</v>
      </c>
      <c r="H1358" s="126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IF(E1358="","",IF(ISNUMBER(SEARCH("SUBSOLO",E1358)),IFERROR(-VALUE(LEFT(E1358,FIND("º",SUBSTITUTE(E1358,"°","º"))-1)),-1),IF(LEFT(E1358,6)="TÉRREO",0,IFERROR(VALUE(LEFT(E1358,FIND("º",SUBSTITUTE(E1358,"°","º"))-1)),""))))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26" t="n">
        <v>46604</v>
      </c>
      <c r="G1359" s="126" t="n">
        <v>46616</v>
      </c>
      <c r="H1359" s="126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IF(E1359="","",IF(ISNUMBER(SEARCH("SUBSOLO",E1359)),IFERROR(-VALUE(LEFT(E1359,FIND("º",SUBSTITUTE(E1359,"°","º"))-1)),-1),IF(LEFT(E1359,6)="TÉRREO",0,IFERROR(VALUE(LEFT(E1359,FIND("º",SUBSTITUTE(E1359,"°","º"))-1)),""))))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26" t="n">
        <v>46604</v>
      </c>
      <c r="G1360" s="126" t="n">
        <v>46624</v>
      </c>
      <c r="H1360" s="126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IF(E1360="","",IF(ISNUMBER(SEARCH("SUBSOLO",E1360)),IFERROR(-VALUE(LEFT(E1360,FIND("º",SUBSTITUTE(E1360,"°","º"))-1)),-1),IF(LEFT(E1360,6)="TÉRREO",0,IFERROR(VALUE(LEFT(E1360,FIND("º",SUBSTITUTE(E1360,"°","º"))-1)),""))))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26" t="n">
        <v>46604</v>
      </c>
      <c r="G1361" s="126" t="n">
        <v>46624</v>
      </c>
      <c r="H1361" s="126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IF(E1361="","",IF(ISNUMBER(SEARCH("SUBSOLO",E1361)),IFERROR(-VALUE(LEFT(E1361,FIND("º",SUBSTITUTE(E1361,"°","º"))-1)),-1),IF(LEFT(E1361,6)="TÉRREO",0,IFERROR(VALUE(LEFT(E1361,FIND("º",SUBSTITUTE(E1361,"°","º"))-1)),""))))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26" t="n">
        <v>46605</v>
      </c>
      <c r="G1362" s="126" t="n">
        <v>46617</v>
      </c>
      <c r="H1362" s="126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IF(E1362="","",IF(ISNUMBER(SEARCH("SUBSOLO",E1362)),IFERROR(-VALUE(LEFT(E1362,FIND("º",SUBSTITUTE(E1362,"°","º"))-1)),-1),IF(LEFT(E1362,6)="TÉRREO",0,IFERROR(VALUE(LEFT(E1362,FIND("º",SUBSTITUTE(E1362,"°","º"))-1)),""))))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26" t="n">
        <v>46605</v>
      </c>
      <c r="G1363" s="126" t="n">
        <v>46625</v>
      </c>
      <c r="H1363" s="126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IF(E1363="","",IF(ISNUMBER(SEARCH("SUBSOLO",E1363)),IFERROR(-VALUE(LEFT(E1363,FIND("º",SUBSTITUTE(E1363,"°","º"))-1)),-1),IF(LEFT(E1363,6)="TÉRREO",0,IFERROR(VALUE(LEFT(E1363,FIND("º",SUBSTITUTE(E1363,"°","º"))-1)),""))))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26" t="n">
        <v>46605</v>
      </c>
      <c r="G1364" s="126" t="n">
        <v>46611</v>
      </c>
      <c r="H1364" s="126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IF(E1364="","",IF(ISNUMBER(SEARCH("SUBSOLO",E1364)),IFERROR(-VALUE(LEFT(E1364,FIND("º",SUBSTITUTE(E1364,"°","º"))-1)),-1),IF(LEFT(E1364,6)="TÉRREO",0,IFERROR(VALUE(LEFT(E1364,FIND("º",SUBSTITUTE(E1364,"°","º"))-1)),""))))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26" t="n">
        <v>46605</v>
      </c>
      <c r="G1365" s="126" t="n">
        <v>46617</v>
      </c>
      <c r="H1365" s="126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IF(E1365="","",IF(ISNUMBER(SEARCH("SUBSOLO",E1365)),IFERROR(-VALUE(LEFT(E1365,FIND("º",SUBSTITUTE(E1365,"°","º"))-1)),-1),IF(LEFT(E1365,6)="TÉRREO",0,IFERROR(VALUE(LEFT(E1365,FIND("º",SUBSTITUTE(E1365,"°","º"))-1)),""))))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26" t="n">
        <v>46605</v>
      </c>
      <c r="G1366" s="126" t="n">
        <v>46617</v>
      </c>
      <c r="H1366" s="126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IF(E1366="","",IF(ISNUMBER(SEARCH("SUBSOLO",E1366)),IFERROR(-VALUE(LEFT(E1366,FIND("º",SUBSTITUTE(E1366,"°","º"))-1)),-1),IF(LEFT(E1366,6)="TÉRREO",0,IFERROR(VALUE(LEFT(E1366,FIND("º",SUBSTITUTE(E1366,"°","º"))-1)),""))))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26" t="n">
        <v>46605</v>
      </c>
      <c r="G1367" s="126" t="n">
        <v>46617</v>
      </c>
      <c r="H1367" s="126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IF(E1367="","",IF(ISNUMBER(SEARCH("SUBSOLO",E1367)),IFERROR(-VALUE(LEFT(E1367,FIND("º",SUBSTITUTE(E1367,"°","º"))-1)),-1),IF(LEFT(E1367,6)="TÉRREO",0,IFERROR(VALUE(LEFT(E1367,FIND("º",SUBSTITUTE(E1367,"°","º"))-1)),""))))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26" t="n">
        <v>46605</v>
      </c>
      <c r="G1368" s="126" t="n">
        <v>46617</v>
      </c>
      <c r="H1368" s="126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IF(E1368="","",IF(ISNUMBER(SEARCH("SUBSOLO",E1368)),IFERROR(-VALUE(LEFT(E1368,FIND("º",SUBSTITUTE(E1368,"°","º"))-1)),-1),IF(LEFT(E1368,6)="TÉRREO",0,IFERROR(VALUE(LEFT(E1368,FIND("º",SUBSTITUTE(E1368,"°","º"))-1)),""))))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26" t="n">
        <v>46605</v>
      </c>
      <c r="G1369" s="126" t="n">
        <v>46617</v>
      </c>
      <c r="H1369" s="126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IF(E1369="","",IF(ISNUMBER(SEARCH("SUBSOLO",E1369)),IFERROR(-VALUE(LEFT(E1369,FIND("º",SUBSTITUTE(E1369,"°","º"))-1)),-1),IF(LEFT(E1369,6)="TÉRREO",0,IFERROR(VALUE(LEFT(E1369,FIND("º",SUBSTITUTE(E1369,"°","º"))-1)),""))))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26" t="n">
        <v>46605</v>
      </c>
      <c r="G1370" s="126" t="n">
        <v>46617</v>
      </c>
      <c r="H1370" s="126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IF(E1370="","",IF(ISNUMBER(SEARCH("SUBSOLO",E1370)),IFERROR(-VALUE(LEFT(E1370,FIND("º",SUBSTITUTE(E1370,"°","º"))-1)),-1),IF(LEFT(E1370,6)="TÉRREO",0,IFERROR(VALUE(LEFT(E1370,FIND("º",SUBSTITUTE(E1370,"°","º"))-1)),""))))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26" t="n">
        <v>46605</v>
      </c>
      <c r="G1371" s="126" t="n">
        <v>46617</v>
      </c>
      <c r="H1371" s="126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IF(E1371="","",IF(ISNUMBER(SEARCH("SUBSOLO",E1371)),IFERROR(-VALUE(LEFT(E1371,FIND("º",SUBSTITUTE(E1371,"°","º"))-1)),-1),IF(LEFT(E1371,6)="TÉRREO",0,IFERROR(VALUE(LEFT(E1371,FIND("º",SUBSTITUTE(E1371,"°","º"))-1)),""))))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26" t="n">
        <v>46605</v>
      </c>
      <c r="G1372" s="126" t="n">
        <v>46617</v>
      </c>
      <c r="H1372" s="126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IF(E1372="","",IF(ISNUMBER(SEARCH("SUBSOLO",E1372)),IFERROR(-VALUE(LEFT(E1372,FIND("º",SUBSTITUTE(E1372,"°","º"))-1)),-1),IF(LEFT(E1372,6)="TÉRREO",0,IFERROR(VALUE(LEFT(E1372,FIND("º",SUBSTITUTE(E1372,"°","º"))-1)),""))))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26" t="n">
        <v>46605</v>
      </c>
      <c r="G1373" s="126" t="n">
        <v>46617</v>
      </c>
      <c r="H1373" s="126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IF(E1373="","",IF(ISNUMBER(SEARCH("SUBSOLO",E1373)),IFERROR(-VALUE(LEFT(E1373,FIND("º",SUBSTITUTE(E1373,"°","º"))-1)),-1),IF(LEFT(E1373,6)="TÉRREO",0,IFERROR(VALUE(LEFT(E1373,FIND("º",SUBSTITUTE(E1373,"°","º"))-1)),""))))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26" t="n">
        <v>46610</v>
      </c>
      <c r="G1374" s="126" t="n">
        <v>46623</v>
      </c>
      <c r="H1374" s="126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IF(E1374="","",IF(ISNUMBER(SEARCH("SUBSOLO",E1374)),IFERROR(-VALUE(LEFT(E1374,FIND("º",SUBSTITUTE(E1374,"°","º"))-1)),-1),IF(LEFT(E1374,6)="TÉRREO",0,IFERROR(VALUE(LEFT(E1374,FIND("º",SUBSTITUTE(E1374,"°","º"))-1)),""))))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26" t="n">
        <v>46611</v>
      </c>
      <c r="G1375" s="126" t="n">
        <v>46624</v>
      </c>
      <c r="H1375" s="126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IF(E1375="","",IF(ISNUMBER(SEARCH("SUBSOLO",E1375)),IFERROR(-VALUE(LEFT(E1375,FIND("º",SUBSTITUTE(E1375,"°","º"))-1)),-1),IF(LEFT(E1375,6)="TÉRREO",0,IFERROR(VALUE(LEFT(E1375,FIND("º",SUBSTITUTE(E1375,"°","º"))-1)),""))))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26" t="n">
        <v>46611</v>
      </c>
      <c r="G1376" s="126" t="n">
        <v>46617</v>
      </c>
      <c r="H1376" s="126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IF(E1376="","",IF(ISNUMBER(SEARCH("SUBSOLO",E1376)),IFERROR(-VALUE(LEFT(E1376,FIND("º",SUBSTITUTE(E1376,"°","º"))-1)),-1),IF(LEFT(E1376,6)="TÉRREO",0,IFERROR(VALUE(LEFT(E1376,FIND("º",SUBSTITUTE(E1376,"°","º"))-1)),""))))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26" t="n">
        <v>46611</v>
      </c>
      <c r="G1377" s="126" t="n">
        <v>46624</v>
      </c>
      <c r="H1377" s="126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IF(E1377="","",IF(ISNUMBER(SEARCH("SUBSOLO",E1377)),IFERROR(-VALUE(LEFT(E1377,FIND("º",SUBSTITUTE(E1377,"°","º"))-1)),-1),IF(LEFT(E1377,6)="TÉRREO",0,IFERROR(VALUE(LEFT(E1377,FIND("º",SUBSTITUTE(E1377,"°","º"))-1)),""))))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26" t="n">
        <v>46612</v>
      </c>
      <c r="G1378" s="126" t="n">
        <v>46625</v>
      </c>
      <c r="H1378" s="126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IF(E1378="","",IF(ISNUMBER(SEARCH("SUBSOLO",E1378)),IFERROR(-VALUE(LEFT(E1378,FIND("º",SUBSTITUTE(E1378,"°","º"))-1)),-1),IF(LEFT(E1378,6)="TÉRREO",0,IFERROR(VALUE(LEFT(E1378,FIND("º",SUBSTITUTE(E1378,"°","º"))-1)),""))))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26" t="n">
        <v>46612</v>
      </c>
      <c r="G1379" s="126" t="n">
        <v>46625</v>
      </c>
      <c r="H1379" s="126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IF(E1379="","",IF(ISNUMBER(SEARCH("SUBSOLO",E1379)),IFERROR(-VALUE(LEFT(E1379,FIND("º",SUBSTITUTE(E1379,"°","º"))-1)),-1),IF(LEFT(E1379,6)="TÉRREO",0,IFERROR(VALUE(LEFT(E1379,FIND("º",SUBSTITUTE(E1379,"°","º"))-1)),""))))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26" t="n">
        <v>46612</v>
      </c>
      <c r="G1380" s="126" t="n">
        <v>46624</v>
      </c>
      <c r="H1380" s="126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IF(E1380="","",IF(ISNUMBER(SEARCH("SUBSOLO",E1380)),IFERROR(-VALUE(LEFT(E1380,FIND("º",SUBSTITUTE(E1380,"°","º"))-1)),-1),IF(LEFT(E1380,6)="TÉRREO",0,IFERROR(VALUE(LEFT(E1380,FIND("º",SUBSTITUTE(E1380,"°","º"))-1)),""))))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26" t="n">
        <v>46615</v>
      </c>
      <c r="G1381" s="126" t="n">
        <v>46626</v>
      </c>
      <c r="H1381" s="126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IF(E1381="","",IF(ISNUMBER(SEARCH("SUBSOLO",E1381)),IFERROR(-VALUE(LEFT(E1381,FIND("º",SUBSTITUTE(E1381,"°","º"))-1)),-1),IF(LEFT(E1381,6)="TÉRREO",0,IFERROR(VALUE(LEFT(E1381,FIND("º",SUBSTITUTE(E1381,"°","º"))-1)),""))))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26" t="n">
        <v>46615</v>
      </c>
      <c r="G1382" s="126" t="n">
        <v>46645</v>
      </c>
      <c r="H1382" s="126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IF(E1382="","",IF(ISNUMBER(SEARCH("SUBSOLO",E1382)),IFERROR(-VALUE(LEFT(E1382,FIND("º",SUBSTITUTE(E1382,"°","º"))-1)),-1),IF(LEFT(E1382,6)="TÉRREO",0,IFERROR(VALUE(LEFT(E1382,FIND("º",SUBSTITUTE(E1382,"°","º"))-1)),""))))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26" t="n">
        <v>46615</v>
      </c>
      <c r="G1383" s="126" t="n">
        <v>46626</v>
      </c>
      <c r="H1383" s="126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IF(E1383="","",IF(ISNUMBER(SEARCH("SUBSOLO",E1383)),IFERROR(-VALUE(LEFT(E1383,FIND("º",SUBSTITUTE(E1383,"°","º"))-1)),-1),IF(LEFT(E1383,6)="TÉRREO",0,IFERROR(VALUE(LEFT(E1383,FIND("º",SUBSTITUTE(E1383,"°","º"))-1)),""))))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26" t="n">
        <v>46615</v>
      </c>
      <c r="G1384" s="126" t="n">
        <v>46633</v>
      </c>
      <c r="H1384" s="126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IF(E1384="","",IF(ISNUMBER(SEARCH("SUBSOLO",E1384)),IFERROR(-VALUE(LEFT(E1384,FIND("º",SUBSTITUTE(E1384,"°","º"))-1)),-1),IF(LEFT(E1384,6)="TÉRREO",0,IFERROR(VALUE(LEFT(E1384,FIND("º",SUBSTITUTE(E1384,"°","º"))-1)),""))))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26" t="n">
        <v>46615</v>
      </c>
      <c r="G1385" s="126" t="n">
        <v>46619</v>
      </c>
      <c r="H1385" s="126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IF(E1385="","",IF(ISNUMBER(SEARCH("SUBSOLO",E1385)),IFERROR(-VALUE(LEFT(E1385,FIND("º",SUBSTITUTE(E1385,"°","º"))-1)),-1),IF(LEFT(E1385,6)="TÉRREO",0,IFERROR(VALUE(LEFT(E1385,FIND("º",SUBSTITUTE(E1385,"°","º"))-1)),""))))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26" t="n">
        <v>46615</v>
      </c>
      <c r="G1386" s="126" t="n">
        <v>46625</v>
      </c>
      <c r="H1386" s="126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IF(E1386="","",IF(ISNUMBER(SEARCH("SUBSOLO",E1386)),IFERROR(-VALUE(LEFT(E1386,FIND("º",SUBSTITUTE(E1386,"°","º"))-1)),-1),IF(LEFT(E1386,6)="TÉRREO",0,IFERROR(VALUE(LEFT(E1386,FIND("º",SUBSTITUTE(E1386,"°","º"))-1)),""))))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26" t="n">
        <v>46615</v>
      </c>
      <c r="G1387" s="126" t="n">
        <v>46625</v>
      </c>
      <c r="H1387" s="126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IF(E1387="","",IF(ISNUMBER(SEARCH("SUBSOLO",E1387)),IFERROR(-VALUE(LEFT(E1387,FIND("º",SUBSTITUTE(E1387,"°","º"))-1)),-1),IF(LEFT(E1387,6)="TÉRREO",0,IFERROR(VALUE(LEFT(E1387,FIND("º",SUBSTITUTE(E1387,"°","º"))-1)),""))))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26" t="n">
        <v>46616</v>
      </c>
      <c r="G1388" s="126" t="n">
        <v>46629</v>
      </c>
      <c r="H1388" s="126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IF(E1388="","",IF(ISNUMBER(SEARCH("SUBSOLO",E1388)),IFERROR(-VALUE(LEFT(E1388,FIND("º",SUBSTITUTE(E1388,"°","º"))-1)),-1),IF(LEFT(E1388,6)="TÉRREO",0,IFERROR(VALUE(LEFT(E1388,FIND("º",SUBSTITUTE(E1388,"°","º"))-1)),""))))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26" t="n">
        <v>46617</v>
      </c>
      <c r="G1389" s="126" t="n">
        <v>46638</v>
      </c>
      <c r="H1389" s="126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IF(E1389="","",IF(ISNUMBER(SEARCH("SUBSOLO",E1389)),IFERROR(-VALUE(LEFT(E1389,FIND("º",SUBSTITUTE(E1389,"°","º"))-1)),-1),IF(LEFT(E1389,6)="TÉRREO",0,IFERROR(VALUE(LEFT(E1389,FIND("º",SUBSTITUTE(E1389,"°","º"))-1)),""))))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26" t="n">
        <v>46617</v>
      </c>
      <c r="G1390" s="126" t="n">
        <v>46638</v>
      </c>
      <c r="H1390" s="126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IF(E1390="","",IF(ISNUMBER(SEARCH("SUBSOLO",E1390)),IFERROR(-VALUE(LEFT(E1390,FIND("º",SUBSTITUTE(E1390,"°","º"))-1)),-1),IF(LEFT(E1390,6)="TÉRREO",0,IFERROR(VALUE(LEFT(E1390,FIND("º",SUBSTITUTE(E1390,"°","º"))-1)),""))))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26" t="n">
        <v>46617</v>
      </c>
      <c r="G1391" s="126" t="n">
        <v>46623</v>
      </c>
      <c r="H1391" s="126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IF(E1391="","",IF(ISNUMBER(SEARCH("SUBSOLO",E1391)),IFERROR(-VALUE(LEFT(E1391,FIND("º",SUBSTITUTE(E1391,"°","º"))-1)),-1),IF(LEFT(E1391,6)="TÉRREO",0,IFERROR(VALUE(LEFT(E1391,FIND("º",SUBSTITUTE(E1391,"°","º"))-1)),""))))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26" t="n">
        <v>46617</v>
      </c>
      <c r="G1392" s="126" t="n">
        <v>46630</v>
      </c>
      <c r="H1392" s="126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IF(E1392="","",IF(ISNUMBER(SEARCH("SUBSOLO",E1392)),IFERROR(-VALUE(LEFT(E1392,FIND("º",SUBSTITUTE(E1392,"°","º"))-1)),-1),IF(LEFT(E1392,6)="TÉRREO",0,IFERROR(VALUE(LEFT(E1392,FIND("º",SUBSTITUTE(E1392,"°","º"))-1)),""))))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26" t="n">
        <v>46617</v>
      </c>
      <c r="G1393" s="126" t="n">
        <v>46630</v>
      </c>
      <c r="H1393" s="126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IF(E1393="","",IF(ISNUMBER(SEARCH("SUBSOLO",E1393)),IFERROR(-VALUE(LEFT(E1393,FIND("º",SUBSTITUTE(E1393,"°","º"))-1)),-1),IF(LEFT(E1393,6)="TÉRREO",0,IFERROR(VALUE(LEFT(E1393,FIND("º",SUBSTITUTE(E1393,"°","º"))-1)),""))))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26" t="n">
        <v>46617</v>
      </c>
      <c r="G1394" s="126" t="n">
        <v>46629</v>
      </c>
      <c r="H1394" s="126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IF(E1394="","",IF(ISNUMBER(SEARCH("SUBSOLO",E1394)),IFERROR(-VALUE(LEFT(E1394,FIND("º",SUBSTITUTE(E1394,"°","º"))-1)),-1),IF(LEFT(E1394,6)="TÉRREO",0,IFERROR(VALUE(LEFT(E1394,FIND("º",SUBSTITUTE(E1394,"°","º"))-1)),""))))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26" t="n">
        <v>46618</v>
      </c>
      <c r="G1395" s="126" t="n">
        <v>46618</v>
      </c>
      <c r="H1395" s="126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IF(E1395="","",IF(ISNUMBER(SEARCH("SUBSOLO",E1395)),IFERROR(-VALUE(LEFT(E1395,FIND("º",SUBSTITUTE(E1395,"°","º"))-1)),-1),IF(LEFT(E1395,6)="TÉRREO",0,IFERROR(VALUE(LEFT(E1395,FIND("º",SUBSTITUTE(E1395,"°","º"))-1)),""))))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26" t="n">
        <v>46618</v>
      </c>
      <c r="G1396" s="126" t="n">
        <v>46624</v>
      </c>
      <c r="H1396" s="126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IF(E1396="","",IF(ISNUMBER(SEARCH("SUBSOLO",E1396)),IFERROR(-VALUE(LEFT(E1396,FIND("º",SUBSTITUTE(E1396,"°","º"))-1)),-1),IF(LEFT(E1396,6)="TÉRREO",0,IFERROR(VALUE(LEFT(E1396,FIND("º",SUBSTITUTE(E1396,"°","º"))-1)),""))))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26" t="n">
        <v>46618</v>
      </c>
      <c r="G1397" s="126" t="n">
        <v>46630</v>
      </c>
      <c r="H1397" s="126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IF(E1397="","",IF(ISNUMBER(SEARCH("SUBSOLO",E1397)),IFERROR(-VALUE(LEFT(E1397,FIND("º",SUBSTITUTE(E1397,"°","º"))-1)),-1),IF(LEFT(E1397,6)="TÉRREO",0,IFERROR(VALUE(LEFT(E1397,FIND("º",SUBSTITUTE(E1397,"°","º"))-1)),""))))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26" t="n">
        <v>46618</v>
      </c>
      <c r="G1398" s="126" t="n">
        <v>46630</v>
      </c>
      <c r="H1398" s="126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IF(E1398="","",IF(ISNUMBER(SEARCH("SUBSOLO",E1398)),IFERROR(-VALUE(LEFT(E1398,FIND("º",SUBSTITUTE(E1398,"°","º"))-1)),-1),IF(LEFT(E1398,6)="TÉRREO",0,IFERROR(VALUE(LEFT(E1398,FIND("º",SUBSTITUTE(E1398,"°","º"))-1)),""))))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26" t="n">
        <v>46618</v>
      </c>
      <c r="G1399" s="126" t="n">
        <v>46630</v>
      </c>
      <c r="H1399" s="126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IF(E1399="","",IF(ISNUMBER(SEARCH("SUBSOLO",E1399)),IFERROR(-VALUE(LEFT(E1399,FIND("º",SUBSTITUTE(E1399,"°","º"))-1)),-1),IF(LEFT(E1399,6)="TÉRREO",0,IFERROR(VALUE(LEFT(E1399,FIND("º",SUBSTITUTE(E1399,"°","º"))-1)),""))))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26" t="n">
        <v>46618</v>
      </c>
      <c r="G1400" s="126" t="n">
        <v>46630</v>
      </c>
      <c r="H1400" s="126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IF(E1400="","",IF(ISNUMBER(SEARCH("SUBSOLO",E1400)),IFERROR(-VALUE(LEFT(E1400,FIND("º",SUBSTITUTE(E1400,"°","º"))-1)),-1),IF(LEFT(E1400,6)="TÉRREO",0,IFERROR(VALUE(LEFT(E1400,FIND("º",SUBSTITUTE(E1400,"°","º"))-1)),""))))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26" t="n">
        <v>46618</v>
      </c>
      <c r="G1401" s="126" t="n">
        <v>46630</v>
      </c>
      <c r="H1401" s="126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IF(E1401="","",IF(ISNUMBER(SEARCH("SUBSOLO",E1401)),IFERROR(-VALUE(LEFT(E1401,FIND("º",SUBSTITUTE(E1401,"°","º"))-1)),-1),IF(LEFT(E1401,6)="TÉRREO",0,IFERROR(VALUE(LEFT(E1401,FIND("º",SUBSTITUTE(E1401,"°","º"))-1)),""))))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26" t="n">
        <v>46618</v>
      </c>
      <c r="G1402" s="126" t="n">
        <v>46630</v>
      </c>
      <c r="H1402" s="126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IF(E1402="","",IF(ISNUMBER(SEARCH("SUBSOLO",E1402)),IFERROR(-VALUE(LEFT(E1402,FIND("º",SUBSTITUTE(E1402,"°","º"))-1)),-1),IF(LEFT(E1402,6)="TÉRREO",0,IFERROR(VALUE(LEFT(E1402,FIND("º",SUBSTITUTE(E1402,"°","º"))-1)),""))))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26" t="n">
        <v>46618</v>
      </c>
      <c r="G1403" s="126" t="n">
        <v>46630</v>
      </c>
      <c r="H1403" s="126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IF(E1403="","",IF(ISNUMBER(SEARCH("SUBSOLO",E1403)),IFERROR(-VALUE(LEFT(E1403,FIND("º",SUBSTITUTE(E1403,"°","º"))-1)),-1),IF(LEFT(E1403,6)="TÉRREO",0,IFERROR(VALUE(LEFT(E1403,FIND("º",SUBSTITUTE(E1403,"°","º"))-1)),""))))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26" t="n">
        <v>46618</v>
      </c>
      <c r="G1404" s="126" t="n">
        <v>46630</v>
      </c>
      <c r="H1404" s="126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IF(E1404="","",IF(ISNUMBER(SEARCH("SUBSOLO",E1404)),IFERROR(-VALUE(LEFT(E1404,FIND("º",SUBSTITUTE(E1404,"°","º"))-1)),-1),IF(LEFT(E1404,6)="TÉRREO",0,IFERROR(VALUE(LEFT(E1404,FIND("º",SUBSTITUTE(E1404,"°","º"))-1)),""))))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26" t="n">
        <v>46618</v>
      </c>
      <c r="G1405" s="126" t="n">
        <v>46630</v>
      </c>
      <c r="H1405" s="126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IF(E1405="","",IF(ISNUMBER(SEARCH("SUBSOLO",E1405)),IFERROR(-VALUE(LEFT(E1405,FIND("º",SUBSTITUTE(E1405,"°","º"))-1)),-1),IF(LEFT(E1405,6)="TÉRREO",0,IFERROR(VALUE(LEFT(E1405,FIND("º",SUBSTITUTE(E1405,"°","º"))-1)),""))))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26" t="n">
        <v>46619</v>
      </c>
      <c r="G1406" s="126" t="n">
        <v>46631</v>
      </c>
      <c r="H1406" s="126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IF(E1406="","",IF(ISNUMBER(SEARCH("SUBSOLO",E1406)),IFERROR(-VALUE(LEFT(E1406,FIND("º",SUBSTITUTE(E1406,"°","º"))-1)),-1),IF(LEFT(E1406,6)="TÉRREO",0,IFERROR(VALUE(LEFT(E1406,FIND("º",SUBSTITUTE(E1406,"°","º"))-1)),""))))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26" t="n">
        <v>46623</v>
      </c>
      <c r="G1407" s="126" t="n">
        <v>46636</v>
      </c>
      <c r="H1407" s="126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IF(E1407="","",IF(ISNUMBER(SEARCH("SUBSOLO",E1407)),IFERROR(-VALUE(LEFT(E1407,FIND("º",SUBSTITUTE(E1407,"°","º"))-1)),-1),IF(LEFT(E1407,6)="TÉRREO",0,IFERROR(VALUE(LEFT(E1407,FIND("º",SUBSTITUTE(E1407,"°","º"))-1)),""))))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26" t="n">
        <v>46623</v>
      </c>
      <c r="G1408" s="126" t="n">
        <v>46680</v>
      </c>
      <c r="H1408" s="126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IF(E1408="","",IF(ISNUMBER(SEARCH("SUBSOLO",E1408)),IFERROR(-VALUE(LEFT(E1408,FIND("º",SUBSTITUTE(E1408,"°","º"))-1)),-1),IF(LEFT(E1408,6)="TÉRREO",0,IFERROR(VALUE(LEFT(E1408,FIND("º",SUBSTITUTE(E1408,"°","º"))-1)),""))))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26" t="n">
        <v>46624</v>
      </c>
      <c r="G1409" s="126" t="n">
        <v>46638</v>
      </c>
      <c r="H1409" s="126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IF(E1409="","",IF(ISNUMBER(SEARCH("SUBSOLO",E1409)),IFERROR(-VALUE(LEFT(E1409,FIND("º",SUBSTITUTE(E1409,"°","º"))-1)),-1),IF(LEFT(E1409,6)="TÉRREO",0,IFERROR(VALUE(LEFT(E1409,FIND("º",SUBSTITUTE(E1409,"°","º"))-1)),""))))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26" t="n">
        <v>46625</v>
      </c>
      <c r="G1410" s="126" t="n">
        <v>46639</v>
      </c>
      <c r="H1410" s="126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IF(E1410="","",IF(ISNUMBER(SEARCH("SUBSOLO",E1410)),IFERROR(-VALUE(LEFT(E1410,FIND("º",SUBSTITUTE(E1410,"°","º"))-1)),-1),IF(LEFT(E1410,6)="TÉRREO",0,IFERROR(VALUE(LEFT(E1410,FIND("º",SUBSTITUTE(E1410,"°","º"))-1)),""))))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26" t="n">
        <v>46625</v>
      </c>
      <c r="G1411" s="126" t="n">
        <v>46639</v>
      </c>
      <c r="H1411" s="126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IF(E1411="","",IF(ISNUMBER(SEARCH("SUBSOLO",E1411)),IFERROR(-VALUE(LEFT(E1411,FIND("º",SUBSTITUTE(E1411,"°","º"))-1)),-1),IF(LEFT(E1411,6)="TÉRREO",0,IFERROR(VALUE(LEFT(E1411,FIND("º",SUBSTITUTE(E1411,"°","º"))-1)),""))))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26" t="n">
        <v>46625</v>
      </c>
      <c r="G1412" s="126" t="n">
        <v>46646</v>
      </c>
      <c r="H1412" s="126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IF(E1412="","",IF(ISNUMBER(SEARCH("SUBSOLO",E1412)),IFERROR(-VALUE(LEFT(E1412,FIND("º",SUBSTITUTE(E1412,"°","º"))-1)),-1),IF(LEFT(E1412,6)="TÉRREO",0,IFERROR(VALUE(LEFT(E1412,FIND("º",SUBSTITUTE(E1412,"°","º"))-1)),""))))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26" t="n">
        <v>46625</v>
      </c>
      <c r="G1413" s="126" t="n">
        <v>46633</v>
      </c>
      <c r="H1413" s="126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IF(E1413="","",IF(ISNUMBER(SEARCH("SUBSOLO",E1413)),IFERROR(-VALUE(LEFT(E1413,FIND("º",SUBSTITUTE(E1413,"°","º"))-1)),-1),IF(LEFT(E1413,6)="TÉRREO",0,IFERROR(VALUE(LEFT(E1413,FIND("º",SUBSTITUTE(E1413,"°","º"))-1)),""))))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26" t="n">
        <v>46625</v>
      </c>
      <c r="G1414" s="126" t="n">
        <v>46646</v>
      </c>
      <c r="H1414" s="126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IF(E1414="","",IF(ISNUMBER(SEARCH("SUBSOLO",E1414)),IFERROR(-VALUE(LEFT(E1414,FIND("º",SUBSTITUTE(E1414,"°","º"))-1)),-1),IF(LEFT(E1414,6)="TÉRREO",0,IFERROR(VALUE(LEFT(E1414,FIND("º",SUBSTITUTE(E1414,"°","º"))-1)),""))))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26" t="n">
        <v>46625</v>
      </c>
      <c r="G1415" s="126" t="n">
        <v>46646</v>
      </c>
      <c r="H1415" s="126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IF(E1415="","",IF(ISNUMBER(SEARCH("SUBSOLO",E1415)),IFERROR(-VALUE(LEFT(E1415,FIND("º",SUBSTITUTE(E1415,"°","º"))-1)),-1),IF(LEFT(E1415,6)="TÉRREO",0,IFERROR(VALUE(LEFT(E1415,FIND("º",SUBSTITUTE(E1415,"°","º"))-1)),""))))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26" t="n">
        <v>46625</v>
      </c>
      <c r="G1416" s="126" t="n">
        <v>46639</v>
      </c>
      <c r="H1416" s="126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IF(E1416="","",IF(ISNUMBER(SEARCH("SUBSOLO",E1416)),IFERROR(-VALUE(LEFT(E1416,FIND("º",SUBSTITUTE(E1416,"°","º"))-1)),-1),IF(LEFT(E1416,6)="TÉRREO",0,IFERROR(VALUE(LEFT(E1416,FIND("º",SUBSTITUTE(E1416,"°","º"))-1)),""))))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26" t="n">
        <v>46625</v>
      </c>
      <c r="G1417" s="126" t="n">
        <v>46639</v>
      </c>
      <c r="H1417" s="126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IF(E1417="","",IF(ISNUMBER(SEARCH("SUBSOLO",E1417)),IFERROR(-VALUE(LEFT(E1417,FIND("º",SUBSTITUTE(E1417,"°","º"))-1)),-1),IF(LEFT(E1417,6)="TÉRREO",0,IFERROR(VALUE(LEFT(E1417,FIND("º",SUBSTITUTE(E1417,"°","º"))-1)),""))))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26" t="n">
        <v>46626</v>
      </c>
      <c r="G1418" s="126" t="n">
        <v>46647</v>
      </c>
      <c r="H1418" s="126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IF(E1418="","",IF(ISNUMBER(SEARCH("SUBSOLO",E1418)),IFERROR(-VALUE(LEFT(E1418,FIND("º",SUBSTITUTE(E1418,"°","º"))-1)),-1),IF(LEFT(E1418,6)="TÉRREO",0,IFERROR(VALUE(LEFT(E1418,FIND("º",SUBSTITUTE(E1418,"°","º"))-1)),""))))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26" t="n">
        <v>46626</v>
      </c>
      <c r="G1419" s="126" t="n">
        <v>46654</v>
      </c>
      <c r="H1419" s="126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IF(E1419="","",IF(ISNUMBER(SEARCH("SUBSOLO",E1419)),IFERROR(-VALUE(LEFT(E1419,FIND("º",SUBSTITUTE(E1419,"°","º"))-1)),-1),IF(LEFT(E1419,6)="TÉRREO",0,IFERROR(VALUE(LEFT(E1419,FIND("º",SUBSTITUTE(E1419,"°","º"))-1)),""))))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26" t="n">
        <v>46626</v>
      </c>
      <c r="G1420" s="126" t="n">
        <v>46639</v>
      </c>
      <c r="H1420" s="126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IF(E1420="","",IF(ISNUMBER(SEARCH("SUBSOLO",E1420)),IFERROR(-VALUE(LEFT(E1420,FIND("º",SUBSTITUTE(E1420,"°","º"))-1)),-1),IF(LEFT(E1420,6)="TÉRREO",0,IFERROR(VALUE(LEFT(E1420,FIND("º",SUBSTITUTE(E1420,"°","º"))-1)),""))))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26" t="n">
        <v>46626</v>
      </c>
      <c r="G1421" s="126" t="n">
        <v>46639</v>
      </c>
      <c r="H1421" s="126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IF(E1421="","",IF(ISNUMBER(SEARCH("SUBSOLO",E1421)),IFERROR(-VALUE(LEFT(E1421,FIND("º",SUBSTITUTE(E1421,"°","º"))-1)),-1),IF(LEFT(E1421,6)="TÉRREO",0,IFERROR(VALUE(LEFT(E1421,FIND("º",SUBSTITUTE(E1421,"°","º"))-1)),""))))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26" t="n">
        <v>46626</v>
      </c>
      <c r="G1422" s="126" t="n">
        <v>46647</v>
      </c>
      <c r="H1422" s="126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IF(E1422="","",IF(ISNUMBER(SEARCH("SUBSOLO",E1422)),IFERROR(-VALUE(LEFT(E1422,FIND("º",SUBSTITUTE(E1422,"°","º"))-1)),-1),IF(LEFT(E1422,6)="TÉRREO",0,IFERROR(VALUE(LEFT(E1422,FIND("º",SUBSTITUTE(E1422,"°","º"))-1)),""))))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26" t="n">
        <v>46626</v>
      </c>
      <c r="G1423" s="126" t="n">
        <v>46639</v>
      </c>
      <c r="H1423" s="126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IF(E1423="","",IF(ISNUMBER(SEARCH("SUBSOLO",E1423)),IFERROR(-VALUE(LEFT(E1423,FIND("º",SUBSTITUTE(E1423,"°","º"))-1)),-1),IF(LEFT(E1423,6)="TÉRREO",0,IFERROR(VALUE(LEFT(E1423,FIND("º",SUBSTITUTE(E1423,"°","º"))-1)),""))))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26" t="n">
        <v>46629</v>
      </c>
      <c r="G1424" s="126" t="n">
        <v>46643</v>
      </c>
      <c r="H1424" s="126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IF(E1424="","",IF(ISNUMBER(SEARCH("SUBSOLO",E1424)),IFERROR(-VALUE(LEFT(E1424,FIND("º",SUBSTITUTE(E1424,"°","º"))-1)),-1),IF(LEFT(E1424,6)="TÉRREO",0,IFERROR(VALUE(LEFT(E1424,FIND("º",SUBSTITUTE(E1424,"°","º"))-1)),""))))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26" t="n">
        <v>46629</v>
      </c>
      <c r="G1425" s="126" t="n">
        <v>46650</v>
      </c>
      <c r="H1425" s="126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IF(E1425="","",IF(ISNUMBER(SEARCH("SUBSOLO",E1425)),IFERROR(-VALUE(LEFT(E1425,FIND("º",SUBSTITUTE(E1425,"°","º"))-1)),-1),IF(LEFT(E1425,6)="TÉRREO",0,IFERROR(VALUE(LEFT(E1425,FIND("º",SUBSTITUTE(E1425,"°","º"))-1)),""))))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26" t="n">
        <v>46631</v>
      </c>
      <c r="G1426" s="126" t="n">
        <v>46645</v>
      </c>
      <c r="H1426" s="126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IF(E1426="","",IF(ISNUMBER(SEARCH("SUBSOLO",E1426)),IFERROR(-VALUE(LEFT(E1426,FIND("º",SUBSTITUTE(E1426,"°","º"))-1)),-1),IF(LEFT(E1426,6)="TÉRREO",0,IFERROR(VALUE(LEFT(E1426,FIND("º",SUBSTITUTE(E1426,"°","º"))-1)),""))))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26" t="n">
        <v>46631</v>
      </c>
      <c r="G1427" s="126" t="n">
        <v>46645</v>
      </c>
      <c r="H1427" s="126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IF(E1427="","",IF(ISNUMBER(SEARCH("SUBSOLO",E1427)),IFERROR(-VALUE(LEFT(E1427,FIND("º",SUBSTITUTE(E1427,"°","º"))-1)),-1),IF(LEFT(E1427,6)="TÉRREO",0,IFERROR(VALUE(LEFT(E1427,FIND("º",SUBSTITUTE(E1427,"°","º"))-1)),""))))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26" t="n">
        <v>46631</v>
      </c>
      <c r="G1428" s="126" t="n">
        <v>46638</v>
      </c>
      <c r="H1428" s="126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IF(E1428="","",IF(ISNUMBER(SEARCH("SUBSOLO",E1428)),IFERROR(-VALUE(LEFT(E1428,FIND("º",SUBSTITUTE(E1428,"°","º"))-1)),-1),IF(LEFT(E1428,6)="TÉRREO",0,IFERROR(VALUE(LEFT(E1428,FIND("º",SUBSTITUTE(E1428,"°","º"))-1)),""))))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26" t="n">
        <v>46631</v>
      </c>
      <c r="G1429" s="126" t="n">
        <v>46644</v>
      </c>
      <c r="H1429" s="126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IF(E1429="","",IF(ISNUMBER(SEARCH("SUBSOLO",E1429)),IFERROR(-VALUE(LEFT(E1429,FIND("º",SUBSTITUTE(E1429,"°","º"))-1)),-1),IF(LEFT(E1429,6)="TÉRREO",0,IFERROR(VALUE(LEFT(E1429,FIND("º",SUBSTITUTE(E1429,"°","º"))-1)),""))))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26" t="n">
        <v>46631</v>
      </c>
      <c r="G1430" s="126" t="n">
        <v>46644</v>
      </c>
      <c r="H1430" s="126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IF(E1430="","",IF(ISNUMBER(SEARCH("SUBSOLO",E1430)),IFERROR(-VALUE(LEFT(E1430,FIND("º",SUBSTITUTE(E1430,"°","º"))-1)),-1),IF(LEFT(E1430,6)="TÉRREO",0,IFERROR(VALUE(LEFT(E1430,FIND("º",SUBSTITUTE(E1430,"°","º"))-1)),""))))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26" t="n">
        <v>46631</v>
      </c>
      <c r="G1431" s="126" t="n">
        <v>46644</v>
      </c>
      <c r="H1431" s="126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IF(E1431="","",IF(ISNUMBER(SEARCH("SUBSOLO",E1431)),IFERROR(-VALUE(LEFT(E1431,FIND("º",SUBSTITUTE(E1431,"°","º"))-1)),-1),IF(LEFT(E1431,6)="TÉRREO",0,IFERROR(VALUE(LEFT(E1431,FIND("º",SUBSTITUTE(E1431,"°","º"))-1)),""))))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26" t="n">
        <v>46631</v>
      </c>
      <c r="G1432" s="126" t="n">
        <v>46644</v>
      </c>
      <c r="H1432" s="126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IF(E1432="","",IF(ISNUMBER(SEARCH("SUBSOLO",E1432)),IFERROR(-VALUE(LEFT(E1432,FIND("º",SUBSTITUTE(E1432,"°","º"))-1)),-1),IF(LEFT(E1432,6)="TÉRREO",0,IFERROR(VALUE(LEFT(E1432,FIND("º",SUBSTITUTE(E1432,"°","º"))-1)),""))))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26" t="n">
        <v>46631</v>
      </c>
      <c r="G1433" s="126" t="n">
        <v>46644</v>
      </c>
      <c r="H1433" s="126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IF(E1433="","",IF(ISNUMBER(SEARCH("SUBSOLO",E1433)),IFERROR(-VALUE(LEFT(E1433,FIND("º",SUBSTITUTE(E1433,"°","º"))-1)),-1),IF(LEFT(E1433,6)="TÉRREO",0,IFERROR(VALUE(LEFT(E1433,FIND("º",SUBSTITUTE(E1433,"°","º"))-1)),""))))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26" t="n">
        <v>46631</v>
      </c>
      <c r="G1434" s="126" t="n">
        <v>46644</v>
      </c>
      <c r="H1434" s="126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IF(E1434="","",IF(ISNUMBER(SEARCH("SUBSOLO",E1434)),IFERROR(-VALUE(LEFT(E1434,FIND("º",SUBSTITUTE(E1434,"°","º"))-1)),-1),IF(LEFT(E1434,6)="TÉRREO",0,IFERROR(VALUE(LEFT(E1434,FIND("º",SUBSTITUTE(E1434,"°","º"))-1)),""))))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26" t="n">
        <v>46632</v>
      </c>
      <c r="G1435" s="126" t="n">
        <v>46646</v>
      </c>
      <c r="H1435" s="126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IF(E1435="","",IF(ISNUMBER(SEARCH("SUBSOLO",E1435)),IFERROR(-VALUE(LEFT(E1435,FIND("º",SUBSTITUTE(E1435,"°","º"))-1)),-1),IF(LEFT(E1435,6)="TÉRREO",0,IFERROR(VALUE(LEFT(E1435,FIND("º",SUBSTITUTE(E1435,"°","º"))-1)),""))))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26" t="n">
        <v>46632</v>
      </c>
      <c r="G1436" s="126" t="n">
        <v>46645</v>
      </c>
      <c r="H1436" s="126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IF(E1436="","",IF(ISNUMBER(SEARCH("SUBSOLO",E1436)),IFERROR(-VALUE(LEFT(E1436,FIND("º",SUBSTITUTE(E1436,"°","º"))-1)),-1),IF(LEFT(E1436,6)="TÉRREO",0,IFERROR(VALUE(LEFT(E1436,FIND("º",SUBSTITUTE(E1436,"°","º"))-1)),""))))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26" t="n">
        <v>46633</v>
      </c>
      <c r="G1437" s="126" t="n">
        <v>46678</v>
      </c>
      <c r="H1437" s="126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IF(E1437="","",IF(ISNUMBER(SEARCH("SUBSOLO",E1437)),IFERROR(-VALUE(LEFT(E1437,FIND("º",SUBSTITUTE(E1437,"°","º"))-1)),-1),IF(LEFT(E1437,6)="TÉRREO",0,IFERROR(VALUE(LEFT(E1437,FIND("º",SUBSTITUTE(E1437,"°","º"))-1)),""))))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26" t="n">
        <v>46633</v>
      </c>
      <c r="G1438" s="126" t="n">
        <v>46647</v>
      </c>
      <c r="H1438" s="126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IF(E1438="","",IF(ISNUMBER(SEARCH("SUBSOLO",E1438)),IFERROR(-VALUE(LEFT(E1438,FIND("º",SUBSTITUTE(E1438,"°","º"))-1)),-1),IF(LEFT(E1438,6)="TÉRREO",0,IFERROR(VALUE(LEFT(E1438,FIND("º",SUBSTITUTE(E1438,"°","º"))-1)),""))))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26" t="n">
        <v>46636</v>
      </c>
      <c r="G1439" s="126" t="n">
        <v>46647</v>
      </c>
      <c r="H1439" s="126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IF(E1439="","",IF(ISNUMBER(SEARCH("SUBSOLO",E1439)),IFERROR(-VALUE(LEFT(E1439,FIND("º",SUBSTITUTE(E1439,"°","º"))-1)),-1),IF(LEFT(E1439,6)="TÉRREO",0,IFERROR(VALUE(LEFT(E1439,FIND("º",SUBSTITUTE(E1439,"°","º"))-1)),""))))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26" t="n">
        <v>46636</v>
      </c>
      <c r="G1440" s="126" t="n">
        <v>46646</v>
      </c>
      <c r="H1440" s="126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IF(E1440="","",IF(ISNUMBER(SEARCH("SUBSOLO",E1440)),IFERROR(-VALUE(LEFT(E1440,FIND("º",SUBSTITUTE(E1440,"°","º"))-1)),-1),IF(LEFT(E1440,6)="TÉRREO",0,IFERROR(VALUE(LEFT(E1440,FIND("º",SUBSTITUTE(E1440,"°","º"))-1)),""))))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26" t="n">
        <v>46636</v>
      </c>
      <c r="G1441" s="126" t="n">
        <v>46647</v>
      </c>
      <c r="H1441" s="126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IF(E1441="","",IF(ISNUMBER(SEARCH("SUBSOLO",E1441)),IFERROR(-VALUE(LEFT(E1441,FIND("º",SUBSTITUTE(E1441,"°","º"))-1)),-1),IF(LEFT(E1441,6)="TÉRREO",0,IFERROR(VALUE(LEFT(E1441,FIND("º",SUBSTITUTE(E1441,"°","º"))-1)),""))))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26" t="n">
        <v>46636</v>
      </c>
      <c r="G1442" s="126" t="n">
        <v>46647</v>
      </c>
      <c r="H1442" s="126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IF(E1442="","",IF(ISNUMBER(SEARCH("SUBSOLO",E1442)),IFERROR(-VALUE(LEFT(E1442,FIND("º",SUBSTITUTE(E1442,"°","º"))-1)),-1),IF(LEFT(E1442,6)="TÉRREO",0,IFERROR(VALUE(LEFT(E1442,FIND("º",SUBSTITUTE(E1442,"°","º"))-1)),""))))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26" t="n">
        <v>46638</v>
      </c>
      <c r="G1443" s="126" t="n">
        <v>46647</v>
      </c>
      <c r="H1443" s="126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IF(E1443="","",IF(ISNUMBER(SEARCH("SUBSOLO",E1443)),IFERROR(-VALUE(LEFT(E1443,FIND("º",SUBSTITUTE(E1443,"°","º"))-1)),-1),IF(LEFT(E1443,6)="TÉRREO",0,IFERROR(VALUE(LEFT(E1443,FIND("º",SUBSTITUTE(E1443,"°","º"))-1)),""))))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26" t="n">
        <v>46639</v>
      </c>
      <c r="G1444" s="126" t="n">
        <v>46647</v>
      </c>
      <c r="H1444" s="126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IF(E1444="","",IF(ISNUMBER(SEARCH("SUBSOLO",E1444)),IFERROR(-VALUE(LEFT(E1444,FIND("º",SUBSTITUTE(E1444,"°","º"))-1)),-1),IF(LEFT(E1444,6)="TÉRREO",0,IFERROR(VALUE(LEFT(E1444,FIND("º",SUBSTITUTE(E1444,"°","º"))-1)),""))))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26" t="n">
        <v>46639</v>
      </c>
      <c r="G1445" s="126" t="n">
        <v>46659</v>
      </c>
      <c r="H1445" s="126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IF(E1445="","",IF(ISNUMBER(SEARCH("SUBSOLO",E1445)),IFERROR(-VALUE(LEFT(E1445,FIND("º",SUBSTITUTE(E1445,"°","º"))-1)),-1),IF(LEFT(E1445,6)="TÉRREO",0,IFERROR(VALUE(LEFT(E1445,FIND("º",SUBSTITUTE(E1445,"°","º"))-1)),""))))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26" t="n">
        <v>46639</v>
      </c>
      <c r="G1446" s="126" t="n">
        <v>46659</v>
      </c>
      <c r="H1446" s="126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IF(E1446="","",IF(ISNUMBER(SEARCH("SUBSOLO",E1446)),IFERROR(-VALUE(LEFT(E1446,FIND("º",SUBSTITUTE(E1446,"°","º"))-1)),-1),IF(LEFT(E1446,6)="TÉRREO",0,IFERROR(VALUE(LEFT(E1446,FIND("º",SUBSTITUTE(E1446,"°","º"))-1)),""))))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26" t="n">
        <v>46639</v>
      </c>
      <c r="G1447" s="126" t="n">
        <v>46645</v>
      </c>
      <c r="H1447" s="126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IF(E1447="","",IF(ISNUMBER(SEARCH("SUBSOLO",E1447)),IFERROR(-VALUE(LEFT(E1447,FIND("º",SUBSTITUTE(E1447,"°","º"))-1)),-1),IF(LEFT(E1447,6)="TÉRREO",0,IFERROR(VALUE(LEFT(E1447,FIND("º",SUBSTITUTE(E1447,"°","º"))-1)),""))))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26" t="n">
        <v>46640</v>
      </c>
      <c r="G1448" s="126" t="n">
        <v>46653</v>
      </c>
      <c r="H1448" s="126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IF(E1448="","",IF(ISNUMBER(SEARCH("SUBSOLO",E1448)),IFERROR(-VALUE(LEFT(E1448,FIND("º",SUBSTITUTE(E1448,"°","º"))-1)),-1),IF(LEFT(E1448,6)="TÉRREO",0,IFERROR(VALUE(LEFT(E1448,FIND("º",SUBSTITUTE(E1448,"°","º"))-1)),""))))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26" t="n">
        <v>46640</v>
      </c>
      <c r="G1449" s="126" t="n">
        <v>46640</v>
      </c>
      <c r="H1449" s="126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IF(E1449="","",IF(ISNUMBER(SEARCH("SUBSOLO",E1449)),IFERROR(-VALUE(LEFT(E1449,FIND("º",SUBSTITUTE(E1449,"°","º"))-1)),-1),IF(LEFT(E1449,6)="TÉRREO",0,IFERROR(VALUE(LEFT(E1449,FIND("º",SUBSTITUTE(E1449,"°","º"))-1)),""))))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26" t="n">
        <v>46640</v>
      </c>
      <c r="G1450" s="126" t="n">
        <v>46646</v>
      </c>
      <c r="H1450" s="126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IF(E1450="","",IF(ISNUMBER(SEARCH("SUBSOLO",E1450)),IFERROR(-VALUE(LEFT(E1450,FIND("º",SUBSTITUTE(E1450,"°","º"))-1)),-1),IF(LEFT(E1450,6)="TÉRREO",0,IFERROR(VALUE(LEFT(E1450,FIND("º",SUBSTITUTE(E1450,"°","º"))-1)),""))))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26" t="n">
        <v>46640</v>
      </c>
      <c r="G1451" s="126" t="n">
        <v>46653</v>
      </c>
      <c r="H1451" s="126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IF(E1451="","",IF(ISNUMBER(SEARCH("SUBSOLO",E1451)),IFERROR(-VALUE(LEFT(E1451,FIND("º",SUBSTITUTE(E1451,"°","º"))-1)),-1),IF(LEFT(E1451,6)="TÉRREO",0,IFERROR(VALUE(LEFT(E1451,FIND("º",SUBSTITUTE(E1451,"°","º"))-1)),""))))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26" t="n">
        <v>46640</v>
      </c>
      <c r="G1452" s="126" t="n">
        <v>46652</v>
      </c>
      <c r="H1452" s="126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IF(E1452="","",IF(ISNUMBER(SEARCH("SUBSOLO",E1452)),IFERROR(-VALUE(LEFT(E1452,FIND("º",SUBSTITUTE(E1452,"°","º"))-1)),-1),IF(LEFT(E1452,6)="TÉRREO",0,IFERROR(VALUE(LEFT(E1452,FIND("º",SUBSTITUTE(E1452,"°","º"))-1)),""))))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26" t="n">
        <v>46643</v>
      </c>
      <c r="G1453" s="126" t="n">
        <v>46653</v>
      </c>
      <c r="H1453" s="126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IF(E1453="","",IF(ISNUMBER(SEARCH("SUBSOLO",E1453)),IFERROR(-VALUE(LEFT(E1453,FIND("º",SUBSTITUTE(E1453,"°","º"))-1)),-1),IF(LEFT(E1453,6)="TÉRREO",0,IFERROR(VALUE(LEFT(E1453,FIND("º",SUBSTITUTE(E1453,"°","º"))-1)),""))))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26" t="n">
        <v>46644</v>
      </c>
      <c r="G1454" s="126" t="n">
        <v>46657</v>
      </c>
      <c r="H1454" s="126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IF(E1454="","",IF(ISNUMBER(SEARCH("SUBSOLO",E1454)),IFERROR(-VALUE(LEFT(E1454,FIND("º",SUBSTITUTE(E1454,"°","º"))-1)),-1),IF(LEFT(E1454,6)="TÉRREO",0,IFERROR(VALUE(LEFT(E1454,FIND("º",SUBSTITUTE(E1454,"°","º"))-1)),""))))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26" t="n">
        <v>46644</v>
      </c>
      <c r="G1455" s="126" t="n">
        <v>46657</v>
      </c>
      <c r="H1455" s="126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IF(E1455="","",IF(ISNUMBER(SEARCH("SUBSOLO",E1455)),IFERROR(-VALUE(LEFT(E1455,FIND("º",SUBSTITUTE(E1455,"°","º"))-1)),-1),IF(LEFT(E1455,6)="TÉRREO",0,IFERROR(VALUE(LEFT(E1455,FIND("º",SUBSTITUTE(E1455,"°","º"))-1)),""))))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26" t="n">
        <v>46645</v>
      </c>
      <c r="G1456" s="126" t="n">
        <v>46651</v>
      </c>
      <c r="H1456" s="126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IF(E1456="","",IF(ISNUMBER(SEARCH("SUBSOLO",E1456)),IFERROR(-VALUE(LEFT(E1456,FIND("º",SUBSTITUTE(E1456,"°","º"))-1)),-1),IF(LEFT(E1456,6)="TÉRREO",0,IFERROR(VALUE(LEFT(E1456,FIND("º",SUBSTITUTE(E1456,"°","º"))-1)),""))))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26" t="n">
        <v>46645</v>
      </c>
      <c r="G1457" s="126" t="n">
        <v>46657</v>
      </c>
      <c r="H1457" s="126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IF(E1457="","",IF(ISNUMBER(SEARCH("SUBSOLO",E1457)),IFERROR(-VALUE(LEFT(E1457,FIND("º",SUBSTITUTE(E1457,"°","º"))-1)),-1),IF(LEFT(E1457,6)="TÉRREO",0,IFERROR(VALUE(LEFT(E1457,FIND("º",SUBSTITUTE(E1457,"°","º"))-1)),""))))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26" t="n">
        <v>46645</v>
      </c>
      <c r="G1458" s="126" t="n">
        <v>46657</v>
      </c>
      <c r="H1458" s="126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IF(E1458="","",IF(ISNUMBER(SEARCH("SUBSOLO",E1458)),IFERROR(-VALUE(LEFT(E1458,FIND("º",SUBSTITUTE(E1458,"°","º"))-1)),-1),IF(LEFT(E1458,6)="TÉRREO",0,IFERROR(VALUE(LEFT(E1458,FIND("º",SUBSTITUTE(E1458,"°","º"))-1)),""))))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26" t="n">
        <v>46645</v>
      </c>
      <c r="G1459" s="126" t="n">
        <v>46657</v>
      </c>
      <c r="H1459" s="126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IF(E1459="","",IF(ISNUMBER(SEARCH("SUBSOLO",E1459)),IFERROR(-VALUE(LEFT(E1459,FIND("º",SUBSTITUTE(E1459,"°","º"))-1)),-1),IF(LEFT(E1459,6)="TÉRREO",0,IFERROR(VALUE(LEFT(E1459,FIND("º",SUBSTITUTE(E1459,"°","º"))-1)),""))))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26" t="n">
        <v>46645</v>
      </c>
      <c r="G1460" s="126" t="n">
        <v>46657</v>
      </c>
      <c r="H1460" s="126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IF(E1460="","",IF(ISNUMBER(SEARCH("SUBSOLO",E1460)),IFERROR(-VALUE(LEFT(E1460,FIND("º",SUBSTITUTE(E1460,"°","º"))-1)),-1),IF(LEFT(E1460,6)="TÉRREO",0,IFERROR(VALUE(LEFT(E1460,FIND("º",SUBSTITUTE(E1460,"°","º"))-1)),""))))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26" t="n">
        <v>46645</v>
      </c>
      <c r="G1461" s="126" t="n">
        <v>46657</v>
      </c>
      <c r="H1461" s="126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IF(E1461="","",IF(ISNUMBER(SEARCH("SUBSOLO",E1461)),IFERROR(-VALUE(LEFT(E1461,FIND("º",SUBSTITUTE(E1461,"°","º"))-1)),-1),IF(LEFT(E1461,6)="TÉRREO",0,IFERROR(VALUE(LEFT(E1461,FIND("º",SUBSTITUTE(E1461,"°","º"))-1)),""))))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26" t="n">
        <v>46646</v>
      </c>
      <c r="G1462" s="126" t="n">
        <v>46666</v>
      </c>
      <c r="H1462" s="126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IF(E1462="","",IF(ISNUMBER(SEARCH("SUBSOLO",E1462)),IFERROR(-VALUE(LEFT(E1462,FIND("º",SUBSTITUTE(E1462,"°","º"))-1)),-1),IF(LEFT(E1462,6)="TÉRREO",0,IFERROR(VALUE(LEFT(E1462,FIND("º",SUBSTITUTE(E1462,"°","º"))-1)),""))))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26" t="n">
        <v>46646</v>
      </c>
      <c r="G1463" s="126" t="n">
        <v>46659</v>
      </c>
      <c r="H1463" s="126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IF(E1463="","",IF(ISNUMBER(SEARCH("SUBSOLO",E1463)),IFERROR(-VALUE(LEFT(E1463,FIND("º",SUBSTITUTE(E1463,"°","º"))-1)),-1),IF(LEFT(E1463,6)="TÉRREO",0,IFERROR(VALUE(LEFT(E1463,FIND("º",SUBSTITUTE(E1463,"°","º"))-1)),""))))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26" t="n">
        <v>46646</v>
      </c>
      <c r="G1464" s="126" t="n">
        <v>46659</v>
      </c>
      <c r="H1464" s="126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IF(E1464="","",IF(ISNUMBER(SEARCH("SUBSOLO",E1464)),IFERROR(-VALUE(LEFT(E1464,FIND("º",SUBSTITUTE(E1464,"°","º"))-1)),-1),IF(LEFT(E1464,6)="TÉRREO",0,IFERROR(VALUE(LEFT(E1464,FIND("º",SUBSTITUTE(E1464,"°","º"))-1)),""))))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26" t="n">
        <v>46647</v>
      </c>
      <c r="G1465" s="126" t="n">
        <v>46660</v>
      </c>
      <c r="H1465" s="126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IF(E1465="","",IF(ISNUMBER(SEARCH("SUBSOLO",E1465)),IFERROR(-VALUE(LEFT(E1465,FIND("º",SUBSTITUTE(E1465,"°","º"))-1)),-1),IF(LEFT(E1465,6)="TÉRREO",0,IFERROR(VALUE(LEFT(E1465,FIND("º",SUBSTITUTE(E1465,"°","º"))-1)),""))))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26" t="n">
        <v>46647</v>
      </c>
      <c r="G1466" s="126" t="n">
        <v>46653</v>
      </c>
      <c r="H1466" s="126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IF(E1466="","",IF(ISNUMBER(SEARCH("SUBSOLO",E1466)),IFERROR(-VALUE(LEFT(E1466,FIND("º",SUBSTITUTE(E1466,"°","º"))-1)),-1),IF(LEFT(E1466,6)="TÉRREO",0,IFERROR(VALUE(LEFT(E1466,FIND("º",SUBSTITUTE(E1466,"°","º"))-1)),""))))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26" t="n">
        <v>46654</v>
      </c>
      <c r="G1467" s="126" t="n">
        <v>46660</v>
      </c>
      <c r="H1467" s="126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IF(E1467="","",IF(ISNUMBER(SEARCH("SUBSOLO",E1467)),IFERROR(-VALUE(LEFT(E1467,FIND("º",SUBSTITUTE(E1467,"°","º"))-1)),-1),IF(LEFT(E1467,6)="TÉRREO",0,IFERROR(VALUE(LEFT(E1467,FIND("º",SUBSTITUTE(E1467,"°","º"))-1)),""))))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26" t="n">
        <v>46647</v>
      </c>
      <c r="G1468" s="126" t="n">
        <v>46667</v>
      </c>
      <c r="H1468" s="126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IF(E1468="","",IF(ISNUMBER(SEARCH("SUBSOLO",E1468)),IFERROR(-VALUE(LEFT(E1468,FIND("º",SUBSTITUTE(E1468,"°","º"))-1)),-1),IF(LEFT(E1468,6)="TÉRREO",0,IFERROR(VALUE(LEFT(E1468,FIND("º",SUBSTITUTE(E1468,"°","º"))-1)),""))))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26" t="n">
        <v>46647</v>
      </c>
      <c r="G1469" s="126" t="n">
        <v>46660</v>
      </c>
      <c r="H1469" s="126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IF(E1469="","",IF(ISNUMBER(SEARCH("SUBSOLO",E1469)),IFERROR(-VALUE(LEFT(E1469,FIND("º",SUBSTITUTE(E1469,"°","º"))-1)),-1),IF(LEFT(E1469,6)="TÉRREO",0,IFERROR(VALUE(LEFT(E1469,FIND("º",SUBSTITUTE(E1469,"°","º"))-1)),""))))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26" t="n">
        <v>46647</v>
      </c>
      <c r="G1470" s="126" t="n">
        <v>46659</v>
      </c>
      <c r="H1470" s="126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IF(E1470="","",IF(ISNUMBER(SEARCH("SUBSOLO",E1470)),IFERROR(-VALUE(LEFT(E1470,FIND("º",SUBSTITUTE(E1470,"°","º"))-1)),-1),IF(LEFT(E1470,6)="TÉRREO",0,IFERROR(VALUE(LEFT(E1470,FIND("º",SUBSTITUTE(E1470,"°","º"))-1)),""))))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26" t="n">
        <v>46647</v>
      </c>
      <c r="G1471" s="126" t="n">
        <v>46657</v>
      </c>
      <c r="H1471" s="126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IF(E1471="","",IF(ISNUMBER(SEARCH("SUBSOLO",E1471)),IFERROR(-VALUE(LEFT(E1471,FIND("º",SUBSTITUTE(E1471,"°","º"))-1)),-1),IF(LEFT(E1471,6)="TÉRREO",0,IFERROR(VALUE(LEFT(E1471,FIND("º",SUBSTITUTE(E1471,"°","º"))-1)),""))))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26" t="n">
        <v>46647</v>
      </c>
      <c r="G1472" s="126" t="n">
        <v>46667</v>
      </c>
      <c r="H1472" s="126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IF(E1472="","",IF(ISNUMBER(SEARCH("SUBSOLO",E1472)),IFERROR(-VALUE(LEFT(E1472,FIND("º",SUBSTITUTE(E1472,"°","º"))-1)),-1),IF(LEFT(E1472,6)="TÉRREO",0,IFERROR(VALUE(LEFT(E1472,FIND("º",SUBSTITUTE(E1472,"°","º"))-1)),""))))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26" t="n">
        <v>46647</v>
      </c>
      <c r="G1473" s="126" t="n">
        <v>46667</v>
      </c>
      <c r="H1473" s="126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IF(E1473="","",IF(ISNUMBER(SEARCH("SUBSOLO",E1473)),IFERROR(-VALUE(LEFT(E1473,FIND("º",SUBSTITUTE(E1473,"°","º"))-1)),-1),IF(LEFT(E1473,6)="TÉRREO",0,IFERROR(VALUE(LEFT(E1473,FIND("º",SUBSTITUTE(E1473,"°","º"))-1)),""))))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26" t="n">
        <v>46647</v>
      </c>
      <c r="G1474" s="126" t="n">
        <v>46667</v>
      </c>
      <c r="H1474" s="126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IF(E1474="","",IF(ISNUMBER(SEARCH("SUBSOLO",E1474)),IFERROR(-VALUE(LEFT(E1474,FIND("º",SUBSTITUTE(E1474,"°","º"))-1)),-1),IF(LEFT(E1474,6)="TÉRREO",0,IFERROR(VALUE(LEFT(E1474,FIND("º",SUBSTITUTE(E1474,"°","º"))-1)),""))))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26" t="n">
        <v>46650</v>
      </c>
      <c r="G1475" s="126" t="n">
        <v>46654</v>
      </c>
      <c r="H1475" s="126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IF(E1475="","",IF(ISNUMBER(SEARCH("SUBSOLO",E1475)),IFERROR(-VALUE(LEFT(E1475,FIND("º",SUBSTITUTE(E1475,"°","º"))-1)),-1),IF(LEFT(E1475,6)="TÉRREO",0,IFERROR(VALUE(LEFT(E1475,FIND("º",SUBSTITUTE(E1475,"°","º"))-1)),""))))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26" t="n">
        <v>46650</v>
      </c>
      <c r="G1476" s="126" t="n">
        <v>46668</v>
      </c>
      <c r="H1476" s="126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IF(E1476="","",IF(ISNUMBER(SEARCH("SUBSOLO",E1476)),IFERROR(-VALUE(LEFT(E1476,FIND("º",SUBSTITUTE(E1476,"°","º"))-1)),-1),IF(LEFT(E1476,6)="TÉRREO",0,IFERROR(VALUE(LEFT(E1476,FIND("º",SUBSTITUTE(E1476,"°","º"))-1)),""))))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26" t="n">
        <v>46650</v>
      </c>
      <c r="G1477" s="126" t="n">
        <v>46659</v>
      </c>
      <c r="H1477" s="126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IF(E1477="","",IF(ISNUMBER(SEARCH("SUBSOLO",E1477)),IFERROR(-VALUE(LEFT(E1477,FIND("º",SUBSTITUTE(E1477,"°","º"))-1)),-1),IF(LEFT(E1477,6)="TÉRREO",0,IFERROR(VALUE(LEFT(E1477,FIND("º",SUBSTITUTE(E1477,"°","º"))-1)),""))))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26" t="n">
        <v>46650</v>
      </c>
      <c r="G1478" s="126" t="n">
        <v>46659</v>
      </c>
      <c r="H1478" s="126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IF(E1478="","",IF(ISNUMBER(SEARCH("SUBSOLO",E1478)),IFERROR(-VALUE(LEFT(E1478,FIND("º",SUBSTITUTE(E1478,"°","º"))-1)),-1),IF(LEFT(E1478,6)="TÉRREO",0,IFERROR(VALUE(LEFT(E1478,FIND("º",SUBSTITUTE(E1478,"°","º"))-1)),""))))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26" t="n">
        <v>46650</v>
      </c>
      <c r="G1479" s="126" t="n">
        <v>46660</v>
      </c>
      <c r="H1479" s="126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IF(E1479="","",IF(ISNUMBER(SEARCH("SUBSOLO",E1479)),IFERROR(-VALUE(LEFT(E1479,FIND("º",SUBSTITUTE(E1479,"°","º"))-1)),-1),IF(LEFT(E1479,6)="TÉRREO",0,IFERROR(VALUE(LEFT(E1479,FIND("º",SUBSTITUTE(E1479,"°","º"))-1)),""))))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26" t="n">
        <v>46650</v>
      </c>
      <c r="G1480" s="126" t="n">
        <v>46660</v>
      </c>
      <c r="H1480" s="126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IF(E1480="","",IF(ISNUMBER(SEARCH("SUBSOLO",E1480)),IFERROR(-VALUE(LEFT(E1480,FIND("º",SUBSTITUTE(E1480,"°","º"))-1)),-1),IF(LEFT(E1480,6)="TÉRREO",0,IFERROR(VALUE(LEFT(E1480,FIND("º",SUBSTITUTE(E1480,"°","º"))-1)),""))))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26" t="n">
        <v>46650</v>
      </c>
      <c r="G1481" s="126" t="n">
        <v>46668</v>
      </c>
      <c r="H1481" s="126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IF(E1481="","",IF(ISNUMBER(SEARCH("SUBSOLO",E1481)),IFERROR(-VALUE(LEFT(E1481,FIND("º",SUBSTITUTE(E1481,"°","º"))-1)),-1),IF(LEFT(E1481,6)="TÉRREO",0,IFERROR(VALUE(LEFT(E1481,FIND("º",SUBSTITUTE(E1481,"°","º"))-1)),""))))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26" t="n">
        <v>46650</v>
      </c>
      <c r="G1482" s="126" t="n">
        <v>46660</v>
      </c>
      <c r="H1482" s="126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IF(E1482="","",IF(ISNUMBER(SEARCH("SUBSOLO",E1482)),IFERROR(-VALUE(LEFT(E1482,FIND("º",SUBSTITUTE(E1482,"°","º"))-1)),-1),IF(LEFT(E1482,6)="TÉRREO",0,IFERROR(VALUE(LEFT(E1482,FIND("º",SUBSTITUTE(E1482,"°","º"))-1)),""))))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26" t="n">
        <v>46651</v>
      </c>
      <c r="G1483" s="126" t="n">
        <v>46664</v>
      </c>
      <c r="H1483" s="126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IF(E1483="","",IF(ISNUMBER(SEARCH("SUBSOLO",E1483)),IFERROR(-VALUE(LEFT(E1483,FIND("º",SUBSTITUTE(E1483,"°","º"))-1)),-1),IF(LEFT(E1483,6)="TÉRREO",0,IFERROR(VALUE(LEFT(E1483,FIND("º",SUBSTITUTE(E1483,"°","º"))-1)),""))))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26" t="n">
        <v>46653</v>
      </c>
      <c r="G1484" s="126" t="n">
        <v>46653</v>
      </c>
      <c r="H1484" s="126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IF(E1484="","",IF(ISNUMBER(SEARCH("SUBSOLO",E1484)),IFERROR(-VALUE(LEFT(E1484,FIND("º",SUBSTITUTE(E1484,"°","º"))-1)),-1),IF(LEFT(E1484,6)="TÉRREO",0,IFERROR(VALUE(LEFT(E1484,FIND("º",SUBSTITUTE(E1484,"°","º"))-1)),""))))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26" t="n">
        <v>46654</v>
      </c>
      <c r="G1485" s="126" t="n">
        <v>46675</v>
      </c>
      <c r="H1485" s="126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IF(E1485="","",IF(ISNUMBER(SEARCH("SUBSOLO",E1485)),IFERROR(-VALUE(LEFT(E1485,FIND("º",SUBSTITUTE(E1485,"°","º"))-1)),-1),IF(LEFT(E1485,6)="TÉRREO",0,IFERROR(VALUE(LEFT(E1485,FIND("º",SUBSTITUTE(E1485,"°","º"))-1)),""))))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26" t="n">
        <v>46654</v>
      </c>
      <c r="G1486" s="126" t="n">
        <v>46667</v>
      </c>
      <c r="H1486" s="126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IF(E1486="","",IF(ISNUMBER(SEARCH("SUBSOLO",E1486)),IFERROR(-VALUE(LEFT(E1486,FIND("º",SUBSTITUTE(E1486,"°","º"))-1)),-1),IF(LEFT(E1486,6)="TÉRREO",0,IFERROR(VALUE(LEFT(E1486,FIND("º",SUBSTITUTE(E1486,"°","º"))-1)),""))))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26" t="n">
        <v>46654</v>
      </c>
      <c r="G1487" s="126" t="n">
        <v>46666</v>
      </c>
      <c r="H1487" s="126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IF(E1487="","",IF(ISNUMBER(SEARCH("SUBSOLO",E1487)),IFERROR(-VALUE(LEFT(E1487,FIND("º",SUBSTITUTE(E1487,"°","º"))-1)),-1),IF(LEFT(E1487,6)="TÉRREO",0,IFERROR(VALUE(LEFT(E1487,FIND("º",SUBSTITUTE(E1487,"°","º"))-1)),""))))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26" t="n">
        <v>46654</v>
      </c>
      <c r="G1488" s="126" t="n">
        <v>46667</v>
      </c>
      <c r="H1488" s="126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IF(E1488="","",IF(ISNUMBER(SEARCH("SUBSOLO",E1488)),IFERROR(-VALUE(LEFT(E1488,FIND("º",SUBSTITUTE(E1488,"°","º"))-1)),-1),IF(LEFT(E1488,6)="TÉRREO",0,IFERROR(VALUE(LEFT(E1488,FIND("º",SUBSTITUTE(E1488,"°","º"))-1)),""))))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26" t="n">
        <v>46654</v>
      </c>
      <c r="G1489" s="126" t="n">
        <v>46666</v>
      </c>
      <c r="H1489" s="126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IF(E1489="","",IF(ISNUMBER(SEARCH("SUBSOLO",E1489)),IFERROR(-VALUE(LEFT(E1489,FIND("º",SUBSTITUTE(E1489,"°","º"))-1)),-1),IF(LEFT(E1489,6)="TÉRREO",0,IFERROR(VALUE(LEFT(E1489,FIND("º",SUBSTITUTE(E1489,"°","º"))-1)),""))))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26" t="n">
        <v>46654</v>
      </c>
      <c r="G1490" s="126" t="n">
        <v>46682</v>
      </c>
      <c r="H1490" s="126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IF(E1490="","",IF(ISNUMBER(SEARCH("SUBSOLO",E1490)),IFERROR(-VALUE(LEFT(E1490,FIND("º",SUBSTITUTE(E1490,"°","º"))-1)),-1),IF(LEFT(E1490,6)="TÉRREO",0,IFERROR(VALUE(LEFT(E1490,FIND("º",SUBSTITUTE(E1490,"°","º"))-1)),""))))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26" t="n">
        <v>46657</v>
      </c>
      <c r="G1491" s="126" t="n">
        <v>46668</v>
      </c>
      <c r="H1491" s="126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IF(E1491="","",IF(ISNUMBER(SEARCH("SUBSOLO",E1491)),IFERROR(-VALUE(LEFT(E1491,FIND("º",SUBSTITUTE(E1491,"°","º"))-1)),-1),IF(LEFT(E1491,6)="TÉRREO",0,IFERROR(VALUE(LEFT(E1491,FIND("º",SUBSTITUTE(E1491,"°","º"))-1)),""))))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26" t="n">
        <v>46657</v>
      </c>
      <c r="G1492" s="126" t="n">
        <v>46668</v>
      </c>
      <c r="H1492" s="126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IF(E1492="","",IF(ISNUMBER(SEARCH("SUBSOLO",E1492)),IFERROR(-VALUE(LEFT(E1492,FIND("º",SUBSTITUTE(E1492,"°","º"))-1)),-1),IF(LEFT(E1492,6)="TÉRREO",0,IFERROR(VALUE(LEFT(E1492,FIND("º",SUBSTITUTE(E1492,"°","º"))-1)),""))))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26" t="n">
        <v>46657</v>
      </c>
      <c r="G1493" s="126" t="n">
        <v>46668</v>
      </c>
      <c r="H1493" s="126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IF(E1493="","",IF(ISNUMBER(SEARCH("SUBSOLO",E1493)),IFERROR(-VALUE(LEFT(E1493,FIND("º",SUBSTITUTE(E1493,"°","º"))-1)),-1),IF(LEFT(E1493,6)="TÉRREO",0,IFERROR(VALUE(LEFT(E1493,FIND("º",SUBSTITUTE(E1493,"°","º"))-1)),""))))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26" t="n">
        <v>46658</v>
      </c>
      <c r="G1494" s="126" t="n">
        <v>46671</v>
      </c>
      <c r="H1494" s="126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IF(E1494="","",IF(ISNUMBER(SEARCH("SUBSOLO",E1494)),IFERROR(-VALUE(LEFT(E1494,FIND("º",SUBSTITUTE(E1494,"°","º"))-1)),-1),IF(LEFT(E1494,6)="TÉRREO",0,IFERROR(VALUE(LEFT(E1494,FIND("º",SUBSTITUTE(E1494,"°","º"))-1)),""))))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26" t="n">
        <v>46658</v>
      </c>
      <c r="G1495" s="126" t="n">
        <v>46667</v>
      </c>
      <c r="H1495" s="126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IF(E1495="","",IF(ISNUMBER(SEARCH("SUBSOLO",E1495)),IFERROR(-VALUE(LEFT(E1495,FIND("º",SUBSTITUTE(E1495,"°","º"))-1)),-1),IF(LEFT(E1495,6)="TÉRREO",0,IFERROR(VALUE(LEFT(E1495,FIND("º",SUBSTITUTE(E1495,"°","º"))-1)),""))))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26" t="n">
        <v>46658</v>
      </c>
      <c r="G1496" s="126" t="n">
        <v>46664</v>
      </c>
      <c r="H1496" s="126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IF(E1496="","",IF(ISNUMBER(SEARCH("SUBSOLO",E1496)),IFERROR(-VALUE(LEFT(E1496,FIND("º",SUBSTITUTE(E1496,"°","º"))-1)),-1),IF(LEFT(E1496,6)="TÉRREO",0,IFERROR(VALUE(LEFT(E1496,FIND("º",SUBSTITUTE(E1496,"°","º"))-1)),""))))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26" t="n">
        <v>46658</v>
      </c>
      <c r="G1497" s="126" t="n">
        <v>46668</v>
      </c>
      <c r="H1497" s="126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IF(E1497="","",IF(ISNUMBER(SEARCH("SUBSOLO",E1497)),IFERROR(-VALUE(LEFT(E1497,FIND("º",SUBSTITUTE(E1497,"°","º"))-1)),-1),IF(LEFT(E1497,6)="TÉRREO",0,IFERROR(VALUE(LEFT(E1497,FIND("º",SUBSTITUTE(E1497,"°","º"))-1)),""))))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26" t="n">
        <v>46658</v>
      </c>
      <c r="G1498" s="126" t="n">
        <v>46668</v>
      </c>
      <c r="H1498" s="126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IF(E1498="","",IF(ISNUMBER(SEARCH("SUBSOLO",E1498)),IFERROR(-VALUE(LEFT(E1498,FIND("º",SUBSTITUTE(E1498,"°","º"))-1)),-1),IF(LEFT(E1498,6)="TÉRREO",0,IFERROR(VALUE(LEFT(E1498,FIND("º",SUBSTITUTE(E1498,"°","º"))-1)),""))))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26" t="n">
        <v>46658</v>
      </c>
      <c r="G1499" s="126" t="n">
        <v>46668</v>
      </c>
      <c r="H1499" s="126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IF(E1499="","",IF(ISNUMBER(SEARCH("SUBSOLO",E1499)),IFERROR(-VALUE(LEFT(E1499,FIND("º",SUBSTITUTE(E1499,"°","º"))-1)),-1),IF(LEFT(E1499,6)="TÉRREO",0,IFERROR(VALUE(LEFT(E1499,FIND("º",SUBSTITUTE(E1499,"°","º"))-1)),""))))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26" t="n">
        <v>46660</v>
      </c>
      <c r="G1500" s="126" t="n">
        <v>46667</v>
      </c>
      <c r="H1500" s="126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IF(E1500="","",IF(ISNUMBER(SEARCH("SUBSOLO",E1500)),IFERROR(-VALUE(LEFT(E1500,FIND("º",SUBSTITUTE(E1500,"°","º"))-1)),-1),IF(LEFT(E1500,6)="TÉRREO",0,IFERROR(VALUE(LEFT(E1500,FIND("º",SUBSTITUTE(E1500,"°","º"))-1)),""))))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26" t="n">
        <v>46660</v>
      </c>
      <c r="G1501" s="126" t="n">
        <v>46674</v>
      </c>
      <c r="H1501" s="126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IF(E1501="","",IF(ISNUMBER(SEARCH("SUBSOLO",E1501)),IFERROR(-VALUE(LEFT(E1501,FIND("º",SUBSTITUTE(E1501,"°","º"))-1)),-1),IF(LEFT(E1501,6)="TÉRREO",0,IFERROR(VALUE(LEFT(E1501,FIND("º",SUBSTITUTE(E1501,"°","º"))-1)),""))))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26" t="n">
        <v>46660</v>
      </c>
      <c r="G1502" s="126" t="n">
        <v>46666</v>
      </c>
      <c r="H1502" s="126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IF(E1502="","",IF(ISNUMBER(SEARCH("SUBSOLO",E1502)),IFERROR(-VALUE(LEFT(E1502,FIND("º",SUBSTITUTE(E1502,"°","º"))-1)),-1),IF(LEFT(E1502,6)="TÉRREO",0,IFERROR(VALUE(LEFT(E1502,FIND("º",SUBSTITUTE(E1502,"°","º"))-1)),""))))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26" t="n">
        <v>46667</v>
      </c>
      <c r="G1503" s="126" t="n">
        <v>46674</v>
      </c>
      <c r="H1503" s="126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IF(E1503="","",IF(ISNUMBER(SEARCH("SUBSOLO",E1503)),IFERROR(-VALUE(LEFT(E1503,FIND("º",SUBSTITUTE(E1503,"°","º"))-1)),-1),IF(LEFT(E1503,6)="TÉRREO",0,IFERROR(VALUE(LEFT(E1503,FIND("º",SUBSTITUTE(E1503,"°","º"))-1)),""))))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26" t="n">
        <v>46660</v>
      </c>
      <c r="G1504" s="126" t="n">
        <v>46668</v>
      </c>
      <c r="H1504" s="126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IF(E1504="","",IF(ISNUMBER(SEARCH("SUBSOLO",E1504)),IFERROR(-VALUE(LEFT(E1504,FIND("º",SUBSTITUTE(E1504,"°","º"))-1)),-1),IF(LEFT(E1504,6)="TÉRREO",0,IFERROR(VALUE(LEFT(E1504,FIND("º",SUBSTITUTE(E1504,"°","º"))-1)),""))))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26" t="n">
        <v>46660</v>
      </c>
      <c r="G1505" s="126" t="n">
        <v>46681</v>
      </c>
      <c r="H1505" s="126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IF(E1505="","",IF(ISNUMBER(SEARCH("SUBSOLO",E1505)),IFERROR(-VALUE(LEFT(E1505,FIND("º",SUBSTITUTE(E1505,"°","º"))-1)),-1),IF(LEFT(E1505,6)="TÉRREO",0,IFERROR(VALUE(LEFT(E1505,FIND("º",SUBSTITUTE(E1505,"°","º"))-1)),""))))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26" t="n">
        <v>46660</v>
      </c>
      <c r="G1506" s="126" t="n">
        <v>46681</v>
      </c>
      <c r="H1506" s="126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IF(E1506="","",IF(ISNUMBER(SEARCH("SUBSOLO",E1506)),IFERROR(-VALUE(LEFT(E1506,FIND("º",SUBSTITUTE(E1506,"°","º"))-1)),-1),IF(LEFT(E1506,6)="TÉRREO",0,IFERROR(VALUE(LEFT(E1506,FIND("º",SUBSTITUTE(E1506,"°","º"))-1)),""))))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26" t="n">
        <v>46660</v>
      </c>
      <c r="G1507" s="126" t="n">
        <v>46666</v>
      </c>
      <c r="H1507" s="126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IF(E1507="","",IF(ISNUMBER(SEARCH("SUBSOLO",E1507)),IFERROR(-VALUE(LEFT(E1507,FIND("º",SUBSTITUTE(E1507,"°","º"))-1)),-1),IF(LEFT(E1507,6)="TÉRREO",0,IFERROR(VALUE(LEFT(E1507,FIND("º",SUBSTITUTE(E1507,"°","º"))-1)),""))))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26" t="n">
        <v>46660</v>
      </c>
      <c r="G1508" s="126" t="n">
        <v>46674</v>
      </c>
      <c r="H1508" s="126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IF(E1508="","",IF(ISNUMBER(SEARCH("SUBSOLO",E1508)),IFERROR(-VALUE(LEFT(E1508,FIND("º",SUBSTITUTE(E1508,"°","º"))-1)),-1),IF(LEFT(E1508,6)="TÉRREO",0,IFERROR(VALUE(LEFT(E1508,FIND("º",SUBSTITUTE(E1508,"°","º"))-1)),""))))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26" t="n">
        <v>46660</v>
      </c>
      <c r="G1509" s="126" t="n">
        <v>46674</v>
      </c>
      <c r="H1509" s="126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IF(E1509="","",IF(ISNUMBER(SEARCH("SUBSOLO",E1509)),IFERROR(-VALUE(LEFT(E1509,FIND("º",SUBSTITUTE(E1509,"°","º"))-1)),-1),IF(LEFT(E1509,6)="TÉRREO",0,IFERROR(VALUE(LEFT(E1509,FIND("º",SUBSTITUTE(E1509,"°","º"))-1)),""))))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26" t="n">
        <v>46661</v>
      </c>
      <c r="G1510" s="126" t="n">
        <v>46675</v>
      </c>
      <c r="H1510" s="126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IF(E1510="","",IF(ISNUMBER(SEARCH("SUBSOLO",E1510)),IFERROR(-VALUE(LEFT(E1510,FIND("º",SUBSTITUTE(E1510,"°","º"))-1)),-1),IF(LEFT(E1510,6)="TÉRREO",0,IFERROR(VALUE(LEFT(E1510,FIND("º",SUBSTITUTE(E1510,"°","º"))-1)),""))))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26" t="n">
        <v>46661</v>
      </c>
      <c r="G1511" s="126" t="n">
        <v>46661</v>
      </c>
      <c r="H1511" s="126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IF(E1511="","",IF(ISNUMBER(SEARCH("SUBSOLO",E1511)),IFERROR(-VALUE(LEFT(E1511,FIND("º",SUBSTITUTE(E1511,"°","º"))-1)),-1),IF(LEFT(E1511,6)="TÉRREO",0,IFERROR(VALUE(LEFT(E1511,FIND("º",SUBSTITUTE(E1511,"°","º"))-1)),""))))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26" t="n">
        <v>46661</v>
      </c>
      <c r="G1512" s="126" t="n">
        <v>46674</v>
      </c>
      <c r="H1512" s="126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IF(E1512="","",IF(ISNUMBER(SEARCH("SUBSOLO",E1512)),IFERROR(-VALUE(LEFT(E1512,FIND("º",SUBSTITUTE(E1512,"°","º"))-1)),-1),IF(LEFT(E1512,6)="TÉRREO",0,IFERROR(VALUE(LEFT(E1512,FIND("º",SUBSTITUTE(E1512,"°","º"))-1)),""))))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26" t="n">
        <v>46661</v>
      </c>
      <c r="G1513" s="126" t="n">
        <v>46674</v>
      </c>
      <c r="H1513" s="126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IF(E1513="","",IF(ISNUMBER(SEARCH("SUBSOLO",E1513)),IFERROR(-VALUE(LEFT(E1513,FIND("º",SUBSTITUTE(E1513,"°","º"))-1)),-1),IF(LEFT(E1513,6)="TÉRREO",0,IFERROR(VALUE(LEFT(E1513,FIND("º",SUBSTITUTE(E1513,"°","º"))-1)),""))))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26" t="n">
        <v>46661</v>
      </c>
      <c r="G1514" s="126" t="n">
        <v>46674</v>
      </c>
      <c r="H1514" s="126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IF(E1514="","",IF(ISNUMBER(SEARCH("SUBSOLO",E1514)),IFERROR(-VALUE(LEFT(E1514,FIND("º",SUBSTITUTE(E1514,"°","º"))-1)),-1),IF(LEFT(E1514,6)="TÉRREO",0,IFERROR(VALUE(LEFT(E1514,FIND("º",SUBSTITUTE(E1514,"°","º"))-1)),""))))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26" t="n">
        <v>46664</v>
      </c>
      <c r="G1515" s="126" t="n">
        <v>46675</v>
      </c>
      <c r="H1515" s="126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IF(E1515="","",IF(ISNUMBER(SEARCH("SUBSOLO",E1515)),IFERROR(-VALUE(LEFT(E1515,FIND("º",SUBSTITUTE(E1515,"°","º"))-1)),-1),IF(LEFT(E1515,6)="TÉRREO",0,IFERROR(VALUE(LEFT(E1515,FIND("º",SUBSTITUTE(E1515,"°","º"))-1)),""))))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26" t="n">
        <v>46665</v>
      </c>
      <c r="G1516" s="126" t="n">
        <v>46679</v>
      </c>
      <c r="H1516" s="126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IF(E1516="","",IF(ISNUMBER(SEARCH("SUBSOLO",E1516)),IFERROR(-VALUE(LEFT(E1516,FIND("º",SUBSTITUTE(E1516,"°","º"))-1)),-1),IF(LEFT(E1516,6)="TÉRREO",0,IFERROR(VALUE(LEFT(E1516,FIND("º",SUBSTITUTE(E1516,"°","º"))-1)),""))))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26" t="n">
        <v>46667</v>
      </c>
      <c r="G1517" s="126" t="n">
        <v>46688</v>
      </c>
      <c r="H1517" s="126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IF(E1517="","",IF(ISNUMBER(SEARCH("SUBSOLO",E1517)),IFERROR(-VALUE(LEFT(E1517,FIND("º",SUBSTITUTE(E1517,"°","º"))-1)),-1),IF(LEFT(E1517,6)="TÉRREO",0,IFERROR(VALUE(LEFT(E1517,FIND("º",SUBSTITUTE(E1517,"°","º"))-1)),""))))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26" t="n">
        <v>46667</v>
      </c>
      <c r="G1518" s="126" t="n">
        <v>46681</v>
      </c>
      <c r="H1518" s="126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IF(E1518="","",IF(ISNUMBER(SEARCH("SUBSOLO",E1518)),IFERROR(-VALUE(LEFT(E1518,FIND("º",SUBSTITUTE(E1518,"°","º"))-1)),-1),IF(LEFT(E1518,6)="TÉRREO",0,IFERROR(VALUE(LEFT(E1518,FIND("º",SUBSTITUTE(E1518,"°","º"))-1)),""))))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26" t="n">
        <v>46667</v>
      </c>
      <c r="G1519" s="126" t="n">
        <v>46680</v>
      </c>
      <c r="H1519" s="126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IF(E1519="","",IF(ISNUMBER(SEARCH("SUBSOLO",E1519)),IFERROR(-VALUE(LEFT(E1519,FIND("º",SUBSTITUTE(E1519,"°","º"))-1)),-1),IF(LEFT(E1519,6)="TÉRREO",0,IFERROR(VALUE(LEFT(E1519,FIND("º",SUBSTITUTE(E1519,"°","º"))-1)),""))))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26" t="n">
        <v>46668</v>
      </c>
      <c r="G1520" s="126" t="n">
        <v>46675</v>
      </c>
      <c r="H1520" s="126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IF(E1520="","",IF(ISNUMBER(SEARCH("SUBSOLO",E1520)),IFERROR(-VALUE(LEFT(E1520,FIND("º",SUBSTITUTE(E1520,"°","º"))-1)),-1),IF(LEFT(E1520,6)="TÉRREO",0,IFERROR(VALUE(LEFT(E1520,FIND("º",SUBSTITUTE(E1520,"°","º"))-1)),""))))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26" t="n">
        <v>46668</v>
      </c>
      <c r="G1521" s="126" t="n">
        <v>46689</v>
      </c>
      <c r="H1521" s="126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IF(E1521="","",IF(ISNUMBER(SEARCH("SUBSOLO",E1521)),IFERROR(-VALUE(LEFT(E1521,FIND("º",SUBSTITUTE(E1521,"°","º"))-1)),-1),IF(LEFT(E1521,6)="TÉRREO",0,IFERROR(VALUE(LEFT(E1521,FIND("º",SUBSTITUTE(E1521,"°","º"))-1)),""))))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26" t="n">
        <v>46668</v>
      </c>
      <c r="G1522" s="126" t="n">
        <v>46682</v>
      </c>
      <c r="H1522" s="126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IF(E1522="","",IF(ISNUMBER(SEARCH("SUBSOLO",E1522)),IFERROR(-VALUE(LEFT(E1522,FIND("º",SUBSTITUTE(E1522,"°","º"))-1)),-1),IF(LEFT(E1522,6)="TÉRREO",0,IFERROR(VALUE(LEFT(E1522,FIND("º",SUBSTITUTE(E1522,"°","º"))-1)),""))))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26" t="n">
        <v>46668</v>
      </c>
      <c r="G1523" s="126" t="n">
        <v>46675</v>
      </c>
      <c r="H1523" s="126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IF(E1523="","",IF(ISNUMBER(SEARCH("SUBSOLO",E1523)),IFERROR(-VALUE(LEFT(E1523,FIND("º",SUBSTITUTE(E1523,"°","º"))-1)),-1),IF(LEFT(E1523,6)="TÉRREO",0,IFERROR(VALUE(LEFT(E1523,FIND("º",SUBSTITUTE(E1523,"°","º"))-1)),""))))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26" t="n">
        <v>46678</v>
      </c>
      <c r="G1524" s="126" t="n">
        <v>46682</v>
      </c>
      <c r="H1524" s="126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IF(E1524="","",IF(ISNUMBER(SEARCH("SUBSOLO",E1524)),IFERROR(-VALUE(LEFT(E1524,FIND("º",SUBSTITUTE(E1524,"°","º"))-1)),-1),IF(LEFT(E1524,6)="TÉRREO",0,IFERROR(VALUE(LEFT(E1524,FIND("º",SUBSTITUTE(E1524,"°","º"))-1)),""))))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26" t="n">
        <v>46668</v>
      </c>
      <c r="G1525" s="126" t="n">
        <v>46689</v>
      </c>
      <c r="H1525" s="126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IF(E1525="","",IF(ISNUMBER(SEARCH("SUBSOLO",E1525)),IFERROR(-VALUE(LEFT(E1525,FIND("º",SUBSTITUTE(E1525,"°","º"))-1)),-1),IF(LEFT(E1525,6)="TÉRREO",0,IFERROR(VALUE(LEFT(E1525,FIND("º",SUBSTITUTE(E1525,"°","º"))-1)),""))))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26" t="n">
        <v>46668</v>
      </c>
      <c r="G1526" s="126" t="n">
        <v>46682</v>
      </c>
      <c r="H1526" s="126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IF(E1526="","",IF(ISNUMBER(SEARCH("SUBSOLO",E1526)),IFERROR(-VALUE(LEFT(E1526,FIND("º",SUBSTITUTE(E1526,"°","º"))-1)),-1),IF(LEFT(E1526,6)="TÉRREO",0,IFERROR(VALUE(LEFT(E1526,FIND("º",SUBSTITUTE(E1526,"°","º"))-1)),""))))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26" t="n">
        <v>46668</v>
      </c>
      <c r="G1527" s="126" t="n">
        <v>46681</v>
      </c>
      <c r="H1527" s="126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IF(E1527="","",IF(ISNUMBER(SEARCH("SUBSOLO",E1527)),IFERROR(-VALUE(LEFT(E1527,FIND("º",SUBSTITUTE(E1527,"°","º"))-1)),-1),IF(LEFT(E1527,6)="TÉRREO",0,IFERROR(VALUE(LEFT(E1527,FIND("º",SUBSTITUTE(E1527,"°","º"))-1)),""))))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26" t="n">
        <v>46668</v>
      </c>
      <c r="G1528" s="126" t="n">
        <v>46679</v>
      </c>
      <c r="H1528" s="126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IF(E1528="","",IF(ISNUMBER(SEARCH("SUBSOLO",E1528)),IFERROR(-VALUE(LEFT(E1528,FIND("º",SUBSTITUTE(E1528,"°","º"))-1)),-1),IF(LEFT(E1528,6)="TÉRREO",0,IFERROR(VALUE(LEFT(E1528,FIND("º",SUBSTITUTE(E1528,"°","º"))-1)),""))))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26" t="n">
        <v>46668</v>
      </c>
      <c r="G1529" s="126" t="n">
        <v>46689</v>
      </c>
      <c r="H1529" s="126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IF(E1529="","",IF(ISNUMBER(SEARCH("SUBSOLO",E1529)),IFERROR(-VALUE(LEFT(E1529,FIND("º",SUBSTITUTE(E1529,"°","º"))-1)),-1),IF(LEFT(E1529,6)="TÉRREO",0,IFERROR(VALUE(LEFT(E1529,FIND("º",SUBSTITUTE(E1529,"°","º"))-1)),""))))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26" t="n">
        <v>46668</v>
      </c>
      <c r="G1530" s="126" t="n">
        <v>46689</v>
      </c>
      <c r="H1530" s="126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IF(E1530="","",IF(ISNUMBER(SEARCH("SUBSOLO",E1530)),IFERROR(-VALUE(LEFT(E1530,FIND("º",SUBSTITUTE(E1530,"°","º"))-1)),-1),IF(LEFT(E1530,6)="TÉRREO",0,IFERROR(VALUE(LEFT(E1530,FIND("º",SUBSTITUTE(E1530,"°","º"))-1)),""))))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26" t="n">
        <v>46668</v>
      </c>
      <c r="G1531" s="126" t="n">
        <v>46675</v>
      </c>
      <c r="H1531" s="126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IF(E1531="","",IF(ISNUMBER(SEARCH("SUBSOLO",E1531)),IFERROR(-VALUE(LEFT(E1531,FIND("º",SUBSTITUTE(E1531,"°","º"))-1)),-1),IF(LEFT(E1531,6)="TÉRREO",0,IFERROR(VALUE(LEFT(E1531,FIND("º",SUBSTITUTE(E1531,"°","º"))-1)),""))))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26" t="n">
        <v>46671</v>
      </c>
      <c r="G1532" s="126" t="n">
        <v>46678</v>
      </c>
      <c r="H1532" s="126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IF(E1532="","",IF(ISNUMBER(SEARCH("SUBSOLO",E1532)),IFERROR(-VALUE(LEFT(E1532,FIND("º",SUBSTITUTE(E1532,"°","º"))-1)),-1),IF(LEFT(E1532,6)="TÉRREO",0,IFERROR(VALUE(LEFT(E1532,FIND("º",SUBSTITUTE(E1532,"°","º"))-1)),""))))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26" t="n">
        <v>46671</v>
      </c>
      <c r="G1533" s="126" t="n">
        <v>46702</v>
      </c>
      <c r="H1533" s="126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IF(E1533="","",IF(ISNUMBER(SEARCH("SUBSOLO",E1533)),IFERROR(-VALUE(LEFT(E1533,FIND("º",SUBSTITUTE(E1533,"°","º"))-1)),-1),IF(LEFT(E1533,6)="TÉRREO",0,IFERROR(VALUE(LEFT(E1533,FIND("º",SUBSTITUTE(E1533,"°","º"))-1)),""))))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26" t="n">
        <v>46671</v>
      </c>
      <c r="G1534" s="126" t="n">
        <v>46685</v>
      </c>
      <c r="H1534" s="126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IF(E1534="","",IF(ISNUMBER(SEARCH("SUBSOLO",E1534)),IFERROR(-VALUE(LEFT(E1534,FIND("º",SUBSTITUTE(E1534,"°","º"))-1)),-1),IF(LEFT(E1534,6)="TÉRREO",0,IFERROR(VALUE(LEFT(E1534,FIND("º",SUBSTITUTE(E1534,"°","º"))-1)),""))))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26" t="n">
        <v>46671</v>
      </c>
      <c r="G1535" s="126" t="n">
        <v>46685</v>
      </c>
      <c r="H1535" s="126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IF(E1535="","",IF(ISNUMBER(SEARCH("SUBSOLO",E1535)),IFERROR(-VALUE(LEFT(E1535,FIND("º",SUBSTITUTE(E1535,"°","º"))-1)),-1),IF(LEFT(E1535,6)="TÉRREO",0,IFERROR(VALUE(LEFT(E1535,FIND("º",SUBSTITUTE(E1535,"°","º"))-1)),""))))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26" t="n">
        <v>46671</v>
      </c>
      <c r="G1536" s="126" t="n">
        <v>46681</v>
      </c>
      <c r="H1536" s="126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IF(E1536="","",IF(ISNUMBER(SEARCH("SUBSOLO",E1536)),IFERROR(-VALUE(LEFT(E1536,FIND("º",SUBSTITUTE(E1536,"°","º"))-1)),-1),IF(LEFT(E1536,6)="TÉRREO",0,IFERROR(VALUE(LEFT(E1536,FIND("º",SUBSTITUTE(E1536,"°","º"))-1)),""))))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26" t="n">
        <v>46671</v>
      </c>
      <c r="G1537" s="126" t="n">
        <v>46682</v>
      </c>
      <c r="H1537" s="126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IF(E1537="","",IF(ISNUMBER(SEARCH("SUBSOLO",E1537)),IFERROR(-VALUE(LEFT(E1537,FIND("º",SUBSTITUTE(E1537,"°","º"))-1)),-1),IF(LEFT(E1537,6)="TÉRREO",0,IFERROR(VALUE(LEFT(E1537,FIND("º",SUBSTITUTE(E1537,"°","º"))-1)),""))))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26" t="n">
        <v>46671</v>
      </c>
      <c r="G1538" s="126" t="n">
        <v>46692</v>
      </c>
      <c r="H1538" s="126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IF(E1538="","",IF(ISNUMBER(SEARCH("SUBSOLO",E1538)),IFERROR(-VALUE(LEFT(E1538,FIND("º",SUBSTITUTE(E1538,"°","º"))-1)),-1),IF(LEFT(E1538,6)="TÉRREO",0,IFERROR(VALUE(LEFT(E1538,FIND("º",SUBSTITUTE(E1538,"°","º"))-1)),""))))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26" t="n">
        <v>46671</v>
      </c>
      <c r="G1539" s="126" t="n">
        <v>46678</v>
      </c>
      <c r="H1539" s="126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IF(E1539="","",IF(ISNUMBER(SEARCH("SUBSOLO",E1539)),IFERROR(-VALUE(LEFT(E1539,FIND("º",SUBSTITUTE(E1539,"°","º"))-1)),-1),IF(LEFT(E1539,6)="TÉRREO",0,IFERROR(VALUE(LEFT(E1539,FIND("º",SUBSTITUTE(E1539,"°","º"))-1)),""))))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26" t="n">
        <v>46673</v>
      </c>
      <c r="G1540" s="126" t="n">
        <v>46686</v>
      </c>
      <c r="H1540" s="126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IF(E1540="","",IF(ISNUMBER(SEARCH("SUBSOLO",E1540)),IFERROR(-VALUE(LEFT(E1540,FIND("º",SUBSTITUTE(E1540,"°","º"))-1)),-1),IF(LEFT(E1540,6)="TÉRREO",0,IFERROR(VALUE(LEFT(E1540,FIND("º",SUBSTITUTE(E1540,"°","º"))-1)),""))))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26" t="n">
        <v>46675</v>
      </c>
      <c r="G1541" s="126" t="n">
        <v>46688</v>
      </c>
      <c r="H1541" s="126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IF(E1541="","",IF(ISNUMBER(SEARCH("SUBSOLO",E1541)),IFERROR(-VALUE(LEFT(E1541,FIND("º",SUBSTITUTE(E1541,"°","º"))-1)),-1),IF(LEFT(E1541,6)="TÉRREO",0,IFERROR(VALUE(LEFT(E1541,FIND("º",SUBSTITUTE(E1541,"°","º"))-1)),""))))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26" t="n">
        <v>46675</v>
      </c>
      <c r="G1542" s="126" t="n">
        <v>46696</v>
      </c>
      <c r="H1542" s="126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IF(E1542="","",IF(ISNUMBER(SEARCH("SUBSOLO",E1542)),IFERROR(-VALUE(LEFT(E1542,FIND("º",SUBSTITUTE(E1542,"°","º"))-1)),-1),IF(LEFT(E1542,6)="TÉRREO",0,IFERROR(VALUE(LEFT(E1542,FIND("º",SUBSTITUTE(E1542,"°","º"))-1)),""))))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26" t="n">
        <v>46675</v>
      </c>
      <c r="G1543" s="126" t="n">
        <v>46696</v>
      </c>
      <c r="H1543" s="126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IF(E1543="","",IF(ISNUMBER(SEARCH("SUBSOLO",E1543)),IFERROR(-VALUE(LEFT(E1543,FIND("º",SUBSTITUTE(E1543,"°","º"))-1)),-1),IF(LEFT(E1543,6)="TÉRREO",0,IFERROR(VALUE(LEFT(E1543,FIND("º",SUBSTITUTE(E1543,"°","º"))-1)),""))))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26" t="n">
        <v>46675</v>
      </c>
      <c r="G1544" s="126" t="n">
        <v>46681</v>
      </c>
      <c r="H1544" s="126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IF(E1544="","",IF(ISNUMBER(SEARCH("SUBSOLO",E1544)),IFERROR(-VALUE(LEFT(E1544,FIND("º",SUBSTITUTE(E1544,"°","º"))-1)),-1),IF(LEFT(E1544,6)="TÉRREO",0,IFERROR(VALUE(LEFT(E1544,FIND("º",SUBSTITUTE(E1544,"°","º"))-1)),""))))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26" t="n">
        <v>46675</v>
      </c>
      <c r="G1545" s="126" t="n">
        <v>46688</v>
      </c>
      <c r="H1545" s="126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IF(E1545="","",IF(ISNUMBER(SEARCH("SUBSOLO",E1545)),IFERROR(-VALUE(LEFT(E1545,FIND("º",SUBSTITUTE(E1545,"°","º"))-1)),-1),IF(LEFT(E1545,6)="TÉRREO",0,IFERROR(VALUE(LEFT(E1545,FIND("º",SUBSTITUTE(E1545,"°","º"))-1)),""))))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26" t="n">
        <v>46675</v>
      </c>
      <c r="G1546" s="126" t="n">
        <v>46675</v>
      </c>
      <c r="H1546" s="126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IF(E1546="","",IF(ISNUMBER(SEARCH("SUBSOLO",E1546)),IFERROR(-VALUE(LEFT(E1546,FIND("º",SUBSTITUTE(E1546,"°","º"))-1)),-1),IF(LEFT(E1546,6)="TÉRREO",0,IFERROR(VALUE(LEFT(E1546,FIND("º",SUBSTITUTE(E1546,"°","º"))-1)),""))))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26" t="n">
        <v>46675</v>
      </c>
      <c r="G1547" s="126" t="n">
        <v>46687</v>
      </c>
      <c r="H1547" s="126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IF(E1547="","",IF(ISNUMBER(SEARCH("SUBSOLO",E1547)),IFERROR(-VALUE(LEFT(E1547,FIND("º",SUBSTITUTE(E1547,"°","º"))-1)),-1),IF(LEFT(E1547,6)="TÉRREO",0,IFERROR(VALUE(LEFT(E1547,FIND("º",SUBSTITUTE(E1547,"°","º"))-1)),""))))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26" t="n">
        <v>46675</v>
      </c>
      <c r="G1548" s="126" t="n">
        <v>46687</v>
      </c>
      <c r="H1548" s="126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IF(E1548="","",IF(ISNUMBER(SEARCH("SUBSOLO",E1548)),IFERROR(-VALUE(LEFT(E1548,FIND("º",SUBSTITUTE(E1548,"°","º"))-1)),-1),IF(LEFT(E1548,6)="TÉRREO",0,IFERROR(VALUE(LEFT(E1548,FIND("º",SUBSTITUTE(E1548,"°","º"))-1)),""))))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26" t="n">
        <v>46675</v>
      </c>
      <c r="G1549" s="126" t="n">
        <v>46687</v>
      </c>
      <c r="H1549" s="126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IF(E1549="","",IF(ISNUMBER(SEARCH("SUBSOLO",E1549)),IFERROR(-VALUE(LEFT(E1549,FIND("º",SUBSTITUTE(E1549,"°","º"))-1)),-1),IF(LEFT(E1549,6)="TÉRREO",0,IFERROR(VALUE(LEFT(E1549,FIND("º",SUBSTITUTE(E1549,"°","º"))-1)),""))))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26" t="n">
        <v>46678</v>
      </c>
      <c r="G1550" s="126" t="n">
        <v>46682</v>
      </c>
      <c r="H1550" s="126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IF(E1550="","",IF(ISNUMBER(SEARCH("SUBSOLO",E1550)),IFERROR(-VALUE(LEFT(E1550,FIND("º",SUBSTITUTE(E1550,"°","º"))-1)),-1),IF(LEFT(E1550,6)="TÉRREO",0,IFERROR(VALUE(LEFT(E1550,FIND("º",SUBSTITUTE(E1550,"°","º"))-1)),""))))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26" t="n">
        <v>46678</v>
      </c>
      <c r="G1551" s="126" t="n">
        <v>46689</v>
      </c>
      <c r="H1551" s="126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IF(E1551="","",IF(ISNUMBER(SEARCH("SUBSOLO",E1551)),IFERROR(-VALUE(LEFT(E1551,FIND("º",SUBSTITUTE(E1551,"°","º"))-1)),-1),IF(LEFT(E1551,6)="TÉRREO",0,IFERROR(VALUE(LEFT(E1551,FIND("º",SUBSTITUTE(E1551,"°","º"))-1)),""))))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26" t="n">
        <v>46678</v>
      </c>
      <c r="G1552" s="126" t="n">
        <v>46689</v>
      </c>
      <c r="H1552" s="126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IF(E1552="","",IF(ISNUMBER(SEARCH("SUBSOLO",E1552)),IFERROR(-VALUE(LEFT(E1552,FIND("º",SUBSTITUTE(E1552,"°","º"))-1)),-1),IF(LEFT(E1552,6)="TÉRREO",0,IFERROR(VALUE(LEFT(E1552,FIND("º",SUBSTITUTE(E1552,"°","º"))-1)),""))))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26" t="n">
        <v>46678</v>
      </c>
      <c r="G1553" s="126" t="n">
        <v>46689</v>
      </c>
      <c r="H1553" s="126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IF(E1553="","",IF(ISNUMBER(SEARCH("SUBSOLO",E1553)),IFERROR(-VALUE(LEFT(E1553,FIND("º",SUBSTITUTE(E1553,"°","º"))-1)),-1),IF(LEFT(E1553,6)="TÉRREO",0,IFERROR(VALUE(LEFT(E1553,FIND("º",SUBSTITUTE(E1553,"°","º"))-1)),""))))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26" t="n">
        <v>46678</v>
      </c>
      <c r="G1554" s="126" t="n">
        <v>46688</v>
      </c>
      <c r="H1554" s="126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IF(E1554="","",IF(ISNUMBER(SEARCH("SUBSOLO",E1554)),IFERROR(-VALUE(LEFT(E1554,FIND("º",SUBSTITUTE(E1554,"°","º"))-1)),-1),IF(LEFT(E1554,6)="TÉRREO",0,IFERROR(VALUE(LEFT(E1554,FIND("º",SUBSTITUTE(E1554,"°","º"))-1)),""))))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26" t="n">
        <v>46678</v>
      </c>
      <c r="G1555" s="126" t="n">
        <v>46688</v>
      </c>
      <c r="H1555" s="126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IF(E1555="","",IF(ISNUMBER(SEARCH("SUBSOLO",E1555)),IFERROR(-VALUE(LEFT(E1555,FIND("º",SUBSTITUTE(E1555,"°","º"))-1)),-1),IF(LEFT(E1555,6)="TÉRREO",0,IFERROR(VALUE(LEFT(E1555,FIND("º",SUBSTITUTE(E1555,"°","º"))-1)),""))))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26" t="n">
        <v>46679</v>
      </c>
      <c r="G1556" s="126" t="n">
        <v>46700</v>
      </c>
      <c r="H1556" s="126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IF(E1556="","",IF(ISNUMBER(SEARCH("SUBSOLO",E1556)),IFERROR(-VALUE(LEFT(E1556,FIND("º",SUBSTITUTE(E1556,"°","º"))-1)),-1),IF(LEFT(E1556,6)="TÉRREO",0,IFERROR(VALUE(LEFT(E1556,FIND("º",SUBSTITUTE(E1556,"°","º"))-1)),""))))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26" t="n">
        <v>46679</v>
      </c>
      <c r="G1557" s="126" t="n">
        <v>46688</v>
      </c>
      <c r="H1557" s="126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IF(E1557="","",IF(ISNUMBER(SEARCH("SUBSOLO",E1557)),IFERROR(-VALUE(LEFT(E1557,FIND("º",SUBSTITUTE(E1557,"°","º"))-1)),-1),IF(LEFT(E1557,6)="TÉRREO",0,IFERROR(VALUE(LEFT(E1557,FIND("º",SUBSTITUTE(E1557,"°","º"))-1)),""))))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26" t="n">
        <v>46680</v>
      </c>
      <c r="G1558" s="126" t="n">
        <v>46692</v>
      </c>
      <c r="H1558" s="126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IF(E1558="","",IF(ISNUMBER(SEARCH("SUBSOLO",E1558)),IFERROR(-VALUE(LEFT(E1558,FIND("º",SUBSTITUTE(E1558,"°","º"))-1)),-1),IF(LEFT(E1558,6)="TÉRREO",0,IFERROR(VALUE(LEFT(E1558,FIND("º",SUBSTITUTE(E1558,"°","º"))-1)),""))))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26" t="n">
        <v>46680</v>
      </c>
      <c r="G1559" s="126" t="n">
        <v>46694</v>
      </c>
      <c r="H1559" s="126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IF(E1559="","",IF(ISNUMBER(SEARCH("SUBSOLO",E1559)),IFERROR(-VALUE(LEFT(E1559,FIND("º",SUBSTITUTE(E1559,"°","º"))-1)),-1),IF(LEFT(E1559,6)="TÉRREO",0,IFERROR(VALUE(LEFT(E1559,FIND("º",SUBSTITUTE(E1559,"°","º"))-1)),""))))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26" t="n">
        <v>46680</v>
      </c>
      <c r="G1560" s="126" t="n">
        <v>46694</v>
      </c>
      <c r="H1560" s="126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IF(E1560="","",IF(ISNUMBER(SEARCH("SUBSOLO",E1560)),IFERROR(-VALUE(LEFT(E1560,FIND("º",SUBSTITUTE(E1560,"°","º"))-1)),-1),IF(LEFT(E1560,6)="TÉRREO",0,IFERROR(VALUE(LEFT(E1560,FIND("º",SUBSTITUTE(E1560,"°","º"))-1)),""))))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26" t="n">
        <v>46680</v>
      </c>
      <c r="G1561" s="126" t="n">
        <v>46694</v>
      </c>
      <c r="H1561" s="126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IF(E1561="","",IF(ISNUMBER(SEARCH("SUBSOLO",E1561)),IFERROR(-VALUE(LEFT(E1561,FIND("º",SUBSTITUTE(E1561,"°","º"))-1)),-1),IF(LEFT(E1561,6)="TÉRREO",0,IFERROR(VALUE(LEFT(E1561,FIND("º",SUBSTITUTE(E1561,"°","º"))-1)),""))))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26" t="n">
        <v>46680</v>
      </c>
      <c r="G1562" s="126" t="n">
        <v>46694</v>
      </c>
      <c r="H1562" s="126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IF(E1562="","",IF(ISNUMBER(SEARCH("SUBSOLO",E1562)),IFERROR(-VALUE(LEFT(E1562,FIND("º",SUBSTITUTE(E1562,"°","º"))-1)),-1),IF(LEFT(E1562,6)="TÉRREO",0,IFERROR(VALUE(LEFT(E1562,FIND("º",SUBSTITUTE(E1562,"°","º"))-1)),""))))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26" t="n">
        <v>46680</v>
      </c>
      <c r="G1563" s="126" t="n">
        <v>46689</v>
      </c>
      <c r="H1563" s="126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IF(E1563="","",IF(ISNUMBER(SEARCH("SUBSOLO",E1563)),IFERROR(-VALUE(LEFT(E1563,FIND("º",SUBSTITUTE(E1563,"°","º"))-1)),-1),IF(LEFT(E1563,6)="TÉRREO",0,IFERROR(VALUE(LEFT(E1563,FIND("º",SUBSTITUTE(E1563,"°","º"))-1)),""))))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26" t="n">
        <v>46680</v>
      </c>
      <c r="G1564" s="126" t="n">
        <v>46829</v>
      </c>
      <c r="H1564" s="126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IF(E1564="","",IF(ISNUMBER(SEARCH("SUBSOLO",E1564)),IFERROR(-VALUE(LEFT(E1564,FIND("º",SUBSTITUTE(E1564,"°","º"))-1)),-1),IF(LEFT(E1564,6)="TÉRREO",0,IFERROR(VALUE(LEFT(E1564,FIND("º",SUBSTITUTE(E1564,"°","º"))-1)),""))))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26" t="n">
        <v>46681</v>
      </c>
      <c r="G1565" s="126" t="n">
        <v>46758</v>
      </c>
      <c r="H1565" s="126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IF(E1565="","",IF(ISNUMBER(SEARCH("SUBSOLO",E1565)),IFERROR(-VALUE(LEFT(E1565,FIND("º",SUBSTITUTE(E1565,"°","º"))-1)),-1),IF(LEFT(E1565,6)="TÉRREO",0,IFERROR(VALUE(LEFT(E1565,FIND("º",SUBSTITUTE(E1565,"°","º"))-1)),""))))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26" t="n">
        <v>46682</v>
      </c>
      <c r="G1566" s="126" t="n">
        <v>46696</v>
      </c>
      <c r="H1566" s="126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IF(E1566="","",IF(ISNUMBER(SEARCH("SUBSOLO",E1566)),IFERROR(-VALUE(LEFT(E1566,FIND("º",SUBSTITUTE(E1566,"°","º"))-1)),-1),IF(LEFT(E1566,6)="TÉRREO",0,IFERROR(VALUE(LEFT(E1566,FIND("º",SUBSTITUTE(E1566,"°","º"))-1)),""))))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26" t="n">
        <v>46682</v>
      </c>
      <c r="G1567" s="126" t="n">
        <v>46688</v>
      </c>
      <c r="H1567" s="126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IF(E1567="","",IF(ISNUMBER(SEARCH("SUBSOLO",E1567)),IFERROR(-VALUE(LEFT(E1567,FIND("º",SUBSTITUTE(E1567,"°","º"))-1)),-1),IF(LEFT(E1567,6)="TÉRREO",0,IFERROR(VALUE(LEFT(E1567,FIND("º",SUBSTITUTE(E1567,"°","º"))-1)),""))))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26" t="n">
        <v>46689</v>
      </c>
      <c r="G1568" s="126" t="n">
        <v>46696</v>
      </c>
      <c r="H1568" s="126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IF(E1568="","",IF(ISNUMBER(SEARCH("SUBSOLO",E1568)),IFERROR(-VALUE(LEFT(E1568,FIND("º",SUBSTITUTE(E1568,"°","º"))-1)),-1),IF(LEFT(E1568,6)="TÉRREO",0,IFERROR(VALUE(LEFT(E1568,FIND("º",SUBSTITUTE(E1568,"°","º"))-1)),""))))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26" t="n">
        <v>46682</v>
      </c>
      <c r="G1569" s="126" t="n">
        <v>46692</v>
      </c>
      <c r="H1569" s="126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IF(E1569="","",IF(ISNUMBER(SEARCH("SUBSOLO",E1569)),IFERROR(-VALUE(LEFT(E1569,FIND("º",SUBSTITUTE(E1569,"°","º"))-1)),-1),IF(LEFT(E1569,6)="TÉRREO",0,IFERROR(VALUE(LEFT(E1569,FIND("º",SUBSTITUTE(E1569,"°","º"))-1)),""))))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26" t="n">
        <v>46682</v>
      </c>
      <c r="G1570" s="126" t="n">
        <v>46703</v>
      </c>
      <c r="H1570" s="126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IF(E1570="","",IF(ISNUMBER(SEARCH("SUBSOLO",E1570)),IFERROR(-VALUE(LEFT(E1570,FIND("º",SUBSTITUTE(E1570,"°","º"))-1)),-1),IF(LEFT(E1570,6)="TÉRREO",0,IFERROR(VALUE(LEFT(E1570,FIND("º",SUBSTITUTE(E1570,"°","º"))-1)),""))))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26" t="n">
        <v>46682</v>
      </c>
      <c r="G1571" s="126" t="n">
        <v>46696</v>
      </c>
      <c r="H1571" s="126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IF(E1571="","",IF(ISNUMBER(SEARCH("SUBSOLO",E1571)),IFERROR(-VALUE(LEFT(E1571,FIND("º",SUBSTITUTE(E1571,"°","º"))-1)),-1),IF(LEFT(E1571,6)="TÉRREO",0,IFERROR(VALUE(LEFT(E1571,FIND("º",SUBSTITUTE(E1571,"°","º"))-1)),""))))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26" t="n">
        <v>46682</v>
      </c>
      <c r="G1572" s="126" t="n">
        <v>46696</v>
      </c>
      <c r="H1572" s="126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IF(E1572="","",IF(ISNUMBER(SEARCH("SUBSOLO",E1572)),IFERROR(-VALUE(LEFT(E1572,FIND("º",SUBSTITUTE(E1572,"°","º"))-1)),-1),IF(LEFT(E1572,6)="TÉRREO",0,IFERROR(VALUE(LEFT(E1572,FIND("º",SUBSTITUTE(E1572,"°","º"))-1)),""))))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26" t="n">
        <v>46682</v>
      </c>
      <c r="G1573" s="126" t="n">
        <v>46695</v>
      </c>
      <c r="H1573" s="126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IF(E1573="","",IF(ISNUMBER(SEARCH("SUBSOLO",E1573)),IFERROR(-VALUE(LEFT(E1573,FIND("º",SUBSTITUTE(E1573,"°","º"))-1)),-1),IF(LEFT(E1573,6)="TÉRREO",0,IFERROR(VALUE(LEFT(E1573,FIND("º",SUBSTITUTE(E1573,"°","º"))-1)),""))))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26" t="n">
        <v>46685</v>
      </c>
      <c r="G1574" s="126" t="n">
        <v>46699</v>
      </c>
      <c r="H1574" s="126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IF(E1574="","",IF(ISNUMBER(SEARCH("SUBSOLO",E1574)),IFERROR(-VALUE(LEFT(E1574,FIND("º",SUBSTITUTE(E1574,"°","º"))-1)),-1),IF(LEFT(E1574,6)="TÉRREO",0,IFERROR(VALUE(LEFT(E1574,FIND("º",SUBSTITUTE(E1574,"°","º"))-1)),""))))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26" t="n">
        <v>46685</v>
      </c>
      <c r="G1575" s="126" t="n">
        <v>46699</v>
      </c>
      <c r="H1575" s="126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IF(E1575="","",IF(ISNUMBER(SEARCH("SUBSOLO",E1575)),IFERROR(-VALUE(LEFT(E1575,FIND("º",SUBSTITUTE(E1575,"°","º"))-1)),-1),IF(LEFT(E1575,6)="TÉRREO",0,IFERROR(VALUE(LEFT(E1575,FIND("º",SUBSTITUTE(E1575,"°","º"))-1)),""))))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26" t="n">
        <v>46685</v>
      </c>
      <c r="G1576" s="126" t="n">
        <v>46696</v>
      </c>
      <c r="H1576" s="126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IF(E1576="","",IF(ISNUMBER(SEARCH("SUBSOLO",E1576)),IFERROR(-VALUE(LEFT(E1576,FIND("º",SUBSTITUTE(E1576,"°","º"))-1)),-1),IF(LEFT(E1576,6)="TÉRREO",0,IFERROR(VALUE(LEFT(E1576,FIND("º",SUBSTITUTE(E1576,"°","º"))-1)),""))))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26" t="n">
        <v>46686</v>
      </c>
      <c r="G1577" s="126" t="n">
        <v>46700</v>
      </c>
      <c r="H1577" s="126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IF(E1577="","",IF(ISNUMBER(SEARCH("SUBSOLO",E1577)),IFERROR(-VALUE(LEFT(E1577,FIND("º",SUBSTITUTE(E1577,"°","º"))-1)),-1),IF(LEFT(E1577,6)="TÉRREO",0,IFERROR(VALUE(LEFT(E1577,FIND("º",SUBSTITUTE(E1577,"°","º"))-1)),""))))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26" t="n">
        <v>46686</v>
      </c>
      <c r="G1578" s="126" t="n">
        <v>46700</v>
      </c>
      <c r="H1578" s="126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IF(E1578="","",IF(ISNUMBER(SEARCH("SUBSOLO",E1578)),IFERROR(-VALUE(LEFT(E1578,FIND("º",SUBSTITUTE(E1578,"°","º"))-1)),-1),IF(LEFT(E1578,6)="TÉRREO",0,IFERROR(VALUE(LEFT(E1578,FIND("º",SUBSTITUTE(E1578,"°","º"))-1)),""))))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26" t="n">
        <v>46687</v>
      </c>
      <c r="G1579" s="126" t="n">
        <v>46716</v>
      </c>
      <c r="H1579" s="126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IF(E1579="","",IF(ISNUMBER(SEARCH("SUBSOLO",E1579)),IFERROR(-VALUE(LEFT(E1579,FIND("º",SUBSTITUTE(E1579,"°","º"))-1)),-1),IF(LEFT(E1579,6)="TÉRREO",0,IFERROR(VALUE(LEFT(E1579,FIND("º",SUBSTITUTE(E1579,"°","º"))-1)),""))))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26" t="n">
        <v>46687</v>
      </c>
      <c r="G1580" s="126" t="n">
        <v>46701</v>
      </c>
      <c r="H1580" s="126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IF(E1580="","",IF(ISNUMBER(SEARCH("SUBSOLO",E1580)),IFERROR(-VALUE(LEFT(E1580,FIND("º",SUBSTITUTE(E1580,"°","º"))-1)),-1),IF(LEFT(E1580,6)="TÉRREO",0,IFERROR(VALUE(LEFT(E1580,FIND("º",SUBSTITUTE(E1580,"°","º"))-1)),""))))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26" t="n">
        <v>46687</v>
      </c>
      <c r="G1581" s="126" t="n">
        <v>46701</v>
      </c>
      <c r="H1581" s="126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IF(E1581="","",IF(ISNUMBER(SEARCH("SUBSOLO",E1581)),IFERROR(-VALUE(LEFT(E1581,FIND("º",SUBSTITUTE(E1581,"°","º"))-1)),-1),IF(LEFT(E1581,6)="TÉRREO",0,IFERROR(VALUE(LEFT(E1581,FIND("º",SUBSTITUTE(E1581,"°","º"))-1)),""))))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26" t="n">
        <v>46687</v>
      </c>
      <c r="G1582" s="126" t="n">
        <v>46701</v>
      </c>
      <c r="H1582" s="126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IF(E1582="","",IF(ISNUMBER(SEARCH("SUBSOLO",E1582)),IFERROR(-VALUE(LEFT(E1582,FIND("º",SUBSTITUTE(E1582,"°","º"))-1)),-1),IF(LEFT(E1582,6)="TÉRREO",0,IFERROR(VALUE(LEFT(E1582,FIND("º",SUBSTITUTE(E1582,"°","º"))-1)),""))))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26" t="n">
        <v>46689</v>
      </c>
      <c r="G1583" s="126" t="n">
        <v>46701</v>
      </c>
      <c r="H1583" s="126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IF(E1583="","",IF(ISNUMBER(SEARCH("SUBSOLO",E1583)),IFERROR(-VALUE(LEFT(E1583,FIND("º",SUBSTITUTE(E1583,"°","º"))-1)),-1),IF(LEFT(E1583,6)="TÉRREO",0,IFERROR(VALUE(LEFT(E1583,FIND("º",SUBSTITUTE(E1583,"°","º"))-1)),""))))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26" t="n">
        <v>46689</v>
      </c>
      <c r="G1584" s="126" t="n">
        <v>46703</v>
      </c>
      <c r="H1584" s="126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IF(E1584="","",IF(ISNUMBER(SEARCH("SUBSOLO",E1584)),IFERROR(-VALUE(LEFT(E1584,FIND("º",SUBSTITUTE(E1584,"°","º"))-1)),-1),IF(LEFT(E1584,6)="TÉRREO",0,IFERROR(VALUE(LEFT(E1584,FIND("º",SUBSTITUTE(E1584,"°","º"))-1)),""))))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26" t="n">
        <v>46689</v>
      </c>
      <c r="G1585" s="126" t="n">
        <v>46703</v>
      </c>
      <c r="H1585" s="126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IF(E1585="","",IF(ISNUMBER(SEARCH("SUBSOLO",E1585)),IFERROR(-VALUE(LEFT(E1585,FIND("º",SUBSTITUTE(E1585,"°","º"))-1)),-1),IF(LEFT(E1585,6)="TÉRREO",0,IFERROR(VALUE(LEFT(E1585,FIND("º",SUBSTITUTE(E1585,"°","º"))-1)),""))))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26" t="n">
        <v>46689</v>
      </c>
      <c r="G1586" s="126" t="n">
        <v>46703</v>
      </c>
      <c r="H1586" s="126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IF(E1586="","",IF(ISNUMBER(SEARCH("SUBSOLO",E1586)),IFERROR(-VALUE(LEFT(E1586,FIND("º",SUBSTITUTE(E1586,"°","º"))-1)),-1),IF(LEFT(E1586,6)="TÉRREO",0,IFERROR(VALUE(LEFT(E1586,FIND("º",SUBSTITUTE(E1586,"°","º"))-1)),""))))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26" t="n">
        <v>46689</v>
      </c>
      <c r="G1587" s="126" t="n">
        <v>46702</v>
      </c>
      <c r="H1587" s="126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IF(E1587="","",IF(ISNUMBER(SEARCH("SUBSOLO",E1587)),IFERROR(-VALUE(LEFT(E1587,FIND("º",SUBSTITUTE(E1587,"°","º"))-1)),-1),IF(LEFT(E1587,6)="TÉRREO",0,IFERROR(VALUE(LEFT(E1587,FIND("º",SUBSTITUTE(E1587,"°","º"))-1)),""))))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26" t="n">
        <v>46692</v>
      </c>
      <c r="G1588" s="126" t="n">
        <v>46707</v>
      </c>
      <c r="H1588" s="126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IF(E1588="","",IF(ISNUMBER(SEARCH("SUBSOLO",E1588)),IFERROR(-VALUE(LEFT(E1588,FIND("º",SUBSTITUTE(E1588,"°","º"))-1)),-1),IF(LEFT(E1588,6)="TÉRREO",0,IFERROR(VALUE(LEFT(E1588,FIND("º",SUBSTITUTE(E1588,"°","º"))-1)),""))))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26" t="n">
        <v>46692</v>
      </c>
      <c r="G1589" s="126" t="n">
        <v>46707</v>
      </c>
      <c r="H1589" s="126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IF(E1589="","",IF(ISNUMBER(SEARCH("SUBSOLO",E1589)),IFERROR(-VALUE(LEFT(E1589,FIND("º",SUBSTITUTE(E1589,"°","º"))-1)),-1),IF(LEFT(E1589,6)="TÉRREO",0,IFERROR(VALUE(LEFT(E1589,FIND("º",SUBSTITUTE(E1589,"°","º"))-1)),""))))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26" t="n">
        <v>46692</v>
      </c>
      <c r="G1590" s="126" t="n">
        <v>46707</v>
      </c>
      <c r="H1590" s="126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IF(E1590="","",IF(ISNUMBER(SEARCH("SUBSOLO",E1590)),IFERROR(-VALUE(LEFT(E1590,FIND("º",SUBSTITUTE(E1590,"°","º"))-1)),-1),IF(LEFT(E1590,6)="TÉRREO",0,IFERROR(VALUE(LEFT(E1590,FIND("º",SUBSTITUTE(E1590,"°","º"))-1)),""))))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26" t="n">
        <v>46692</v>
      </c>
      <c r="G1591" s="126" t="n">
        <v>46714</v>
      </c>
      <c r="H1591" s="126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IF(E1591="","",IF(ISNUMBER(SEARCH("SUBSOLO",E1591)),IFERROR(-VALUE(LEFT(E1591,FIND("º",SUBSTITUTE(E1591,"°","º"))-1)),-1),IF(LEFT(E1591,6)="TÉRREO",0,IFERROR(VALUE(LEFT(E1591,FIND("º",SUBSTITUTE(E1591,"°","º"))-1)),""))))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26" t="n">
        <v>46692</v>
      </c>
      <c r="G1592" s="126" t="n">
        <v>46714</v>
      </c>
      <c r="H1592" s="126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IF(E1592="","",IF(ISNUMBER(SEARCH("SUBSOLO",E1592)),IFERROR(-VALUE(LEFT(E1592,FIND("º",SUBSTITUTE(E1592,"°","º"))-1)),-1),IF(LEFT(E1592,6)="TÉRREO",0,IFERROR(VALUE(LEFT(E1592,FIND("º",SUBSTITUTE(E1592,"°","º"))-1)),""))))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26" t="n">
        <v>46692</v>
      </c>
      <c r="G1593" s="126" t="n">
        <v>46707</v>
      </c>
      <c r="H1593" s="126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IF(E1593="","",IF(ISNUMBER(SEARCH("SUBSOLO",E1593)),IFERROR(-VALUE(LEFT(E1593,FIND("º",SUBSTITUTE(E1593,"°","º"))-1)),-1),IF(LEFT(E1593,6)="TÉRREO",0,IFERROR(VALUE(LEFT(E1593,FIND("º",SUBSTITUTE(E1593,"°","º"))-1)),""))))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26" t="n">
        <v>46692</v>
      </c>
      <c r="G1594" s="126" t="n">
        <v>46703</v>
      </c>
      <c r="H1594" s="126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IF(E1594="","",IF(ISNUMBER(SEARCH("SUBSOLO",E1594)),IFERROR(-VALUE(LEFT(E1594,FIND("º",SUBSTITUTE(E1594,"°","º"))-1)),-1),IF(LEFT(E1594,6)="TÉRREO",0,IFERROR(VALUE(LEFT(E1594,FIND("º",SUBSTITUTE(E1594,"°","º"))-1)),""))))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26" t="n">
        <v>46692</v>
      </c>
      <c r="G1595" s="126" t="n">
        <v>46701</v>
      </c>
      <c r="H1595" s="126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IF(E1595="","",IF(ISNUMBER(SEARCH("SUBSOLO",E1595)),IFERROR(-VALUE(LEFT(E1595,FIND("º",SUBSTITUTE(E1595,"°","º"))-1)),-1),IF(LEFT(E1595,6)="TÉRREO",0,IFERROR(VALUE(LEFT(E1595,FIND("º",SUBSTITUTE(E1595,"°","º"))-1)),""))))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26" t="n">
        <v>46692</v>
      </c>
      <c r="G1596" s="126" t="n">
        <v>46714</v>
      </c>
      <c r="H1596" s="126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IF(E1596="","",IF(ISNUMBER(SEARCH("SUBSOLO",E1596)),IFERROR(-VALUE(LEFT(E1596,FIND("º",SUBSTITUTE(E1596,"°","º"))-1)),-1),IF(LEFT(E1596,6)="TÉRREO",0,IFERROR(VALUE(LEFT(E1596,FIND("º",SUBSTITUTE(E1596,"°","º"))-1)),""))))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26" t="n">
        <v>46694</v>
      </c>
      <c r="G1597" s="126" t="n">
        <v>46703</v>
      </c>
      <c r="H1597" s="126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IF(E1597="","",IF(ISNUMBER(SEARCH("SUBSOLO",E1597)),IFERROR(-VALUE(LEFT(E1597,FIND("º",SUBSTITUTE(E1597,"°","º"))-1)),-1),IF(LEFT(E1597,6)="TÉRREO",0,IFERROR(VALUE(LEFT(E1597,FIND("º",SUBSTITUTE(E1597,"°","º"))-1)),""))))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26" t="n">
        <v>46694</v>
      </c>
      <c r="G1598" s="126" t="n">
        <v>46707</v>
      </c>
      <c r="H1598" s="126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IF(E1598="","",IF(ISNUMBER(SEARCH("SUBSOLO",E1598)),IFERROR(-VALUE(LEFT(E1598,FIND("º",SUBSTITUTE(E1598,"°","º"))-1)),-1),IF(LEFT(E1598,6)="TÉRREO",0,IFERROR(VALUE(LEFT(E1598,FIND("º",SUBSTITUTE(E1598,"°","º"))-1)),""))))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26" t="n">
        <v>46694</v>
      </c>
      <c r="G1599" s="126" t="n">
        <v>46715</v>
      </c>
      <c r="H1599" s="126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IF(E1599="","",IF(ISNUMBER(SEARCH("SUBSOLO",E1599)),IFERROR(-VALUE(LEFT(E1599,FIND("º",SUBSTITUTE(E1599,"°","º"))-1)),-1),IF(LEFT(E1599,6)="TÉRREO",0,IFERROR(VALUE(LEFT(E1599,FIND("º",SUBSTITUTE(E1599,"°","º"))-1)),""))))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26" t="n">
        <v>46695</v>
      </c>
      <c r="G1600" s="126" t="n">
        <v>46709</v>
      </c>
      <c r="H1600" s="126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IF(E1600="","",IF(ISNUMBER(SEARCH("SUBSOLO",E1600)),IFERROR(-VALUE(LEFT(E1600,FIND("º",SUBSTITUTE(E1600,"°","º"))-1)),-1),IF(LEFT(E1600,6)="TÉRREO",0,IFERROR(VALUE(LEFT(E1600,FIND("º",SUBSTITUTE(E1600,"°","º"))-1)),""))))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26" t="n">
        <v>46696</v>
      </c>
      <c r="G1601" s="126" t="n">
        <v>46710</v>
      </c>
      <c r="H1601" s="126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IF(E1601="","",IF(ISNUMBER(SEARCH("SUBSOLO",E1601)),IFERROR(-VALUE(LEFT(E1601,FIND("º",SUBSTITUTE(E1601,"°","º"))-1)),-1),IF(LEFT(E1601,6)="TÉRREO",0,IFERROR(VALUE(LEFT(E1601,FIND("º",SUBSTITUTE(E1601,"°","º"))-1)),""))))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26" t="n">
        <v>46699</v>
      </c>
      <c r="G1602" s="126" t="n">
        <v>46713</v>
      </c>
      <c r="H1602" s="126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IF(E1602="","",IF(ISNUMBER(SEARCH("SUBSOLO",E1602)),IFERROR(-VALUE(LEFT(E1602,FIND("º",SUBSTITUTE(E1602,"°","º"))-1)),-1),IF(LEFT(E1602,6)="TÉRREO",0,IFERROR(VALUE(LEFT(E1602,FIND("º",SUBSTITUTE(E1602,"°","º"))-1)),""))))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26" t="n">
        <v>46699</v>
      </c>
      <c r="G1603" s="126" t="n">
        <v>46713</v>
      </c>
      <c r="H1603" s="126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IF(E1603="","",IF(ISNUMBER(SEARCH("SUBSOLO",E1603)),IFERROR(-VALUE(LEFT(E1603,FIND("º",SUBSTITUTE(E1603,"°","º"))-1)),-1),IF(LEFT(E1603,6)="TÉRREO",0,IFERROR(VALUE(LEFT(E1603,FIND("º",SUBSTITUTE(E1603,"°","º"))-1)),""))))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26" t="n">
        <v>46699</v>
      </c>
      <c r="G1604" s="126" t="n">
        <v>46720</v>
      </c>
      <c r="H1604" s="126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IF(E1604="","",IF(ISNUMBER(SEARCH("SUBSOLO",E1604)),IFERROR(-VALUE(LEFT(E1604,FIND("º",SUBSTITUTE(E1604,"°","º"))-1)),-1),IF(LEFT(E1604,6)="TÉRREO",0,IFERROR(VALUE(LEFT(E1604,FIND("º",SUBSTITUTE(E1604,"°","º"))-1)),""))))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26" t="n">
        <v>46699</v>
      </c>
      <c r="G1605" s="126" t="n">
        <v>46720</v>
      </c>
      <c r="H1605" s="126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IF(E1605="","",IF(ISNUMBER(SEARCH("SUBSOLO",E1605)),IFERROR(-VALUE(LEFT(E1605,FIND("º",SUBSTITUTE(E1605,"°","º"))-1)),-1),IF(LEFT(E1605,6)="TÉRREO",0,IFERROR(VALUE(LEFT(E1605,FIND("º",SUBSTITUTE(E1605,"°","º"))-1)),""))))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26" t="n">
        <v>46699</v>
      </c>
      <c r="G1606" s="126" t="n">
        <v>46713</v>
      </c>
      <c r="H1606" s="126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IF(E1606="","",IF(ISNUMBER(SEARCH("SUBSOLO",E1606)),IFERROR(-VALUE(LEFT(E1606,FIND("º",SUBSTITUTE(E1606,"°","º"))-1)),-1),IF(LEFT(E1606,6)="TÉRREO",0,IFERROR(VALUE(LEFT(E1606,FIND("º",SUBSTITUTE(E1606,"°","º"))-1)),""))))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26" t="n">
        <v>46699</v>
      </c>
      <c r="G1607" s="126" t="n">
        <v>46699</v>
      </c>
      <c r="H1607" s="126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IF(E1607="","",IF(ISNUMBER(SEARCH("SUBSOLO",E1607)),IFERROR(-VALUE(LEFT(E1607,FIND("º",SUBSTITUTE(E1607,"°","º"))-1)),-1),IF(LEFT(E1607,6)="TÉRREO",0,IFERROR(VALUE(LEFT(E1607,FIND("º",SUBSTITUTE(E1607,"°","º"))-1)),""))))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26" t="n">
        <v>46700</v>
      </c>
      <c r="G1608" s="126" t="n">
        <v>46735</v>
      </c>
      <c r="H1608" s="126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IF(E1608="","",IF(ISNUMBER(SEARCH("SUBSOLO",E1608)),IFERROR(-VALUE(LEFT(E1608,FIND("º",SUBSTITUTE(E1608,"°","º"))-1)),-1),IF(LEFT(E1608,6)="TÉRREO",0,IFERROR(VALUE(LEFT(E1608,FIND("º",SUBSTITUTE(E1608,"°","º"))-1)),""))))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26" t="n">
        <v>46700</v>
      </c>
      <c r="G1609" s="126" t="n">
        <v>46714</v>
      </c>
      <c r="H1609" s="126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IF(E1609="","",IF(ISNUMBER(SEARCH("SUBSOLO",E1609)),IFERROR(-VALUE(LEFT(E1609,FIND("º",SUBSTITUTE(E1609,"°","º"))-1)),-1),IF(LEFT(E1609,6)="TÉRREO",0,IFERROR(VALUE(LEFT(E1609,FIND("º",SUBSTITUTE(E1609,"°","º"))-1)),""))))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26" t="n">
        <v>46700</v>
      </c>
      <c r="G1610" s="126" t="n">
        <v>46714</v>
      </c>
      <c r="H1610" s="126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IF(E1610="","",IF(ISNUMBER(SEARCH("SUBSOLO",E1610)),IFERROR(-VALUE(LEFT(E1610,FIND("º",SUBSTITUTE(E1610,"°","º"))-1)),-1),IF(LEFT(E1610,6)="TÉRREO",0,IFERROR(VALUE(LEFT(E1610,FIND("º",SUBSTITUTE(E1610,"°","º"))-1)),""))))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26" t="n">
        <v>46700</v>
      </c>
      <c r="G1611" s="126" t="n">
        <v>46713</v>
      </c>
      <c r="H1611" s="126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IF(E1611="","",IF(ISNUMBER(SEARCH("SUBSOLO",E1611)),IFERROR(-VALUE(LEFT(E1611,FIND("º",SUBSTITUTE(E1611,"°","º"))-1)),-1),IF(LEFT(E1611,6)="TÉRREO",0,IFERROR(VALUE(LEFT(E1611,FIND("º",SUBSTITUTE(E1611,"°","º"))-1)),""))))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26" t="n">
        <v>46701</v>
      </c>
      <c r="G1612" s="126" t="n">
        <v>46715</v>
      </c>
      <c r="H1612" s="126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IF(E1612="","",IF(ISNUMBER(SEARCH("SUBSOLO",E1612)),IFERROR(-VALUE(LEFT(E1612,FIND("º",SUBSTITUTE(E1612,"°","º"))-1)),-1),IF(LEFT(E1612,6)="TÉRREO",0,IFERROR(VALUE(LEFT(E1612,FIND("º",SUBSTITUTE(E1612,"°","º"))-1)),""))))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26" t="n">
        <v>46701</v>
      </c>
      <c r="G1613" s="126" t="n">
        <v>46715</v>
      </c>
      <c r="H1613" s="126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IF(E1613="","",IF(ISNUMBER(SEARCH("SUBSOLO",E1613)),IFERROR(-VALUE(LEFT(E1613,FIND("º",SUBSTITUTE(E1613,"°","º"))-1)),-1),IF(LEFT(E1613,6)="TÉRREO",0,IFERROR(VALUE(LEFT(E1613,FIND("º",SUBSTITUTE(E1613,"°","º"))-1)),""))))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26" t="n">
        <v>46701</v>
      </c>
      <c r="G1614" s="126" t="n">
        <v>46715</v>
      </c>
      <c r="H1614" s="126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IF(E1614="","",IF(ISNUMBER(SEARCH("SUBSOLO",E1614)),IFERROR(-VALUE(LEFT(E1614,FIND("º",SUBSTITUTE(E1614,"°","º"))-1)),-1),IF(LEFT(E1614,6)="TÉRREO",0,IFERROR(VALUE(LEFT(E1614,FIND("º",SUBSTITUTE(E1614,"°","º"))-1)),""))))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26" t="n">
        <v>46701</v>
      </c>
      <c r="G1615" s="126" t="n">
        <v>46708</v>
      </c>
      <c r="H1615" s="126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IF(E1615="","",IF(ISNUMBER(SEARCH("SUBSOLO",E1615)),IFERROR(-VALUE(LEFT(E1615,FIND("º",SUBSTITUTE(E1615,"°","º"))-1)),-1),IF(LEFT(E1615,6)="TÉRREO",0,IFERROR(VALUE(LEFT(E1615,FIND("º",SUBSTITUTE(E1615,"°","º"))-1)),""))))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26" t="n">
        <v>46702</v>
      </c>
      <c r="G1616" s="126" t="n">
        <v>46709</v>
      </c>
      <c r="H1616" s="126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IF(E1616="","",IF(ISNUMBER(SEARCH("SUBSOLO",E1616)),IFERROR(-VALUE(LEFT(E1616,FIND("º",SUBSTITUTE(E1616,"°","º"))-1)),-1),IF(LEFT(E1616,6)="TÉRREO",0,IFERROR(VALUE(LEFT(E1616,FIND("º",SUBSTITUTE(E1616,"°","º"))-1)),""))))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26" t="n">
        <v>46702</v>
      </c>
      <c r="G1617" s="126" t="n">
        <v>46716</v>
      </c>
      <c r="H1617" s="126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IF(E1617="","",IF(ISNUMBER(SEARCH("SUBSOLO",E1617)),IFERROR(-VALUE(LEFT(E1617,FIND("º",SUBSTITUTE(E1617,"°","º"))-1)),-1),IF(LEFT(E1617,6)="TÉRREO",0,IFERROR(VALUE(LEFT(E1617,FIND("º",SUBSTITUTE(E1617,"°","º"))-1)),""))))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26" t="n">
        <v>46702</v>
      </c>
      <c r="G1618" s="126" t="n">
        <v>46715</v>
      </c>
      <c r="H1618" s="126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IF(E1618="","",IF(ISNUMBER(SEARCH("SUBSOLO",E1618)),IFERROR(-VALUE(LEFT(E1618,FIND("º",SUBSTITUTE(E1618,"°","º"))-1)),-1),IF(LEFT(E1618,6)="TÉRREO",0,IFERROR(VALUE(LEFT(E1618,FIND("º",SUBSTITUTE(E1618,"°","º"))-1)),""))))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26" t="n">
        <v>46702</v>
      </c>
      <c r="G1619" s="126" t="n">
        <v>46714</v>
      </c>
      <c r="H1619" s="126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IF(E1619="","",IF(ISNUMBER(SEARCH("SUBSOLO",E1619)),IFERROR(-VALUE(LEFT(E1619,FIND("º",SUBSTITUTE(E1619,"°","º"))-1)),-1),IF(LEFT(E1619,6)="TÉRREO",0,IFERROR(VALUE(LEFT(E1619,FIND("º",SUBSTITUTE(E1619,"°","º"))-1)),""))))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26" t="n">
        <v>46703</v>
      </c>
      <c r="G1620" s="126" t="n">
        <v>46724</v>
      </c>
      <c r="H1620" s="126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IF(E1620="","",IF(ISNUMBER(SEARCH("SUBSOLO",E1620)),IFERROR(-VALUE(LEFT(E1620,FIND("º",SUBSTITUTE(E1620,"°","º"))-1)),-1),IF(LEFT(E1620,6)="TÉRREO",0,IFERROR(VALUE(LEFT(E1620,FIND("º",SUBSTITUTE(E1620,"°","º"))-1)),""))))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26" t="n">
        <v>46707</v>
      </c>
      <c r="G1621" s="126" t="n">
        <v>46720</v>
      </c>
      <c r="H1621" s="126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IF(E1621="","",IF(ISNUMBER(SEARCH("SUBSOLO",E1621)),IFERROR(-VALUE(LEFT(E1621,FIND("º",SUBSTITUTE(E1621,"°","º"))-1)),-1),IF(LEFT(E1621,6)="TÉRREO",0,IFERROR(VALUE(LEFT(E1621,FIND("º",SUBSTITUTE(E1621,"°","º"))-1)),""))))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26" t="n">
        <v>46707</v>
      </c>
      <c r="G1622" s="126" t="n">
        <v>46720</v>
      </c>
      <c r="H1622" s="126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IF(E1622="","",IF(ISNUMBER(SEARCH("SUBSOLO",E1622)),IFERROR(-VALUE(LEFT(E1622,FIND("º",SUBSTITUTE(E1622,"°","º"))-1)),-1),IF(LEFT(E1622,6)="TÉRREO",0,IFERROR(VALUE(LEFT(E1622,FIND("º",SUBSTITUTE(E1622,"°","º"))-1)),""))))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26" t="n">
        <v>46707</v>
      </c>
      <c r="G1623" s="126" t="n">
        <v>46720</v>
      </c>
      <c r="H1623" s="126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IF(E1623="","",IF(ISNUMBER(SEARCH("SUBSOLO",E1623)),IFERROR(-VALUE(LEFT(E1623,FIND("º",SUBSTITUTE(E1623,"°","º"))-1)),-1),IF(LEFT(E1623,6)="TÉRREO",0,IFERROR(VALUE(LEFT(E1623,FIND("º",SUBSTITUTE(E1623,"°","º"))-1)),""))))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26" t="n">
        <v>46707</v>
      </c>
      <c r="G1624" s="126" t="n">
        <v>46713</v>
      </c>
      <c r="H1624" s="126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IF(E1624="","",IF(ISNUMBER(SEARCH("SUBSOLO",E1624)),IFERROR(-VALUE(LEFT(E1624,FIND("º",SUBSTITUTE(E1624,"°","º"))-1)),-1),IF(LEFT(E1624,6)="TÉRREO",0,IFERROR(VALUE(LEFT(E1624,FIND("º",SUBSTITUTE(E1624,"°","º"))-1)),""))))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26" t="n">
        <v>46714</v>
      </c>
      <c r="G1625" s="126" t="n">
        <v>46720</v>
      </c>
      <c r="H1625" s="126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IF(E1625="","",IF(ISNUMBER(SEARCH("SUBSOLO",E1625)),IFERROR(-VALUE(LEFT(E1625,FIND("º",SUBSTITUTE(E1625,"°","º"))-1)),-1),IF(LEFT(E1625,6)="TÉRREO",0,IFERROR(VALUE(LEFT(E1625,FIND("º",SUBSTITUTE(E1625,"°","º"))-1)),""))))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26" t="n">
        <v>46707</v>
      </c>
      <c r="G1626" s="126" t="n">
        <v>46715</v>
      </c>
      <c r="H1626" s="126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IF(E1626="","",IF(ISNUMBER(SEARCH("SUBSOLO",E1626)),IFERROR(-VALUE(LEFT(E1626,FIND("º",SUBSTITUTE(E1626,"°","º"))-1)),-1),IF(LEFT(E1626,6)="TÉRREO",0,IFERROR(VALUE(LEFT(E1626,FIND("º",SUBSTITUTE(E1626,"°","º"))-1)),""))))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26" t="n">
        <v>46707</v>
      </c>
      <c r="G1627" s="126" t="n">
        <v>46720</v>
      </c>
      <c r="H1627" s="126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IF(E1627="","",IF(ISNUMBER(SEARCH("SUBSOLO",E1627)),IFERROR(-VALUE(LEFT(E1627,FIND("º",SUBSTITUTE(E1627,"°","º"))-1)),-1),IF(LEFT(E1627,6)="TÉRREO",0,IFERROR(VALUE(LEFT(E1627,FIND("º",SUBSTITUTE(E1627,"°","º"))-1)),""))))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26" t="n">
        <v>46707</v>
      </c>
      <c r="G1628" s="126" t="n">
        <v>46727</v>
      </c>
      <c r="H1628" s="126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IF(E1628="","",IF(ISNUMBER(SEARCH("SUBSOLO",E1628)),IFERROR(-VALUE(LEFT(E1628,FIND("º",SUBSTITUTE(E1628,"°","º"))-1)),-1),IF(LEFT(E1628,6)="TÉRREO",0,IFERROR(VALUE(LEFT(E1628,FIND("º",SUBSTITUTE(E1628,"°","º"))-1)),""))))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26" t="n">
        <v>46707</v>
      </c>
      <c r="G1629" s="126" t="n">
        <v>46713</v>
      </c>
      <c r="H1629" s="126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IF(E1629="","",IF(ISNUMBER(SEARCH("SUBSOLO",E1629)),IFERROR(-VALUE(LEFT(E1629,FIND("º",SUBSTITUTE(E1629,"°","º"))-1)),-1),IF(LEFT(E1629,6)="TÉRREO",0,IFERROR(VALUE(LEFT(E1629,FIND("º",SUBSTITUTE(E1629,"°","º"))-1)),""))))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26" t="n">
        <v>46707</v>
      </c>
      <c r="G1630" s="126" t="n">
        <v>46720</v>
      </c>
      <c r="H1630" s="126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IF(E1630="","",IF(ISNUMBER(SEARCH("SUBSOLO",E1630)),IFERROR(-VALUE(LEFT(E1630,FIND("º",SUBSTITUTE(E1630,"°","º"))-1)),-1),IF(LEFT(E1630,6)="TÉRREO",0,IFERROR(VALUE(LEFT(E1630,FIND("º",SUBSTITUTE(E1630,"°","º"))-1)),""))))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26" t="n">
        <v>46707</v>
      </c>
      <c r="G1631" s="126" t="n">
        <v>46717</v>
      </c>
      <c r="H1631" s="126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IF(E1631="","",IF(ISNUMBER(SEARCH("SUBSOLO",E1631)),IFERROR(-VALUE(LEFT(E1631,FIND("º",SUBSTITUTE(E1631,"°","º"))-1)),-1),IF(LEFT(E1631,6)="TÉRREO",0,IFERROR(VALUE(LEFT(E1631,FIND("º",SUBSTITUTE(E1631,"°","º"))-1)),""))))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26" t="n">
        <v>46708</v>
      </c>
      <c r="G1632" s="126" t="n">
        <v>46720</v>
      </c>
      <c r="H1632" s="126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IF(E1632="","",IF(ISNUMBER(SEARCH("SUBSOLO",E1632)),IFERROR(-VALUE(LEFT(E1632,FIND("º",SUBSTITUTE(E1632,"°","º"))-1)),-1),IF(LEFT(E1632,6)="TÉRREO",0,IFERROR(VALUE(LEFT(E1632,FIND("º",SUBSTITUTE(E1632,"°","º"))-1)),""))))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26" t="n">
        <v>46708</v>
      </c>
      <c r="G1633" s="126" t="n">
        <v>46721</v>
      </c>
      <c r="H1633" s="126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IF(E1633="","",IF(ISNUMBER(SEARCH("SUBSOLO",E1633)),IFERROR(-VALUE(LEFT(E1633,FIND("º",SUBSTITUTE(E1633,"°","º"))-1)),-1),IF(LEFT(E1633,6)="TÉRREO",0,IFERROR(VALUE(LEFT(E1633,FIND("º",SUBSTITUTE(E1633,"°","º"))-1)),""))))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26" t="n">
        <v>46708</v>
      </c>
      <c r="G1634" s="126" t="n">
        <v>46721</v>
      </c>
      <c r="H1634" s="126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IF(E1634="","",IF(ISNUMBER(SEARCH("SUBSOLO",E1634)),IFERROR(-VALUE(LEFT(E1634,FIND("º",SUBSTITUTE(E1634,"°","º"))-1)),-1),IF(LEFT(E1634,6)="TÉRREO",0,IFERROR(VALUE(LEFT(E1634,FIND("º",SUBSTITUTE(E1634,"°","º"))-1)),""))))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26" t="n">
        <v>46708</v>
      </c>
      <c r="G1635" s="126" t="n">
        <v>46721</v>
      </c>
      <c r="H1635" s="126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IF(E1635="","",IF(ISNUMBER(SEARCH("SUBSOLO",E1635)),IFERROR(-VALUE(LEFT(E1635,FIND("º",SUBSTITUTE(E1635,"°","º"))-1)),-1),IF(LEFT(E1635,6)="TÉRREO",0,IFERROR(VALUE(LEFT(E1635,FIND("º",SUBSTITUTE(E1635,"°","º"))-1)),""))))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26" t="n">
        <v>46708</v>
      </c>
      <c r="G1636" s="126" t="n">
        <v>46721</v>
      </c>
      <c r="H1636" s="126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IF(E1636="","",IF(ISNUMBER(SEARCH("SUBSOLO",E1636)),IFERROR(-VALUE(LEFT(E1636,FIND("º",SUBSTITUTE(E1636,"°","º"))-1)),-1),IF(LEFT(E1636,6)="TÉRREO",0,IFERROR(VALUE(LEFT(E1636,FIND("º",SUBSTITUTE(E1636,"°","º"))-1)),""))))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26" t="n">
        <v>46708</v>
      </c>
      <c r="G1637" s="126" t="n">
        <v>46721</v>
      </c>
      <c r="H1637" s="126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IF(E1637="","",IF(ISNUMBER(SEARCH("SUBSOLO",E1637)),IFERROR(-VALUE(LEFT(E1637,FIND("º",SUBSTITUTE(E1637,"°","º"))-1)),-1),IF(LEFT(E1637,6)="TÉRREO",0,IFERROR(VALUE(LEFT(E1637,FIND("º",SUBSTITUTE(E1637,"°","º"))-1)),""))))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26" t="n">
        <v>46708</v>
      </c>
      <c r="G1638" s="126" t="n">
        <v>46720</v>
      </c>
      <c r="H1638" s="126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IF(E1638="","",IF(ISNUMBER(SEARCH("SUBSOLO",E1638)),IFERROR(-VALUE(LEFT(E1638,FIND("º",SUBSTITUTE(E1638,"°","º"))-1)),-1),IF(LEFT(E1638,6)="TÉRREO",0,IFERROR(VALUE(LEFT(E1638,FIND("º",SUBSTITUTE(E1638,"°","º"))-1)),""))))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26" t="n">
        <v>46709</v>
      </c>
      <c r="G1639" s="126" t="n">
        <v>46715</v>
      </c>
      <c r="H1639" s="126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IF(E1639="","",IF(ISNUMBER(SEARCH("SUBSOLO",E1639)),IFERROR(-VALUE(LEFT(E1639,FIND("º",SUBSTITUTE(E1639,"°","º"))-1)),-1),IF(LEFT(E1639,6)="TÉRREO",0,IFERROR(VALUE(LEFT(E1639,FIND("º",SUBSTITUTE(E1639,"°","º"))-1)),""))))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26" t="n">
        <v>46710</v>
      </c>
      <c r="G1640" s="126" t="n">
        <v>46716</v>
      </c>
      <c r="H1640" s="126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IF(E1640="","",IF(ISNUMBER(SEARCH("SUBSOLO",E1640)),IFERROR(-VALUE(LEFT(E1640,FIND("º",SUBSTITUTE(E1640,"°","º"))-1)),-1),IF(LEFT(E1640,6)="TÉRREO",0,IFERROR(VALUE(LEFT(E1640,FIND("º",SUBSTITUTE(E1640,"°","º"))-1)),""))))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26" t="n">
        <v>46710</v>
      </c>
      <c r="G1641" s="126" t="n">
        <v>46723</v>
      </c>
      <c r="H1641" s="126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IF(E1641="","",IF(ISNUMBER(SEARCH("SUBSOLO",E1641)),IFERROR(-VALUE(LEFT(E1641,FIND("º",SUBSTITUTE(E1641,"°","º"))-1)),-1),IF(LEFT(E1641,6)="TÉRREO",0,IFERROR(VALUE(LEFT(E1641,FIND("º",SUBSTITUTE(E1641,"°","º"))-1)),""))))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26" t="n">
        <v>46713</v>
      </c>
      <c r="G1642" s="126" t="n">
        <v>46717</v>
      </c>
      <c r="H1642" s="126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IF(E1642="","",IF(ISNUMBER(SEARCH("SUBSOLO",E1642)),IFERROR(-VALUE(LEFT(E1642,FIND("º",SUBSTITUTE(E1642,"°","º"))-1)),-1),IF(LEFT(E1642,6)="TÉRREO",0,IFERROR(VALUE(LEFT(E1642,FIND("º",SUBSTITUTE(E1642,"°","º"))-1)),""))))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26" t="n">
        <v>46713</v>
      </c>
      <c r="G1643" s="126" t="n">
        <v>46724</v>
      </c>
      <c r="H1643" s="126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IF(E1643="","",IF(ISNUMBER(SEARCH("SUBSOLO",E1643)),IFERROR(-VALUE(LEFT(E1643,FIND("º",SUBSTITUTE(E1643,"°","º"))-1)),-1),IF(LEFT(E1643,6)="TÉRREO",0,IFERROR(VALUE(LEFT(E1643,FIND("º",SUBSTITUTE(E1643,"°","º"))-1)),""))))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26" t="n">
        <v>46714</v>
      </c>
      <c r="G1644" s="126" t="n">
        <v>46720</v>
      </c>
      <c r="H1644" s="126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IF(E1644="","",IF(ISNUMBER(SEARCH("SUBSOLO",E1644)),IFERROR(-VALUE(LEFT(E1644,FIND("º",SUBSTITUTE(E1644,"°","º"))-1)),-1),IF(LEFT(E1644,6)="TÉRREO",0,IFERROR(VALUE(LEFT(E1644,FIND("º",SUBSTITUTE(E1644,"°","º"))-1)),""))))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26" t="n">
        <v>46714</v>
      </c>
      <c r="G1645" s="126" t="n">
        <v>46727</v>
      </c>
      <c r="H1645" s="126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IF(E1645="","",IF(ISNUMBER(SEARCH("SUBSOLO",E1645)),IFERROR(-VALUE(LEFT(E1645,FIND("º",SUBSTITUTE(E1645,"°","º"))-1)),-1),IF(LEFT(E1645,6)="TÉRREO",0,IFERROR(VALUE(LEFT(E1645,FIND("º",SUBSTITUTE(E1645,"°","º"))-1)),""))))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26" t="n">
        <v>46714</v>
      </c>
      <c r="G1646" s="126" t="n">
        <v>46727</v>
      </c>
      <c r="H1646" s="126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IF(E1646="","",IF(ISNUMBER(SEARCH("SUBSOLO",E1646)),IFERROR(-VALUE(LEFT(E1646,FIND("º",SUBSTITUTE(E1646,"°","º"))-1)),-1),IF(LEFT(E1646,6)="TÉRREO",0,IFERROR(VALUE(LEFT(E1646,FIND("º",SUBSTITUTE(E1646,"°","º"))-1)),""))))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26" t="n">
        <v>46714</v>
      </c>
      <c r="G1647" s="126" t="n">
        <v>46727</v>
      </c>
      <c r="H1647" s="126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IF(E1647="","",IF(ISNUMBER(SEARCH("SUBSOLO",E1647)),IFERROR(-VALUE(LEFT(E1647,FIND("º",SUBSTITUTE(E1647,"°","º"))-1)),-1),IF(LEFT(E1647,6)="TÉRREO",0,IFERROR(VALUE(LEFT(E1647,FIND("º",SUBSTITUTE(E1647,"°","º"))-1)),""))))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26" t="n">
        <v>46714</v>
      </c>
      <c r="G1648" s="126" t="n">
        <v>46724</v>
      </c>
      <c r="H1648" s="126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IF(E1648="","",IF(ISNUMBER(SEARCH("SUBSOLO",E1648)),IFERROR(-VALUE(LEFT(E1648,FIND("º",SUBSTITUTE(E1648,"°","º"))-1)),-1),IF(LEFT(E1648,6)="TÉRREO",0,IFERROR(VALUE(LEFT(E1648,FIND("º",SUBSTITUTE(E1648,"°","º"))-1)),""))))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26" t="n">
        <v>46715</v>
      </c>
      <c r="G1649" s="126" t="n">
        <v>46801</v>
      </c>
      <c r="H1649" s="126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IF(E1649="","",IF(ISNUMBER(SEARCH("SUBSOLO",E1649)),IFERROR(-VALUE(LEFT(E1649,FIND("º",SUBSTITUTE(E1649,"°","º"))-1)),-1),IF(LEFT(E1649,6)="TÉRREO",0,IFERROR(VALUE(LEFT(E1649,FIND("º",SUBSTITUTE(E1649,"°","º"))-1)),""))))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26" t="n">
        <v>46715</v>
      </c>
      <c r="G1650" s="126" t="n">
        <v>46728</v>
      </c>
      <c r="H1650" s="126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IF(E1650="","",IF(ISNUMBER(SEARCH("SUBSOLO",E1650)),IFERROR(-VALUE(LEFT(E1650,FIND("º",SUBSTITUTE(E1650,"°","º"))-1)),-1),IF(LEFT(E1650,6)="TÉRREO",0,IFERROR(VALUE(LEFT(E1650,FIND("º",SUBSTITUTE(E1650,"°","º"))-1)),""))))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26" t="n">
        <v>46715</v>
      </c>
      <c r="G1651" s="126" t="n">
        <v>46728</v>
      </c>
      <c r="H1651" s="126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IF(E1651="","",IF(ISNUMBER(SEARCH("SUBSOLO",E1651)),IFERROR(-VALUE(LEFT(E1651,FIND("º",SUBSTITUTE(E1651,"°","º"))-1)),-1),IF(LEFT(E1651,6)="TÉRREO",0,IFERROR(VALUE(LEFT(E1651,FIND("º",SUBSTITUTE(E1651,"°","º"))-1)),""))))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26" t="n">
        <v>46715</v>
      </c>
      <c r="G1652" s="126" t="n">
        <v>46728</v>
      </c>
      <c r="H1652" s="126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IF(E1652="","",IF(ISNUMBER(SEARCH("SUBSOLO",E1652)),IFERROR(-VALUE(LEFT(E1652,FIND("º",SUBSTITUTE(E1652,"°","º"))-1)),-1),IF(LEFT(E1652,6)="TÉRREO",0,IFERROR(VALUE(LEFT(E1652,FIND("º",SUBSTITUTE(E1652,"°","º"))-1)),""))))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26" t="n">
        <v>46715</v>
      </c>
      <c r="G1653" s="126" t="n">
        <v>46735</v>
      </c>
      <c r="H1653" s="126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IF(E1653="","",IF(ISNUMBER(SEARCH("SUBSOLO",E1653)),IFERROR(-VALUE(LEFT(E1653,FIND("º",SUBSTITUTE(E1653,"°","º"))-1)),-1),IF(LEFT(E1653,6)="TÉRREO",0,IFERROR(VALUE(LEFT(E1653,FIND("º",SUBSTITUTE(E1653,"°","º"))-1)),""))))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26" t="n">
        <v>46715</v>
      </c>
      <c r="G1654" s="126" t="n">
        <v>46723</v>
      </c>
      <c r="H1654" s="126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IF(E1654="","",IF(ISNUMBER(SEARCH("SUBSOLO",E1654)),IFERROR(-VALUE(LEFT(E1654,FIND("º",SUBSTITUTE(E1654,"°","º"))-1)),-1),IF(LEFT(E1654,6)="TÉRREO",0,IFERROR(VALUE(LEFT(E1654,FIND("º",SUBSTITUTE(E1654,"°","º"))-1)),""))))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26" t="n">
        <v>46716</v>
      </c>
      <c r="G1655" s="126" t="n">
        <v>46729</v>
      </c>
      <c r="H1655" s="126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IF(E1655="","",IF(ISNUMBER(SEARCH("SUBSOLO",E1655)),IFERROR(-VALUE(LEFT(E1655,FIND("º",SUBSTITUTE(E1655,"°","º"))-1)),-1),IF(LEFT(E1655,6)="TÉRREO",0,IFERROR(VALUE(LEFT(E1655,FIND("º",SUBSTITUTE(E1655,"°","º"))-1)),""))))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26" t="n">
        <v>46716</v>
      </c>
      <c r="G1656" s="126" t="n">
        <v>46722</v>
      </c>
      <c r="H1656" s="126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IF(E1656="","",IF(ISNUMBER(SEARCH("SUBSOLO",E1656)),IFERROR(-VALUE(LEFT(E1656,FIND("º",SUBSTITUTE(E1656,"°","º"))-1)),-1),IF(LEFT(E1656,6)="TÉRREO",0,IFERROR(VALUE(LEFT(E1656,FIND("º",SUBSTITUTE(E1656,"°","º"))-1)),""))))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26" t="n">
        <v>46716</v>
      </c>
      <c r="G1657" s="126" t="n">
        <v>46729</v>
      </c>
      <c r="H1657" s="126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IF(E1657="","",IF(ISNUMBER(SEARCH("SUBSOLO",E1657)),IFERROR(-VALUE(LEFT(E1657,FIND("º",SUBSTITUTE(E1657,"°","º"))-1)),-1),IF(LEFT(E1657,6)="TÉRREO",0,IFERROR(VALUE(LEFT(E1657,FIND("º",SUBSTITUTE(E1657,"°","º"))-1)),""))))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26" t="n">
        <v>46716</v>
      </c>
      <c r="G1658" s="126" t="n">
        <v>46722</v>
      </c>
      <c r="H1658" s="126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IF(E1658="","",IF(ISNUMBER(SEARCH("SUBSOLO",E1658)),IFERROR(-VALUE(LEFT(E1658,FIND("º",SUBSTITUTE(E1658,"°","º"))-1)),-1),IF(LEFT(E1658,6)="TÉRREO",0,IFERROR(VALUE(LEFT(E1658,FIND("º",SUBSTITUTE(E1658,"°","º"))-1)),""))))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26" t="n">
        <v>46716</v>
      </c>
      <c r="G1659" s="126" t="n">
        <v>46727</v>
      </c>
      <c r="H1659" s="126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IF(E1659="","",IF(ISNUMBER(SEARCH("SUBSOLO",E1659)),IFERROR(-VALUE(LEFT(E1659,FIND("º",SUBSTITUTE(E1659,"°","º"))-1)),-1),IF(LEFT(E1659,6)="TÉRREO",0,IFERROR(VALUE(LEFT(E1659,FIND("º",SUBSTITUTE(E1659,"°","º"))-1)),""))))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26" t="n">
        <v>46716</v>
      </c>
      <c r="G1660" s="126" t="n">
        <v>46728</v>
      </c>
      <c r="H1660" s="126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IF(E1660="","",IF(ISNUMBER(SEARCH("SUBSOLO",E1660)),IFERROR(-VALUE(LEFT(E1660,FIND("º",SUBSTITUTE(E1660,"°","º"))-1)),-1),IF(LEFT(E1660,6)="TÉRREO",0,IFERROR(VALUE(LEFT(E1660,FIND("º",SUBSTITUTE(E1660,"°","º"))-1)),""))))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26" t="n">
        <v>46716</v>
      </c>
      <c r="G1661" s="126" t="n">
        <v>46736</v>
      </c>
      <c r="H1661" s="126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IF(E1661="","",IF(ISNUMBER(SEARCH("SUBSOLO",E1661)),IFERROR(-VALUE(LEFT(E1661,FIND("º",SUBSTITUTE(E1661,"°","º"))-1)),-1),IF(LEFT(E1661,6)="TÉRREO",0,IFERROR(VALUE(LEFT(E1661,FIND("º",SUBSTITUTE(E1661,"°","º"))-1)),""))))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26" t="n">
        <v>46717</v>
      </c>
      <c r="G1662" s="126" t="n">
        <v>46723</v>
      </c>
      <c r="H1662" s="126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IF(E1662="","",IF(ISNUMBER(SEARCH("SUBSOLO",E1662)),IFERROR(-VALUE(LEFT(E1662,FIND("º",SUBSTITUTE(E1662,"°","º"))-1)),-1),IF(LEFT(E1662,6)="TÉRREO",0,IFERROR(VALUE(LEFT(E1662,FIND("º",SUBSTITUTE(E1662,"°","º"))-1)),""))))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26" t="n">
        <v>46717</v>
      </c>
      <c r="G1663" s="126" t="n">
        <v>46730</v>
      </c>
      <c r="H1663" s="126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IF(E1663="","",IF(ISNUMBER(SEARCH("SUBSOLO",E1663)),IFERROR(-VALUE(LEFT(E1663,FIND("º",SUBSTITUTE(E1663,"°","º"))-1)),-1),IF(LEFT(E1663,6)="TÉRREO",0,IFERROR(VALUE(LEFT(E1663,FIND("º",SUBSTITUTE(E1663,"°","º"))-1)),""))))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26" t="n">
        <v>46720</v>
      </c>
      <c r="G1664" s="126" t="n">
        <v>46731</v>
      </c>
      <c r="H1664" s="126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IF(E1664="","",IF(ISNUMBER(SEARCH("SUBSOLO",E1664)),IFERROR(-VALUE(LEFT(E1664,FIND("º",SUBSTITUTE(E1664,"°","º"))-1)),-1),IF(LEFT(E1664,6)="TÉRREO",0,IFERROR(VALUE(LEFT(E1664,FIND("º",SUBSTITUTE(E1664,"°","º"))-1)),""))))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26" t="n">
        <v>46721</v>
      </c>
      <c r="G1665" s="126" t="n">
        <v>46764</v>
      </c>
      <c r="H1665" s="126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IF(E1665="","",IF(ISNUMBER(SEARCH("SUBSOLO",E1665)),IFERROR(-VALUE(LEFT(E1665,FIND("º",SUBSTITUTE(E1665,"°","º"))-1)),-1),IF(LEFT(E1665,6)="TÉRREO",0,IFERROR(VALUE(LEFT(E1665,FIND("º",SUBSTITUTE(E1665,"°","º"))-1)),""))))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26" t="n">
        <v>46721</v>
      </c>
      <c r="G1666" s="126" t="n">
        <v>46734</v>
      </c>
      <c r="H1666" s="126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IF(E1666="","",IF(ISNUMBER(SEARCH("SUBSOLO",E1666)),IFERROR(-VALUE(LEFT(E1666,FIND("º",SUBSTITUTE(E1666,"°","º"))-1)),-1),IF(LEFT(E1666,6)="TÉRREO",0,IFERROR(VALUE(LEFT(E1666,FIND("º",SUBSTITUTE(E1666,"°","º"))-1)),""))))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26" t="n">
        <v>46721</v>
      </c>
      <c r="G1667" s="126" t="n">
        <v>46734</v>
      </c>
      <c r="H1667" s="126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IF(E1667="","",IF(ISNUMBER(SEARCH("SUBSOLO",E1667)),IFERROR(-VALUE(LEFT(E1667,FIND("º",SUBSTITUTE(E1667,"°","º"))-1)),-1),IF(LEFT(E1667,6)="TÉRREO",0,IFERROR(VALUE(LEFT(E1667,FIND("º",SUBSTITUTE(E1667,"°","º"))-1)),""))))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26" t="n">
        <v>46721</v>
      </c>
      <c r="G1668" s="126" t="n">
        <v>46734</v>
      </c>
      <c r="H1668" s="126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IF(E1668="","",IF(ISNUMBER(SEARCH("SUBSOLO",E1668)),IFERROR(-VALUE(LEFT(E1668,FIND("º",SUBSTITUTE(E1668,"°","º"))-1)),-1),IF(LEFT(E1668,6)="TÉRREO",0,IFERROR(VALUE(LEFT(E1668,FIND("º",SUBSTITUTE(E1668,"°","º"))-1)),""))))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26" t="n">
        <v>46721</v>
      </c>
      <c r="G1669" s="126" t="n">
        <v>46755</v>
      </c>
      <c r="H1669" s="126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IF(E1669="","",IF(ISNUMBER(SEARCH("SUBSOLO",E1669)),IFERROR(-VALUE(LEFT(E1669,FIND("º",SUBSTITUTE(E1669,"°","º"))-1)),-1),IF(LEFT(E1669,6)="TÉRREO",0,IFERROR(VALUE(LEFT(E1669,FIND("º",SUBSTITUTE(E1669,"°","º"))-1)),""))))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26" t="n">
        <v>46721</v>
      </c>
      <c r="G1670" s="126" t="n">
        <v>46729</v>
      </c>
      <c r="H1670" s="126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IF(E1670="","",IF(ISNUMBER(SEARCH("SUBSOLO",E1670)),IFERROR(-VALUE(LEFT(E1670,FIND("º",SUBSTITUTE(E1670,"°","º"))-1)),-1),IF(LEFT(E1670,6)="TÉRREO",0,IFERROR(VALUE(LEFT(E1670,FIND("º",SUBSTITUTE(E1670,"°","º"))-1)),""))))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26" t="n">
        <v>46721</v>
      </c>
      <c r="G1671" s="126" t="n">
        <v>46734</v>
      </c>
      <c r="H1671" s="126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IF(E1671="","",IF(ISNUMBER(SEARCH("SUBSOLO",E1671)),IFERROR(-VALUE(LEFT(E1671,FIND("º",SUBSTITUTE(E1671,"°","º"))-1)),-1),IF(LEFT(E1671,6)="TÉRREO",0,IFERROR(VALUE(LEFT(E1671,FIND("º",SUBSTITUTE(E1671,"°","º"))-1)),""))))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26" t="n">
        <v>46721</v>
      </c>
      <c r="G1672" s="126" t="n">
        <v>46721</v>
      </c>
      <c r="H1672" s="126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IF(E1672="","",IF(ISNUMBER(SEARCH("SUBSOLO",E1672)),IFERROR(-VALUE(LEFT(E1672,FIND("º",SUBSTITUTE(E1672,"°","º"))-1)),-1),IF(LEFT(E1672,6)="TÉRREO",0,IFERROR(VALUE(LEFT(E1672,FIND("º",SUBSTITUTE(E1672,"°","º"))-1)),""))))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26" t="n">
        <v>46722</v>
      </c>
      <c r="G1673" s="126" t="n">
        <v>46728</v>
      </c>
      <c r="H1673" s="126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IF(E1673="","",IF(ISNUMBER(SEARCH("SUBSOLO",E1673)),IFERROR(-VALUE(LEFT(E1673,FIND("º",SUBSTITUTE(E1673,"°","º"))-1)),-1),IF(LEFT(E1673,6)="TÉRREO",0,IFERROR(VALUE(LEFT(E1673,FIND("º",SUBSTITUTE(E1673,"°","º"))-1)),""))))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26" t="n">
        <v>46722</v>
      </c>
      <c r="G1674" s="126" t="n">
        <v>46735</v>
      </c>
      <c r="H1674" s="126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IF(E1674="","",IF(ISNUMBER(SEARCH("SUBSOLO",E1674)),IFERROR(-VALUE(LEFT(E1674,FIND("º",SUBSTITUTE(E1674,"°","º"))-1)),-1),IF(LEFT(E1674,6)="TÉRREO",0,IFERROR(VALUE(LEFT(E1674,FIND("º",SUBSTITUTE(E1674,"°","º"))-1)),""))))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26" t="n">
        <v>46722</v>
      </c>
      <c r="G1675" s="126" t="n">
        <v>46756</v>
      </c>
      <c r="H1675" s="126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IF(E1675="","",IF(ISNUMBER(SEARCH("SUBSOLO",E1675)),IFERROR(-VALUE(LEFT(E1675,FIND("º",SUBSTITUTE(E1675,"°","º"))-1)),-1),IF(LEFT(E1675,6)="TÉRREO",0,IFERROR(VALUE(LEFT(E1675,FIND("º",SUBSTITUTE(E1675,"°","º"))-1)),""))))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26" t="n">
        <v>46722</v>
      </c>
      <c r="G1676" s="126" t="n">
        <v>46734</v>
      </c>
      <c r="H1676" s="126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IF(E1676="","",IF(ISNUMBER(SEARCH("SUBSOLO",E1676)),IFERROR(-VALUE(LEFT(E1676,FIND("º",SUBSTITUTE(E1676,"°","º"))-1)),-1),IF(LEFT(E1676,6)="TÉRREO",0,IFERROR(VALUE(LEFT(E1676,FIND("º",SUBSTITUTE(E1676,"°","º"))-1)),""))))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26" t="n">
        <v>46723</v>
      </c>
      <c r="G1677" s="126" t="n">
        <v>46729</v>
      </c>
      <c r="H1677" s="126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IF(E1677="","",IF(ISNUMBER(SEARCH("SUBSOLO",E1677)),IFERROR(-VALUE(LEFT(E1677,FIND("º",SUBSTITUTE(E1677,"°","º"))-1)),-1),IF(LEFT(E1677,6)="TÉRREO",0,IFERROR(VALUE(LEFT(E1677,FIND("º",SUBSTITUTE(E1677,"°","º"))-1)),""))))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26" t="n">
        <v>46723</v>
      </c>
      <c r="G1678" s="126" t="n">
        <v>46729</v>
      </c>
      <c r="H1678" s="126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IF(E1678="","",IF(ISNUMBER(SEARCH("SUBSOLO",E1678)),IFERROR(-VALUE(LEFT(E1678,FIND("º",SUBSTITUTE(E1678,"°","º"))-1)),-1),IF(LEFT(E1678,6)="TÉRREO",0,IFERROR(VALUE(LEFT(E1678,FIND("º",SUBSTITUTE(E1678,"°","º"))-1)),""))))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26" t="n">
        <v>46724</v>
      </c>
      <c r="G1679" s="126" t="n">
        <v>46730</v>
      </c>
      <c r="H1679" s="126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IF(E1679="","",IF(ISNUMBER(SEARCH("SUBSOLO",E1679)),IFERROR(-VALUE(LEFT(E1679,FIND("º",SUBSTITUTE(E1679,"°","º"))-1)),-1),IF(LEFT(E1679,6)="TÉRREO",0,IFERROR(VALUE(LEFT(E1679,FIND("º",SUBSTITUTE(E1679,"°","º"))-1)),""))))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26" t="n">
        <v>46724</v>
      </c>
      <c r="G1680" s="126" t="n">
        <v>46734</v>
      </c>
      <c r="H1680" s="126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IF(E1680="","",IF(ISNUMBER(SEARCH("SUBSOLO",E1680)),IFERROR(-VALUE(LEFT(E1680,FIND("º",SUBSTITUTE(E1680,"°","º"))-1)),-1),IF(LEFT(E1680,6)="TÉRREO",0,IFERROR(VALUE(LEFT(E1680,FIND("º",SUBSTITUTE(E1680,"°","º"))-1)),""))))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26" t="n">
        <v>46724</v>
      </c>
      <c r="G1681" s="126" t="n">
        <v>46735</v>
      </c>
      <c r="H1681" s="126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IF(E1681="","",IF(ISNUMBER(SEARCH("SUBSOLO",E1681)),IFERROR(-VALUE(LEFT(E1681,FIND("º",SUBSTITUTE(E1681,"°","º"))-1)),-1),IF(LEFT(E1681,6)="TÉRREO",0,IFERROR(VALUE(LEFT(E1681,FIND("º",SUBSTITUTE(E1681,"°","º"))-1)),""))))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26" t="n">
        <v>46727</v>
      </c>
      <c r="G1682" s="126" t="n">
        <v>46738</v>
      </c>
      <c r="H1682" s="126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IF(E1682="","",IF(ISNUMBER(SEARCH("SUBSOLO",E1682)),IFERROR(-VALUE(LEFT(E1682,FIND("º",SUBSTITUTE(E1682,"°","º"))-1)),-1),IF(LEFT(E1682,6)="TÉRREO",0,IFERROR(VALUE(LEFT(E1682,FIND("º",SUBSTITUTE(E1682,"°","º"))-1)),""))))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26" t="n">
        <v>46727</v>
      </c>
      <c r="G1683" s="126" t="n">
        <v>46738</v>
      </c>
      <c r="H1683" s="126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IF(E1683="","",IF(ISNUMBER(SEARCH("SUBSOLO",E1683)),IFERROR(-VALUE(LEFT(E1683,FIND("º",SUBSTITUTE(E1683,"°","º"))-1)),-1),IF(LEFT(E1683,6)="TÉRREO",0,IFERROR(VALUE(LEFT(E1683,FIND("º",SUBSTITUTE(E1683,"°","º"))-1)),""))))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26" t="n">
        <v>46728</v>
      </c>
      <c r="G1684" s="126" t="n">
        <v>46867</v>
      </c>
      <c r="H1684" s="126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IF(E1684="","",IF(ISNUMBER(SEARCH("SUBSOLO",E1684)),IFERROR(-VALUE(LEFT(E1684,FIND("º",SUBSTITUTE(E1684,"°","º"))-1)),-1),IF(LEFT(E1684,6)="TÉRREO",0,IFERROR(VALUE(LEFT(E1684,FIND("º",SUBSTITUTE(E1684,"°","º"))-1)),""))))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26" t="n">
        <v>46728</v>
      </c>
      <c r="G1685" s="126" t="n">
        <v>46755</v>
      </c>
      <c r="H1685" s="126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IF(E1685="","",IF(ISNUMBER(SEARCH("SUBSOLO",E1685)),IFERROR(-VALUE(LEFT(E1685,FIND("º",SUBSTITUTE(E1685,"°","º"))-1)),-1),IF(LEFT(E1685,6)="TÉRREO",0,IFERROR(VALUE(LEFT(E1685,FIND("º",SUBSTITUTE(E1685,"°","º"))-1)),""))))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26" t="n">
        <v>46728</v>
      </c>
      <c r="G1686" s="126" t="n">
        <v>46755</v>
      </c>
      <c r="H1686" s="126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IF(E1686="","",IF(ISNUMBER(SEARCH("SUBSOLO",E1686)),IFERROR(-VALUE(LEFT(E1686,FIND("º",SUBSTITUTE(E1686,"°","º"))-1)),-1),IF(LEFT(E1686,6)="TÉRREO",0,IFERROR(VALUE(LEFT(E1686,FIND("º",SUBSTITUTE(E1686,"°","º"))-1)),""))))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26" t="n">
        <v>46728</v>
      </c>
      <c r="G1687" s="126" t="n">
        <v>46755</v>
      </c>
      <c r="H1687" s="126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IF(E1687="","",IF(ISNUMBER(SEARCH("SUBSOLO",E1687)),IFERROR(-VALUE(LEFT(E1687,FIND("º",SUBSTITUTE(E1687,"°","º"))-1)),-1),IF(LEFT(E1687,6)="TÉRREO",0,IFERROR(VALUE(LEFT(E1687,FIND("º",SUBSTITUTE(E1687,"°","º"))-1)),""))))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26" t="n">
        <v>46728</v>
      </c>
      <c r="G1688" s="126" t="n">
        <v>46734</v>
      </c>
      <c r="H1688" s="126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IF(E1688="","",IF(ISNUMBER(SEARCH("SUBSOLO",E1688)),IFERROR(-VALUE(LEFT(E1688,FIND("º",SUBSTITUTE(E1688,"°","º"))-1)),-1),IF(LEFT(E1688,6)="TÉRREO",0,IFERROR(VALUE(LEFT(E1688,FIND("º",SUBSTITUTE(E1688,"°","º"))-1)),""))))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26" t="n">
        <v>46735</v>
      </c>
      <c r="G1689" s="126" t="n">
        <v>46755</v>
      </c>
      <c r="H1689" s="126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IF(E1689="","",IF(ISNUMBER(SEARCH("SUBSOLO",E1689)),IFERROR(-VALUE(LEFT(E1689,FIND("º",SUBSTITUTE(E1689,"°","º"))-1)),-1),IF(LEFT(E1689,6)="TÉRREO",0,IFERROR(VALUE(LEFT(E1689,FIND("º",SUBSTITUTE(E1689,"°","º"))-1)),""))))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26" t="n">
        <v>46728</v>
      </c>
      <c r="G1690" s="126" t="n">
        <v>46762</v>
      </c>
      <c r="H1690" s="126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IF(E1690="","",IF(ISNUMBER(SEARCH("SUBSOLO",E1690)),IFERROR(-VALUE(LEFT(E1690,FIND("º",SUBSTITUTE(E1690,"°","º"))-1)),-1),IF(LEFT(E1690,6)="TÉRREO",0,IFERROR(VALUE(LEFT(E1690,FIND("º",SUBSTITUTE(E1690,"°","º"))-1)),""))))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26" t="n">
        <v>46728</v>
      </c>
      <c r="G1691" s="126" t="n">
        <v>46762</v>
      </c>
      <c r="H1691" s="126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IF(E1691="","",IF(ISNUMBER(SEARCH("SUBSOLO",E1691)),IFERROR(-VALUE(LEFT(E1691,FIND("º",SUBSTITUTE(E1691,"°","º"))-1)),-1),IF(LEFT(E1691,6)="TÉRREO",0,IFERROR(VALUE(LEFT(E1691,FIND("º",SUBSTITUTE(E1691,"°","º"))-1)),""))))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26" t="n">
        <v>46728</v>
      </c>
      <c r="G1692" s="126" t="n">
        <v>46734</v>
      </c>
      <c r="H1692" s="126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IF(E1692="","",IF(ISNUMBER(SEARCH("SUBSOLO",E1692)),IFERROR(-VALUE(LEFT(E1692,FIND("º",SUBSTITUTE(E1692,"°","º"))-1)),-1),IF(LEFT(E1692,6)="TÉRREO",0,IFERROR(VALUE(LEFT(E1692,FIND("º",SUBSTITUTE(E1692,"°","º"))-1)),""))))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26" t="n">
        <v>46728</v>
      </c>
      <c r="G1693" s="126" t="n">
        <v>46755</v>
      </c>
      <c r="H1693" s="126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IF(E1693="","",IF(ISNUMBER(SEARCH("SUBSOLO",E1693)),IFERROR(-VALUE(LEFT(E1693,FIND("º",SUBSTITUTE(E1693,"°","º"))-1)),-1),IF(LEFT(E1693,6)="TÉRREO",0,IFERROR(VALUE(LEFT(E1693,FIND("º",SUBSTITUTE(E1693,"°","º"))-1)),""))))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26" t="n">
        <v>46728</v>
      </c>
      <c r="G1694" s="126" t="n">
        <v>46738</v>
      </c>
      <c r="H1694" s="126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IF(E1694="","",IF(ISNUMBER(SEARCH("SUBSOLO",E1694)),IFERROR(-VALUE(LEFT(E1694,FIND("º",SUBSTITUTE(E1694,"°","º"))-1)),-1),IF(LEFT(E1694,6)="TÉRREO",0,IFERROR(VALUE(LEFT(E1694,FIND("º",SUBSTITUTE(E1694,"°","º"))-1)),""))))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26" t="n">
        <v>46729</v>
      </c>
      <c r="G1695" s="126" t="n">
        <v>46735</v>
      </c>
      <c r="H1695" s="126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IF(E1695="","",IF(ISNUMBER(SEARCH("SUBSOLO",E1695)),IFERROR(-VALUE(LEFT(E1695,FIND("º",SUBSTITUTE(E1695,"°","º"))-1)),-1),IF(LEFT(E1695,6)="TÉRREO",0,IFERROR(VALUE(LEFT(E1695,FIND("º",SUBSTITUTE(E1695,"°","º"))-1)),""))))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26" t="n">
        <v>46729</v>
      </c>
      <c r="G1696" s="126" t="n">
        <v>46756</v>
      </c>
      <c r="H1696" s="126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IF(E1696="","",IF(ISNUMBER(SEARCH("SUBSOLO",E1696)),IFERROR(-VALUE(LEFT(E1696,FIND("º",SUBSTITUTE(E1696,"°","º"))-1)),-1),IF(LEFT(E1696,6)="TÉRREO",0,IFERROR(VALUE(LEFT(E1696,FIND("º",SUBSTITUTE(E1696,"°","º"))-1)),""))))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26" t="n">
        <v>46729</v>
      </c>
      <c r="G1697" s="126" t="n">
        <v>46755</v>
      </c>
      <c r="H1697" s="126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IF(E1697="","",IF(ISNUMBER(SEARCH("SUBSOLO",E1697)),IFERROR(-VALUE(LEFT(E1697,FIND("º",SUBSTITUTE(E1697,"°","º"))-1)),-1),IF(LEFT(E1697,6)="TÉRREO",0,IFERROR(VALUE(LEFT(E1697,FIND("º",SUBSTITUTE(E1697,"°","º"))-1)),""))))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26" t="n">
        <v>46730</v>
      </c>
      <c r="G1698" s="126" t="n">
        <v>46785</v>
      </c>
      <c r="H1698" s="126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IF(E1698="","",IF(ISNUMBER(SEARCH("SUBSOLO",E1698)),IFERROR(-VALUE(LEFT(E1698,FIND("º",SUBSTITUTE(E1698,"°","º"))-1)),-1),IF(LEFT(E1698,6)="TÉRREO",0,IFERROR(VALUE(LEFT(E1698,FIND("º",SUBSTITUTE(E1698,"°","º"))-1)),""))))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26" t="n">
        <v>46730</v>
      </c>
      <c r="G1699" s="126" t="n">
        <v>46757</v>
      </c>
      <c r="H1699" s="126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IF(E1699="","",IF(ISNUMBER(SEARCH("SUBSOLO",E1699)),IFERROR(-VALUE(LEFT(E1699,FIND("º",SUBSTITUTE(E1699,"°","º"))-1)),-1),IF(LEFT(E1699,6)="TÉRREO",0,IFERROR(VALUE(LEFT(E1699,FIND("º",SUBSTITUTE(E1699,"°","º"))-1)),""))))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26" t="n">
        <v>46730</v>
      </c>
      <c r="G1700" s="126" t="n">
        <v>46736</v>
      </c>
      <c r="H1700" s="126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IF(E1700="","",IF(ISNUMBER(SEARCH("SUBSOLO",E1700)),IFERROR(-VALUE(LEFT(E1700,FIND("º",SUBSTITUTE(E1700,"°","º"))-1)),-1),IF(LEFT(E1700,6)="TÉRREO",0,IFERROR(VALUE(LEFT(E1700,FIND("º",SUBSTITUTE(E1700,"°","º"))-1)),""))))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26" t="n">
        <v>46730</v>
      </c>
      <c r="G1701" s="126" t="n">
        <v>46755</v>
      </c>
      <c r="H1701" s="126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IF(E1701="","",IF(ISNUMBER(SEARCH("SUBSOLO",E1701)),IFERROR(-VALUE(LEFT(E1701,FIND("º",SUBSTITUTE(E1701,"°","º"))-1)),-1),IF(LEFT(E1701,6)="TÉRREO",0,IFERROR(VALUE(LEFT(E1701,FIND("º",SUBSTITUTE(E1701,"°","º"))-1)),""))))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26" t="n">
        <v>46731</v>
      </c>
      <c r="G1702" s="126" t="n">
        <v>46737</v>
      </c>
      <c r="H1702" s="126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IF(E1702="","",IF(ISNUMBER(SEARCH("SUBSOLO",E1702)),IFERROR(-VALUE(LEFT(E1702,FIND("º",SUBSTITUTE(E1702,"°","º"))-1)),-1),IF(LEFT(E1702,6)="TÉRREO",0,IFERROR(VALUE(LEFT(E1702,FIND("º",SUBSTITUTE(E1702,"°","º"))-1)),""))))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26" t="n">
        <v>46731</v>
      </c>
      <c r="G1703" s="126" t="n">
        <v>46758</v>
      </c>
      <c r="H1703" s="126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IF(E1703="","",IF(ISNUMBER(SEARCH("SUBSOLO",E1703)),IFERROR(-VALUE(LEFT(E1703,FIND("º",SUBSTITUTE(E1703,"°","º"))-1)),-1),IF(LEFT(E1703,6)="TÉRREO",0,IFERROR(VALUE(LEFT(E1703,FIND("º",SUBSTITUTE(E1703,"°","º"))-1)),""))))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26" t="n">
        <v>46734</v>
      </c>
      <c r="G1704" s="126" t="n">
        <v>46759</v>
      </c>
      <c r="H1704" s="126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IF(E1704="","",IF(ISNUMBER(SEARCH("SUBSOLO",E1704)),IFERROR(-VALUE(LEFT(E1704,FIND("º",SUBSTITUTE(E1704,"°","º"))-1)),-1),IF(LEFT(E1704,6)="TÉRREO",0,IFERROR(VALUE(LEFT(E1704,FIND("º",SUBSTITUTE(E1704,"°","º"))-1)),""))))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26" t="n">
        <v>46735</v>
      </c>
      <c r="G1705" s="126" t="n">
        <v>46762</v>
      </c>
      <c r="H1705" s="126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IF(E1705="","",IF(ISNUMBER(SEARCH("SUBSOLO",E1705)),IFERROR(-VALUE(LEFT(E1705,FIND("º",SUBSTITUTE(E1705,"°","º"))-1)),-1),IF(LEFT(E1705,6)="TÉRREO",0,IFERROR(VALUE(LEFT(E1705,FIND("º",SUBSTITUTE(E1705,"°","º"))-1)),""))))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26" t="n">
        <v>46735</v>
      </c>
      <c r="G1706" s="126" t="n">
        <v>46778</v>
      </c>
      <c r="H1706" s="126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IF(E1706="","",IF(ISNUMBER(SEARCH("SUBSOLO",E1706)),IFERROR(-VALUE(LEFT(E1706,FIND("º",SUBSTITUTE(E1706,"°","º"))-1)),-1),IF(LEFT(E1706,6)="TÉRREO",0,IFERROR(VALUE(LEFT(E1706,FIND("º",SUBSTITUTE(E1706,"°","º"))-1)),""))))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26" t="n">
        <v>46735</v>
      </c>
      <c r="G1707" s="126" t="n">
        <v>46769</v>
      </c>
      <c r="H1707" s="126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IF(E1707="","",IF(ISNUMBER(SEARCH("SUBSOLO",E1707)),IFERROR(-VALUE(LEFT(E1707,FIND("º",SUBSTITUTE(E1707,"°","º"))-1)),-1),IF(LEFT(E1707,6)="TÉRREO",0,IFERROR(VALUE(LEFT(E1707,FIND("º",SUBSTITUTE(E1707,"°","º"))-1)),""))))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26" t="n">
        <v>46735</v>
      </c>
      <c r="G1708" s="126" t="n">
        <v>46762</v>
      </c>
      <c r="H1708" s="126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IF(E1708="","",IF(ISNUMBER(SEARCH("SUBSOLO",E1708)),IFERROR(-VALUE(LEFT(E1708,FIND("º",SUBSTITUTE(E1708,"°","º"))-1)),-1),IF(LEFT(E1708,6)="TÉRREO",0,IFERROR(VALUE(LEFT(E1708,FIND("º",SUBSTITUTE(E1708,"°","º"))-1)),""))))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26" t="n">
        <v>46735</v>
      </c>
      <c r="G1709" s="126" t="n">
        <v>46762</v>
      </c>
      <c r="H1709" s="126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IF(E1709="","",IF(ISNUMBER(SEARCH("SUBSOLO",E1709)),IFERROR(-VALUE(LEFT(E1709,FIND("º",SUBSTITUTE(E1709,"°","º"))-1)),-1),IF(LEFT(E1709,6)="TÉRREO",0,IFERROR(VALUE(LEFT(E1709,FIND("º",SUBSTITUTE(E1709,"°","º"))-1)),""))))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26" t="n">
        <v>46735</v>
      </c>
      <c r="G1710" s="126" t="n">
        <v>46762</v>
      </c>
      <c r="H1710" s="126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IF(E1710="","",IF(ISNUMBER(SEARCH("SUBSOLO",E1710)),IFERROR(-VALUE(LEFT(E1710,FIND("º",SUBSTITUTE(E1710,"°","º"))-1)),-1),IF(LEFT(E1710,6)="TÉRREO",0,IFERROR(VALUE(LEFT(E1710,FIND("º",SUBSTITUTE(E1710,"°","º"))-1)),""))))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26" t="n">
        <v>46735</v>
      </c>
      <c r="G1711" s="126" t="n">
        <v>46759</v>
      </c>
      <c r="H1711" s="126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IF(E1711="","",IF(ISNUMBER(SEARCH("SUBSOLO",E1711)),IFERROR(-VALUE(LEFT(E1711,FIND("º",SUBSTITUTE(E1711,"°","º"))-1)),-1),IF(LEFT(E1711,6)="TÉRREO",0,IFERROR(VALUE(LEFT(E1711,FIND("º",SUBSTITUTE(E1711,"°","º"))-1)),""))))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26" t="n">
        <v>46736</v>
      </c>
      <c r="G1712" s="126" t="n">
        <v>46756</v>
      </c>
      <c r="H1712" s="126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IF(E1712="","",IF(ISNUMBER(SEARCH("SUBSOLO",E1712)),IFERROR(-VALUE(LEFT(E1712,FIND("º",SUBSTITUTE(E1712,"°","º"))-1)),-1),IF(LEFT(E1712,6)="TÉRREO",0,IFERROR(VALUE(LEFT(E1712,FIND("º",SUBSTITUTE(E1712,"°","º"))-1)),""))))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26" t="n">
        <v>46736</v>
      </c>
      <c r="G1713" s="126" t="n">
        <v>46763</v>
      </c>
      <c r="H1713" s="126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IF(E1713="","",IF(ISNUMBER(SEARCH("SUBSOLO",E1713)),IFERROR(-VALUE(LEFT(E1713,FIND("º",SUBSTITUTE(E1713,"°","º"))-1)),-1),IF(LEFT(E1713,6)="TÉRREO",0,IFERROR(VALUE(LEFT(E1713,FIND("º",SUBSTITUTE(E1713,"°","º"))-1)),""))))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26" t="n">
        <v>46736</v>
      </c>
      <c r="G1714" s="126" t="n">
        <v>46770</v>
      </c>
      <c r="H1714" s="126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IF(E1714="","",IF(ISNUMBER(SEARCH("SUBSOLO",E1714)),IFERROR(-VALUE(LEFT(E1714,FIND("º",SUBSTITUTE(E1714,"°","º"))-1)),-1),IF(LEFT(E1714,6)="TÉRREO",0,IFERROR(VALUE(LEFT(E1714,FIND("º",SUBSTITUTE(E1714,"°","º"))-1)),""))))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26" t="n">
        <v>46737</v>
      </c>
      <c r="G1715" s="126" t="n">
        <v>46764</v>
      </c>
      <c r="H1715" s="126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IF(E1715="","",IF(ISNUMBER(SEARCH("SUBSOLO",E1715)),IFERROR(-VALUE(LEFT(E1715,FIND("º",SUBSTITUTE(E1715,"°","º"))-1)),-1),IF(LEFT(E1715,6)="TÉRREO",0,IFERROR(VALUE(LEFT(E1715,FIND("º",SUBSTITUTE(E1715,"°","º"))-1)),""))))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26" t="n">
        <v>46737</v>
      </c>
      <c r="G1716" s="126" t="n">
        <v>46757</v>
      </c>
      <c r="H1716" s="126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IF(E1716="","",IF(ISNUMBER(SEARCH("SUBSOLO",E1716)),IFERROR(-VALUE(LEFT(E1716,FIND("º",SUBSTITUTE(E1716,"°","º"))-1)),-1),IF(LEFT(E1716,6)="TÉRREO",0,IFERROR(VALUE(LEFT(E1716,FIND("º",SUBSTITUTE(E1716,"°","º"))-1)),""))))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26" t="n">
        <v>46737</v>
      </c>
      <c r="G1717" s="126" t="n">
        <v>46763</v>
      </c>
      <c r="H1717" s="126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IF(E1717="","",IF(ISNUMBER(SEARCH("SUBSOLO",E1717)),IFERROR(-VALUE(LEFT(E1717,FIND("º",SUBSTITUTE(E1717,"°","º"))-1)),-1),IF(LEFT(E1717,6)="TÉRREO",0,IFERROR(VALUE(LEFT(E1717,FIND("º",SUBSTITUTE(E1717,"°","º"))-1)),""))))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26" t="n">
        <v>46737</v>
      </c>
      <c r="G1718" s="126" t="n">
        <v>46771</v>
      </c>
      <c r="H1718" s="126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IF(E1718="","",IF(ISNUMBER(SEARCH("SUBSOLO",E1718)),IFERROR(-VALUE(LEFT(E1718,FIND("º",SUBSTITUTE(E1718,"°","º"))-1)),-1),IF(LEFT(E1718,6)="TÉRREO",0,IFERROR(VALUE(LEFT(E1718,FIND("º",SUBSTITUTE(E1718,"°","º"))-1)),""))))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26" t="n">
        <v>46738</v>
      </c>
      <c r="G1719" s="126" t="n">
        <v>46758</v>
      </c>
      <c r="H1719" s="126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IF(E1719="","",IF(ISNUMBER(SEARCH("SUBSOLO",E1719)),IFERROR(-VALUE(LEFT(E1719,FIND("º",SUBSTITUTE(E1719,"°","º"))-1)),-1),IF(LEFT(E1719,6)="TÉRREO",0,IFERROR(VALUE(LEFT(E1719,FIND("º",SUBSTITUTE(E1719,"°","º"))-1)),""))))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26" t="n">
        <v>46755</v>
      </c>
      <c r="G1720" s="126" t="n">
        <v>46759</v>
      </c>
      <c r="H1720" s="126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IF(E1720="","",IF(ISNUMBER(SEARCH("SUBSOLO",E1720)),IFERROR(-VALUE(LEFT(E1720,FIND("º",SUBSTITUTE(E1720,"°","º"))-1)),-1),IF(LEFT(E1720,6)="TÉRREO",0,IFERROR(VALUE(LEFT(E1720,FIND("º",SUBSTITUTE(E1720,"°","º"))-1)),""))))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26" t="n">
        <v>46755</v>
      </c>
      <c r="G1721" s="126" t="n">
        <v>46773</v>
      </c>
      <c r="H1721" s="126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IF(E1721="","",IF(ISNUMBER(SEARCH("SUBSOLO",E1721)),IFERROR(-VALUE(LEFT(E1721,FIND("º",SUBSTITUTE(E1721,"°","º"))-1)),-1),IF(LEFT(E1721,6)="TÉRREO",0,IFERROR(VALUE(LEFT(E1721,FIND("º",SUBSTITUTE(E1721,"°","º"))-1)),""))))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26" t="n">
        <v>46755</v>
      </c>
      <c r="G1722" s="126" t="n">
        <v>46759</v>
      </c>
      <c r="H1722" s="126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IF(E1722="","",IF(ISNUMBER(SEARCH("SUBSOLO",E1722)),IFERROR(-VALUE(LEFT(E1722,FIND("º",SUBSTITUTE(E1722,"°","º"))-1)),-1),IF(LEFT(E1722,6)="TÉRREO",0,IFERROR(VALUE(LEFT(E1722,FIND("º",SUBSTITUTE(E1722,"°","º"))-1)),""))))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26" t="n">
        <v>46755</v>
      </c>
      <c r="G1723" s="126" t="n">
        <v>46766</v>
      </c>
      <c r="H1723" s="126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IF(E1723="","",IF(ISNUMBER(SEARCH("SUBSOLO",E1723)),IFERROR(-VALUE(LEFT(E1723,FIND("º",SUBSTITUTE(E1723,"°","º"))-1)),-1),IF(LEFT(E1723,6)="TÉRREO",0,IFERROR(VALUE(LEFT(E1723,FIND("º",SUBSTITUTE(E1723,"°","º"))-1)),""))))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26" t="n">
        <v>46756</v>
      </c>
      <c r="G1724" s="126" t="n">
        <v>46762</v>
      </c>
      <c r="H1724" s="126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IF(E1724="","",IF(ISNUMBER(SEARCH("SUBSOLO",E1724)),IFERROR(-VALUE(LEFT(E1724,FIND("º",SUBSTITUTE(E1724,"°","º"))-1)),-1),IF(LEFT(E1724,6)="TÉRREO",0,IFERROR(VALUE(LEFT(E1724,FIND("º",SUBSTITUTE(E1724,"°","º"))-1)),""))))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26" t="n">
        <v>46756</v>
      </c>
      <c r="G1725" s="126" t="n">
        <v>46769</v>
      </c>
      <c r="H1725" s="126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IF(E1725="","",IF(ISNUMBER(SEARCH("SUBSOLO",E1725)),IFERROR(-VALUE(LEFT(E1725,FIND("º",SUBSTITUTE(E1725,"°","º"))-1)),-1),IF(LEFT(E1725,6)="TÉRREO",0,IFERROR(VALUE(LEFT(E1725,FIND("º",SUBSTITUTE(E1725,"°","º"))-1)),""))))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26" t="n">
        <v>46756</v>
      </c>
      <c r="G1726" s="126" t="n">
        <v>46769</v>
      </c>
      <c r="H1726" s="126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IF(E1726="","",IF(ISNUMBER(SEARCH("SUBSOLO",E1726)),IFERROR(-VALUE(LEFT(E1726,FIND("º",SUBSTITUTE(E1726,"°","º"))-1)),-1),IF(LEFT(E1726,6)="TÉRREO",0,IFERROR(VALUE(LEFT(E1726,FIND("º",SUBSTITUTE(E1726,"°","º"))-1)),""))))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26" t="n">
        <v>46756</v>
      </c>
      <c r="G1727" s="126" t="n">
        <v>46776</v>
      </c>
      <c r="H1727" s="126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IF(E1727="","",IF(ISNUMBER(SEARCH("SUBSOLO",E1727)),IFERROR(-VALUE(LEFT(E1727,FIND("º",SUBSTITUTE(E1727,"°","º"))-1)),-1),IF(LEFT(E1727,6)="TÉRREO",0,IFERROR(VALUE(LEFT(E1727,FIND("º",SUBSTITUTE(E1727,"°","º"))-1)),""))))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26" t="n">
        <v>46756</v>
      </c>
      <c r="G1728" s="126" t="n">
        <v>46769</v>
      </c>
      <c r="H1728" s="126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IF(E1728="","",IF(ISNUMBER(SEARCH("SUBSOLO",E1728)),IFERROR(-VALUE(LEFT(E1728,FIND("º",SUBSTITUTE(E1728,"°","º"))-1)),-1),IF(LEFT(E1728,6)="TÉRREO",0,IFERROR(VALUE(LEFT(E1728,FIND("º",SUBSTITUTE(E1728,"°","º"))-1)),""))))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26" t="n">
        <v>46756</v>
      </c>
      <c r="G1729" s="126" t="n">
        <v>46762</v>
      </c>
      <c r="H1729" s="126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IF(E1729="","",IF(ISNUMBER(SEARCH("SUBSOLO",E1729)),IFERROR(-VALUE(LEFT(E1729,FIND("º",SUBSTITUTE(E1729,"°","º"))-1)),-1),IF(LEFT(E1729,6)="TÉRREO",0,IFERROR(VALUE(LEFT(E1729,FIND("º",SUBSTITUTE(E1729,"°","º"))-1)),""))))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26" t="n">
        <v>46763</v>
      </c>
      <c r="G1730" s="126" t="n">
        <v>46769</v>
      </c>
      <c r="H1730" s="126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IF(E1730="","",IF(ISNUMBER(SEARCH("SUBSOLO",E1730)),IFERROR(-VALUE(LEFT(E1730,FIND("º",SUBSTITUTE(E1730,"°","º"))-1)),-1),IF(LEFT(E1730,6)="TÉRREO",0,IFERROR(VALUE(LEFT(E1730,FIND("º",SUBSTITUTE(E1730,"°","º"))-1)),""))))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26" t="n">
        <v>46756</v>
      </c>
      <c r="G1731" s="126" t="n">
        <v>46756</v>
      </c>
      <c r="H1731" s="126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IF(E1731="","",IF(ISNUMBER(SEARCH("SUBSOLO",E1731)),IFERROR(-VALUE(LEFT(E1731,FIND("º",SUBSTITUTE(E1731,"°","º"))-1)),-1),IF(LEFT(E1731,6)="TÉRREO",0,IFERROR(VALUE(LEFT(E1731,FIND("º",SUBSTITUTE(E1731,"°","º"))-1)),""))))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26" t="n">
        <v>46757</v>
      </c>
      <c r="G1732" s="126" t="n">
        <v>46786</v>
      </c>
      <c r="H1732" s="126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IF(E1732="","",IF(ISNUMBER(SEARCH("SUBSOLO",E1732)),IFERROR(-VALUE(LEFT(E1732,FIND("º",SUBSTITUTE(E1732,"°","º"))-1)),-1),IF(LEFT(E1732,6)="TÉRREO",0,IFERROR(VALUE(LEFT(E1732,FIND("º",SUBSTITUTE(E1732,"°","º"))-1)),""))))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26" t="n">
        <v>46757</v>
      </c>
      <c r="G1733" s="126" t="n">
        <v>46784</v>
      </c>
      <c r="H1733" s="126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IF(E1733="","",IF(ISNUMBER(SEARCH("SUBSOLO",E1733)),IFERROR(-VALUE(LEFT(E1733,FIND("º",SUBSTITUTE(E1733,"°","º"))-1)),-1),IF(LEFT(E1733,6)="TÉRREO",0,IFERROR(VALUE(LEFT(E1733,FIND("º",SUBSTITUTE(E1733,"°","º"))-1)),""))))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26" t="n">
        <v>46757</v>
      </c>
      <c r="G1734" s="126" t="n">
        <v>46763</v>
      </c>
      <c r="H1734" s="126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IF(E1734="","",IF(ISNUMBER(SEARCH("SUBSOLO",E1734)),IFERROR(-VALUE(LEFT(E1734,FIND("º",SUBSTITUTE(E1734,"°","º"))-1)),-1),IF(LEFT(E1734,6)="TÉRREO",0,IFERROR(VALUE(LEFT(E1734,FIND("º",SUBSTITUTE(E1734,"°","º"))-1)),""))))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26" t="n">
        <v>46757</v>
      </c>
      <c r="G1735" s="126" t="n">
        <v>46763</v>
      </c>
      <c r="H1735" s="126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IF(E1735="","",IF(ISNUMBER(SEARCH("SUBSOLO",E1735)),IFERROR(-VALUE(LEFT(E1735,FIND("º",SUBSTITUTE(E1735,"°","º"))-1)),-1),IF(LEFT(E1735,6)="TÉRREO",0,IFERROR(VALUE(LEFT(E1735,FIND("º",SUBSTITUTE(E1735,"°","º"))-1)),""))))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26" t="n">
        <v>46757</v>
      </c>
      <c r="G1736" s="126" t="n">
        <v>46770</v>
      </c>
      <c r="H1736" s="126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IF(E1736="","",IF(ISNUMBER(SEARCH("SUBSOLO",E1736)),IFERROR(-VALUE(LEFT(E1736,FIND("º",SUBSTITUTE(E1736,"°","º"))-1)),-1),IF(LEFT(E1736,6)="TÉRREO",0,IFERROR(VALUE(LEFT(E1736,FIND("º",SUBSTITUTE(E1736,"°","º"))-1)),""))))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26" t="n">
        <v>46757</v>
      </c>
      <c r="G1737" s="126" t="n">
        <v>46777</v>
      </c>
      <c r="H1737" s="126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IF(E1737="","",IF(ISNUMBER(SEARCH("SUBSOLO",E1737)),IFERROR(-VALUE(LEFT(E1737,FIND("º",SUBSTITUTE(E1737,"°","º"))-1)),-1),IF(LEFT(E1737,6)="TÉRREO",0,IFERROR(VALUE(LEFT(E1737,FIND("º",SUBSTITUTE(E1737,"°","º"))-1)),""))))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26" t="n">
        <v>46757</v>
      </c>
      <c r="G1738" s="126" t="n">
        <v>46769</v>
      </c>
      <c r="H1738" s="126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IF(E1738="","",IF(ISNUMBER(SEARCH("SUBSOLO",E1738)),IFERROR(-VALUE(LEFT(E1738,FIND("º",SUBSTITUTE(E1738,"°","º"))-1)),-1),IF(LEFT(E1738,6)="TÉRREO",0,IFERROR(VALUE(LEFT(E1738,FIND("º",SUBSTITUTE(E1738,"°","º"))-1)),""))))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26" t="n">
        <v>46758</v>
      </c>
      <c r="G1739" s="126" t="n">
        <v>46771</v>
      </c>
      <c r="H1739" s="126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IF(E1739="","",IF(ISNUMBER(SEARCH("SUBSOLO",E1739)),IFERROR(-VALUE(LEFT(E1739,FIND("º",SUBSTITUTE(E1739,"°","º"))-1)),-1),IF(LEFT(E1739,6)="TÉRREO",0,IFERROR(VALUE(LEFT(E1739,FIND("º",SUBSTITUTE(E1739,"°","º"))-1)),""))))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26" t="n">
        <v>46758</v>
      </c>
      <c r="G1740" s="126" t="n">
        <v>46771</v>
      </c>
      <c r="H1740" s="126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IF(E1740="","",IF(ISNUMBER(SEARCH("SUBSOLO",E1740)),IFERROR(-VALUE(LEFT(E1740,FIND("º",SUBSTITUTE(E1740,"°","º"))-1)),-1),IF(LEFT(E1740,6)="TÉRREO",0,IFERROR(VALUE(LEFT(E1740,FIND("º",SUBSTITUTE(E1740,"°","º"))-1)),""))))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26" t="n">
        <v>46758</v>
      </c>
      <c r="G1741" s="126" t="n">
        <v>46771</v>
      </c>
      <c r="H1741" s="126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IF(E1741="","",IF(ISNUMBER(SEARCH("SUBSOLO",E1741)),IFERROR(-VALUE(LEFT(E1741,FIND("º",SUBSTITUTE(E1741,"°","º"))-1)),-1),IF(LEFT(E1741,6)="TÉRREO",0,IFERROR(VALUE(LEFT(E1741,FIND("º",SUBSTITUTE(E1741,"°","º"))-1)),""))))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26" t="n">
        <v>46758</v>
      </c>
      <c r="G1742" s="126" t="n">
        <v>46771</v>
      </c>
      <c r="H1742" s="126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IF(E1742="","",IF(ISNUMBER(SEARCH("SUBSOLO",E1742)),IFERROR(-VALUE(LEFT(E1742,FIND("º",SUBSTITUTE(E1742,"°","º"))-1)),-1),IF(LEFT(E1742,6)="TÉRREO",0,IFERROR(VALUE(LEFT(E1742,FIND("º",SUBSTITUTE(E1742,"°","º"))-1)),""))))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26" t="n">
        <v>46759</v>
      </c>
      <c r="G1743" s="126" t="n">
        <v>46850</v>
      </c>
      <c r="H1743" s="126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IF(E1743="","",IF(ISNUMBER(SEARCH("SUBSOLO",E1743)),IFERROR(-VALUE(LEFT(E1743,FIND("º",SUBSTITUTE(E1743,"°","º"))-1)),-1),IF(LEFT(E1743,6)="TÉRREO",0,IFERROR(VALUE(LEFT(E1743,FIND("º",SUBSTITUTE(E1743,"°","º"))-1)),""))))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26" t="n">
        <v>46759</v>
      </c>
      <c r="G1744" s="126" t="n">
        <v>46765</v>
      </c>
      <c r="H1744" s="126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IF(E1744="","",IF(ISNUMBER(SEARCH("SUBSOLO",E1744)),IFERROR(-VALUE(LEFT(E1744,FIND("º",SUBSTITUTE(E1744,"°","º"))-1)),-1),IF(LEFT(E1744,6)="TÉRREO",0,IFERROR(VALUE(LEFT(E1744,FIND("º",SUBSTITUTE(E1744,"°","º"))-1)),""))))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26" t="n">
        <v>46759</v>
      </c>
      <c r="G1745" s="126" t="n">
        <v>46765</v>
      </c>
      <c r="H1745" s="126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IF(E1745="","",IF(ISNUMBER(SEARCH("SUBSOLO",E1745)),IFERROR(-VALUE(LEFT(E1745,FIND("º",SUBSTITUTE(E1745,"°","º"))-1)),-1),IF(LEFT(E1745,6)="TÉRREO",0,IFERROR(VALUE(LEFT(E1745,FIND("º",SUBSTITUTE(E1745,"°","º"))-1)),""))))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26" t="n">
        <v>46762</v>
      </c>
      <c r="G1746" s="126" t="n">
        <v>46766</v>
      </c>
      <c r="H1746" s="126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IF(E1746="","",IF(ISNUMBER(SEARCH("SUBSOLO",E1746)),IFERROR(-VALUE(LEFT(E1746,FIND("º",SUBSTITUTE(E1746,"°","º"))-1)),-1),IF(LEFT(E1746,6)="TÉRREO",0,IFERROR(VALUE(LEFT(E1746,FIND("º",SUBSTITUTE(E1746,"°","º"))-1)),""))))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26" t="n">
        <v>46762</v>
      </c>
      <c r="G1747" s="126" t="n">
        <v>46773</v>
      </c>
      <c r="H1747" s="126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IF(E1747="","",IF(ISNUMBER(SEARCH("SUBSOLO",E1747)),IFERROR(-VALUE(LEFT(E1747,FIND("º",SUBSTITUTE(E1747,"°","º"))-1)),-1),IF(LEFT(E1747,6)="TÉRREO",0,IFERROR(VALUE(LEFT(E1747,FIND("º",SUBSTITUTE(E1747,"°","º"))-1)),""))))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26" t="n">
        <v>46763</v>
      </c>
      <c r="G1748" s="126" t="n">
        <v>46769</v>
      </c>
      <c r="H1748" s="126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IF(E1748="","",IF(ISNUMBER(SEARCH("SUBSOLO",E1748)),IFERROR(-VALUE(LEFT(E1748,FIND("º",SUBSTITUTE(E1748,"°","º"))-1)),-1),IF(LEFT(E1748,6)="TÉRREO",0,IFERROR(VALUE(LEFT(E1748,FIND("º",SUBSTITUTE(E1748,"°","º"))-1)),""))))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26" t="n">
        <v>46763</v>
      </c>
      <c r="G1749" s="126" t="n">
        <v>46776</v>
      </c>
      <c r="H1749" s="126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IF(E1749="","",IF(ISNUMBER(SEARCH("SUBSOLO",E1749)),IFERROR(-VALUE(LEFT(E1749,FIND("º",SUBSTITUTE(E1749,"°","º"))-1)),-1),IF(LEFT(E1749,6)="TÉRREO",0,IFERROR(VALUE(LEFT(E1749,FIND("º",SUBSTITUTE(E1749,"°","º"))-1)),""))))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26" t="n">
        <v>46763</v>
      </c>
      <c r="G1750" s="126" t="n">
        <v>46776</v>
      </c>
      <c r="H1750" s="126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IF(E1750="","",IF(ISNUMBER(SEARCH("SUBSOLO",E1750)),IFERROR(-VALUE(LEFT(E1750,FIND("º",SUBSTITUTE(E1750,"°","º"))-1)),-1),IF(LEFT(E1750,6)="TÉRREO",0,IFERROR(VALUE(LEFT(E1750,FIND("º",SUBSTITUTE(E1750,"°","º"))-1)),""))))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26" t="n">
        <v>46763</v>
      </c>
      <c r="G1751" s="126" t="n">
        <v>46783</v>
      </c>
      <c r="H1751" s="126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IF(E1751="","",IF(ISNUMBER(SEARCH("SUBSOLO",E1751)),IFERROR(-VALUE(LEFT(E1751,FIND("º",SUBSTITUTE(E1751,"°","º"))-1)),-1),IF(LEFT(E1751,6)="TÉRREO",0,IFERROR(VALUE(LEFT(E1751,FIND("º",SUBSTITUTE(E1751,"°","º"))-1)),""))))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26" t="n">
        <v>46763</v>
      </c>
      <c r="G1752" s="126" t="n">
        <v>46769</v>
      </c>
      <c r="H1752" s="126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IF(E1752="","",IF(ISNUMBER(SEARCH("SUBSOLO",E1752)),IFERROR(-VALUE(LEFT(E1752,FIND("º",SUBSTITUTE(E1752,"°","º"))-1)),-1),IF(LEFT(E1752,6)="TÉRREO",0,IFERROR(VALUE(LEFT(E1752,FIND("º",SUBSTITUTE(E1752,"°","º"))-1)),""))))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26" t="n">
        <v>46763</v>
      </c>
      <c r="G1753" s="126" t="n">
        <v>46771</v>
      </c>
      <c r="H1753" s="126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IF(E1753="","",IF(ISNUMBER(SEARCH("SUBSOLO",E1753)),IFERROR(-VALUE(LEFT(E1753,FIND("º",SUBSTITUTE(E1753,"°","º"))-1)),-1),IF(LEFT(E1753,6)="TÉRREO",0,IFERROR(VALUE(LEFT(E1753,FIND("º",SUBSTITUTE(E1753,"°","º"))-1)),""))))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26" t="n">
        <v>46763</v>
      </c>
      <c r="G1754" s="126" t="n">
        <v>46783</v>
      </c>
      <c r="H1754" s="126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IF(E1754="","",IF(ISNUMBER(SEARCH("SUBSOLO",E1754)),IFERROR(-VALUE(LEFT(E1754,FIND("º",SUBSTITUTE(E1754,"°","º"))-1)),-1),IF(LEFT(E1754,6)="TÉRREO",0,IFERROR(VALUE(LEFT(E1754,FIND("º",SUBSTITUTE(E1754,"°","º"))-1)),""))))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26" t="n">
        <v>46763</v>
      </c>
      <c r="G1755" s="126" t="n">
        <v>46776</v>
      </c>
      <c r="H1755" s="126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IF(E1755="","",IF(ISNUMBER(SEARCH("SUBSOLO",E1755)),IFERROR(-VALUE(LEFT(E1755,FIND("º",SUBSTITUTE(E1755,"°","º"))-1)),-1),IF(LEFT(E1755,6)="TÉRREO",0,IFERROR(VALUE(LEFT(E1755,FIND("º",SUBSTITUTE(E1755,"°","º"))-1)),""))))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26" t="n">
        <v>46763</v>
      </c>
      <c r="G1756" s="126" t="n">
        <v>46773</v>
      </c>
      <c r="H1756" s="126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IF(E1756="","",IF(ISNUMBER(SEARCH("SUBSOLO",E1756)),IFERROR(-VALUE(LEFT(E1756,FIND("º",SUBSTITUTE(E1756,"°","º"))-1)),-1),IF(LEFT(E1756,6)="TÉRREO",0,IFERROR(VALUE(LEFT(E1756,FIND("º",SUBSTITUTE(E1756,"°","º"))-1)),""))))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26" t="n">
        <v>46764</v>
      </c>
      <c r="G1757" s="126" t="n">
        <v>46770</v>
      </c>
      <c r="H1757" s="126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IF(E1757="","",IF(ISNUMBER(SEARCH("SUBSOLO",E1757)),IFERROR(-VALUE(LEFT(E1757,FIND("º",SUBSTITUTE(E1757,"°","º"))-1)),-1),IF(LEFT(E1757,6)="TÉRREO",0,IFERROR(VALUE(LEFT(E1757,FIND("º",SUBSTITUTE(E1757,"°","º"))-1)),""))))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26" t="n">
        <v>46764</v>
      </c>
      <c r="G1758" s="126" t="n">
        <v>46772</v>
      </c>
      <c r="H1758" s="126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IF(E1758="","",IF(ISNUMBER(SEARCH("SUBSOLO",E1758)),IFERROR(-VALUE(LEFT(E1758,FIND("º",SUBSTITUTE(E1758,"°","º"))-1)),-1),IF(LEFT(E1758,6)="TÉRREO",0,IFERROR(VALUE(LEFT(E1758,FIND("º",SUBSTITUTE(E1758,"°","º"))-1)),""))))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26" t="n">
        <v>46764</v>
      </c>
      <c r="G1759" s="126" t="n">
        <v>46776</v>
      </c>
      <c r="H1759" s="126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IF(E1759="","",IF(ISNUMBER(SEARCH("SUBSOLO",E1759)),IFERROR(-VALUE(LEFT(E1759,FIND("º",SUBSTITUTE(E1759,"°","º"))-1)),-1),IF(LEFT(E1759,6)="TÉRREO",0,IFERROR(VALUE(LEFT(E1759,FIND("º",SUBSTITUTE(E1759,"°","º"))-1)),""))))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26" t="n">
        <v>46765</v>
      </c>
      <c r="G1760" s="126" t="n">
        <v>46778</v>
      </c>
      <c r="H1760" s="126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IF(E1760="","",IF(ISNUMBER(SEARCH("SUBSOLO",E1760)),IFERROR(-VALUE(LEFT(E1760,FIND("º",SUBSTITUTE(E1760,"°","º"))-1)),-1),IF(LEFT(E1760,6)="TÉRREO",0,IFERROR(VALUE(LEFT(E1760,FIND("º",SUBSTITUTE(E1760,"°","º"))-1)),""))))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26" t="n">
        <v>46765</v>
      </c>
      <c r="G1761" s="126" t="n">
        <v>46778</v>
      </c>
      <c r="H1761" s="126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IF(E1761="","",IF(ISNUMBER(SEARCH("SUBSOLO",E1761)),IFERROR(-VALUE(LEFT(E1761,FIND("º",SUBSTITUTE(E1761,"°","º"))-1)),-1),IF(LEFT(E1761,6)="TÉRREO",0,IFERROR(VALUE(LEFT(E1761,FIND("º",SUBSTITUTE(E1761,"°","º"))-1)),""))))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26" t="n">
        <v>46766</v>
      </c>
      <c r="G1762" s="126" t="n">
        <v>46772</v>
      </c>
      <c r="H1762" s="126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IF(E1762="","",IF(ISNUMBER(SEARCH("SUBSOLO",E1762)),IFERROR(-VALUE(LEFT(E1762,FIND("º",SUBSTITUTE(E1762,"°","º"))-1)),-1),IF(LEFT(E1762,6)="TÉRREO",0,IFERROR(VALUE(LEFT(E1762,FIND("º",SUBSTITUTE(E1762,"°","º"))-1)),""))))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26" t="n">
        <v>46769</v>
      </c>
      <c r="G1763" s="126" t="n">
        <v>46780</v>
      </c>
      <c r="H1763" s="126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IF(E1763="","",IF(ISNUMBER(SEARCH("SUBSOLO",E1763)),IFERROR(-VALUE(LEFT(E1763,FIND("º",SUBSTITUTE(E1763,"°","º"))-1)),-1),IF(LEFT(E1763,6)="TÉRREO",0,IFERROR(VALUE(LEFT(E1763,FIND("º",SUBSTITUTE(E1763,"°","º"))-1)),""))))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26" t="n">
        <v>46769</v>
      </c>
      <c r="G1764" s="126" t="n">
        <v>46780</v>
      </c>
      <c r="H1764" s="126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IF(E1764="","",IF(ISNUMBER(SEARCH("SUBSOLO",E1764)),IFERROR(-VALUE(LEFT(E1764,FIND("º",SUBSTITUTE(E1764,"°","º"))-1)),-1),IF(LEFT(E1764,6)="TÉRREO",0,IFERROR(VALUE(LEFT(E1764,FIND("º",SUBSTITUTE(E1764,"°","º"))-1)),""))))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26" t="n">
        <v>46770</v>
      </c>
      <c r="G1765" s="126" t="n">
        <v>46776</v>
      </c>
      <c r="H1765" s="126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IF(E1765="","",IF(ISNUMBER(SEARCH("SUBSOLO",E1765)),IFERROR(-VALUE(LEFT(E1765,FIND("º",SUBSTITUTE(E1765,"°","º"))-1)),-1),IF(LEFT(E1765,6)="TÉRREO",0,IFERROR(VALUE(LEFT(E1765,FIND("º",SUBSTITUTE(E1765,"°","º"))-1)),""))))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26" t="n">
        <v>46770</v>
      </c>
      <c r="G1766" s="126" t="n">
        <v>46783</v>
      </c>
      <c r="H1766" s="126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IF(E1766="","",IF(ISNUMBER(SEARCH("SUBSOLO",E1766)),IFERROR(-VALUE(LEFT(E1766,FIND("º",SUBSTITUTE(E1766,"°","º"))-1)),-1),IF(LEFT(E1766,6)="TÉRREO",0,IFERROR(VALUE(LEFT(E1766,FIND("º",SUBSTITUTE(E1766,"°","º"))-1)),""))))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26" t="n">
        <v>46770</v>
      </c>
      <c r="G1767" s="126" t="n">
        <v>46790</v>
      </c>
      <c r="H1767" s="126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IF(E1767="","",IF(ISNUMBER(SEARCH("SUBSOLO",E1767)),IFERROR(-VALUE(LEFT(E1767,FIND("º",SUBSTITUTE(E1767,"°","º"))-1)),-1),IF(LEFT(E1767,6)="TÉRREO",0,IFERROR(VALUE(LEFT(E1767,FIND("º",SUBSTITUTE(E1767,"°","º"))-1)),""))))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26" t="n">
        <v>46770</v>
      </c>
      <c r="G1768" s="126" t="n">
        <v>46783</v>
      </c>
      <c r="H1768" s="126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IF(E1768="","",IF(ISNUMBER(SEARCH("SUBSOLO",E1768)),IFERROR(-VALUE(LEFT(E1768,FIND("º",SUBSTITUTE(E1768,"°","º"))-1)),-1),IF(LEFT(E1768,6)="TÉRREO",0,IFERROR(VALUE(LEFT(E1768,FIND("º",SUBSTITUTE(E1768,"°","º"))-1)),""))))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26" t="n">
        <v>46770</v>
      </c>
      <c r="G1769" s="126" t="n">
        <v>46783</v>
      </c>
      <c r="H1769" s="126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IF(E1769="","",IF(ISNUMBER(SEARCH("SUBSOLO",E1769)),IFERROR(-VALUE(LEFT(E1769,FIND("º",SUBSTITUTE(E1769,"°","º"))-1)),-1),IF(LEFT(E1769,6)="TÉRREO",0,IFERROR(VALUE(LEFT(E1769,FIND("º",SUBSTITUTE(E1769,"°","º"))-1)),""))))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26" t="n">
        <v>46770</v>
      </c>
      <c r="G1770" s="126" t="n">
        <v>46790</v>
      </c>
      <c r="H1770" s="126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IF(E1770="","",IF(ISNUMBER(SEARCH("SUBSOLO",E1770)),IFERROR(-VALUE(LEFT(E1770,FIND("º",SUBSTITUTE(E1770,"°","º"))-1)),-1),IF(LEFT(E1770,6)="TÉRREO",0,IFERROR(VALUE(LEFT(E1770,FIND("º",SUBSTITUTE(E1770,"°","º"))-1)),""))))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26" t="n">
        <v>46770</v>
      </c>
      <c r="G1771" s="126" t="n">
        <v>46783</v>
      </c>
      <c r="H1771" s="126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IF(E1771="","",IF(ISNUMBER(SEARCH("SUBSOLO",E1771)),IFERROR(-VALUE(LEFT(E1771,FIND("º",SUBSTITUTE(E1771,"°","º"))-1)),-1),IF(LEFT(E1771,6)="TÉRREO",0,IFERROR(VALUE(LEFT(E1771,FIND("º",SUBSTITUTE(E1771,"°","º"))-1)),""))))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26" t="n">
        <v>46770</v>
      </c>
      <c r="G1772" s="126" t="n">
        <v>46780</v>
      </c>
      <c r="H1772" s="126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IF(E1772="","",IF(ISNUMBER(SEARCH("SUBSOLO",E1772)),IFERROR(-VALUE(LEFT(E1772,FIND("º",SUBSTITUTE(E1772,"°","º"))-1)),-1),IF(LEFT(E1772,6)="TÉRREO",0,IFERROR(VALUE(LEFT(E1772,FIND("º",SUBSTITUTE(E1772,"°","º"))-1)),""))))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26" t="n">
        <v>46771</v>
      </c>
      <c r="G1773" s="126" t="n">
        <v>46784</v>
      </c>
      <c r="H1773" s="126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IF(E1773="","",IF(ISNUMBER(SEARCH("SUBSOLO",E1773)),IFERROR(-VALUE(LEFT(E1773,FIND("º",SUBSTITUTE(E1773,"°","º"))-1)),-1),IF(LEFT(E1773,6)="TÉRREO",0,IFERROR(VALUE(LEFT(E1773,FIND("º",SUBSTITUTE(E1773,"°","º"))-1)),""))))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26" t="n">
        <v>46771</v>
      </c>
      <c r="G1774" s="126" t="n">
        <v>46784</v>
      </c>
      <c r="H1774" s="126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IF(E1774="","",IF(ISNUMBER(SEARCH("SUBSOLO",E1774)),IFERROR(-VALUE(LEFT(E1774,FIND("º",SUBSTITUTE(E1774,"°","º"))-1)),-1),IF(LEFT(E1774,6)="TÉRREO",0,IFERROR(VALUE(LEFT(E1774,FIND("º",SUBSTITUTE(E1774,"°","º"))-1)),""))))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26" t="n">
        <v>46771</v>
      </c>
      <c r="G1775" s="126" t="n">
        <v>46791</v>
      </c>
      <c r="H1775" s="126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IF(E1775="","",IF(ISNUMBER(SEARCH("SUBSOLO",E1775)),IFERROR(-VALUE(LEFT(E1775,FIND("º",SUBSTITUTE(E1775,"°","º"))-1)),-1),IF(LEFT(E1775,6)="TÉRREO",0,IFERROR(VALUE(LEFT(E1775,FIND("º",SUBSTITUTE(E1775,"°","º"))-1)),""))))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26" t="n">
        <v>46772</v>
      </c>
      <c r="G1776" s="126" t="n">
        <v>46785</v>
      </c>
      <c r="H1776" s="126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IF(E1776="","",IF(ISNUMBER(SEARCH("SUBSOLO",E1776)),IFERROR(-VALUE(LEFT(E1776,FIND("º",SUBSTITUTE(E1776,"°","º"))-1)),-1),IF(LEFT(E1776,6)="TÉRREO",0,IFERROR(VALUE(LEFT(E1776,FIND("º",SUBSTITUTE(E1776,"°","º"))-1)),""))))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26" t="n">
        <v>46772</v>
      </c>
      <c r="G1777" s="126" t="n">
        <v>46783</v>
      </c>
      <c r="H1777" s="126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IF(E1777="","",IF(ISNUMBER(SEARCH("SUBSOLO",E1777)),IFERROR(-VALUE(LEFT(E1777,FIND("º",SUBSTITUTE(E1777,"°","º"))-1)),-1),IF(LEFT(E1777,6)="TÉRREO",0,IFERROR(VALUE(LEFT(E1777,FIND("º",SUBSTITUTE(E1777,"°","º"))-1)),""))))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26" t="n">
        <v>46773</v>
      </c>
      <c r="G1778" s="126" t="n">
        <v>46779</v>
      </c>
      <c r="H1778" s="126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IF(E1778="","",IF(ISNUMBER(SEARCH("SUBSOLO",E1778)),IFERROR(-VALUE(LEFT(E1778,FIND("º",SUBSTITUTE(E1778,"°","º"))-1)),-1),IF(LEFT(E1778,6)="TÉRREO",0,IFERROR(VALUE(LEFT(E1778,FIND("º",SUBSTITUTE(E1778,"°","º"))-1)),""))))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26" t="n">
        <v>46776</v>
      </c>
      <c r="G1779" s="126" t="n">
        <v>46787</v>
      </c>
      <c r="H1779" s="126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IF(E1779="","",IF(ISNUMBER(SEARCH("SUBSOLO",E1779)),IFERROR(-VALUE(LEFT(E1779,FIND("º",SUBSTITUTE(E1779,"°","º"))-1)),-1),IF(LEFT(E1779,6)="TÉRREO",0,IFERROR(VALUE(LEFT(E1779,FIND("º",SUBSTITUTE(E1779,"°","º"))-1)),""))))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26" t="n">
        <v>46776</v>
      </c>
      <c r="G1780" s="126" t="n">
        <v>46794</v>
      </c>
      <c r="H1780" s="126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IF(E1780="","",IF(ISNUMBER(SEARCH("SUBSOLO",E1780)),IFERROR(-VALUE(LEFT(E1780,FIND("º",SUBSTITUTE(E1780,"°","º"))-1)),-1),IF(LEFT(E1780,6)="TÉRREO",0,IFERROR(VALUE(LEFT(E1780,FIND("º",SUBSTITUTE(E1780,"°","º"))-1)),""))))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26" t="n">
        <v>46776</v>
      </c>
      <c r="G1781" s="126" t="n">
        <v>46794</v>
      </c>
      <c r="H1781" s="126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IF(E1781="","",IF(ISNUMBER(SEARCH("SUBSOLO",E1781)),IFERROR(-VALUE(LEFT(E1781,FIND("º",SUBSTITUTE(E1781,"°","º"))-1)),-1),IF(LEFT(E1781,6)="TÉRREO",0,IFERROR(VALUE(LEFT(E1781,FIND("º",SUBSTITUTE(E1781,"°","º"))-1)),""))))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26" t="n">
        <v>46776</v>
      </c>
      <c r="G1782" s="126" t="n">
        <v>46780</v>
      </c>
      <c r="H1782" s="126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IF(E1782="","",IF(ISNUMBER(SEARCH("SUBSOLO",E1782)),IFERROR(-VALUE(LEFT(E1782,FIND("º",SUBSTITUTE(E1782,"°","º"))-1)),-1),IF(LEFT(E1782,6)="TÉRREO",0,IFERROR(VALUE(LEFT(E1782,FIND("º",SUBSTITUTE(E1782,"°","º"))-1)),""))))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26" t="n">
        <v>46776</v>
      </c>
      <c r="G1783" s="126" t="n">
        <v>46787</v>
      </c>
      <c r="H1783" s="126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IF(E1783="","",IF(ISNUMBER(SEARCH("SUBSOLO",E1783)),IFERROR(-VALUE(LEFT(E1783,FIND("º",SUBSTITUTE(E1783,"°","º"))-1)),-1),IF(LEFT(E1783,6)="TÉRREO",0,IFERROR(VALUE(LEFT(E1783,FIND("º",SUBSTITUTE(E1783,"°","º"))-1)),""))))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26" t="n">
        <v>46777</v>
      </c>
      <c r="G1784" s="126" t="n">
        <v>46790</v>
      </c>
      <c r="H1784" s="126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IF(E1784="","",IF(ISNUMBER(SEARCH("SUBSOLO",E1784)),IFERROR(-VALUE(LEFT(E1784,FIND("º",SUBSTITUTE(E1784,"°","º"))-1)),-1),IF(LEFT(E1784,6)="TÉRREO",0,IFERROR(VALUE(LEFT(E1784,FIND("º",SUBSTITUTE(E1784,"°","º"))-1)),""))))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26" t="n">
        <v>46777</v>
      </c>
      <c r="G1785" s="126" t="n">
        <v>46777</v>
      </c>
      <c r="H1785" s="126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IF(E1785="","",IF(ISNUMBER(SEARCH("SUBSOLO",E1785)),IFERROR(-VALUE(LEFT(E1785,FIND("º",SUBSTITUTE(E1785,"°","º"))-1)),-1),IF(LEFT(E1785,6)="TÉRREO",0,IFERROR(VALUE(LEFT(E1785,FIND("º",SUBSTITUTE(E1785,"°","º"))-1)),""))))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26" t="n">
        <v>46778</v>
      </c>
      <c r="G1786" s="126" t="n">
        <v>46791</v>
      </c>
      <c r="H1786" s="126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IF(E1786="","",IF(ISNUMBER(SEARCH("SUBSOLO",E1786)),IFERROR(-VALUE(LEFT(E1786,FIND("º",SUBSTITUTE(E1786,"°","º"))-1)),-1),IF(LEFT(E1786,6)="TÉRREO",0,IFERROR(VALUE(LEFT(E1786,FIND("º",SUBSTITUTE(E1786,"°","º"))-1)),""))))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26" t="n">
        <v>46778</v>
      </c>
      <c r="G1787" s="126" t="n">
        <v>46790</v>
      </c>
      <c r="H1787" s="126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IF(E1787="","",IF(ISNUMBER(SEARCH("SUBSOLO",E1787)),IFERROR(-VALUE(LEFT(E1787,FIND("º",SUBSTITUTE(E1787,"°","º"))-1)),-1),IF(LEFT(E1787,6)="TÉRREO",0,IFERROR(VALUE(LEFT(E1787,FIND("º",SUBSTITUTE(E1787,"°","º"))-1)),""))))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26" t="n">
        <v>46778</v>
      </c>
      <c r="G1788" s="126" t="n">
        <v>46778</v>
      </c>
      <c r="H1788" s="126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IF(E1788="","",IF(ISNUMBER(SEARCH("SUBSOLO",E1788)),IFERROR(-VALUE(LEFT(E1788,FIND("º",SUBSTITUTE(E1788,"°","º"))-1)),-1),IF(LEFT(E1788,6)="TÉRREO",0,IFERROR(VALUE(LEFT(E1788,FIND("º",SUBSTITUTE(E1788,"°","º"))-1)),""))))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26" t="n">
        <v>46780</v>
      </c>
      <c r="G1789" s="126" t="n">
        <v>46786</v>
      </c>
      <c r="H1789" s="126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IF(E1789="","",IF(ISNUMBER(SEARCH("SUBSOLO",E1789)),IFERROR(-VALUE(LEFT(E1789,FIND("º",SUBSTITUTE(E1789,"°","º"))-1)),-1),IF(LEFT(E1789,6)="TÉRREO",0,IFERROR(VALUE(LEFT(E1789,FIND("º",SUBSTITUTE(E1789,"°","º"))-1)),""))))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26" t="n">
        <v>46783</v>
      </c>
      <c r="G1790" s="126" t="n">
        <v>46794</v>
      </c>
      <c r="H1790" s="126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IF(E1790="","",IF(ISNUMBER(SEARCH("SUBSOLO",E1790)),IFERROR(-VALUE(LEFT(E1790,FIND("º",SUBSTITUTE(E1790,"°","º"))-1)),-1),IF(LEFT(E1790,6)="TÉRREO",0,IFERROR(VALUE(LEFT(E1790,FIND("º",SUBSTITUTE(E1790,"°","º"))-1)),""))))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26" t="n">
        <v>46783</v>
      </c>
      <c r="G1791" s="126" t="n">
        <v>46794</v>
      </c>
      <c r="H1791" s="126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IF(E1791="","",IF(ISNUMBER(SEARCH("SUBSOLO",E1791)),IFERROR(-VALUE(LEFT(E1791,FIND("º",SUBSTITUTE(E1791,"°","º"))-1)),-1),IF(LEFT(E1791,6)="TÉRREO",0,IFERROR(VALUE(LEFT(E1791,FIND("º",SUBSTITUTE(E1791,"°","º"))-1)),""))))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26" t="n">
        <v>46784</v>
      </c>
      <c r="G1792" s="126" t="n">
        <v>46797</v>
      </c>
      <c r="H1792" s="126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IF(E1792="","",IF(ISNUMBER(SEARCH("SUBSOLO",E1792)),IFERROR(-VALUE(LEFT(E1792,FIND("º",SUBSTITUTE(E1792,"°","º"))-1)),-1),IF(LEFT(E1792,6)="TÉRREO",0,IFERROR(VALUE(LEFT(E1792,FIND("º",SUBSTITUTE(E1792,"°","º"))-1)),""))))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26" t="n">
        <v>46784</v>
      </c>
      <c r="G1793" s="126" t="n">
        <v>46797</v>
      </c>
      <c r="H1793" s="126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IF(E1793="","",IF(ISNUMBER(SEARCH("SUBSOLO",E1793)),IFERROR(-VALUE(LEFT(E1793,FIND("º",SUBSTITUTE(E1793,"°","º"))-1)),-1),IF(LEFT(E1793,6)="TÉRREO",0,IFERROR(VALUE(LEFT(E1793,FIND("º",SUBSTITUTE(E1793,"°","º"))-1)),""))))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26" t="n">
        <v>46784</v>
      </c>
      <c r="G1794" s="126" t="n">
        <v>46797</v>
      </c>
      <c r="H1794" s="126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IF(E1794="","",IF(ISNUMBER(SEARCH("SUBSOLO",E1794)),IFERROR(-VALUE(LEFT(E1794,FIND("º",SUBSTITUTE(E1794,"°","º"))-1)),-1),IF(LEFT(E1794,6)="TÉRREO",0,IFERROR(VALUE(LEFT(E1794,FIND("º",SUBSTITUTE(E1794,"°","º"))-1)),""))))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26" t="n">
        <v>46784</v>
      </c>
      <c r="G1795" s="126" t="n">
        <v>46797</v>
      </c>
      <c r="H1795" s="126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IF(E1795="","",IF(ISNUMBER(SEARCH("SUBSOLO",E1795)),IFERROR(-VALUE(LEFT(E1795,FIND("º",SUBSTITUTE(E1795,"°","º"))-1)),-1),IF(LEFT(E1795,6)="TÉRREO",0,IFERROR(VALUE(LEFT(E1795,FIND("º",SUBSTITUTE(E1795,"°","º"))-1)),""))))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26" t="n">
        <v>46784</v>
      </c>
      <c r="G1796" s="126" t="n">
        <v>46804</v>
      </c>
      <c r="H1796" s="126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IF(E1796="","",IF(ISNUMBER(SEARCH("SUBSOLO",E1796)),IFERROR(-VALUE(LEFT(E1796,FIND("º",SUBSTITUTE(E1796,"°","º"))-1)),-1),IF(LEFT(E1796,6)="TÉRREO",0,IFERROR(VALUE(LEFT(E1796,FIND("º",SUBSTITUTE(E1796,"°","º"))-1)),""))))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26" t="n">
        <v>46784</v>
      </c>
      <c r="G1797" s="126" t="n">
        <v>46797</v>
      </c>
      <c r="H1797" s="126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IF(E1797="","",IF(ISNUMBER(SEARCH("SUBSOLO",E1797)),IFERROR(-VALUE(LEFT(E1797,FIND("º",SUBSTITUTE(E1797,"°","º"))-1)),-1),IF(LEFT(E1797,6)="TÉRREO",0,IFERROR(VALUE(LEFT(E1797,FIND("º",SUBSTITUTE(E1797,"°","º"))-1)),""))))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26" t="n">
        <v>46784</v>
      </c>
      <c r="G1798" s="126" t="n">
        <v>46790</v>
      </c>
      <c r="H1798" s="126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IF(E1798="","",IF(ISNUMBER(SEARCH("SUBSOLO",E1798)),IFERROR(-VALUE(LEFT(E1798,FIND("º",SUBSTITUTE(E1798,"°","º"))-1)),-1),IF(LEFT(E1798,6)="TÉRREO",0,IFERROR(VALUE(LEFT(E1798,FIND("º",SUBSTITUTE(E1798,"°","º"))-1)),""))))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26" t="n">
        <v>46791</v>
      </c>
      <c r="G1799" s="126" t="n">
        <v>46797</v>
      </c>
      <c r="H1799" s="126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IF(E1799="","",IF(ISNUMBER(SEARCH("SUBSOLO",E1799)),IFERROR(-VALUE(LEFT(E1799,FIND("º",SUBSTITUTE(E1799,"°","º"))-1)),-1),IF(LEFT(E1799,6)="TÉRREO",0,IFERROR(VALUE(LEFT(E1799,FIND("º",SUBSTITUTE(E1799,"°","º"))-1)),""))))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26" t="n">
        <v>46784</v>
      </c>
      <c r="G1800" s="126" t="n">
        <v>46792</v>
      </c>
      <c r="H1800" s="126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IF(E1800="","",IF(ISNUMBER(SEARCH("SUBSOLO",E1800)),IFERROR(-VALUE(LEFT(E1800,FIND("º",SUBSTITUTE(E1800,"°","º"))-1)),-1),IF(LEFT(E1800,6)="TÉRREO",0,IFERROR(VALUE(LEFT(E1800,FIND("º",SUBSTITUTE(E1800,"°","º"))-1)),""))))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26" t="n">
        <v>46784</v>
      </c>
      <c r="G1801" s="126" t="n">
        <v>46797</v>
      </c>
      <c r="H1801" s="126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IF(E1801="","",IF(ISNUMBER(SEARCH("SUBSOLO",E1801)),IFERROR(-VALUE(LEFT(E1801,FIND("º",SUBSTITUTE(E1801,"°","º"))-1)),-1),IF(LEFT(E1801,6)="TÉRREO",0,IFERROR(VALUE(LEFT(E1801,FIND("º",SUBSTITUTE(E1801,"°","º"))-1)),""))))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26" t="n">
        <v>46784</v>
      </c>
      <c r="G1802" s="126" t="n">
        <v>46794</v>
      </c>
      <c r="H1802" s="126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IF(E1802="","",IF(ISNUMBER(SEARCH("SUBSOLO",E1802)),IFERROR(-VALUE(LEFT(E1802,FIND("º",SUBSTITUTE(E1802,"°","º"))-1)),-1),IF(LEFT(E1802,6)="TÉRREO",0,IFERROR(VALUE(LEFT(E1802,FIND("º",SUBSTITUTE(E1802,"°","º"))-1)),""))))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26" t="n">
        <v>46785</v>
      </c>
      <c r="G1803" s="126" t="n">
        <v>46791</v>
      </c>
      <c r="H1803" s="126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IF(E1803="","",IF(ISNUMBER(SEARCH("SUBSOLO",E1803)),IFERROR(-VALUE(LEFT(E1803,FIND("º",SUBSTITUTE(E1803,"°","º"))-1)),-1),IF(LEFT(E1803,6)="TÉRREO",0,IFERROR(VALUE(LEFT(E1803,FIND("º",SUBSTITUTE(E1803,"°","º"))-1)),""))))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26" t="n">
        <v>46785</v>
      </c>
      <c r="G1804" s="126" t="n">
        <v>46814</v>
      </c>
      <c r="H1804" s="126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IF(E1804="","",IF(ISNUMBER(SEARCH("SUBSOLO",E1804)),IFERROR(-VALUE(LEFT(E1804,FIND("º",SUBSTITUTE(E1804,"°","º"))-1)),-1),IF(LEFT(E1804,6)="TÉRREO",0,IFERROR(VALUE(LEFT(E1804,FIND("º",SUBSTITUTE(E1804,"°","º"))-1)),""))))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26" t="n">
        <v>46785</v>
      </c>
      <c r="G1805" s="126" t="n">
        <v>46791</v>
      </c>
      <c r="H1805" s="126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IF(E1805="","",IF(ISNUMBER(SEARCH("SUBSOLO",E1805)),IFERROR(-VALUE(LEFT(E1805,FIND("º",SUBSTITUTE(E1805,"°","º"))-1)),-1),IF(LEFT(E1805,6)="TÉRREO",0,IFERROR(VALUE(LEFT(E1805,FIND("º",SUBSTITUTE(E1805,"°","º"))-1)),""))))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26" t="n">
        <v>46785</v>
      </c>
      <c r="G1806" s="126" t="n">
        <v>46791</v>
      </c>
      <c r="H1806" s="126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IF(E1806="","",IF(ISNUMBER(SEARCH("SUBSOLO",E1806)),IFERROR(-VALUE(LEFT(E1806,FIND("º",SUBSTITUTE(E1806,"°","º"))-1)),-1),IF(LEFT(E1806,6)="TÉRREO",0,IFERROR(VALUE(LEFT(E1806,FIND("º",SUBSTITUTE(E1806,"°","º"))-1)),""))))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26" t="n">
        <v>46785</v>
      </c>
      <c r="G1807" s="126" t="n">
        <v>46791</v>
      </c>
      <c r="H1807" s="126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IF(E1807="","",IF(ISNUMBER(SEARCH("SUBSOLO",E1807)),IFERROR(-VALUE(LEFT(E1807,FIND("º",SUBSTITUTE(E1807,"°","º"))-1)),-1),IF(LEFT(E1807,6)="TÉRREO",0,IFERROR(VALUE(LEFT(E1807,FIND("º",SUBSTITUTE(E1807,"°","º"))-1)),""))))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26" t="n">
        <v>46785</v>
      </c>
      <c r="G1808" s="126" t="n">
        <v>46791</v>
      </c>
      <c r="H1808" s="126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IF(E1808="","",IF(ISNUMBER(SEARCH("SUBSOLO",E1808)),IFERROR(-VALUE(LEFT(E1808,FIND("º",SUBSTITUTE(E1808,"°","º"))-1)),-1),IF(LEFT(E1808,6)="TÉRREO",0,IFERROR(VALUE(LEFT(E1808,FIND("º",SUBSTITUTE(E1808,"°","º"))-1)),""))))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26" t="n">
        <v>46785</v>
      </c>
      <c r="G1809" s="126" t="n">
        <v>46797</v>
      </c>
      <c r="H1809" s="126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IF(E1809="","",IF(ISNUMBER(SEARCH("SUBSOLO",E1809)),IFERROR(-VALUE(LEFT(E1809,FIND("º",SUBSTITUTE(E1809,"°","º"))-1)),-1),IF(LEFT(E1809,6)="TÉRREO",0,IFERROR(VALUE(LEFT(E1809,FIND("º",SUBSTITUTE(E1809,"°","º"))-1)),""))))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26" t="n">
        <v>46785</v>
      </c>
      <c r="G1810" s="126" t="n">
        <v>46798</v>
      </c>
      <c r="H1810" s="126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IF(E1810="","",IF(ISNUMBER(SEARCH("SUBSOLO",E1810)),IFERROR(-VALUE(LEFT(E1810,FIND("º",SUBSTITUTE(E1810,"°","º"))-1)),-1),IF(LEFT(E1810,6)="TÉRREO",0,IFERROR(VALUE(LEFT(E1810,FIND("º",SUBSTITUTE(E1810,"°","º"))-1)),""))))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26" t="n">
        <v>46785</v>
      </c>
      <c r="G1811" s="126" t="n">
        <v>46798</v>
      </c>
      <c r="H1811" s="126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IF(E1811="","",IF(ISNUMBER(SEARCH("SUBSOLO",E1811)),IFERROR(-VALUE(LEFT(E1811,FIND("º",SUBSTITUTE(E1811,"°","º"))-1)),-1),IF(LEFT(E1811,6)="TÉRREO",0,IFERROR(VALUE(LEFT(E1811,FIND("º",SUBSTITUTE(E1811,"°","º"))-1)),""))))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26" t="n">
        <v>46785</v>
      </c>
      <c r="G1812" s="126" t="n">
        <v>46798</v>
      </c>
      <c r="H1812" s="126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IF(E1812="","",IF(ISNUMBER(SEARCH("SUBSOLO",E1812)),IFERROR(-VALUE(LEFT(E1812,FIND("º",SUBSTITUTE(E1812,"°","º"))-1)),-1),IF(LEFT(E1812,6)="TÉRREO",0,IFERROR(VALUE(LEFT(E1812,FIND("º",SUBSTITUTE(E1812,"°","º"))-1)),""))))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26" t="n">
        <v>46785</v>
      </c>
      <c r="G1813" s="126" t="n">
        <v>46798</v>
      </c>
      <c r="H1813" s="126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IF(E1813="","",IF(ISNUMBER(SEARCH("SUBSOLO",E1813)),IFERROR(-VALUE(LEFT(E1813,FIND("º",SUBSTITUTE(E1813,"°","º"))-1)),-1),IF(LEFT(E1813,6)="TÉRREO",0,IFERROR(VALUE(LEFT(E1813,FIND("º",SUBSTITUTE(E1813,"°","º"))-1)),""))))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26" t="n">
        <v>46786</v>
      </c>
      <c r="G1814" s="126" t="n">
        <v>46815</v>
      </c>
      <c r="H1814" s="126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IF(E1814="","",IF(ISNUMBER(SEARCH("SUBSOLO",E1814)),IFERROR(-VALUE(LEFT(E1814,FIND("º",SUBSTITUTE(E1814,"°","º"))-1)),-1),IF(LEFT(E1814,6)="TÉRREO",0,IFERROR(VALUE(LEFT(E1814,FIND("º",SUBSTITUTE(E1814,"°","º"))-1)),""))))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26" t="n">
        <v>46786</v>
      </c>
      <c r="G1815" s="126" t="n">
        <v>46799</v>
      </c>
      <c r="H1815" s="126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IF(E1815="","",IF(ISNUMBER(SEARCH("SUBSOLO",E1815)),IFERROR(-VALUE(LEFT(E1815,FIND("º",SUBSTITUTE(E1815,"°","º"))-1)),-1),IF(LEFT(E1815,6)="TÉRREO",0,IFERROR(VALUE(LEFT(E1815,FIND("º",SUBSTITUTE(E1815,"°","º"))-1)),""))))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26" t="n">
        <v>46790</v>
      </c>
      <c r="G1816" s="126" t="n">
        <v>46801</v>
      </c>
      <c r="H1816" s="126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IF(E1816="","",IF(ISNUMBER(SEARCH("SUBSOLO",E1816)),IFERROR(-VALUE(LEFT(E1816,FIND("º",SUBSTITUTE(E1816,"°","º"))-1)),-1),IF(LEFT(E1816,6)="TÉRREO",0,IFERROR(VALUE(LEFT(E1816,FIND("º",SUBSTITUTE(E1816,"°","º"))-1)),""))))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26" t="n">
        <v>46791</v>
      </c>
      <c r="G1817" s="126" t="n">
        <v>46797</v>
      </c>
      <c r="H1817" s="126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IF(E1817="","",IF(ISNUMBER(SEARCH("SUBSOLO",E1817)),IFERROR(-VALUE(LEFT(E1817,FIND("º",SUBSTITUTE(E1817,"°","º"))-1)),-1),IF(LEFT(E1817,6)="TÉRREO",0,IFERROR(VALUE(LEFT(E1817,FIND("º",SUBSTITUTE(E1817,"°","º"))-1)),""))))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26" t="n">
        <v>46791</v>
      </c>
      <c r="G1818" s="126" t="n">
        <v>46804</v>
      </c>
      <c r="H1818" s="126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IF(E1818="","",IF(ISNUMBER(SEARCH("SUBSOLO",E1818)),IFERROR(-VALUE(LEFT(E1818,FIND("º",SUBSTITUTE(E1818,"°","º"))-1)),-1),IF(LEFT(E1818,6)="TÉRREO",0,IFERROR(VALUE(LEFT(E1818,FIND("º",SUBSTITUTE(E1818,"°","º"))-1)),""))))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26" t="n">
        <v>46791</v>
      </c>
      <c r="G1819" s="126" t="n">
        <v>46811</v>
      </c>
      <c r="H1819" s="126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IF(E1819="","",IF(ISNUMBER(SEARCH("SUBSOLO",E1819)),IFERROR(-VALUE(LEFT(E1819,FIND("º",SUBSTITUTE(E1819,"°","º"))-1)),-1),IF(LEFT(E1819,6)="TÉRREO",0,IFERROR(VALUE(LEFT(E1819,FIND("º",SUBSTITUTE(E1819,"°","º"))-1)),""))))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26" t="n">
        <v>46791</v>
      </c>
      <c r="G1820" s="126" t="n">
        <v>46804</v>
      </c>
      <c r="H1820" s="126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IF(E1820="","",IF(ISNUMBER(SEARCH("SUBSOLO",E1820)),IFERROR(-VALUE(LEFT(E1820,FIND("º",SUBSTITUTE(E1820,"°","º"))-1)),-1),IF(LEFT(E1820,6)="TÉRREO",0,IFERROR(VALUE(LEFT(E1820,FIND("º",SUBSTITUTE(E1820,"°","º"))-1)),""))))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26" t="n">
        <v>46791</v>
      </c>
      <c r="G1821" s="126" t="n">
        <v>46801</v>
      </c>
      <c r="H1821" s="126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IF(E1821="","",IF(ISNUMBER(SEARCH("SUBSOLO",E1821)),IFERROR(-VALUE(LEFT(E1821,FIND("º",SUBSTITUTE(E1821,"°","º"))-1)),-1),IF(LEFT(E1821,6)="TÉRREO",0,IFERROR(VALUE(LEFT(E1821,FIND("º",SUBSTITUTE(E1821,"°","º"))-1)),""))))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26" t="n">
        <v>46792</v>
      </c>
      <c r="G1822" s="126" t="n">
        <v>46798</v>
      </c>
      <c r="H1822" s="126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IF(E1822="","",IF(ISNUMBER(SEARCH("SUBSOLO",E1822)),IFERROR(-VALUE(LEFT(E1822,FIND("º",SUBSTITUTE(E1822,"°","º"))-1)),-1),IF(LEFT(E1822,6)="TÉRREO",0,IFERROR(VALUE(LEFT(E1822,FIND("º",SUBSTITUTE(E1822,"°","º"))-1)),""))))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26" t="n">
        <v>46792</v>
      </c>
      <c r="G1823" s="126" t="n">
        <v>46805</v>
      </c>
      <c r="H1823" s="126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IF(E1823="","",IF(ISNUMBER(SEARCH("SUBSOLO",E1823)),IFERROR(-VALUE(LEFT(E1823,FIND("º",SUBSTITUTE(E1823,"°","º"))-1)),-1),IF(LEFT(E1823,6)="TÉRREO",0,IFERROR(VALUE(LEFT(E1823,FIND("º",SUBSTITUTE(E1823,"°","º"))-1)),""))))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26" t="n">
        <v>46792</v>
      </c>
      <c r="G1824" s="126" t="n">
        <v>46805</v>
      </c>
      <c r="H1824" s="126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IF(E1824="","",IF(ISNUMBER(SEARCH("SUBSOLO",E1824)),IFERROR(-VALUE(LEFT(E1824,FIND("º",SUBSTITUTE(E1824,"°","º"))-1)),-1),IF(LEFT(E1824,6)="TÉRREO",0,IFERROR(VALUE(LEFT(E1824,FIND("º",SUBSTITUTE(E1824,"°","º"))-1)),""))))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26" t="n">
        <v>46792</v>
      </c>
      <c r="G1825" s="126" t="n">
        <v>46798</v>
      </c>
      <c r="H1825" s="126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IF(E1825="","",IF(ISNUMBER(SEARCH("SUBSOLO",E1825)),IFERROR(-VALUE(LEFT(E1825,FIND("º",SUBSTITUTE(E1825,"°","º"))-1)),-1),IF(LEFT(E1825,6)="TÉRREO",0,IFERROR(VALUE(LEFT(E1825,FIND("º",SUBSTITUTE(E1825,"°","º"))-1)),""))))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26" t="n">
        <v>46799</v>
      </c>
      <c r="G1826" s="126" t="n">
        <v>46805</v>
      </c>
      <c r="H1826" s="126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IF(E1826="","",IF(ISNUMBER(SEARCH("SUBSOLO",E1826)),IFERROR(-VALUE(LEFT(E1826,FIND("º",SUBSTITUTE(E1826,"°","º"))-1)),-1),IF(LEFT(E1826,6)="TÉRREO",0,IFERROR(VALUE(LEFT(E1826,FIND("º",SUBSTITUTE(E1826,"°","º"))-1)),""))))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26" t="n">
        <v>46792</v>
      </c>
      <c r="G1827" s="126" t="n">
        <v>46812</v>
      </c>
      <c r="H1827" s="126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IF(E1827="","",IF(ISNUMBER(SEARCH("SUBSOLO",E1827)),IFERROR(-VALUE(LEFT(E1827,FIND("º",SUBSTITUTE(E1827,"°","º"))-1)),-1),IF(LEFT(E1827,6)="TÉRREO",0,IFERROR(VALUE(LEFT(E1827,FIND("º",SUBSTITUTE(E1827,"°","º"))-1)),""))))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26" t="n">
        <v>46793</v>
      </c>
      <c r="G1828" s="126" t="n">
        <v>46818</v>
      </c>
      <c r="H1828" s="126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IF(E1828="","",IF(ISNUMBER(SEARCH("SUBSOLO",E1828)),IFERROR(-VALUE(LEFT(E1828,FIND("º",SUBSTITUTE(E1828,"°","º"))-1)),-1),IF(LEFT(E1828,6)="TÉRREO",0,IFERROR(VALUE(LEFT(E1828,FIND("º",SUBSTITUTE(E1828,"°","º"))-1)),""))))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26" t="n">
        <v>46793</v>
      </c>
      <c r="G1829" s="126" t="n">
        <v>46804</v>
      </c>
      <c r="H1829" s="126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IF(E1829="","",IF(ISNUMBER(SEARCH("SUBSOLO",E1829)),IFERROR(-VALUE(LEFT(E1829,FIND("º",SUBSTITUTE(E1829,"°","º"))-1)),-1),IF(LEFT(E1829,6)="TÉRREO",0,IFERROR(VALUE(LEFT(E1829,FIND("º",SUBSTITUTE(E1829,"°","º"))-1)),""))))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26" t="n">
        <v>46797</v>
      </c>
      <c r="G1830" s="126" t="n">
        <v>46808</v>
      </c>
      <c r="H1830" s="126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IF(E1830="","",IF(ISNUMBER(SEARCH("SUBSOLO",E1830)),IFERROR(-VALUE(LEFT(E1830,FIND("º",SUBSTITUTE(E1830,"°","º"))-1)),-1),IF(LEFT(E1830,6)="TÉRREO",0,IFERROR(VALUE(LEFT(E1830,FIND("º",SUBSTITUTE(E1830,"°","º"))-1)),""))))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26" t="n">
        <v>46797</v>
      </c>
      <c r="G1831" s="126" t="n">
        <v>46805</v>
      </c>
      <c r="H1831" s="126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IF(E1831="","",IF(ISNUMBER(SEARCH("SUBSOLO",E1831)),IFERROR(-VALUE(LEFT(E1831,FIND("º",SUBSTITUTE(E1831,"°","º"))-1)),-1),IF(LEFT(E1831,6)="TÉRREO",0,IFERROR(VALUE(LEFT(E1831,FIND("º",SUBSTITUTE(E1831,"°","º"))-1)),""))))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26" t="n">
        <v>46797</v>
      </c>
      <c r="G1832" s="126" t="n">
        <v>46815</v>
      </c>
      <c r="H1832" s="126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IF(E1832="","",IF(ISNUMBER(SEARCH("SUBSOLO",E1832)),IFERROR(-VALUE(LEFT(E1832,FIND("º",SUBSTITUTE(E1832,"°","º"))-1)),-1),IF(LEFT(E1832,6)="TÉRREO",0,IFERROR(VALUE(LEFT(E1832,FIND("º",SUBSTITUTE(E1832,"°","º"))-1)),""))))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26" t="n">
        <v>46797</v>
      </c>
      <c r="G1833" s="126" t="n">
        <v>46815</v>
      </c>
      <c r="H1833" s="126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IF(E1833="","",IF(ISNUMBER(SEARCH("SUBSOLO",E1833)),IFERROR(-VALUE(LEFT(E1833,FIND("º",SUBSTITUTE(E1833,"°","º"))-1)),-1),IF(LEFT(E1833,6)="TÉRREO",0,IFERROR(VALUE(LEFT(E1833,FIND("º",SUBSTITUTE(E1833,"°","º"))-1)),""))))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26" t="n">
        <v>46797</v>
      </c>
      <c r="G1834" s="126" t="n">
        <v>46801</v>
      </c>
      <c r="H1834" s="126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IF(E1834="","",IF(ISNUMBER(SEARCH("SUBSOLO",E1834)),IFERROR(-VALUE(LEFT(E1834,FIND("º",SUBSTITUTE(E1834,"°","º"))-1)),-1),IF(LEFT(E1834,6)="TÉRREO",0,IFERROR(VALUE(LEFT(E1834,FIND("º",SUBSTITUTE(E1834,"°","º"))-1)),""))))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26" t="n">
        <v>46797</v>
      </c>
      <c r="G1835" s="126" t="n">
        <v>46808</v>
      </c>
      <c r="H1835" s="126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IF(E1835="","",IF(ISNUMBER(SEARCH("SUBSOLO",E1835)),IFERROR(-VALUE(LEFT(E1835,FIND("º",SUBSTITUTE(E1835,"°","º"))-1)),-1),IF(LEFT(E1835,6)="TÉRREO",0,IFERROR(VALUE(LEFT(E1835,FIND("º",SUBSTITUTE(E1835,"°","º"))-1)),""))))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26" t="n">
        <v>46798</v>
      </c>
      <c r="G1836" s="126" t="n">
        <v>46808</v>
      </c>
      <c r="H1836" s="126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IF(E1836="","",IF(ISNUMBER(SEARCH("SUBSOLO",E1836)),IFERROR(-VALUE(LEFT(E1836,FIND("º",SUBSTITUTE(E1836,"°","º"))-1)),-1),IF(LEFT(E1836,6)="TÉRREO",0,IFERROR(VALUE(LEFT(E1836,FIND("º",SUBSTITUTE(E1836,"°","º"))-1)),""))))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26" t="n">
        <v>46798</v>
      </c>
      <c r="G1837" s="126" t="n">
        <v>46811</v>
      </c>
      <c r="H1837" s="126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IF(E1837="","",IF(ISNUMBER(SEARCH("SUBSOLO",E1837)),IFERROR(-VALUE(LEFT(E1837,FIND("º",SUBSTITUTE(E1837,"°","º"))-1)),-1),IF(LEFT(E1837,6)="TÉRREO",0,IFERROR(VALUE(LEFT(E1837,FIND("º",SUBSTITUTE(E1837,"°","º"))-1)),""))))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26" t="n">
        <v>46798</v>
      </c>
      <c r="G1838" s="126" t="n">
        <v>46811</v>
      </c>
      <c r="H1838" s="126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IF(E1838="","",IF(ISNUMBER(SEARCH("SUBSOLO",E1838)),IFERROR(-VALUE(LEFT(E1838,FIND("º",SUBSTITUTE(E1838,"°","º"))-1)),-1),IF(LEFT(E1838,6)="TÉRREO",0,IFERROR(VALUE(LEFT(E1838,FIND("º",SUBSTITUTE(E1838,"°","º"))-1)),""))))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26" t="n">
        <v>46798</v>
      </c>
      <c r="G1839" s="126" t="n">
        <v>46811</v>
      </c>
      <c r="H1839" s="126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IF(E1839="","",IF(ISNUMBER(SEARCH("SUBSOLO",E1839)),IFERROR(-VALUE(LEFT(E1839,FIND("º",SUBSTITUTE(E1839,"°","º"))-1)),-1),IF(LEFT(E1839,6)="TÉRREO",0,IFERROR(VALUE(LEFT(E1839,FIND("º",SUBSTITUTE(E1839,"°","º"))-1)),""))))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26" t="n">
        <v>46798</v>
      </c>
      <c r="G1840" s="126" t="n">
        <v>46811</v>
      </c>
      <c r="H1840" s="126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IF(E1840="","",IF(ISNUMBER(SEARCH("SUBSOLO",E1840)),IFERROR(-VALUE(LEFT(E1840,FIND("º",SUBSTITUTE(E1840,"°","º"))-1)),-1),IF(LEFT(E1840,6)="TÉRREO",0,IFERROR(VALUE(LEFT(E1840,FIND("º",SUBSTITUTE(E1840,"°","º"))-1)),""))))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26" t="n">
        <v>46798</v>
      </c>
      <c r="G1841" s="126" t="n">
        <v>46811</v>
      </c>
      <c r="H1841" s="126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IF(E1841="","",IF(ISNUMBER(SEARCH("SUBSOLO",E1841)),IFERROR(-VALUE(LEFT(E1841,FIND("º",SUBSTITUTE(E1841,"°","º"))-1)),-1),IF(LEFT(E1841,6)="TÉRREO",0,IFERROR(VALUE(LEFT(E1841,FIND("º",SUBSTITUTE(E1841,"°","º"))-1)),""))))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26" t="n">
        <v>46798</v>
      </c>
      <c r="G1842" s="126" t="n">
        <v>46811</v>
      </c>
      <c r="H1842" s="126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IF(E1842="","",IF(ISNUMBER(SEARCH("SUBSOLO",E1842)),IFERROR(-VALUE(LEFT(E1842,FIND("º",SUBSTITUTE(E1842,"°","º"))-1)),-1),IF(LEFT(E1842,6)="TÉRREO",0,IFERROR(VALUE(LEFT(E1842,FIND("º",SUBSTITUTE(E1842,"°","º"))-1)),""))))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26" t="n">
        <v>46798</v>
      </c>
      <c r="G1843" s="126" t="n">
        <v>46811</v>
      </c>
      <c r="H1843" s="126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IF(E1843="","",IF(ISNUMBER(SEARCH("SUBSOLO",E1843)),IFERROR(-VALUE(LEFT(E1843,FIND("º",SUBSTITUTE(E1843,"°","º"))-1)),-1),IF(LEFT(E1843,6)="TÉRREO",0,IFERROR(VALUE(LEFT(E1843,FIND("º",SUBSTITUTE(E1843,"°","º"))-1)),""))))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26" t="n">
        <v>46798</v>
      </c>
      <c r="G1844" s="126" t="n">
        <v>46811</v>
      </c>
      <c r="H1844" s="126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IF(E1844="","",IF(ISNUMBER(SEARCH("SUBSOLO",E1844)),IFERROR(-VALUE(LEFT(E1844,FIND("º",SUBSTITUTE(E1844,"°","º"))-1)),-1),IF(LEFT(E1844,6)="TÉRREO",0,IFERROR(VALUE(LEFT(E1844,FIND("º",SUBSTITUTE(E1844,"°","º"))-1)),""))))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26" t="n">
        <v>46798</v>
      </c>
      <c r="G1845" s="126" t="n">
        <v>46818</v>
      </c>
      <c r="H1845" s="126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IF(E1845="","",IF(ISNUMBER(SEARCH("SUBSOLO",E1845)),IFERROR(-VALUE(LEFT(E1845,FIND("º",SUBSTITUTE(E1845,"°","º"))-1)),-1),IF(LEFT(E1845,6)="TÉRREO",0,IFERROR(VALUE(LEFT(E1845,FIND("º",SUBSTITUTE(E1845,"°","º"))-1)),""))))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26" t="n">
        <v>46799</v>
      </c>
      <c r="G1846" s="126" t="n">
        <v>46805</v>
      </c>
      <c r="H1846" s="126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IF(E1846="","",IF(ISNUMBER(SEARCH("SUBSOLO",E1846)),IFERROR(-VALUE(LEFT(E1846,FIND("º",SUBSTITUTE(E1846,"°","º"))-1)),-1),IF(LEFT(E1846,6)="TÉRREO",0,IFERROR(VALUE(LEFT(E1846,FIND("º",SUBSTITUTE(E1846,"°","º"))-1)),""))))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26" t="n">
        <v>46799</v>
      </c>
      <c r="G1847" s="126" t="n">
        <v>46812</v>
      </c>
      <c r="H1847" s="126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IF(E1847="","",IF(ISNUMBER(SEARCH("SUBSOLO",E1847)),IFERROR(-VALUE(LEFT(E1847,FIND("º",SUBSTITUTE(E1847,"°","º"))-1)),-1),IF(LEFT(E1847,6)="TÉRREO",0,IFERROR(VALUE(LEFT(E1847,FIND("º",SUBSTITUTE(E1847,"°","º"))-1)),""))))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26" t="n">
        <v>46800</v>
      </c>
      <c r="G1848" s="126" t="n">
        <v>46813</v>
      </c>
      <c r="H1848" s="126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IF(E1848="","",IF(ISNUMBER(SEARCH("SUBSOLO",E1848)),IFERROR(-VALUE(LEFT(E1848,FIND("º",SUBSTITUTE(E1848,"°","º"))-1)),-1),IF(LEFT(E1848,6)="TÉRREO",0,IFERROR(VALUE(LEFT(E1848,FIND("º",SUBSTITUTE(E1848,"°","º"))-1)),""))))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26" t="n">
        <v>46804</v>
      </c>
      <c r="G1849" s="126" t="n">
        <v>46808</v>
      </c>
      <c r="H1849" s="126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IF(E1849="","",IF(ISNUMBER(SEARCH("SUBSOLO",E1849)),IFERROR(-VALUE(LEFT(E1849,FIND("º",SUBSTITUTE(E1849,"°","º"))-1)),-1),IF(LEFT(E1849,6)="TÉRREO",0,IFERROR(VALUE(LEFT(E1849,FIND("º",SUBSTITUTE(E1849,"°","º"))-1)),""))))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26" t="n">
        <v>46804</v>
      </c>
      <c r="G1850" s="126" t="n">
        <v>46815</v>
      </c>
      <c r="H1850" s="126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IF(E1850="","",IF(ISNUMBER(SEARCH("SUBSOLO",E1850)),IFERROR(-VALUE(LEFT(E1850,FIND("º",SUBSTITUTE(E1850,"°","º"))-1)),-1),IF(LEFT(E1850,6)="TÉRREO",0,IFERROR(VALUE(LEFT(E1850,FIND("º",SUBSTITUTE(E1850,"°","º"))-1)),""))))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26" t="n">
        <v>46804</v>
      </c>
      <c r="G1851" s="126" t="n">
        <v>46814</v>
      </c>
      <c r="H1851" s="126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IF(E1851="","",IF(ISNUMBER(SEARCH("SUBSOLO",E1851)),IFERROR(-VALUE(LEFT(E1851,FIND("º",SUBSTITUTE(E1851,"°","º"))-1)),-1),IF(LEFT(E1851,6)="TÉRREO",0,IFERROR(VALUE(LEFT(E1851,FIND("º",SUBSTITUTE(E1851,"°","º"))-1)),""))))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26" t="n">
        <v>46805</v>
      </c>
      <c r="G1852" s="126" t="n">
        <v>46818</v>
      </c>
      <c r="H1852" s="126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IF(E1852="","",IF(ISNUMBER(SEARCH("SUBSOLO",E1852)),IFERROR(-VALUE(LEFT(E1852,FIND("º",SUBSTITUTE(E1852,"°","º"))-1)),-1),IF(LEFT(E1852,6)="TÉRREO",0,IFERROR(VALUE(LEFT(E1852,FIND("º",SUBSTITUTE(E1852,"°","º"))-1)),""))))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26" t="n">
        <v>46805</v>
      </c>
      <c r="G1853" s="126" t="n">
        <v>46813</v>
      </c>
      <c r="H1853" s="126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IF(E1853="","",IF(ISNUMBER(SEARCH("SUBSOLO",E1853)),IFERROR(-VALUE(LEFT(E1853,FIND("º",SUBSTITUTE(E1853,"°","º"))-1)),-1),IF(LEFT(E1853,6)="TÉRREO",0,IFERROR(VALUE(LEFT(E1853,FIND("º",SUBSTITUTE(E1853,"°","º"))-1)),""))))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26" t="n">
        <v>46805</v>
      </c>
      <c r="G1854" s="126" t="n">
        <v>46818</v>
      </c>
      <c r="H1854" s="126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IF(E1854="","",IF(ISNUMBER(SEARCH("SUBSOLO",E1854)),IFERROR(-VALUE(LEFT(E1854,FIND("º",SUBSTITUTE(E1854,"°","º"))-1)),-1),IF(LEFT(E1854,6)="TÉRREO",0,IFERROR(VALUE(LEFT(E1854,FIND("º",SUBSTITUTE(E1854,"°","º"))-1)),""))))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26" t="n">
        <v>46805</v>
      </c>
      <c r="G1855" s="126" t="n">
        <v>46811</v>
      </c>
      <c r="H1855" s="126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IF(E1855="","",IF(ISNUMBER(SEARCH("SUBSOLO",E1855)),IFERROR(-VALUE(LEFT(E1855,FIND("º",SUBSTITUTE(E1855,"°","º"))-1)),-1),IF(LEFT(E1855,6)="TÉRREO",0,IFERROR(VALUE(LEFT(E1855,FIND("º",SUBSTITUTE(E1855,"°","º"))-1)),""))))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26" t="n">
        <v>46812</v>
      </c>
      <c r="G1856" s="126" t="n">
        <v>46818</v>
      </c>
      <c r="H1856" s="126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IF(E1856="","",IF(ISNUMBER(SEARCH("SUBSOLO",E1856)),IFERROR(-VALUE(LEFT(E1856,FIND("º",SUBSTITUTE(E1856,"°","º"))-1)),-1),IF(LEFT(E1856,6)="TÉRREO",0,IFERROR(VALUE(LEFT(E1856,FIND("º",SUBSTITUTE(E1856,"°","º"))-1)),""))))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26" t="n">
        <v>46805</v>
      </c>
      <c r="G1857" s="126" t="n">
        <v>46818</v>
      </c>
      <c r="H1857" s="126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IF(E1857="","",IF(ISNUMBER(SEARCH("SUBSOLO",E1857)),IFERROR(-VALUE(LEFT(E1857,FIND("º",SUBSTITUTE(E1857,"°","º"))-1)),-1),IF(LEFT(E1857,6)="TÉRREO",0,IFERROR(VALUE(LEFT(E1857,FIND("º",SUBSTITUTE(E1857,"°","º"))-1)),""))))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26" t="n">
        <v>46805</v>
      </c>
      <c r="G1858" s="126" t="n">
        <v>46815</v>
      </c>
      <c r="H1858" s="126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IF(E1858="","",IF(ISNUMBER(SEARCH("SUBSOLO",E1858)),IFERROR(-VALUE(LEFT(E1858,FIND("º",SUBSTITUTE(E1858,"°","º"))-1)),-1),IF(LEFT(E1858,6)="TÉRREO",0,IFERROR(VALUE(LEFT(E1858,FIND("º",SUBSTITUTE(E1858,"°","º"))-1)),""))))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26" t="n">
        <v>46806</v>
      </c>
      <c r="G1859" s="126" t="n">
        <v>46812</v>
      </c>
      <c r="H1859" s="126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IF(E1859="","",IF(ISNUMBER(SEARCH("SUBSOLO",E1859)),IFERROR(-VALUE(LEFT(E1859,FIND("º",SUBSTITUTE(E1859,"°","º"))-1)),-1),IF(LEFT(E1859,6)="TÉRREO",0,IFERROR(VALUE(LEFT(E1859,FIND("º",SUBSTITUTE(E1859,"°","º"))-1)),""))))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26" t="n">
        <v>46806</v>
      </c>
      <c r="G1860" s="126" t="n">
        <v>46818</v>
      </c>
      <c r="H1860" s="126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IF(E1860="","",IF(ISNUMBER(SEARCH("SUBSOLO",E1860)),IFERROR(-VALUE(LEFT(E1860,FIND("º",SUBSTITUTE(E1860,"°","º"))-1)),-1),IF(LEFT(E1860,6)="TÉRREO",0,IFERROR(VALUE(LEFT(E1860,FIND("º",SUBSTITUTE(E1860,"°","º"))-1)),""))))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26" t="n">
        <v>46806</v>
      </c>
      <c r="G1861" s="126" t="n">
        <v>46819</v>
      </c>
      <c r="H1861" s="126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IF(E1861="","",IF(ISNUMBER(SEARCH("SUBSOLO",E1861)),IFERROR(-VALUE(LEFT(E1861,FIND("º",SUBSTITUTE(E1861,"°","º"))-1)),-1),IF(LEFT(E1861,6)="TÉRREO",0,IFERROR(VALUE(LEFT(E1861,FIND("º",SUBSTITUTE(E1861,"°","º"))-1)),""))))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26" t="n">
        <v>46806</v>
      </c>
      <c r="G1862" s="126" t="n">
        <v>46819</v>
      </c>
      <c r="H1862" s="126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IF(E1862="","",IF(ISNUMBER(SEARCH("SUBSOLO",E1862)),IFERROR(-VALUE(LEFT(E1862,FIND("º",SUBSTITUTE(E1862,"°","º"))-1)),-1),IF(LEFT(E1862,6)="TÉRREO",0,IFERROR(VALUE(LEFT(E1862,FIND("º",SUBSTITUTE(E1862,"°","º"))-1)),""))))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26" t="n">
        <v>46806</v>
      </c>
      <c r="G1863" s="126" t="n">
        <v>46819</v>
      </c>
      <c r="H1863" s="126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IF(E1863="","",IF(ISNUMBER(SEARCH("SUBSOLO",E1863)),IFERROR(-VALUE(LEFT(E1863,FIND("º",SUBSTITUTE(E1863,"°","º"))-1)),-1),IF(LEFT(E1863,6)="TÉRREO",0,IFERROR(VALUE(LEFT(E1863,FIND("º",SUBSTITUTE(E1863,"°","º"))-1)),""))))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26" t="n">
        <v>46806</v>
      </c>
      <c r="G1864" s="126" t="n">
        <v>46819</v>
      </c>
      <c r="H1864" s="126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IF(E1864="","",IF(ISNUMBER(SEARCH("SUBSOLO",E1864)),IFERROR(-VALUE(LEFT(E1864,FIND("º",SUBSTITUTE(E1864,"°","º"))-1)),-1),IF(LEFT(E1864,6)="TÉRREO",0,IFERROR(VALUE(LEFT(E1864,FIND("º",SUBSTITUTE(E1864,"°","º"))-1)),""))))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26" t="n">
        <v>46806</v>
      </c>
      <c r="G1865" s="126" t="n">
        <v>46819</v>
      </c>
      <c r="H1865" s="126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IF(E1865="","",IF(ISNUMBER(SEARCH("SUBSOLO",E1865)),IFERROR(-VALUE(LEFT(E1865,FIND("º",SUBSTITUTE(E1865,"°","º"))-1)),-1),IF(LEFT(E1865,6)="TÉRREO",0,IFERROR(VALUE(LEFT(E1865,FIND("º",SUBSTITUTE(E1865,"°","º"))-1)),""))))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26" t="n">
        <v>46806</v>
      </c>
      <c r="G1866" s="126" t="n">
        <v>46826</v>
      </c>
      <c r="H1866" s="126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IF(E1866="","",IF(ISNUMBER(SEARCH("SUBSOLO",E1866)),IFERROR(-VALUE(LEFT(E1866,FIND("º",SUBSTITUTE(E1866,"°","º"))-1)),-1),IF(LEFT(E1866,6)="TÉRREO",0,IFERROR(VALUE(LEFT(E1866,FIND("º",SUBSTITUTE(E1866,"°","º"))-1)),""))))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26" t="n">
        <v>46806</v>
      </c>
      <c r="G1867" s="126" t="n">
        <v>46815</v>
      </c>
      <c r="H1867" s="126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IF(E1867="","",IF(ISNUMBER(SEARCH("SUBSOLO",E1867)),IFERROR(-VALUE(LEFT(E1867,FIND("º",SUBSTITUTE(E1867,"°","º"))-1)),-1),IF(LEFT(E1867,6)="TÉRREO",0,IFERROR(VALUE(LEFT(E1867,FIND("º",SUBSTITUTE(E1867,"°","º"))-1)),""))))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26" t="n">
        <v>46808</v>
      </c>
      <c r="G1868" s="126" t="n">
        <v>46814</v>
      </c>
      <c r="H1868" s="126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IF(E1868="","",IF(ISNUMBER(SEARCH("SUBSOLO",E1868)),IFERROR(-VALUE(LEFT(E1868,FIND("º",SUBSTITUTE(E1868,"°","º"))-1)),-1),IF(LEFT(E1868,6)="TÉRREO",0,IFERROR(VALUE(LEFT(E1868,FIND("º",SUBSTITUTE(E1868,"°","º"))-1)),""))))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26" t="n">
        <v>46811</v>
      </c>
      <c r="G1869" s="126" t="n">
        <v>46822</v>
      </c>
      <c r="H1869" s="126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IF(E1869="","",IF(ISNUMBER(SEARCH("SUBSOLO",E1869)),IFERROR(-VALUE(LEFT(E1869,FIND("º",SUBSTITUTE(E1869,"°","º"))-1)),-1),IF(LEFT(E1869,6)="TÉRREO",0,IFERROR(VALUE(LEFT(E1869,FIND("º",SUBSTITUTE(E1869,"°","º"))-1)),""))))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26" t="n">
        <v>46811</v>
      </c>
      <c r="G1870" s="126" t="n">
        <v>46822</v>
      </c>
      <c r="H1870" s="126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IF(E1870="","",IF(ISNUMBER(SEARCH("SUBSOLO",E1870)),IFERROR(-VALUE(LEFT(E1870,FIND("º",SUBSTITUTE(E1870,"°","º"))-1)),-1),IF(LEFT(E1870,6)="TÉRREO",0,IFERROR(VALUE(LEFT(E1870,FIND("º",SUBSTITUTE(E1870,"°","º"))-1)),""))))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26" t="n">
        <v>46811</v>
      </c>
      <c r="G1871" s="126" t="n">
        <v>46822</v>
      </c>
      <c r="H1871" s="126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IF(E1871="","",IF(ISNUMBER(SEARCH("SUBSOLO",E1871)),IFERROR(-VALUE(LEFT(E1871,FIND("º",SUBSTITUTE(E1871,"°","º"))-1)),-1),IF(LEFT(E1871,6)="TÉRREO",0,IFERROR(VALUE(LEFT(E1871,FIND("º",SUBSTITUTE(E1871,"°","º"))-1)),""))))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26" t="n">
        <v>46812</v>
      </c>
      <c r="G1872" s="126" t="n">
        <v>46825</v>
      </c>
      <c r="H1872" s="126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IF(E1872="","",IF(ISNUMBER(SEARCH("SUBSOLO",E1872)),IFERROR(-VALUE(LEFT(E1872,FIND("º",SUBSTITUTE(E1872,"°","º"))-1)),-1),IF(LEFT(E1872,6)="TÉRREO",0,IFERROR(VALUE(LEFT(E1872,FIND("º",SUBSTITUTE(E1872,"°","º"))-1)),""))))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26" t="n">
        <v>46812</v>
      </c>
      <c r="G1873" s="126" t="n">
        <v>46825</v>
      </c>
      <c r="H1873" s="126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IF(E1873="","",IF(ISNUMBER(SEARCH("SUBSOLO",E1873)),IFERROR(-VALUE(LEFT(E1873,FIND("º",SUBSTITUTE(E1873,"°","º"))-1)),-1),IF(LEFT(E1873,6)="TÉRREO",0,IFERROR(VALUE(LEFT(E1873,FIND("º",SUBSTITUTE(E1873,"°","º"))-1)),""))))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26" t="n">
        <v>46812</v>
      </c>
      <c r="G1874" s="126" t="n">
        <v>46832</v>
      </c>
      <c r="H1874" s="126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IF(E1874="","",IF(ISNUMBER(SEARCH("SUBSOLO",E1874)),IFERROR(-VALUE(LEFT(E1874,FIND("º",SUBSTITUTE(E1874,"°","º"))-1)),-1),IF(LEFT(E1874,6)="TÉRREO",0,IFERROR(VALUE(LEFT(E1874,FIND("º",SUBSTITUTE(E1874,"°","º"))-1)),""))))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26" t="n">
        <v>46812</v>
      </c>
      <c r="G1875" s="126" t="n">
        <v>46825</v>
      </c>
      <c r="H1875" s="126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IF(E1875="","",IF(ISNUMBER(SEARCH("SUBSOLO",E1875)),IFERROR(-VALUE(LEFT(E1875,FIND("º",SUBSTITUTE(E1875,"°","º"))-1)),-1),IF(LEFT(E1875,6)="TÉRREO",0,IFERROR(VALUE(LEFT(E1875,FIND("º",SUBSTITUTE(E1875,"°","º"))-1)),""))))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26" t="n">
        <v>46812</v>
      </c>
      <c r="G1876" s="126" t="n">
        <v>46825</v>
      </c>
      <c r="H1876" s="126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IF(E1876="","",IF(ISNUMBER(SEARCH("SUBSOLO",E1876)),IFERROR(-VALUE(LEFT(E1876,FIND("º",SUBSTITUTE(E1876,"°","º"))-1)),-1),IF(LEFT(E1876,6)="TÉRREO",0,IFERROR(VALUE(LEFT(E1876,FIND("º",SUBSTITUTE(E1876,"°","º"))-1)),""))))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26" t="n">
        <v>46813</v>
      </c>
      <c r="G1877" s="126" t="n">
        <v>46826</v>
      </c>
      <c r="H1877" s="126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IF(E1877="","",IF(ISNUMBER(SEARCH("SUBSOLO",E1877)),IFERROR(-VALUE(LEFT(E1877,FIND("º",SUBSTITUTE(E1877,"°","º"))-1)),-1),IF(LEFT(E1877,6)="TÉRREO",0,IFERROR(VALUE(LEFT(E1877,FIND("º",SUBSTITUTE(E1877,"°","º"))-1)),""))))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26" t="n">
        <v>46813</v>
      </c>
      <c r="G1878" s="126" t="n">
        <v>46826</v>
      </c>
      <c r="H1878" s="126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IF(E1878="","",IF(ISNUMBER(SEARCH("SUBSOLO",E1878)),IFERROR(-VALUE(LEFT(E1878,FIND("º",SUBSTITUTE(E1878,"°","º"))-1)),-1),IF(LEFT(E1878,6)="TÉRREO",0,IFERROR(VALUE(LEFT(E1878,FIND("º",SUBSTITUTE(E1878,"°","º"))-1)),""))))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26" t="n">
        <v>46813</v>
      </c>
      <c r="G1879" s="126" t="n">
        <v>46819</v>
      </c>
      <c r="H1879" s="126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IF(E1879="","",IF(ISNUMBER(SEARCH("SUBSOLO",E1879)),IFERROR(-VALUE(LEFT(E1879,FIND("º",SUBSTITUTE(E1879,"°","º"))-1)),-1),IF(LEFT(E1879,6)="TÉRREO",0,IFERROR(VALUE(LEFT(E1879,FIND("º",SUBSTITUTE(E1879,"°","º"))-1)),""))))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26" t="n">
        <v>46820</v>
      </c>
      <c r="G1880" s="126" t="n">
        <v>46826</v>
      </c>
      <c r="H1880" s="126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IF(E1880="","",IF(ISNUMBER(SEARCH("SUBSOLO",E1880)),IFERROR(-VALUE(LEFT(E1880,FIND("º",SUBSTITUTE(E1880,"°","º"))-1)),-1),IF(LEFT(E1880,6)="TÉRREO",0,IFERROR(VALUE(LEFT(E1880,FIND("º",SUBSTITUTE(E1880,"°","º"))-1)),""))))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26" t="n">
        <v>46813</v>
      </c>
      <c r="G1881" s="126" t="n">
        <v>46833</v>
      </c>
      <c r="H1881" s="126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IF(E1881="","",IF(ISNUMBER(SEARCH("SUBSOLO",E1881)),IFERROR(-VALUE(LEFT(E1881,FIND("º",SUBSTITUTE(E1881,"°","º"))-1)),-1),IF(LEFT(E1881,6)="TÉRREO",0,IFERROR(VALUE(LEFT(E1881,FIND("º",SUBSTITUTE(E1881,"°","º"))-1)),""))))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26" t="n">
        <v>46814</v>
      </c>
      <c r="G1882" s="126" t="n">
        <v>46820</v>
      </c>
      <c r="H1882" s="126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IF(E1882="","",IF(ISNUMBER(SEARCH("SUBSOLO",E1882)),IFERROR(-VALUE(LEFT(E1882,FIND("º",SUBSTITUTE(E1882,"°","º"))-1)),-1),IF(LEFT(E1882,6)="TÉRREO",0,IFERROR(VALUE(LEFT(E1882,FIND("º",SUBSTITUTE(E1882,"°","º"))-1)),""))))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26" t="n">
        <v>46814</v>
      </c>
      <c r="G1883" s="126" t="n">
        <v>46825</v>
      </c>
      <c r="H1883" s="126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IF(E1883="","",IF(ISNUMBER(SEARCH("SUBSOLO",E1883)),IFERROR(-VALUE(LEFT(E1883,FIND("º",SUBSTITUTE(E1883,"°","º"))-1)),-1),IF(LEFT(E1883,6)="TÉRREO",0,IFERROR(VALUE(LEFT(E1883,FIND("º",SUBSTITUTE(E1883,"°","º"))-1)),""))))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26" t="n">
        <v>46815</v>
      </c>
      <c r="G1884" s="126" t="n">
        <v>46828</v>
      </c>
      <c r="H1884" s="126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IF(E1884="","",IF(ISNUMBER(SEARCH("SUBSOLO",E1884)),IFERROR(-VALUE(LEFT(E1884,FIND("º",SUBSTITUTE(E1884,"°","º"))-1)),-1),IF(LEFT(E1884,6)="TÉRREO",0,IFERROR(VALUE(LEFT(E1884,FIND("º",SUBSTITUTE(E1884,"°","º"))-1)),""))))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26" t="n">
        <v>46815</v>
      </c>
      <c r="G1885" s="126" t="n">
        <v>46828</v>
      </c>
      <c r="H1885" s="126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IF(E1885="","",IF(ISNUMBER(SEARCH("SUBSOLO",E1885)),IFERROR(-VALUE(LEFT(E1885,FIND("º",SUBSTITUTE(E1885,"°","º"))-1)),-1),IF(LEFT(E1885,6)="TÉRREO",0,IFERROR(VALUE(LEFT(E1885,FIND("º",SUBSTITUTE(E1885,"°","º"))-1)),""))))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26" t="n">
        <v>46815</v>
      </c>
      <c r="G1886" s="126" t="n">
        <v>46846</v>
      </c>
      <c r="H1886" s="126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IF(E1886="","",IF(ISNUMBER(SEARCH("SUBSOLO",E1886)),IFERROR(-VALUE(LEFT(E1886,FIND("º",SUBSTITUTE(E1886,"°","º"))-1)),-1),IF(LEFT(E1886,6)="TÉRREO",0,IFERROR(VALUE(LEFT(E1886,FIND("º",SUBSTITUTE(E1886,"°","º"))-1)),""))))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26" t="n">
        <v>46815</v>
      </c>
      <c r="G1887" s="126" t="n">
        <v>46827</v>
      </c>
      <c r="H1887" s="126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IF(E1887="","",IF(ISNUMBER(SEARCH("SUBSOLO",E1887)),IFERROR(-VALUE(LEFT(E1887,FIND("º",SUBSTITUTE(E1887,"°","º"))-1)),-1),IF(LEFT(E1887,6)="TÉRREO",0,IFERROR(VALUE(LEFT(E1887,FIND("º",SUBSTITUTE(E1887,"°","º"))-1)),""))))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26" t="n">
        <v>46818</v>
      </c>
      <c r="G1888" s="126" t="n">
        <v>46829</v>
      </c>
      <c r="H1888" s="126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IF(E1888="","",IF(ISNUMBER(SEARCH("SUBSOLO",E1888)),IFERROR(-VALUE(LEFT(E1888,FIND("º",SUBSTITUTE(E1888,"°","º"))-1)),-1),IF(LEFT(E1888,6)="TÉRREO",0,IFERROR(VALUE(LEFT(E1888,FIND("º",SUBSTITUTE(E1888,"°","º"))-1)),""))))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26" t="n">
        <v>46818</v>
      </c>
      <c r="G1889" s="126" t="n">
        <v>46826</v>
      </c>
      <c r="H1889" s="126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IF(E1889="","",IF(ISNUMBER(SEARCH("SUBSOLO",E1889)),IFERROR(-VALUE(LEFT(E1889,FIND("º",SUBSTITUTE(E1889,"°","º"))-1)),-1),IF(LEFT(E1889,6)="TÉRREO",0,IFERROR(VALUE(LEFT(E1889,FIND("º",SUBSTITUTE(E1889,"°","º"))-1)),""))))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26" t="n">
        <v>46818</v>
      </c>
      <c r="G1890" s="126" t="n">
        <v>46836</v>
      </c>
      <c r="H1890" s="126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IF(E1890="","",IF(ISNUMBER(SEARCH("SUBSOLO",E1890)),IFERROR(-VALUE(LEFT(E1890,FIND("º",SUBSTITUTE(E1890,"°","º"))-1)),-1),IF(LEFT(E1890,6)="TÉRREO",0,IFERROR(VALUE(LEFT(E1890,FIND("º",SUBSTITUTE(E1890,"°","º"))-1)),""))))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26" t="n">
        <v>46818</v>
      </c>
      <c r="G1891" s="126" t="n">
        <v>46836</v>
      </c>
      <c r="H1891" s="126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IF(E1891="","",IF(ISNUMBER(SEARCH("SUBSOLO",E1891)),IFERROR(-VALUE(LEFT(E1891,FIND("º",SUBSTITUTE(E1891,"°","º"))-1)),-1),IF(LEFT(E1891,6)="TÉRREO",0,IFERROR(VALUE(LEFT(E1891,FIND("º",SUBSTITUTE(E1891,"°","º"))-1)),""))))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26" t="n">
        <v>46818</v>
      </c>
      <c r="G1892" s="126" t="n">
        <v>46822</v>
      </c>
      <c r="H1892" s="126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IF(E1892="","",IF(ISNUMBER(SEARCH("SUBSOLO",E1892)),IFERROR(-VALUE(LEFT(E1892,FIND("º",SUBSTITUTE(E1892,"°","º"))-1)),-1),IF(LEFT(E1892,6)="TÉRREO",0,IFERROR(VALUE(LEFT(E1892,FIND("º",SUBSTITUTE(E1892,"°","º"))-1)),""))))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26" t="n">
        <v>46818</v>
      </c>
      <c r="G1893" s="126" t="n">
        <v>46829</v>
      </c>
      <c r="H1893" s="126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IF(E1893="","",IF(ISNUMBER(SEARCH("SUBSOLO",E1893)),IFERROR(-VALUE(LEFT(E1893,FIND("º",SUBSTITUTE(E1893,"°","º"))-1)),-1),IF(LEFT(E1893,6)="TÉRREO",0,IFERROR(VALUE(LEFT(E1893,FIND("º",SUBSTITUTE(E1893,"°","º"))-1)),""))))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26" t="n">
        <v>46818</v>
      </c>
      <c r="G1894" s="126" t="n">
        <v>46828</v>
      </c>
      <c r="H1894" s="126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IF(E1894="","",IF(ISNUMBER(SEARCH("SUBSOLO",E1894)),IFERROR(-VALUE(LEFT(E1894,FIND("º",SUBSTITUTE(E1894,"°","º"))-1)),-1),IF(LEFT(E1894,6)="TÉRREO",0,IFERROR(VALUE(LEFT(E1894,FIND("º",SUBSTITUTE(E1894,"°","º"))-1)),""))))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26" t="n">
        <v>46819</v>
      </c>
      <c r="G1895" s="126" t="n">
        <v>46867</v>
      </c>
      <c r="H1895" s="126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IF(E1895="","",IF(ISNUMBER(SEARCH("SUBSOLO",E1895)),IFERROR(-VALUE(LEFT(E1895,FIND("º",SUBSTITUTE(E1895,"°","º"))-1)),-1),IF(LEFT(E1895,6)="TÉRREO",0,IFERROR(VALUE(LEFT(E1895,FIND("º",SUBSTITUTE(E1895,"°","º"))-1)),""))))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26" t="n">
        <v>46819</v>
      </c>
      <c r="G1896" s="126" t="n">
        <v>46829</v>
      </c>
      <c r="H1896" s="126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IF(E1896="","",IF(ISNUMBER(SEARCH("SUBSOLO",E1896)),IFERROR(-VALUE(LEFT(E1896,FIND("º",SUBSTITUTE(E1896,"°","º"))-1)),-1),IF(LEFT(E1896,6)="TÉRREO",0,IFERROR(VALUE(LEFT(E1896,FIND("º",SUBSTITUTE(E1896,"°","º"))-1)),""))))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26" t="n">
        <v>46819</v>
      </c>
      <c r="G1897" s="126" t="n">
        <v>46832</v>
      </c>
      <c r="H1897" s="126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IF(E1897="","",IF(ISNUMBER(SEARCH("SUBSOLO",E1897)),IFERROR(-VALUE(LEFT(E1897,FIND("º",SUBSTITUTE(E1897,"°","º"))-1)),-1),IF(LEFT(E1897,6)="TÉRREO",0,IFERROR(VALUE(LEFT(E1897,FIND("º",SUBSTITUTE(E1897,"°","º"))-1)),""))))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26" t="n">
        <v>46819</v>
      </c>
      <c r="G1898" s="126" t="n">
        <v>46832</v>
      </c>
      <c r="H1898" s="126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IF(E1898="","",IF(ISNUMBER(SEARCH("SUBSOLO",E1898)),IFERROR(-VALUE(LEFT(E1898,FIND("º",SUBSTITUTE(E1898,"°","º"))-1)),-1),IF(LEFT(E1898,6)="TÉRREO",0,IFERROR(VALUE(LEFT(E1898,FIND("º",SUBSTITUTE(E1898,"°","º"))-1)),""))))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26" t="n">
        <v>46819</v>
      </c>
      <c r="G1899" s="126" t="n">
        <v>46832</v>
      </c>
      <c r="H1899" s="126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IF(E1899="","",IF(ISNUMBER(SEARCH("SUBSOLO",E1899)),IFERROR(-VALUE(LEFT(E1899,FIND("º",SUBSTITUTE(E1899,"°","º"))-1)),-1),IF(LEFT(E1899,6)="TÉRREO",0,IFERROR(VALUE(LEFT(E1899,FIND("º",SUBSTITUTE(E1899,"°","º"))-1)),""))))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26" t="n">
        <v>46819</v>
      </c>
      <c r="G1900" s="126" t="n">
        <v>46832</v>
      </c>
      <c r="H1900" s="126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IF(E1900="","",IF(ISNUMBER(SEARCH("SUBSOLO",E1900)),IFERROR(-VALUE(LEFT(E1900,FIND("º",SUBSTITUTE(E1900,"°","º"))-1)),-1),IF(LEFT(E1900,6)="TÉRREO",0,IFERROR(VALUE(LEFT(E1900,FIND("º",SUBSTITUTE(E1900,"°","º"))-1)),""))))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26" t="n">
        <v>46819</v>
      </c>
      <c r="G1901" s="126" t="n">
        <v>46832</v>
      </c>
      <c r="H1901" s="126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IF(E1901="","",IF(ISNUMBER(SEARCH("SUBSOLO",E1901)),IFERROR(-VALUE(LEFT(E1901,FIND("º",SUBSTITUTE(E1901,"°","º"))-1)),-1),IF(LEFT(E1901,6)="TÉRREO",0,IFERROR(VALUE(LEFT(E1901,FIND("º",SUBSTITUTE(E1901,"°","º"))-1)),""))))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26" t="n">
        <v>46819</v>
      </c>
      <c r="G1902" s="126" t="n">
        <v>46839</v>
      </c>
      <c r="H1902" s="126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IF(E1902="","",IF(ISNUMBER(SEARCH("SUBSOLO",E1902)),IFERROR(-VALUE(LEFT(E1902,FIND("º",SUBSTITUTE(E1902,"°","º"))-1)),-1),IF(LEFT(E1902,6)="TÉRREO",0,IFERROR(VALUE(LEFT(E1902,FIND("º",SUBSTITUTE(E1902,"°","º"))-1)),""))))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26" t="n">
        <v>46819</v>
      </c>
      <c r="G1903" s="126" t="n">
        <v>46832</v>
      </c>
      <c r="H1903" s="126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IF(E1903="","",IF(ISNUMBER(SEARCH("SUBSOLO",E1903)),IFERROR(-VALUE(LEFT(E1903,FIND("º",SUBSTITUTE(E1903,"°","º"))-1)),-1),IF(LEFT(E1903,6)="TÉRREO",0,IFERROR(VALUE(LEFT(E1903,FIND("º",SUBSTITUTE(E1903,"°","º"))-1)),""))))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26" t="n">
        <v>46820</v>
      </c>
      <c r="G1904" s="126" t="n">
        <v>46833</v>
      </c>
      <c r="H1904" s="126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IF(E1904="","",IF(ISNUMBER(SEARCH("SUBSOLO",E1904)),IFERROR(-VALUE(LEFT(E1904,FIND("º",SUBSTITUTE(E1904,"°","º"))-1)),-1),IF(LEFT(E1904,6)="TÉRREO",0,IFERROR(VALUE(LEFT(E1904,FIND("º",SUBSTITUTE(E1904,"°","º"))-1)),""))))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26" t="n">
        <v>46820</v>
      </c>
      <c r="G1905" s="126" t="n">
        <v>46833</v>
      </c>
      <c r="H1905" s="126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IF(E1905="","",IF(ISNUMBER(SEARCH("SUBSOLO",E1905)),IFERROR(-VALUE(LEFT(E1905,FIND("º",SUBSTITUTE(E1905,"°","º"))-1)),-1),IF(LEFT(E1905,6)="TÉRREO",0,IFERROR(VALUE(LEFT(E1905,FIND("º",SUBSTITUTE(E1905,"°","º"))-1)),""))))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26" t="n">
        <v>46825</v>
      </c>
      <c r="G1906" s="126" t="n">
        <v>46836</v>
      </c>
      <c r="H1906" s="126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IF(E1906="","",IF(ISNUMBER(SEARCH("SUBSOLO",E1906)),IFERROR(-VALUE(LEFT(E1906,FIND("º",SUBSTITUTE(E1906,"°","º"))-1)),-1),IF(LEFT(E1906,6)="TÉRREO",0,IFERROR(VALUE(LEFT(E1906,FIND("º",SUBSTITUTE(E1906,"°","º"))-1)),""))))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26" t="n">
        <v>46825</v>
      </c>
      <c r="G1907" s="126" t="n">
        <v>46836</v>
      </c>
      <c r="H1907" s="126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IF(E1907="","",IF(ISNUMBER(SEARCH("SUBSOLO",E1907)),IFERROR(-VALUE(LEFT(E1907,FIND("º",SUBSTITUTE(E1907,"°","º"))-1)),-1),IF(LEFT(E1907,6)="TÉRREO",0,IFERROR(VALUE(LEFT(E1907,FIND("º",SUBSTITUTE(E1907,"°","º"))-1)),""))))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26" t="n">
        <v>46825</v>
      </c>
      <c r="G1908" s="126" t="n">
        <v>46836</v>
      </c>
      <c r="H1908" s="126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IF(E1908="","",IF(ISNUMBER(SEARCH("SUBSOLO",E1908)),IFERROR(-VALUE(LEFT(E1908,FIND("º",SUBSTITUTE(E1908,"°","º"))-1)),-1),IF(LEFT(E1908,6)="TÉRREO",0,IFERROR(VALUE(LEFT(E1908,FIND("º",SUBSTITUTE(E1908,"°","º"))-1)),""))))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26" t="n">
        <v>46826</v>
      </c>
      <c r="G1909" s="126" t="n">
        <v>46839</v>
      </c>
      <c r="H1909" s="126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IF(E1909="","",IF(ISNUMBER(SEARCH("SUBSOLO",E1909)),IFERROR(-VALUE(LEFT(E1909,FIND("º",SUBSTITUTE(E1909,"°","º"))-1)),-1),IF(LEFT(E1909,6)="TÉRREO",0,IFERROR(VALUE(LEFT(E1909,FIND("º",SUBSTITUTE(E1909,"°","º"))-1)),""))))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26" t="n">
        <v>46826</v>
      </c>
      <c r="G1910" s="126" t="n">
        <v>46839</v>
      </c>
      <c r="H1910" s="126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IF(E1910="","",IF(ISNUMBER(SEARCH("SUBSOLO",E1910)),IFERROR(-VALUE(LEFT(E1910,FIND("º",SUBSTITUTE(E1910,"°","º"))-1)),-1),IF(LEFT(E1910,6)="TÉRREO",0,IFERROR(VALUE(LEFT(E1910,FIND("º",SUBSTITUTE(E1910,"°","º"))-1)),""))))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26" t="n">
        <v>46826</v>
      </c>
      <c r="G1911" s="126" t="n">
        <v>46846</v>
      </c>
      <c r="H1911" s="126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IF(E1911="","",IF(ISNUMBER(SEARCH("SUBSOLO",E1911)),IFERROR(-VALUE(LEFT(E1911,FIND("º",SUBSTITUTE(E1911,"°","º"))-1)),-1),IF(LEFT(E1911,6)="TÉRREO",0,IFERROR(VALUE(LEFT(E1911,FIND("º",SUBSTITUTE(E1911,"°","º"))-1)),""))))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26" t="n">
        <v>46826</v>
      </c>
      <c r="G1912" s="126" t="n">
        <v>46839</v>
      </c>
      <c r="H1912" s="126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IF(E1912="","",IF(ISNUMBER(SEARCH("SUBSOLO",E1912)),IFERROR(-VALUE(LEFT(E1912,FIND("º",SUBSTITUTE(E1912,"°","º"))-1)),-1),IF(LEFT(E1912,6)="TÉRREO",0,IFERROR(VALUE(LEFT(E1912,FIND("º",SUBSTITUTE(E1912,"°","º"))-1)),""))))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26" t="n">
        <v>46826</v>
      </c>
      <c r="G1913" s="126" t="n">
        <v>46832</v>
      </c>
      <c r="H1913" s="126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IF(E1913="","",IF(ISNUMBER(SEARCH("SUBSOLO",E1913)),IFERROR(-VALUE(LEFT(E1913,FIND("º",SUBSTITUTE(E1913,"°","º"))-1)),-1),IF(LEFT(E1913,6)="TÉRREO",0,IFERROR(VALUE(LEFT(E1913,FIND("º",SUBSTITUTE(E1913,"°","º"))-1)),""))))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26" t="n">
        <v>46833</v>
      </c>
      <c r="G1914" s="126" t="n">
        <v>46839</v>
      </c>
      <c r="H1914" s="126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IF(E1914="","",IF(ISNUMBER(SEARCH("SUBSOLO",E1914)),IFERROR(-VALUE(LEFT(E1914,FIND("º",SUBSTITUTE(E1914,"°","º"))-1)),-1),IF(LEFT(E1914,6)="TÉRREO",0,IFERROR(VALUE(LEFT(E1914,FIND("º",SUBSTITUTE(E1914,"°","º"))-1)),""))))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26" t="n">
        <v>46826</v>
      </c>
      <c r="G1915" s="126" t="n">
        <v>46839</v>
      </c>
      <c r="H1915" s="126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IF(E1915="","",IF(ISNUMBER(SEARCH("SUBSOLO",E1915)),IFERROR(-VALUE(LEFT(E1915,FIND("º",SUBSTITUTE(E1915,"°","º"))-1)),-1),IF(LEFT(E1915,6)="TÉRREO",0,IFERROR(VALUE(LEFT(E1915,FIND("º",SUBSTITUTE(E1915,"°","º"))-1)),""))))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26" t="n">
        <v>46826</v>
      </c>
      <c r="G1916" s="126" t="n">
        <v>46839</v>
      </c>
      <c r="H1916" s="126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IF(E1916="","",IF(ISNUMBER(SEARCH("SUBSOLO",E1916)),IFERROR(-VALUE(LEFT(E1916,FIND("º",SUBSTITUTE(E1916,"°","º"))-1)),-1),IF(LEFT(E1916,6)="TÉRREO",0,IFERROR(VALUE(LEFT(E1916,FIND("º",SUBSTITUTE(E1916,"°","º"))-1)),""))))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26" t="n">
        <v>46827</v>
      </c>
      <c r="G1917" s="126" t="n">
        <v>46833</v>
      </c>
      <c r="H1917" s="126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IF(E1917="","",IF(ISNUMBER(SEARCH("SUBSOLO",E1917)),IFERROR(-VALUE(LEFT(E1917,FIND("º",SUBSTITUTE(E1917,"°","º"))-1)),-1),IF(LEFT(E1917,6)="TÉRREO",0,IFERROR(VALUE(LEFT(E1917,FIND("º",SUBSTITUTE(E1917,"°","º"))-1)),""))))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26" t="n">
        <v>46827</v>
      </c>
      <c r="G1918" s="126" t="n">
        <v>46835</v>
      </c>
      <c r="H1918" s="126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IF(E1918="","",IF(ISNUMBER(SEARCH("SUBSOLO",E1918)),IFERROR(-VALUE(LEFT(E1918,FIND("º",SUBSTITUTE(E1918,"°","º"))-1)),-1),IF(LEFT(E1918,6)="TÉRREO",0,IFERROR(VALUE(LEFT(E1918,FIND("º",SUBSTITUTE(E1918,"°","º"))-1)),""))))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26" t="n">
        <v>46827</v>
      </c>
      <c r="G1919" s="126" t="n">
        <v>46840</v>
      </c>
      <c r="H1919" s="126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IF(E1919="","",IF(ISNUMBER(SEARCH("SUBSOLO",E1919)),IFERROR(-VALUE(LEFT(E1919,FIND("º",SUBSTITUTE(E1919,"°","º"))-1)),-1),IF(LEFT(E1919,6)="TÉRREO",0,IFERROR(VALUE(LEFT(E1919,FIND("º",SUBSTITUTE(E1919,"°","º"))-1)),""))))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26" t="n">
        <v>46827</v>
      </c>
      <c r="G1920" s="126" t="n">
        <v>46847</v>
      </c>
      <c r="H1920" s="126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IF(E1920="","",IF(ISNUMBER(SEARCH("SUBSOLO",E1920)),IFERROR(-VALUE(LEFT(E1920,FIND("º",SUBSTITUTE(E1920,"°","º"))-1)),-1),IF(LEFT(E1920,6)="TÉRREO",0,IFERROR(VALUE(LEFT(E1920,FIND("º",SUBSTITUTE(E1920,"°","º"))-1)),""))))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26" t="n">
        <v>46827</v>
      </c>
      <c r="G1921" s="126" t="n">
        <v>46836</v>
      </c>
      <c r="H1921" s="126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IF(E1921="","",IF(ISNUMBER(SEARCH("SUBSOLO",E1921)),IFERROR(-VALUE(LEFT(E1921,FIND("º",SUBSTITUTE(E1921,"°","º"))-1)),-1),IF(LEFT(E1921,6)="TÉRREO",0,IFERROR(VALUE(LEFT(E1921,FIND("º",SUBSTITUTE(E1921,"°","º"))-1)),""))))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26" t="n">
        <v>46829</v>
      </c>
      <c r="G1922" s="126" t="n">
        <v>46867</v>
      </c>
      <c r="H1922" s="126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IF(E1922="","",IF(ISNUMBER(SEARCH("SUBSOLO",E1922)),IFERROR(-VALUE(LEFT(E1922,FIND("º",SUBSTITUTE(E1922,"°","º"))-1)),-1),IF(LEFT(E1922,6)="TÉRREO",0,IFERROR(VALUE(LEFT(E1922,FIND("º",SUBSTITUTE(E1922,"°","º"))-1)),""))))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26" t="n">
        <v>46829</v>
      </c>
      <c r="G1923" s="126" t="n">
        <v>46842</v>
      </c>
      <c r="H1923" s="126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IF(E1923="","",IF(ISNUMBER(SEARCH("SUBSOLO",E1923)),IFERROR(-VALUE(LEFT(E1923,FIND("º",SUBSTITUTE(E1923,"°","º"))-1)),-1),IF(LEFT(E1923,6)="TÉRREO",0,IFERROR(VALUE(LEFT(E1923,FIND("º",SUBSTITUTE(E1923,"°","º"))-1)),""))))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26" t="n">
        <v>46832</v>
      </c>
      <c r="G1924" s="126" t="n">
        <v>46896</v>
      </c>
      <c r="H1924" s="126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IF(E1924="","",IF(ISNUMBER(SEARCH("SUBSOLO",E1924)),IFERROR(-VALUE(LEFT(E1924,FIND("º",SUBSTITUTE(E1924,"°","º"))-1)),-1),IF(LEFT(E1924,6)="TÉRREO",0,IFERROR(VALUE(LEFT(E1924,FIND("º",SUBSTITUTE(E1924,"°","º"))-1)),""))))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26" t="n">
        <v>46833</v>
      </c>
      <c r="G1925" s="126" t="n">
        <v>46846</v>
      </c>
      <c r="H1925" s="126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IF(E1925="","",IF(ISNUMBER(SEARCH("SUBSOLO",E1925)),IFERROR(-VALUE(LEFT(E1925,FIND("º",SUBSTITUTE(E1925,"°","º"))-1)),-1),IF(LEFT(E1925,6)="TÉRREO",0,IFERROR(VALUE(LEFT(E1925,FIND("º",SUBSTITUTE(E1925,"°","º"))-1)),""))))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26" t="n">
        <v>46833</v>
      </c>
      <c r="G1926" s="126" t="n">
        <v>46846</v>
      </c>
      <c r="H1926" s="126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IF(E1926="","",IF(ISNUMBER(SEARCH("SUBSOLO",E1926)),IFERROR(-VALUE(LEFT(E1926,FIND("º",SUBSTITUTE(E1926,"°","º"))-1)),-1),IF(LEFT(E1926,6)="TÉRREO",0,IFERROR(VALUE(LEFT(E1926,FIND("º",SUBSTITUTE(E1926,"°","º"))-1)),""))))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26" t="n">
        <v>46833</v>
      </c>
      <c r="G1927" s="126" t="n">
        <v>46846</v>
      </c>
      <c r="H1927" s="126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IF(E1927="","",IF(ISNUMBER(SEARCH("SUBSOLO",E1927)),IFERROR(-VALUE(LEFT(E1927,FIND("º",SUBSTITUTE(E1927,"°","º"))-1)),-1),IF(LEFT(E1927,6)="TÉRREO",0,IFERROR(VALUE(LEFT(E1927,FIND("º",SUBSTITUTE(E1927,"°","º"))-1)),""))))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26" t="n">
        <v>46834</v>
      </c>
      <c r="G1928" s="126" t="n">
        <v>46847</v>
      </c>
      <c r="H1928" s="126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IF(E1928="","",IF(ISNUMBER(SEARCH("SUBSOLO",E1928)),IFERROR(-VALUE(LEFT(E1928,FIND("º",SUBSTITUTE(E1928,"°","º"))-1)),-1),IF(LEFT(E1928,6)="TÉRREO",0,IFERROR(VALUE(LEFT(E1928,FIND("º",SUBSTITUTE(E1928,"°","º"))-1)),""))))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26" t="n">
        <v>46834</v>
      </c>
      <c r="G1929" s="126" t="n">
        <v>46847</v>
      </c>
      <c r="H1929" s="126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IF(E1929="","",IF(ISNUMBER(SEARCH("SUBSOLO",E1929)),IFERROR(-VALUE(LEFT(E1929,FIND("º",SUBSTITUTE(E1929,"°","º"))-1)),-1),IF(LEFT(E1929,6)="TÉRREO",0,IFERROR(VALUE(LEFT(E1929,FIND("º",SUBSTITUTE(E1929,"°","º"))-1)),""))))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26" t="n">
        <v>46834</v>
      </c>
      <c r="G1930" s="126" t="n">
        <v>46847</v>
      </c>
      <c r="H1930" s="126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IF(E1930="","",IF(ISNUMBER(SEARCH("SUBSOLO",E1930)),IFERROR(-VALUE(LEFT(E1930,FIND("º",SUBSTITUTE(E1930,"°","º"))-1)),-1),IF(LEFT(E1930,6)="TÉRREO",0,IFERROR(VALUE(LEFT(E1930,FIND("º",SUBSTITUTE(E1930,"°","º"))-1)),""))))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26" t="n">
        <v>46834</v>
      </c>
      <c r="G1931" s="126" t="n">
        <v>46847</v>
      </c>
      <c r="H1931" s="126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IF(E1931="","",IF(ISNUMBER(SEARCH("SUBSOLO",E1931)),IFERROR(-VALUE(LEFT(E1931,FIND("º",SUBSTITUTE(E1931,"°","º"))-1)),-1),IF(LEFT(E1931,6)="TÉRREO",0,IFERROR(VALUE(LEFT(E1931,FIND("º",SUBSTITUTE(E1931,"°","º"))-1)),""))))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26" t="n">
        <v>46834</v>
      </c>
      <c r="G1932" s="126" t="n">
        <v>46840</v>
      </c>
      <c r="H1932" s="126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IF(E1932="","",IF(ISNUMBER(SEARCH("SUBSOLO",E1932)),IFERROR(-VALUE(LEFT(E1932,FIND("º",SUBSTITUTE(E1932,"°","º"))-1)),-1),IF(LEFT(E1932,6)="TÉRREO",0,IFERROR(VALUE(LEFT(E1932,FIND("º",SUBSTITUTE(E1932,"°","º"))-1)),""))))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26" t="n">
        <v>46841</v>
      </c>
      <c r="G1933" s="126" t="n">
        <v>46847</v>
      </c>
      <c r="H1933" s="126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IF(E1933="","",IF(ISNUMBER(SEARCH("SUBSOLO",E1933)),IFERROR(-VALUE(LEFT(E1933,FIND("º",SUBSTITUTE(E1933,"°","º"))-1)),-1),IF(LEFT(E1933,6)="TÉRREO",0,IFERROR(VALUE(LEFT(E1933,FIND("º",SUBSTITUTE(E1933,"°","º"))-1)),""))))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26" t="n">
        <v>46834</v>
      </c>
      <c r="G1934" s="126" t="n">
        <v>46854</v>
      </c>
      <c r="H1934" s="126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IF(E1934="","",IF(ISNUMBER(SEARCH("SUBSOLO",E1934)),IFERROR(-VALUE(LEFT(E1934,FIND("º",SUBSTITUTE(E1934,"°","º"))-1)),-1),IF(LEFT(E1934,6)="TÉRREO",0,IFERROR(VALUE(LEFT(E1934,FIND("º",SUBSTITUTE(E1934,"°","º"))-1)),""))))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26" t="n">
        <v>46835</v>
      </c>
      <c r="G1935" s="126" t="n">
        <v>46841</v>
      </c>
      <c r="H1935" s="126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IF(E1935="","",IF(ISNUMBER(SEARCH("SUBSOLO",E1935)),IFERROR(-VALUE(LEFT(E1935,FIND("º",SUBSTITUTE(E1935,"°","º"))-1)),-1),IF(LEFT(E1935,6)="TÉRREO",0,IFERROR(VALUE(LEFT(E1935,FIND("º",SUBSTITUTE(E1935,"°","º"))-1)),""))))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26" t="n">
        <v>46839</v>
      </c>
      <c r="G1936" s="126" t="n">
        <v>46843</v>
      </c>
      <c r="H1936" s="126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IF(E1936="","",IF(ISNUMBER(SEARCH("SUBSOLO",E1936)),IFERROR(-VALUE(LEFT(E1936,FIND("º",SUBSTITUTE(E1936,"°","º"))-1)),-1),IF(LEFT(E1936,6)="TÉRREO",0,IFERROR(VALUE(LEFT(E1936,FIND("º",SUBSTITUTE(E1936,"°","º"))-1)),""))))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26" t="n">
        <v>46839</v>
      </c>
      <c r="G1937" s="126" t="n">
        <v>46847</v>
      </c>
      <c r="H1937" s="126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IF(E1937="","",IF(ISNUMBER(SEARCH("SUBSOLO",E1937)),IFERROR(-VALUE(LEFT(E1937,FIND("º",SUBSTITUTE(E1937,"°","º"))-1)),-1),IF(LEFT(E1937,6)="TÉRREO",0,IFERROR(VALUE(LEFT(E1937,FIND("º",SUBSTITUTE(E1937,"°","º"))-1)),""))))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26" t="n">
        <v>46839</v>
      </c>
      <c r="G1938" s="126" t="n">
        <v>46860</v>
      </c>
      <c r="H1938" s="126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IF(E1938="","",IF(ISNUMBER(SEARCH("SUBSOLO",E1938)),IFERROR(-VALUE(LEFT(E1938,FIND("º",SUBSTITUTE(E1938,"°","º"))-1)),-1),IF(LEFT(E1938,6)="TÉRREO",0,IFERROR(VALUE(LEFT(E1938,FIND("º",SUBSTITUTE(E1938,"°","º"))-1)),""))))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26" t="n">
        <v>46839</v>
      </c>
      <c r="G1939" s="126" t="n">
        <v>46860</v>
      </c>
      <c r="H1939" s="126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IF(E1939="","",IF(ISNUMBER(SEARCH("SUBSOLO",E1939)),IFERROR(-VALUE(LEFT(E1939,FIND("º",SUBSTITUTE(E1939,"°","º"))-1)),-1),IF(LEFT(E1939,6)="TÉRREO",0,IFERROR(VALUE(LEFT(E1939,FIND("º",SUBSTITUTE(E1939,"°","º"))-1)),""))))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26" t="n">
        <v>46839</v>
      </c>
      <c r="G1940" s="126" t="n">
        <v>46843</v>
      </c>
      <c r="H1940" s="126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IF(E1940="","",IF(ISNUMBER(SEARCH("SUBSOLO",E1940)),IFERROR(-VALUE(LEFT(E1940,FIND("º",SUBSTITUTE(E1940,"°","º"))-1)),-1),IF(LEFT(E1940,6)="TÉRREO",0,IFERROR(VALUE(LEFT(E1940,FIND("º",SUBSTITUTE(E1940,"°","º"))-1)),""))))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26" t="n">
        <v>46840</v>
      </c>
      <c r="G1941" s="126" t="n">
        <v>46848</v>
      </c>
      <c r="H1941" s="126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IF(E1941="","",IF(ISNUMBER(SEARCH("SUBSOLO",E1941)),IFERROR(-VALUE(LEFT(E1941,FIND("º",SUBSTITUTE(E1941,"°","º"))-1)),-1),IF(LEFT(E1941,6)="TÉRREO",0,IFERROR(VALUE(LEFT(E1941,FIND("º",SUBSTITUTE(E1941,"°","º"))-1)),""))))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26" t="n">
        <v>46840</v>
      </c>
      <c r="G1942" s="126" t="n">
        <v>46850</v>
      </c>
      <c r="H1942" s="126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IF(E1942="","",IF(ISNUMBER(SEARCH("SUBSOLO",E1942)),IFERROR(-VALUE(LEFT(E1942,FIND("º",SUBSTITUTE(E1942,"°","º"))-1)),-1),IF(LEFT(E1942,6)="TÉRREO",0,IFERROR(VALUE(LEFT(E1942,FIND("º",SUBSTITUTE(E1942,"°","º"))-1)),""))))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26" t="n">
        <v>46840</v>
      </c>
      <c r="G1943" s="126" t="n">
        <v>46853</v>
      </c>
      <c r="H1943" s="126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IF(E1943="","",IF(ISNUMBER(SEARCH("SUBSOLO",E1943)),IFERROR(-VALUE(LEFT(E1943,FIND("º",SUBSTITUTE(E1943,"°","º"))-1)),-1),IF(LEFT(E1943,6)="TÉRREO",0,IFERROR(VALUE(LEFT(E1943,FIND("º",SUBSTITUTE(E1943,"°","º"))-1)),""))))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26" t="n">
        <v>46840</v>
      </c>
      <c r="G1944" s="126" t="n">
        <v>46853</v>
      </c>
      <c r="H1944" s="126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IF(E1944="","",IF(ISNUMBER(SEARCH("SUBSOLO",E1944)),IFERROR(-VALUE(LEFT(E1944,FIND("º",SUBSTITUTE(E1944,"°","º"))-1)),-1),IF(LEFT(E1944,6)="TÉRREO",0,IFERROR(VALUE(LEFT(E1944,FIND("º",SUBSTITUTE(E1944,"°","º"))-1)),""))))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26" t="n">
        <v>46840</v>
      </c>
      <c r="G1945" s="126" t="n">
        <v>46853</v>
      </c>
      <c r="H1945" s="126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IF(E1945="","",IF(ISNUMBER(SEARCH("SUBSOLO",E1945)),IFERROR(-VALUE(LEFT(E1945,FIND("º",SUBSTITUTE(E1945,"°","º"))-1)),-1),IF(LEFT(E1945,6)="TÉRREO",0,IFERROR(VALUE(LEFT(E1945,FIND("º",SUBSTITUTE(E1945,"°","º"))-1)),""))))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26" t="n">
        <v>46840</v>
      </c>
      <c r="G1946" s="126" t="n">
        <v>46853</v>
      </c>
      <c r="H1946" s="126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IF(E1946="","",IF(ISNUMBER(SEARCH("SUBSOLO",E1946)),IFERROR(-VALUE(LEFT(E1946,FIND("º",SUBSTITUTE(E1946,"°","º"))-1)),-1),IF(LEFT(E1946,6)="TÉRREO",0,IFERROR(VALUE(LEFT(E1946,FIND("º",SUBSTITUTE(E1946,"°","º"))-1)),""))))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26" t="n">
        <v>46840</v>
      </c>
      <c r="G1947" s="126" t="n">
        <v>46853</v>
      </c>
      <c r="H1947" s="126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IF(E1947="","",IF(ISNUMBER(SEARCH("SUBSOLO",E1947)),IFERROR(-VALUE(LEFT(E1947,FIND("º",SUBSTITUTE(E1947,"°","º"))-1)),-1),IF(LEFT(E1947,6)="TÉRREO",0,IFERROR(VALUE(LEFT(E1947,FIND("º",SUBSTITUTE(E1947,"°","º"))-1)),""))))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26" t="n">
        <v>46840</v>
      </c>
      <c r="G1948" s="126" t="n">
        <v>46861</v>
      </c>
      <c r="H1948" s="126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IF(E1948="","",IF(ISNUMBER(SEARCH("SUBSOLO",E1948)),IFERROR(-VALUE(LEFT(E1948,FIND("º",SUBSTITUTE(E1948,"°","º"))-1)),-1),IF(LEFT(E1948,6)="TÉRREO",0,IFERROR(VALUE(LEFT(E1948,FIND("º",SUBSTITUTE(E1948,"°","º"))-1)),""))))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26" t="n">
        <v>46840</v>
      </c>
      <c r="G1949" s="126" t="n">
        <v>46853</v>
      </c>
      <c r="H1949" s="126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IF(E1949="","",IF(ISNUMBER(SEARCH("SUBSOLO",E1949)),IFERROR(-VALUE(LEFT(E1949,FIND("º",SUBSTITUTE(E1949,"°","º"))-1)),-1),IF(LEFT(E1949,6)="TÉRREO",0,IFERROR(VALUE(LEFT(E1949,FIND("º",SUBSTITUTE(E1949,"°","º"))-1)),""))))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26" t="n">
        <v>46841</v>
      </c>
      <c r="G1950" s="126" t="n">
        <v>46854</v>
      </c>
      <c r="H1950" s="126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IF(E1950="","",IF(ISNUMBER(SEARCH("SUBSOLO",E1950)),IFERROR(-VALUE(LEFT(E1950,FIND("º",SUBSTITUTE(E1950,"°","º"))-1)),-1),IF(LEFT(E1950,6)="TÉRREO",0,IFERROR(VALUE(LEFT(E1950,FIND("º",SUBSTITUTE(E1950,"°","º"))-1)),""))))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26" t="n">
        <v>46843</v>
      </c>
      <c r="G1951" s="126" t="n">
        <v>46856</v>
      </c>
      <c r="H1951" s="126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IF(E1951="","",IF(ISNUMBER(SEARCH("SUBSOLO",E1951)),IFERROR(-VALUE(LEFT(E1951,FIND("º",SUBSTITUTE(E1951,"°","º"))-1)),-1),IF(LEFT(E1951,6)="TÉRREO",0,IFERROR(VALUE(LEFT(E1951,FIND("º",SUBSTITUTE(E1951,"°","º"))-1)),""))))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26" t="n">
        <v>46847</v>
      </c>
      <c r="G1952" s="126" t="n">
        <v>46853</v>
      </c>
      <c r="H1952" s="126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IF(E1952="","",IF(ISNUMBER(SEARCH("SUBSOLO",E1952)),IFERROR(-VALUE(LEFT(E1952,FIND("º",SUBSTITUTE(E1952,"°","º"))-1)),-1),IF(LEFT(E1952,6)="TÉRREO",0,IFERROR(VALUE(LEFT(E1952,FIND("º",SUBSTITUTE(E1952,"°","º"))-1)),""))))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26" t="n">
        <v>46847</v>
      </c>
      <c r="G1953" s="126" t="n">
        <v>46861</v>
      </c>
      <c r="H1953" s="126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IF(E1953="","",IF(ISNUMBER(SEARCH("SUBSOLO",E1953)),IFERROR(-VALUE(LEFT(E1953,FIND("º",SUBSTITUTE(E1953,"°","º"))-1)),-1),IF(LEFT(E1953,6)="TÉRREO",0,IFERROR(VALUE(LEFT(E1953,FIND("º",SUBSTITUTE(E1953,"°","º"))-1)),""))))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26" t="n">
        <v>46847</v>
      </c>
      <c r="G1954" s="126" t="n">
        <v>46861</v>
      </c>
      <c r="H1954" s="126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IF(E1954="","",IF(ISNUMBER(SEARCH("SUBSOLO",E1954)),IFERROR(-VALUE(LEFT(E1954,FIND("º",SUBSTITUTE(E1954,"°","º"))-1)),-1),IF(LEFT(E1954,6)="TÉRREO",0,IFERROR(VALUE(LEFT(E1954,FIND("º",SUBSTITUTE(E1954,"°","º"))-1)),""))))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26" t="n">
        <v>46847</v>
      </c>
      <c r="G1955" s="126" t="n">
        <v>46861</v>
      </c>
      <c r="H1955" s="126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IF(E1955="","",IF(ISNUMBER(SEARCH("SUBSOLO",E1955)),IFERROR(-VALUE(LEFT(E1955,FIND("º",SUBSTITUTE(E1955,"°","º"))-1)),-1),IF(LEFT(E1955,6)="TÉRREO",0,IFERROR(VALUE(LEFT(E1955,FIND("º",SUBSTITUTE(E1955,"°","º"))-1)),""))))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26" t="n">
        <v>46847</v>
      </c>
      <c r="G1956" s="126" t="n">
        <v>46861</v>
      </c>
      <c r="H1956" s="126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IF(E1956="","",IF(ISNUMBER(SEARCH("SUBSOLO",E1956)),IFERROR(-VALUE(LEFT(E1956,FIND("º",SUBSTITUTE(E1956,"°","º"))-1)),-1),IF(LEFT(E1956,6)="TÉRREO",0,IFERROR(VALUE(LEFT(E1956,FIND("º",SUBSTITUTE(E1956,"°","º"))-1)),""))))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26" t="n">
        <v>46847</v>
      </c>
      <c r="G1957" s="126" t="n">
        <v>46861</v>
      </c>
      <c r="H1957" s="126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IF(E1957="","",IF(ISNUMBER(SEARCH("SUBSOLO",E1957)),IFERROR(-VALUE(LEFT(E1957,FIND("º",SUBSTITUTE(E1957,"°","º"))-1)),-1),IF(LEFT(E1957,6)="TÉRREO",0,IFERROR(VALUE(LEFT(E1957,FIND("º",SUBSTITUTE(E1957,"°","º"))-1)),""))))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26" t="n">
        <v>46848</v>
      </c>
      <c r="G1958" s="126" t="n">
        <v>46854</v>
      </c>
      <c r="H1958" s="126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IF(E1958="","",IF(ISNUMBER(SEARCH("SUBSOLO",E1958)),IFERROR(-VALUE(LEFT(E1958,FIND("º",SUBSTITUTE(E1958,"°","º"))-1)),-1),IF(LEFT(E1958,6)="TÉRREO",0,IFERROR(VALUE(LEFT(E1958,FIND("º",SUBSTITUTE(E1958,"°","º"))-1)),""))))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26" t="n">
        <v>46848</v>
      </c>
      <c r="G1959" s="126" t="n">
        <v>46856</v>
      </c>
      <c r="H1959" s="126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IF(E1959="","",IF(ISNUMBER(SEARCH("SUBSOLO",E1959)),IFERROR(-VALUE(LEFT(E1959,FIND("º",SUBSTITUTE(E1959,"°","º"))-1)),-1),IF(LEFT(E1959,6)="TÉRREO",0,IFERROR(VALUE(LEFT(E1959,FIND("º",SUBSTITUTE(E1959,"°","º"))-1)),""))))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26" t="n">
        <v>46848</v>
      </c>
      <c r="G1960" s="126" t="n">
        <v>46862</v>
      </c>
      <c r="H1960" s="126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IF(E1960="","",IF(ISNUMBER(SEARCH("SUBSOLO",E1960)),IFERROR(-VALUE(LEFT(E1960,FIND("º",SUBSTITUTE(E1960,"°","º"))-1)),-1),IF(LEFT(E1960,6)="TÉRREO",0,IFERROR(VALUE(LEFT(E1960,FIND("º",SUBSTITUTE(E1960,"°","º"))-1)),""))))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26" t="n">
        <v>46848</v>
      </c>
      <c r="G1961" s="126" t="n">
        <v>46862</v>
      </c>
      <c r="H1961" s="126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IF(E1961="","",IF(ISNUMBER(SEARCH("SUBSOLO",E1961)),IFERROR(-VALUE(LEFT(E1961,FIND("º",SUBSTITUTE(E1961,"°","º"))-1)),-1),IF(LEFT(E1961,6)="TÉRREO",0,IFERROR(VALUE(LEFT(E1961,FIND("º",SUBSTITUTE(E1961,"°","º"))-1)),""))))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26" t="n">
        <v>46848</v>
      </c>
      <c r="G1962" s="126" t="n">
        <v>46870</v>
      </c>
      <c r="H1962" s="126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IF(E1962="","",IF(ISNUMBER(SEARCH("SUBSOLO",E1962)),IFERROR(-VALUE(LEFT(E1962,FIND("º",SUBSTITUTE(E1962,"°","º"))-1)),-1),IF(LEFT(E1962,6)="TÉRREO",0,IFERROR(VALUE(LEFT(E1962,FIND("º",SUBSTITUTE(E1962,"°","º"))-1)),""))))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26" t="n">
        <v>46848</v>
      </c>
      <c r="G1963" s="126" t="n">
        <v>46860</v>
      </c>
      <c r="H1963" s="126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IF(E1963="","",IF(ISNUMBER(SEARCH("SUBSOLO",E1963)),IFERROR(-VALUE(LEFT(E1963,FIND("º",SUBSTITUTE(E1963,"°","º"))-1)),-1),IF(LEFT(E1963,6)="TÉRREO",0,IFERROR(VALUE(LEFT(E1963,FIND("º",SUBSTITUTE(E1963,"°","º"))-1)),""))))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26" t="n">
        <v>46850</v>
      </c>
      <c r="G1964" s="126" t="n">
        <v>46854</v>
      </c>
      <c r="H1964" s="126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IF(E1964="","",IF(ISNUMBER(SEARCH("SUBSOLO",E1964)),IFERROR(-VALUE(LEFT(E1964,FIND("º",SUBSTITUTE(E1964,"°","º"))-1)),-1),IF(LEFT(E1964,6)="TÉRREO",0,IFERROR(VALUE(LEFT(E1964,FIND("º",SUBSTITUTE(E1964,"°","º"))-1)),""))))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26" t="n">
        <v>46854</v>
      </c>
      <c r="G1965" s="126" t="n">
        <v>46869</v>
      </c>
      <c r="H1965" s="126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IF(E1965="","",IF(ISNUMBER(SEARCH("SUBSOLO",E1965)),IFERROR(-VALUE(LEFT(E1965,FIND("º",SUBSTITUTE(E1965,"°","º"))-1)),-1),IF(LEFT(E1965,6)="TÉRREO",0,IFERROR(VALUE(LEFT(E1965,FIND("º",SUBSTITUTE(E1965,"°","º"))-1)),""))))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26" t="n">
        <v>46854</v>
      </c>
      <c r="G1966" s="126" t="n">
        <v>46869</v>
      </c>
      <c r="H1966" s="126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IF(E1966="","",IF(ISNUMBER(SEARCH("SUBSOLO",E1966)),IFERROR(-VALUE(LEFT(E1966,FIND("º",SUBSTITUTE(E1966,"°","º"))-1)),-1),IF(LEFT(E1966,6)="TÉRREO",0,IFERROR(VALUE(LEFT(E1966,FIND("º",SUBSTITUTE(E1966,"°","º"))-1)),""))))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26" t="n">
        <v>46854</v>
      </c>
      <c r="G1967" s="126" t="n">
        <v>46877</v>
      </c>
      <c r="H1967" s="126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IF(E1967="","",IF(ISNUMBER(SEARCH("SUBSOLO",E1967)),IFERROR(-VALUE(LEFT(E1967,FIND("º",SUBSTITUTE(E1967,"°","º"))-1)),-1),IF(LEFT(E1967,6)="TÉRREO",0,IFERROR(VALUE(LEFT(E1967,FIND("º",SUBSTITUTE(E1967,"°","º"))-1)),""))))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26" t="n">
        <v>46855</v>
      </c>
      <c r="G1968" s="126" t="n">
        <v>46856</v>
      </c>
      <c r="H1968" s="126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IF(E1968="","",IF(ISNUMBER(SEARCH("SUBSOLO",E1968)),IFERROR(-VALUE(LEFT(E1968,FIND("º",SUBSTITUTE(E1968,"°","º"))-1)),-1),IF(LEFT(E1968,6)="TÉRREO",0,IFERROR(VALUE(LEFT(E1968,FIND("º",SUBSTITUTE(E1968,"°","º"))-1)),""))))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26" t="n">
        <v>46855</v>
      </c>
      <c r="G1969" s="126" t="n">
        <v>46870</v>
      </c>
      <c r="H1969" s="126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IF(E1969="","",IF(ISNUMBER(SEARCH("SUBSOLO",E1969)),IFERROR(-VALUE(LEFT(E1969,FIND("º",SUBSTITUTE(E1969,"°","º"))-1)),-1),IF(LEFT(E1969,6)="TÉRREO",0,IFERROR(VALUE(LEFT(E1969,FIND("º",SUBSTITUTE(E1969,"°","º"))-1)),""))))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26" t="n">
        <v>46855</v>
      </c>
      <c r="G1970" s="126" t="n">
        <v>46870</v>
      </c>
      <c r="H1970" s="126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IF(E1970="","",IF(ISNUMBER(SEARCH("SUBSOLO",E1970)),IFERROR(-VALUE(LEFT(E1970,FIND("º",SUBSTITUTE(E1970,"°","º"))-1)),-1),IF(LEFT(E1970,6)="TÉRREO",0,IFERROR(VALUE(LEFT(E1970,FIND("º",SUBSTITUTE(E1970,"°","º"))-1)),""))))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26" t="n">
        <v>46855</v>
      </c>
      <c r="G1971" s="126" t="n">
        <v>46870</v>
      </c>
      <c r="H1971" s="126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IF(E1971="","",IF(ISNUMBER(SEARCH("SUBSOLO",E1971)),IFERROR(-VALUE(LEFT(E1971,FIND("º",SUBSTITUTE(E1971,"°","º"))-1)),-1),IF(LEFT(E1971,6)="TÉRREO",0,IFERROR(VALUE(LEFT(E1971,FIND("º",SUBSTITUTE(E1971,"°","º"))-1)),""))))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26" t="n">
        <v>46855</v>
      </c>
      <c r="G1972" s="126" t="n">
        <v>46862</v>
      </c>
      <c r="H1972" s="126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IF(E1972="","",IF(ISNUMBER(SEARCH("SUBSOLO",E1972)),IFERROR(-VALUE(LEFT(E1972,FIND("º",SUBSTITUTE(E1972,"°","º"))-1)),-1),IF(LEFT(E1972,6)="TÉRREO",0,IFERROR(VALUE(LEFT(E1972,FIND("º",SUBSTITUTE(E1972,"°","º"))-1)),""))))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26" t="n">
        <v>46863</v>
      </c>
      <c r="G1973" s="126" t="n">
        <v>46870</v>
      </c>
      <c r="H1973" s="126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IF(E1973="","",IF(ISNUMBER(SEARCH("SUBSOLO",E1973)),IFERROR(-VALUE(LEFT(E1973,FIND("º",SUBSTITUTE(E1973,"°","º"))-1)),-1),IF(LEFT(E1973,6)="TÉRREO",0,IFERROR(VALUE(LEFT(E1973,FIND("º",SUBSTITUTE(E1973,"°","º"))-1)),""))))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26" t="n">
        <v>46855</v>
      </c>
      <c r="G1974" s="126" t="n">
        <v>46878</v>
      </c>
      <c r="H1974" s="126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IF(E1974="","",IF(ISNUMBER(SEARCH("SUBSOLO",E1974)),IFERROR(-VALUE(LEFT(E1974,FIND("º",SUBSTITUTE(E1974,"°","º"))-1)),-1),IF(LEFT(E1974,6)="TÉRREO",0,IFERROR(VALUE(LEFT(E1974,FIND("º",SUBSTITUTE(E1974,"°","º"))-1)),""))))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26" t="n">
        <v>46860</v>
      </c>
      <c r="G1975" s="126" t="n">
        <v>46867</v>
      </c>
      <c r="H1975" s="126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IF(E1975="","",IF(ISNUMBER(SEARCH("SUBSOLO",E1975)),IFERROR(-VALUE(LEFT(E1975,FIND("º",SUBSTITUTE(E1975,"°","º"))-1)),-1),IF(LEFT(E1975,6)="TÉRREO",0,IFERROR(VALUE(LEFT(E1975,FIND("º",SUBSTITUTE(E1975,"°","º"))-1)),""))))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26" t="n">
        <v>46861</v>
      </c>
      <c r="G1976" s="126" t="n">
        <v>46870</v>
      </c>
      <c r="H1976" s="126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IF(E1976="","",IF(ISNUMBER(SEARCH("SUBSOLO",E1976)),IFERROR(-VALUE(LEFT(E1976,FIND("º",SUBSTITUTE(E1976,"°","º"))-1)),-1),IF(LEFT(E1976,6)="TÉRREO",0,IFERROR(VALUE(LEFT(E1976,FIND("º",SUBSTITUTE(E1976,"°","º"))-1)),""))))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26" t="n">
        <v>46861</v>
      </c>
      <c r="G1977" s="126" t="n">
        <v>46883</v>
      </c>
      <c r="H1977" s="126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IF(E1977="","",IF(ISNUMBER(SEARCH("SUBSOLO",E1977)),IFERROR(-VALUE(LEFT(E1977,FIND("º",SUBSTITUTE(E1977,"°","º"))-1)),-1),IF(LEFT(E1977,6)="TÉRREO",0,IFERROR(VALUE(LEFT(E1977,FIND("º",SUBSTITUTE(E1977,"°","º"))-1)),""))))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26" t="n">
        <v>46862</v>
      </c>
      <c r="G1978" s="126" t="n">
        <v>46871</v>
      </c>
      <c r="H1978" s="126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IF(E1978="","",IF(ISNUMBER(SEARCH("SUBSOLO",E1978)),IFERROR(-VALUE(LEFT(E1978,FIND("º",SUBSTITUTE(E1978,"°","º"))-1)),-1),IF(LEFT(E1978,6)="TÉRREO",0,IFERROR(VALUE(LEFT(E1978,FIND("º",SUBSTITUTE(E1978,"°","º"))-1)),""))))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26" t="n">
        <v>46862</v>
      </c>
      <c r="G1979" s="126" t="n">
        <v>46876</v>
      </c>
      <c r="H1979" s="126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IF(E1979="","",IF(ISNUMBER(SEARCH("SUBSOLO",E1979)),IFERROR(-VALUE(LEFT(E1979,FIND("º",SUBSTITUTE(E1979,"°","º"))-1)),-1),IF(LEFT(E1979,6)="TÉRREO",0,IFERROR(VALUE(LEFT(E1979,FIND("º",SUBSTITUTE(E1979,"°","º"))-1)),""))))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26" t="n">
        <v>46862</v>
      </c>
      <c r="G1980" s="126" t="n">
        <v>46877</v>
      </c>
      <c r="H1980" s="126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IF(E1980="","",IF(ISNUMBER(SEARCH("SUBSOLO",E1980)),IFERROR(-VALUE(LEFT(E1980,FIND("º",SUBSTITUTE(E1980,"°","º"))-1)),-1),IF(LEFT(E1980,6)="TÉRREO",0,IFERROR(VALUE(LEFT(E1980,FIND("º",SUBSTITUTE(E1980,"°","º"))-1)),""))))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26" t="n">
        <v>46862</v>
      </c>
      <c r="G1981" s="126" t="n">
        <v>46877</v>
      </c>
      <c r="H1981" s="126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IF(E1981="","",IF(ISNUMBER(SEARCH("SUBSOLO",E1981)),IFERROR(-VALUE(LEFT(E1981,FIND("º",SUBSTITUTE(E1981,"°","º"))-1)),-1),IF(LEFT(E1981,6)="TÉRREO",0,IFERROR(VALUE(LEFT(E1981,FIND("º",SUBSTITUTE(E1981,"°","º"))-1)),""))))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26" t="n">
        <v>46862</v>
      </c>
      <c r="G1982" s="126" t="n">
        <v>46877</v>
      </c>
      <c r="H1982" s="126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IF(E1982="","",IF(ISNUMBER(SEARCH("SUBSOLO",E1982)),IFERROR(-VALUE(LEFT(E1982,FIND("º",SUBSTITUTE(E1982,"°","º"))-1)),-1),IF(LEFT(E1982,6)="TÉRREO",0,IFERROR(VALUE(LEFT(E1982,FIND("º",SUBSTITUTE(E1982,"°","º"))-1)),""))))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26" t="n">
        <v>46862</v>
      </c>
      <c r="G1983" s="126" t="n">
        <v>46877</v>
      </c>
      <c r="H1983" s="126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IF(E1983="","",IF(ISNUMBER(SEARCH("SUBSOLO",E1983)),IFERROR(-VALUE(LEFT(E1983,FIND("º",SUBSTITUTE(E1983,"°","º"))-1)),-1),IF(LEFT(E1983,6)="TÉRREO",0,IFERROR(VALUE(LEFT(E1983,FIND("º",SUBSTITUTE(E1983,"°","º"))-1)),""))))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26" t="n">
        <v>46862</v>
      </c>
      <c r="G1984" s="126" t="n">
        <v>46877</v>
      </c>
      <c r="H1984" s="126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IF(E1984="","",IF(ISNUMBER(SEARCH("SUBSOLO",E1984)),IFERROR(-VALUE(LEFT(E1984,FIND("º",SUBSTITUTE(E1984,"°","º"))-1)),-1),IF(LEFT(E1984,6)="TÉRREO",0,IFERROR(VALUE(LEFT(E1984,FIND("º",SUBSTITUTE(E1984,"°","º"))-1)),""))))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26" t="n">
        <v>46862</v>
      </c>
      <c r="G1985" s="126" t="n">
        <v>46877</v>
      </c>
      <c r="H1985" s="126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IF(E1985="","",IF(ISNUMBER(SEARCH("SUBSOLO",E1985)),IFERROR(-VALUE(LEFT(E1985,FIND("º",SUBSTITUTE(E1985,"°","º"))-1)),-1),IF(LEFT(E1985,6)="TÉRREO",0,IFERROR(VALUE(LEFT(E1985,FIND("º",SUBSTITUTE(E1985,"°","º"))-1)),""))))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26" t="n">
        <v>46863</v>
      </c>
      <c r="G1986" s="126" t="n">
        <v>46885</v>
      </c>
      <c r="H1986" s="126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IF(E1986="","",IF(ISNUMBER(SEARCH("SUBSOLO",E1986)),IFERROR(-VALUE(LEFT(E1986,FIND("º",SUBSTITUTE(E1986,"°","º"))-1)),-1),IF(LEFT(E1986,6)="TÉRREO",0,IFERROR(VALUE(LEFT(E1986,FIND("º",SUBSTITUTE(E1986,"°","º"))-1)),""))))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26" t="n">
        <v>46863</v>
      </c>
      <c r="G1987" s="126" t="n">
        <v>46878</v>
      </c>
      <c r="H1987" s="126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IF(E1987="","",IF(ISNUMBER(SEARCH("SUBSOLO",E1987)),IFERROR(-VALUE(LEFT(E1987,FIND("º",SUBSTITUTE(E1987,"°","º"))-1)),-1),IF(LEFT(E1987,6)="TÉRREO",0,IFERROR(VALUE(LEFT(E1987,FIND("º",SUBSTITUTE(E1987,"°","º"))-1)),""))))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26" t="n">
        <v>46868</v>
      </c>
      <c r="G1988" s="126" t="n">
        <v>46892</v>
      </c>
      <c r="H1988" s="126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IF(E1988="","",IF(ISNUMBER(SEARCH("SUBSOLO",E1988)),IFERROR(-VALUE(LEFT(E1988,FIND("º",SUBSTITUTE(E1988,"°","º"))-1)),-1),IF(LEFT(E1988,6)="TÉRREO",0,IFERROR(VALUE(LEFT(E1988,FIND("º",SUBSTITUTE(E1988,"°","º"))-1)),""))))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26" t="n">
        <v>46868</v>
      </c>
      <c r="G1989" s="126" t="n">
        <v>46875</v>
      </c>
      <c r="H1989" s="126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IF(E1989="","",IF(ISNUMBER(SEARCH("SUBSOLO",E1989)),IFERROR(-VALUE(LEFT(E1989,FIND("º",SUBSTITUTE(E1989,"°","º"))-1)),-1),IF(LEFT(E1989,6)="TÉRREO",0,IFERROR(VALUE(LEFT(E1989,FIND("º",SUBSTITUTE(E1989,"°","º"))-1)),""))))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26" t="n">
        <v>46868</v>
      </c>
      <c r="G1990" s="126" t="n">
        <v>46925</v>
      </c>
      <c r="H1990" s="126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IF(E1990="","",IF(ISNUMBER(SEARCH("SUBSOLO",E1990)),IFERROR(-VALUE(LEFT(E1990,FIND("º",SUBSTITUTE(E1990,"°","º"))-1)),-1),IF(LEFT(E1990,6)="TÉRREO",0,IFERROR(VALUE(LEFT(E1990,FIND("º",SUBSTITUTE(E1990,"°","º"))-1)),""))))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26" t="n">
        <v>46870</v>
      </c>
      <c r="G1991" s="126" t="n">
        <v>46884</v>
      </c>
      <c r="H1991" s="126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IF(E1991="","",IF(ISNUMBER(SEARCH("SUBSOLO",E1991)),IFERROR(-VALUE(LEFT(E1991,FIND("º",SUBSTITUTE(E1991,"°","º"))-1)),-1),IF(LEFT(E1991,6)="TÉRREO",0,IFERROR(VALUE(LEFT(E1991,FIND("º",SUBSTITUTE(E1991,"°","º"))-1)),""))))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26" t="n">
        <v>46870</v>
      </c>
      <c r="G1992" s="126" t="n">
        <v>46884</v>
      </c>
      <c r="H1992" s="126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IF(E1992="","",IF(ISNUMBER(SEARCH("SUBSOLO",E1992)),IFERROR(-VALUE(LEFT(E1992,FIND("º",SUBSTITUTE(E1992,"°","º"))-1)),-1),IF(LEFT(E1992,6)="TÉRREO",0,IFERROR(VALUE(LEFT(E1992,FIND("º",SUBSTITUTE(E1992,"°","º"))-1)),""))))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26" t="n">
        <v>46870</v>
      </c>
      <c r="G1993" s="126" t="n">
        <v>46884</v>
      </c>
      <c r="H1993" s="126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IF(E1993="","",IF(ISNUMBER(SEARCH("SUBSOLO",E1993)),IFERROR(-VALUE(LEFT(E1993,FIND("º",SUBSTITUTE(E1993,"°","º"))-1)),-1),IF(LEFT(E1993,6)="TÉRREO",0,IFERROR(VALUE(LEFT(E1993,FIND("º",SUBSTITUTE(E1993,"°","º"))-1)),""))))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26" t="n">
        <v>46871</v>
      </c>
      <c r="G1994" s="126" t="n">
        <v>46878</v>
      </c>
      <c r="H1994" s="126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IF(E1994="","",IF(ISNUMBER(SEARCH("SUBSOLO",E1994)),IFERROR(-VALUE(LEFT(E1994,FIND("º",SUBSTITUTE(E1994,"°","º"))-1)),-1),IF(LEFT(E1994,6)="TÉRREO",0,IFERROR(VALUE(LEFT(E1994,FIND("º",SUBSTITUTE(E1994,"°","º"))-1)),""))))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26" t="n">
        <v>46871</v>
      </c>
      <c r="G1995" s="126" t="n">
        <v>46885</v>
      </c>
      <c r="H1995" s="126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IF(E1995="","",IF(ISNUMBER(SEARCH("SUBSOLO",E1995)),IFERROR(-VALUE(LEFT(E1995,FIND("º",SUBSTITUTE(E1995,"°","º"))-1)),-1),IF(LEFT(E1995,6)="TÉRREO",0,IFERROR(VALUE(LEFT(E1995,FIND("º",SUBSTITUTE(E1995,"°","º"))-1)),""))))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26" t="n">
        <v>46871</v>
      </c>
      <c r="G1996" s="126" t="n">
        <v>46885</v>
      </c>
      <c r="H1996" s="126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IF(E1996="","",IF(ISNUMBER(SEARCH("SUBSOLO",E1996)),IFERROR(-VALUE(LEFT(E1996,FIND("º",SUBSTITUTE(E1996,"°","º"))-1)),-1),IF(LEFT(E1996,6)="TÉRREO",0,IFERROR(VALUE(LEFT(E1996,FIND("º",SUBSTITUTE(E1996,"°","º"))-1)),""))))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26" t="n">
        <v>46871</v>
      </c>
      <c r="G1997" s="126" t="n">
        <v>46892</v>
      </c>
      <c r="H1997" s="126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IF(E1997="","",IF(ISNUMBER(SEARCH("SUBSOLO",E1997)),IFERROR(-VALUE(LEFT(E1997,FIND("º",SUBSTITUTE(E1997,"°","º"))-1)),-1),IF(LEFT(E1997,6)="TÉRREO",0,IFERROR(VALUE(LEFT(E1997,FIND("º",SUBSTITUTE(E1997,"°","º"))-1)),""))))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26" t="n">
        <v>46871</v>
      </c>
      <c r="G1998" s="126" t="n">
        <v>46883</v>
      </c>
      <c r="H1998" s="126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IF(E1998="","",IF(ISNUMBER(SEARCH("SUBSOLO",E1998)),IFERROR(-VALUE(LEFT(E1998,FIND("º",SUBSTITUTE(E1998,"°","º"))-1)),-1),IF(LEFT(E1998,6)="TÉRREO",0,IFERROR(VALUE(LEFT(E1998,FIND("º",SUBSTITUTE(E1998,"°","º"))-1)),""))))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26" t="n">
        <v>46876</v>
      </c>
      <c r="G1999" s="126" t="n">
        <v>46882</v>
      </c>
      <c r="H1999" s="126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IF(E1999="","",IF(ISNUMBER(SEARCH("SUBSOLO",E1999)),IFERROR(-VALUE(LEFT(E1999,FIND("º",SUBSTITUTE(E1999,"°","º"))-1)),-1),IF(LEFT(E1999,6)="TÉRREO",0,IFERROR(VALUE(LEFT(E1999,FIND("º",SUBSTITUTE(E1999,"°","º"))-1)),""))))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26" t="n">
        <v>46876</v>
      </c>
      <c r="G2000" s="126" t="n">
        <v>46918</v>
      </c>
      <c r="H2000" s="126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IF(E2000="","",IF(ISNUMBER(SEARCH("SUBSOLO",E2000)),IFERROR(-VALUE(LEFT(E2000,FIND("º",SUBSTITUTE(E2000,"°","º"))-1)),-1),IF(LEFT(E2000,6)="TÉRREO",0,IFERROR(VALUE(LEFT(E2000,FIND("º",SUBSTITUTE(E2000,"°","º"))-1)),""))))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26" t="n">
        <v>46878</v>
      </c>
      <c r="G2001" s="126" t="n">
        <v>46891</v>
      </c>
      <c r="H2001" s="126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IF(E2001="","",IF(ISNUMBER(SEARCH("SUBSOLO",E2001)),IFERROR(-VALUE(LEFT(E2001,FIND("º",SUBSTITUTE(E2001,"°","º"))-1)),-1),IF(LEFT(E2001,6)="TÉRREO",0,IFERROR(VALUE(LEFT(E2001,FIND("º",SUBSTITUTE(E2001,"°","º"))-1)),""))))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26" t="n">
        <v>46878</v>
      </c>
      <c r="G2002" s="126" t="n">
        <v>46890</v>
      </c>
      <c r="H2002" s="126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IF(E2002="","",IF(ISNUMBER(SEARCH("SUBSOLO",E2002)),IFERROR(-VALUE(LEFT(E2002,FIND("º",SUBSTITUTE(E2002,"°","º"))-1)),-1),IF(LEFT(E2002,6)="TÉRREO",0,IFERROR(VALUE(LEFT(E2002,FIND("º",SUBSTITUTE(E2002,"°","º"))-1)),""))))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26" t="n">
        <v>46878</v>
      </c>
      <c r="G2003" s="126" t="n">
        <v>46891</v>
      </c>
      <c r="H2003" s="126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IF(E2003="","",IF(ISNUMBER(SEARCH("SUBSOLO",E2003)),IFERROR(-VALUE(LEFT(E2003,FIND("º",SUBSTITUTE(E2003,"°","º"))-1)),-1),IF(LEFT(E2003,6)="TÉRREO",0,IFERROR(VALUE(LEFT(E2003,FIND("º",SUBSTITUTE(E2003,"°","º"))-1)),""))))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26" t="n">
        <v>46878</v>
      </c>
      <c r="G2004" s="126" t="n">
        <v>46891</v>
      </c>
      <c r="H2004" s="126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IF(E2004="","",IF(ISNUMBER(SEARCH("SUBSOLO",E2004)),IFERROR(-VALUE(LEFT(E2004,FIND("º",SUBSTITUTE(E2004,"°","º"))-1)),-1),IF(LEFT(E2004,6)="TÉRREO",0,IFERROR(VALUE(LEFT(E2004,FIND("º",SUBSTITUTE(E2004,"°","º"))-1)),""))))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26" t="n">
        <v>46878</v>
      </c>
      <c r="G2005" s="126" t="n">
        <v>46891</v>
      </c>
      <c r="H2005" s="126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IF(E2005="","",IF(ISNUMBER(SEARCH("SUBSOLO",E2005)),IFERROR(-VALUE(LEFT(E2005,FIND("º",SUBSTITUTE(E2005,"°","º"))-1)),-1),IF(LEFT(E2005,6)="TÉRREO",0,IFERROR(VALUE(LEFT(E2005,FIND("º",SUBSTITUTE(E2005,"°","º"))-1)),""))))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26" t="n">
        <v>46878</v>
      </c>
      <c r="G2006" s="126" t="n">
        <v>46891</v>
      </c>
      <c r="H2006" s="126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IF(E2006="","",IF(ISNUMBER(SEARCH("SUBSOLO",E2006)),IFERROR(-VALUE(LEFT(E2006,FIND("º",SUBSTITUTE(E2006,"°","º"))-1)),-1),IF(LEFT(E2006,6)="TÉRREO",0,IFERROR(VALUE(LEFT(E2006,FIND("º",SUBSTITUTE(E2006,"°","º"))-1)),""))))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26" t="n">
        <v>46878</v>
      </c>
      <c r="G2007" s="126" t="n">
        <v>46891</v>
      </c>
      <c r="H2007" s="126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IF(E2007="","",IF(ISNUMBER(SEARCH("SUBSOLO",E2007)),IFERROR(-VALUE(LEFT(E2007,FIND("º",SUBSTITUTE(E2007,"°","º"))-1)),-1),IF(LEFT(E2007,6)="TÉRREO",0,IFERROR(VALUE(LEFT(E2007,FIND("º",SUBSTITUTE(E2007,"°","º"))-1)),""))))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26" t="n">
        <v>46878</v>
      </c>
      <c r="G2008" s="126" t="n">
        <v>46898</v>
      </c>
      <c r="H2008" s="126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IF(E2008="","",IF(ISNUMBER(SEARCH("SUBSOLO",E2008)),IFERROR(-VALUE(LEFT(E2008,FIND("º",SUBSTITUTE(E2008,"°","º"))-1)),-1),IF(LEFT(E2008,6)="TÉRREO",0,IFERROR(VALUE(LEFT(E2008,FIND("º",SUBSTITUTE(E2008,"°","º"))-1)),""))))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26" t="n">
        <v>46881</v>
      </c>
      <c r="G2009" s="126" t="n">
        <v>46892</v>
      </c>
      <c r="H2009" s="126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IF(E2009="","",IF(ISNUMBER(SEARCH("SUBSOLO",E2009)),IFERROR(-VALUE(LEFT(E2009,FIND("º",SUBSTITUTE(E2009,"°","º"))-1)),-1),IF(LEFT(E2009,6)="TÉRREO",0,IFERROR(VALUE(LEFT(E2009,FIND("º",SUBSTITUTE(E2009,"°","º"))-1)),""))))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26" t="n">
        <v>46881</v>
      </c>
      <c r="G2010" s="126" t="n">
        <v>46892</v>
      </c>
      <c r="H2010" s="126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IF(E2010="","",IF(ISNUMBER(SEARCH("SUBSOLO",E2010)),IFERROR(-VALUE(LEFT(E2010,FIND("º",SUBSTITUTE(E2010,"°","º"))-1)),-1),IF(LEFT(E2010,6)="TÉRREO",0,IFERROR(VALUE(LEFT(E2010,FIND("º",SUBSTITUTE(E2010,"°","º"))-1)),""))))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26" t="n">
        <v>46881</v>
      </c>
      <c r="G2011" s="126" t="n">
        <v>46892</v>
      </c>
      <c r="H2011" s="126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IF(E2011="","",IF(ISNUMBER(SEARCH("SUBSOLO",E2011)),IFERROR(-VALUE(LEFT(E2011,FIND("º",SUBSTITUTE(E2011,"°","º"))-1)),-1),IF(LEFT(E2011,6)="TÉRREO",0,IFERROR(VALUE(LEFT(E2011,FIND("º",SUBSTITUTE(E2011,"°","º"))-1)),""))))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26" t="n">
        <v>46881</v>
      </c>
      <c r="G2012" s="126" t="n">
        <v>46885</v>
      </c>
      <c r="H2012" s="126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IF(E2012="","",IF(ISNUMBER(SEARCH("SUBSOLO",E2012)),IFERROR(-VALUE(LEFT(E2012,FIND("º",SUBSTITUTE(E2012,"°","º"))-1)),-1),IF(LEFT(E2012,6)="TÉRREO",0,IFERROR(VALUE(LEFT(E2012,FIND("º",SUBSTITUTE(E2012,"°","º"))-1)),""))))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26" t="n">
        <v>46888</v>
      </c>
      <c r="G2013" s="126" t="n">
        <v>46892</v>
      </c>
      <c r="H2013" s="126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IF(E2013="","",IF(ISNUMBER(SEARCH("SUBSOLO",E2013)),IFERROR(-VALUE(LEFT(E2013,FIND("º",SUBSTITUTE(E2013,"°","º"))-1)),-1),IF(LEFT(E2013,6)="TÉRREO",0,IFERROR(VALUE(LEFT(E2013,FIND("º",SUBSTITUTE(E2013,"°","º"))-1)),""))))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26" t="n">
        <v>46881</v>
      </c>
      <c r="G2014" s="126" t="n">
        <v>46899</v>
      </c>
      <c r="H2014" s="126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IF(E2014="","",IF(ISNUMBER(SEARCH("SUBSOLO",E2014)),IFERROR(-VALUE(LEFT(E2014,FIND("º",SUBSTITUTE(E2014,"°","º"))-1)),-1),IF(LEFT(E2014,6)="TÉRREO",0,IFERROR(VALUE(LEFT(E2014,FIND("º",SUBSTITUTE(E2014,"°","º"))-1)),""))))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26" t="n">
        <v>46883</v>
      </c>
      <c r="G2015" s="126" t="n">
        <v>46889</v>
      </c>
      <c r="H2015" s="126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IF(E2015="","",IF(ISNUMBER(SEARCH("SUBSOLO",E2015)),IFERROR(-VALUE(LEFT(E2015,FIND("º",SUBSTITUTE(E2015,"°","º"))-1)),-1),IF(LEFT(E2015,6)="TÉRREO",0,IFERROR(VALUE(LEFT(E2015,FIND("º",SUBSTITUTE(E2015,"°","º"))-1)),""))))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26" t="n">
        <v>46884</v>
      </c>
      <c r="G2016" s="126" t="n">
        <v>46892</v>
      </c>
      <c r="H2016" s="126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IF(E2016="","",IF(ISNUMBER(SEARCH("SUBSOLO",E2016)),IFERROR(-VALUE(LEFT(E2016,FIND("º",SUBSTITUTE(E2016,"°","º"))-1)),-1),IF(LEFT(E2016,6)="TÉRREO",0,IFERROR(VALUE(LEFT(E2016,FIND("º",SUBSTITUTE(E2016,"°","º"))-1)),""))))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26" t="n">
        <v>46885</v>
      </c>
      <c r="G2017" s="126" t="n">
        <v>46895</v>
      </c>
      <c r="H2017" s="126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IF(E2017="","",IF(ISNUMBER(SEARCH("SUBSOLO",E2017)),IFERROR(-VALUE(LEFT(E2017,FIND("º",SUBSTITUTE(E2017,"°","º"))-1)),-1),IF(LEFT(E2017,6)="TÉRREO",0,IFERROR(VALUE(LEFT(E2017,FIND("º",SUBSTITUTE(E2017,"°","º"))-1)),""))))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26" t="n">
        <v>46885</v>
      </c>
      <c r="G2018" s="126" t="n">
        <v>46898</v>
      </c>
      <c r="H2018" s="126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IF(E2018="","",IF(ISNUMBER(SEARCH("SUBSOLO",E2018)),IFERROR(-VALUE(LEFT(E2018,FIND("º",SUBSTITUTE(E2018,"°","º"))-1)),-1),IF(LEFT(E2018,6)="TÉRREO",0,IFERROR(VALUE(LEFT(E2018,FIND("º",SUBSTITUTE(E2018,"°","º"))-1)),""))))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26" t="n">
        <v>46888</v>
      </c>
      <c r="G2019" s="126" t="n">
        <v>46899</v>
      </c>
      <c r="H2019" s="126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IF(E2019="","",IF(ISNUMBER(SEARCH("SUBSOLO",E2019)),IFERROR(-VALUE(LEFT(E2019,FIND("º",SUBSTITUTE(E2019,"°","º"))-1)),-1),IF(LEFT(E2019,6)="TÉRREO",0,IFERROR(VALUE(LEFT(E2019,FIND("º",SUBSTITUTE(E2019,"°","º"))-1)),""))))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26" t="n">
        <v>46888</v>
      </c>
      <c r="G2020" s="126" t="n">
        <v>46906</v>
      </c>
      <c r="H2020" s="126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IF(E2020="","",IF(ISNUMBER(SEARCH("SUBSOLO",E2020)),IFERROR(-VALUE(LEFT(E2020,FIND("º",SUBSTITUTE(E2020,"°","º"))-1)),-1),IF(LEFT(E2020,6)="TÉRREO",0,IFERROR(VALUE(LEFT(E2020,FIND("º",SUBSTITUTE(E2020,"°","º"))-1)),""))))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26" t="n">
        <v>46888</v>
      </c>
      <c r="G2021" s="126" t="n">
        <v>46899</v>
      </c>
      <c r="H2021" s="126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IF(E2021="","",IF(ISNUMBER(SEARCH("SUBSOLO",E2021)),IFERROR(-VALUE(LEFT(E2021,FIND("º",SUBSTITUTE(E2021,"°","º"))-1)),-1),IF(LEFT(E2021,6)="TÉRREO",0,IFERROR(VALUE(LEFT(E2021,FIND("º",SUBSTITUTE(E2021,"°","º"))-1)),""))))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26" t="n">
        <v>46890</v>
      </c>
      <c r="G2022" s="126" t="n">
        <v>46896</v>
      </c>
      <c r="H2022" s="126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IF(E2022="","",IF(ISNUMBER(SEARCH("SUBSOLO",E2022)),IFERROR(-VALUE(LEFT(E2022,FIND("º",SUBSTITUTE(E2022,"°","º"))-1)),-1),IF(LEFT(E2022,6)="TÉRREO",0,IFERROR(VALUE(LEFT(E2022,FIND("º",SUBSTITUTE(E2022,"°","º"))-1)),""))))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26" t="n">
        <v>46892</v>
      </c>
      <c r="G2023" s="126" t="n">
        <v>46905</v>
      </c>
      <c r="H2023" s="126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IF(E2023="","",IF(ISNUMBER(SEARCH("SUBSOLO",E2023)),IFERROR(-VALUE(LEFT(E2023,FIND("º",SUBSTITUTE(E2023,"°","º"))-1)),-1),IF(LEFT(E2023,6)="TÉRREO",0,IFERROR(VALUE(LEFT(E2023,FIND("º",SUBSTITUTE(E2023,"°","º"))-1)),""))))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26" t="n">
        <v>46892</v>
      </c>
      <c r="G2024" s="126" t="n">
        <v>46905</v>
      </c>
      <c r="H2024" s="126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IF(E2024="","",IF(ISNUMBER(SEARCH("SUBSOLO",E2024)),IFERROR(-VALUE(LEFT(E2024,FIND("º",SUBSTITUTE(E2024,"°","º"))-1)),-1),IF(LEFT(E2024,6)="TÉRREO",0,IFERROR(VALUE(LEFT(E2024,FIND("º",SUBSTITUTE(E2024,"°","º"))-1)),""))))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26" t="n">
        <v>46892</v>
      </c>
      <c r="G2025" s="126" t="n">
        <v>46905</v>
      </c>
      <c r="H2025" s="126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IF(E2025="","",IF(ISNUMBER(SEARCH("SUBSOLO",E2025)),IFERROR(-VALUE(LEFT(E2025,FIND("º",SUBSTITUTE(E2025,"°","º"))-1)),-1),IF(LEFT(E2025,6)="TÉRREO",0,IFERROR(VALUE(LEFT(E2025,FIND("º",SUBSTITUTE(E2025,"°","º"))-1)),""))))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26" t="n">
        <v>46895</v>
      </c>
      <c r="G2026" s="126" t="n">
        <v>46899</v>
      </c>
      <c r="H2026" s="126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IF(E2026="","",IF(ISNUMBER(SEARCH("SUBSOLO",E2026)),IFERROR(-VALUE(LEFT(E2026,FIND("º",SUBSTITUTE(E2026,"°","º"))-1)),-1),IF(LEFT(E2026,6)="TÉRREO",0,IFERROR(VALUE(LEFT(E2026,FIND("º",SUBSTITUTE(E2026,"°","º"))-1)),""))))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26" t="n">
        <v>46895</v>
      </c>
      <c r="G2027" s="126" t="n">
        <v>46906</v>
      </c>
      <c r="H2027" s="126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IF(E2027="","",IF(ISNUMBER(SEARCH("SUBSOLO",E2027)),IFERROR(-VALUE(LEFT(E2027,FIND("º",SUBSTITUTE(E2027,"°","º"))-1)),-1),IF(LEFT(E2027,6)="TÉRREO",0,IFERROR(VALUE(LEFT(E2027,FIND("º",SUBSTITUTE(E2027,"°","º"))-1)),""))))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26" t="n">
        <v>46895</v>
      </c>
      <c r="G2028" s="126" t="n">
        <v>46906</v>
      </c>
      <c r="H2028" s="126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IF(E2028="","",IF(ISNUMBER(SEARCH("SUBSOLO",E2028)),IFERROR(-VALUE(LEFT(E2028,FIND("º",SUBSTITUTE(E2028,"°","º"))-1)),-1),IF(LEFT(E2028,6)="TÉRREO",0,IFERROR(VALUE(LEFT(E2028,FIND("º",SUBSTITUTE(E2028,"°","º"))-1)),""))))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26" t="n">
        <v>46895</v>
      </c>
      <c r="G2029" s="126" t="n">
        <v>46913</v>
      </c>
      <c r="H2029" s="126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IF(E2029="","",IF(ISNUMBER(SEARCH("SUBSOLO",E2029)),IFERROR(-VALUE(LEFT(E2029,FIND("º",SUBSTITUTE(E2029,"°","º"))-1)),-1),IF(LEFT(E2029,6)="TÉRREO",0,IFERROR(VALUE(LEFT(E2029,FIND("º",SUBSTITUTE(E2029,"°","º"))-1)),""))))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26" t="n">
        <v>46895</v>
      </c>
      <c r="G2030" s="126" t="n">
        <v>46904</v>
      </c>
      <c r="H2030" s="126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IF(E2030="","",IF(ISNUMBER(SEARCH("SUBSOLO",E2030)),IFERROR(-VALUE(LEFT(E2030,FIND("º",SUBSTITUTE(E2030,"°","º"))-1)),-1),IF(LEFT(E2030,6)="TÉRREO",0,IFERROR(VALUE(LEFT(E2030,FIND("º",SUBSTITUTE(E2030,"°","º"))-1)),""))))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26" t="n">
        <v>46897</v>
      </c>
      <c r="G2031" s="126" t="n">
        <v>46903</v>
      </c>
      <c r="H2031" s="126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IF(E2031="","",IF(ISNUMBER(SEARCH("SUBSOLO",E2031)),IFERROR(-VALUE(LEFT(E2031,FIND("º",SUBSTITUTE(E2031,"°","º"))-1)),-1),IF(LEFT(E2031,6)="TÉRREO",0,IFERROR(VALUE(LEFT(E2031,FIND("º",SUBSTITUTE(E2031,"°","º"))-1)),""))))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26" t="n">
        <v>46899</v>
      </c>
      <c r="G2032" s="126" t="n">
        <v>46920</v>
      </c>
      <c r="H2032" s="126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IF(E2032="","",IF(ISNUMBER(SEARCH("SUBSOLO",E2032)),IFERROR(-VALUE(LEFT(E2032,FIND("º",SUBSTITUTE(E2032,"°","º"))-1)),-1),IF(LEFT(E2032,6)="TÉRREO",0,IFERROR(VALUE(LEFT(E2032,FIND("º",SUBSTITUTE(E2032,"°","º"))-1)),""))))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26" t="n">
        <v>46899</v>
      </c>
      <c r="G2033" s="126" t="n">
        <v>46912</v>
      </c>
      <c r="H2033" s="126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IF(E2033="","",IF(ISNUMBER(SEARCH("SUBSOLO",E2033)),IFERROR(-VALUE(LEFT(E2033,FIND("º",SUBSTITUTE(E2033,"°","º"))-1)),-1),IF(LEFT(E2033,6)="TÉRREO",0,IFERROR(VALUE(LEFT(E2033,FIND("º",SUBSTITUTE(E2033,"°","º"))-1)),""))))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26" t="n">
        <v>46902</v>
      </c>
      <c r="G2034" s="126" t="n">
        <v>46913</v>
      </c>
      <c r="H2034" s="126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IF(E2034="","",IF(ISNUMBER(SEARCH("SUBSOLO",E2034)),IFERROR(-VALUE(LEFT(E2034,FIND("º",SUBSTITUTE(E2034,"°","º"))-1)),-1),IF(LEFT(E2034,6)="TÉRREO",0,IFERROR(VALUE(LEFT(E2034,FIND("º",SUBSTITUTE(E2034,"°","º"))-1)),""))))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26" t="n">
        <v>46902</v>
      </c>
      <c r="G2035" s="126" t="n">
        <v>46913</v>
      </c>
      <c r="H2035" s="126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IF(E2035="","",IF(ISNUMBER(SEARCH("SUBSOLO",E2035)),IFERROR(-VALUE(LEFT(E2035,FIND("º",SUBSTITUTE(E2035,"°","º"))-1)),-1),IF(LEFT(E2035,6)="TÉRREO",0,IFERROR(VALUE(LEFT(E2035,FIND("º",SUBSTITUTE(E2035,"°","º"))-1)),""))))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26" t="n">
        <v>46902</v>
      </c>
      <c r="G2036" s="126" t="n">
        <v>46913</v>
      </c>
      <c r="H2036" s="126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IF(E2036="","",IF(ISNUMBER(SEARCH("SUBSOLO",E2036)),IFERROR(-VALUE(LEFT(E2036,FIND("º",SUBSTITUTE(E2036,"°","º"))-1)),-1),IF(LEFT(E2036,6)="TÉRREO",0,IFERROR(VALUE(LEFT(E2036,FIND("º",SUBSTITUTE(E2036,"°","º"))-1)),""))))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26" t="n">
        <v>46902</v>
      </c>
      <c r="G2037" s="126" t="n">
        <v>46913</v>
      </c>
      <c r="H2037" s="126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IF(E2037="","",IF(ISNUMBER(SEARCH("SUBSOLO",E2037)),IFERROR(-VALUE(LEFT(E2037,FIND("º",SUBSTITUTE(E2037,"°","º"))-1)),-1),IF(LEFT(E2037,6)="TÉRREO",0,IFERROR(VALUE(LEFT(E2037,FIND("º",SUBSTITUTE(E2037,"°","º"))-1)),""))))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26" t="n">
        <v>46902</v>
      </c>
      <c r="G2038" s="126" t="n">
        <v>46906</v>
      </c>
      <c r="H2038" s="126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IF(E2038="","",IF(ISNUMBER(SEARCH("SUBSOLO",E2038)),IFERROR(-VALUE(LEFT(E2038,FIND("º",SUBSTITUTE(E2038,"°","º"))-1)),-1),IF(LEFT(E2038,6)="TÉRREO",0,IFERROR(VALUE(LEFT(E2038,FIND("º",SUBSTITUTE(E2038,"°","º"))-1)),""))))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26" t="n">
        <v>46909</v>
      </c>
      <c r="G2039" s="126" t="n">
        <v>46913</v>
      </c>
      <c r="H2039" s="126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IF(E2039="","",IF(ISNUMBER(SEARCH("SUBSOLO",E2039)),IFERROR(-VALUE(LEFT(E2039,FIND("º",SUBSTITUTE(E2039,"°","º"))-1)),-1),IF(LEFT(E2039,6)="TÉRREO",0,IFERROR(VALUE(LEFT(E2039,FIND("º",SUBSTITUTE(E2039,"°","º"))-1)),""))))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26" t="n">
        <v>46902</v>
      </c>
      <c r="G2040" s="126" t="n">
        <v>46923</v>
      </c>
      <c r="H2040" s="126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IF(E2040="","",IF(ISNUMBER(SEARCH("SUBSOLO",E2040)),IFERROR(-VALUE(LEFT(E2040,FIND("º",SUBSTITUTE(E2040,"°","º"))-1)),-1),IF(LEFT(E2040,6)="TÉRREO",0,IFERROR(VALUE(LEFT(E2040,FIND("º",SUBSTITUTE(E2040,"°","º"))-1)),""))))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26" t="n">
        <v>46904</v>
      </c>
      <c r="G2041" s="126" t="n">
        <v>46910</v>
      </c>
      <c r="H2041" s="126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IF(E2041="","",IF(ISNUMBER(SEARCH("SUBSOLO",E2041)),IFERROR(-VALUE(LEFT(E2041,FIND("º",SUBSTITUTE(E2041,"°","º"))-1)),-1),IF(LEFT(E2041,6)="TÉRREO",0,IFERROR(VALUE(LEFT(E2041,FIND("º",SUBSTITUTE(E2041,"°","º"))-1)),""))))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26" t="n">
        <v>46906</v>
      </c>
      <c r="G2042" s="126" t="n">
        <v>46916</v>
      </c>
      <c r="H2042" s="126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IF(E2042="","",IF(ISNUMBER(SEARCH("SUBSOLO",E2042)),IFERROR(-VALUE(LEFT(E2042,FIND("º",SUBSTITUTE(E2042,"°","º"))-1)),-1),IF(LEFT(E2042,6)="TÉRREO",0,IFERROR(VALUE(LEFT(E2042,FIND("º",SUBSTITUTE(E2042,"°","º"))-1)),""))))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26" t="n">
        <v>46906</v>
      </c>
      <c r="G2043" s="126" t="n">
        <v>46920</v>
      </c>
      <c r="H2043" s="126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IF(E2043="","",IF(ISNUMBER(SEARCH("SUBSOLO",E2043)),IFERROR(-VALUE(LEFT(E2043,FIND("º",SUBSTITUTE(E2043,"°","º"))-1)),-1),IF(LEFT(E2043,6)="TÉRREO",0,IFERROR(VALUE(LEFT(E2043,FIND("º",SUBSTITUTE(E2043,"°","º"))-1)),""))))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26" t="n">
        <v>46906</v>
      </c>
      <c r="G2044" s="126" t="n">
        <v>46918</v>
      </c>
      <c r="H2044" s="126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IF(E2044="","",IF(ISNUMBER(SEARCH("SUBSOLO",E2044)),IFERROR(-VALUE(LEFT(E2044,FIND("º",SUBSTITUTE(E2044,"°","º"))-1)),-1),IF(LEFT(E2044,6)="TÉRREO",0,IFERROR(VALUE(LEFT(E2044,FIND("º",SUBSTITUTE(E2044,"°","º"))-1)),""))))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26" t="n">
        <v>46906</v>
      </c>
      <c r="G2045" s="126" t="n">
        <v>46920</v>
      </c>
      <c r="H2045" s="126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IF(E2045="","",IF(ISNUMBER(SEARCH("SUBSOLO",E2045)),IFERROR(-VALUE(LEFT(E2045,FIND("º",SUBSTITUTE(E2045,"°","º"))-1)),-1),IF(LEFT(E2045,6)="TÉRREO",0,IFERROR(VALUE(LEFT(E2045,FIND("º",SUBSTITUTE(E2045,"°","º"))-1)),""))))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26" t="n">
        <v>46906</v>
      </c>
      <c r="G2046" s="126" t="n">
        <v>46920</v>
      </c>
      <c r="H2046" s="126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IF(E2046="","",IF(ISNUMBER(SEARCH("SUBSOLO",E2046)),IFERROR(-VALUE(LEFT(E2046,FIND("º",SUBSTITUTE(E2046,"°","º"))-1)),-1),IF(LEFT(E2046,6)="TÉRREO",0,IFERROR(VALUE(LEFT(E2046,FIND("º",SUBSTITUTE(E2046,"°","º"))-1)),""))))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26" t="n">
        <v>46906</v>
      </c>
      <c r="G2047" s="126" t="n">
        <v>46920</v>
      </c>
      <c r="H2047" s="126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IF(E2047="","",IF(ISNUMBER(SEARCH("SUBSOLO",E2047)),IFERROR(-VALUE(LEFT(E2047,FIND("º",SUBSTITUTE(E2047,"°","º"))-1)),-1),IF(LEFT(E2047,6)="TÉRREO",0,IFERROR(VALUE(LEFT(E2047,FIND("º",SUBSTITUTE(E2047,"°","º"))-1)),""))))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26" t="n">
        <v>46906</v>
      </c>
      <c r="G2048" s="126" t="n">
        <v>46920</v>
      </c>
      <c r="H2048" s="126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IF(E2048="","",IF(ISNUMBER(SEARCH("SUBSOLO",E2048)),IFERROR(-VALUE(LEFT(E2048,FIND("º",SUBSTITUTE(E2048,"°","º"))-1)),-1),IF(LEFT(E2048,6)="TÉRREO",0,IFERROR(VALUE(LEFT(E2048,FIND("º",SUBSTITUTE(E2048,"°","º"))-1)),""))))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26" t="n">
        <v>46909</v>
      </c>
      <c r="G2049" s="126" t="n">
        <v>46913</v>
      </c>
      <c r="H2049" s="126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IF(E2049="","",IF(ISNUMBER(SEARCH("SUBSOLO",E2049)),IFERROR(-VALUE(LEFT(E2049,FIND("º",SUBSTITUTE(E2049,"°","º"))-1)),-1),IF(LEFT(E2049,6)="TÉRREO",0,IFERROR(VALUE(LEFT(E2049,FIND("º",SUBSTITUTE(E2049,"°","º"))-1)),""))))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26" t="n">
        <v>46909</v>
      </c>
      <c r="G2050" s="126" t="n">
        <v>46923</v>
      </c>
      <c r="H2050" s="126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IF(E2050="","",IF(ISNUMBER(SEARCH("SUBSOLO",E2050)),IFERROR(-VALUE(LEFT(E2050,FIND("º",SUBSTITUTE(E2050,"°","º"))-1)),-1),IF(LEFT(E2050,6)="TÉRREO",0,IFERROR(VALUE(LEFT(E2050,FIND("º",SUBSTITUTE(E2050,"°","º"))-1)),""))))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26" t="n">
        <v>46909</v>
      </c>
      <c r="G2051" s="126" t="n">
        <v>46930</v>
      </c>
      <c r="H2051" s="126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IF(E2051="","",IF(ISNUMBER(SEARCH("SUBSOLO",E2051)),IFERROR(-VALUE(LEFT(E2051,FIND("º",SUBSTITUTE(E2051,"°","º"))-1)),-1),IF(LEFT(E2051,6)="TÉRREO",0,IFERROR(VALUE(LEFT(E2051,FIND("º",SUBSTITUTE(E2051,"°","º"))-1)),""))))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26" t="n">
        <v>46909</v>
      </c>
      <c r="G2052" s="126" t="n">
        <v>46923</v>
      </c>
      <c r="H2052" s="126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IF(E2052="","",IF(ISNUMBER(SEARCH("SUBSOLO",E2052)),IFERROR(-VALUE(LEFT(E2052,FIND("º",SUBSTITUTE(E2052,"°","º"))-1)),-1),IF(LEFT(E2052,6)="TÉRREO",0,IFERROR(VALUE(LEFT(E2052,FIND("º",SUBSTITUTE(E2052,"°","º"))-1)),""))))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26" t="n">
        <v>46911</v>
      </c>
      <c r="G2053" s="126" t="n">
        <v>46916</v>
      </c>
      <c r="H2053" s="126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IF(E2053="","",IF(ISNUMBER(SEARCH("SUBSOLO",E2053)),IFERROR(-VALUE(LEFT(E2053,FIND("º",SUBSTITUTE(E2053,"°","º"))-1)),-1),IF(LEFT(E2053,6)="TÉRREO",0,IFERROR(VALUE(LEFT(E2053,FIND("º",SUBSTITUTE(E2053,"°","º"))-1)),""))))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26" t="n">
        <v>46911</v>
      </c>
      <c r="G2054" s="126" t="n">
        <v>46916</v>
      </c>
      <c r="H2054" s="126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IF(E2054="","",IF(ISNUMBER(SEARCH("SUBSOLO",E2054)),IFERROR(-VALUE(LEFT(E2054,FIND("º",SUBSTITUTE(E2054,"°","º"))-1)),-1),IF(LEFT(E2054,6)="TÉRREO",0,IFERROR(VALUE(LEFT(E2054,FIND("º",SUBSTITUTE(E2054,"°","º"))-1)),""))))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26" t="n">
        <v>46913</v>
      </c>
      <c r="G2055" s="126" t="n">
        <v>46927</v>
      </c>
      <c r="H2055" s="126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IF(E2055="","",IF(ISNUMBER(SEARCH("SUBSOLO",E2055)),IFERROR(-VALUE(LEFT(E2055,FIND("º",SUBSTITUTE(E2055,"°","º"))-1)),-1),IF(LEFT(E2055,6)="TÉRREO",0,IFERROR(VALUE(LEFT(E2055,FIND("º",SUBSTITUTE(E2055,"°","º"))-1)),""))))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26" t="n">
        <v>46916</v>
      </c>
      <c r="G2056" s="126" t="n">
        <v>46927</v>
      </c>
      <c r="H2056" s="126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IF(E2056="","",IF(ISNUMBER(SEARCH("SUBSOLO",E2056)),IFERROR(-VALUE(LEFT(E2056,FIND("º",SUBSTITUTE(E2056,"°","º"))-1)),-1),IF(LEFT(E2056,6)="TÉRREO",0,IFERROR(VALUE(LEFT(E2056,FIND("º",SUBSTITUTE(E2056,"°","º"))-1)),""))))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26" t="n">
        <v>46916</v>
      </c>
      <c r="G2057" s="126" t="n">
        <v>46930</v>
      </c>
      <c r="H2057" s="126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IF(E2057="","",IF(ISNUMBER(SEARCH("SUBSOLO",E2057)),IFERROR(-VALUE(LEFT(E2057,FIND("º",SUBSTITUTE(E2057,"°","º"))-1)),-1),IF(LEFT(E2057,6)="TÉRREO",0,IFERROR(VALUE(LEFT(E2057,FIND("º",SUBSTITUTE(E2057,"°","º"))-1)),""))))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26" t="n">
        <v>46916</v>
      </c>
      <c r="G2058" s="126" t="n">
        <v>46930</v>
      </c>
      <c r="H2058" s="126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IF(E2058="","",IF(ISNUMBER(SEARCH("SUBSOLO",E2058)),IFERROR(-VALUE(LEFT(E2058,FIND("º",SUBSTITUTE(E2058,"°","º"))-1)),-1),IF(LEFT(E2058,6)="TÉRREO",0,IFERROR(VALUE(LEFT(E2058,FIND("º",SUBSTITUTE(E2058,"°","º"))-1)),""))))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26" t="n">
        <v>46916</v>
      </c>
      <c r="G2059" s="126" t="n">
        <v>46930</v>
      </c>
      <c r="H2059" s="126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IF(E2059="","",IF(ISNUMBER(SEARCH("SUBSOLO",E2059)),IFERROR(-VALUE(LEFT(E2059,FIND("º",SUBSTITUTE(E2059,"°","º"))-1)),-1),IF(LEFT(E2059,6)="TÉRREO",0,IFERROR(VALUE(LEFT(E2059,FIND("º",SUBSTITUTE(E2059,"°","º"))-1)),""))))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26" t="n">
        <v>46916</v>
      </c>
      <c r="G2060" s="126" t="n">
        <v>46930</v>
      </c>
      <c r="H2060" s="126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IF(E2060="","",IF(ISNUMBER(SEARCH("SUBSOLO",E2060)),IFERROR(-VALUE(LEFT(E2060,FIND("º",SUBSTITUTE(E2060,"°","º"))-1)),-1),IF(LEFT(E2060,6)="TÉRREO",0,IFERROR(VALUE(LEFT(E2060,FIND("º",SUBSTITUTE(E2060,"°","º"))-1)),""))))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26" t="n">
        <v>46916</v>
      </c>
      <c r="G2061" s="126" t="n">
        <v>46930</v>
      </c>
      <c r="H2061" s="126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IF(E2061="","",IF(ISNUMBER(SEARCH("SUBSOLO",E2061)),IFERROR(-VALUE(LEFT(E2061,FIND("º",SUBSTITUTE(E2061,"°","º"))-1)),-1),IF(LEFT(E2061,6)="TÉRREO",0,IFERROR(VALUE(LEFT(E2061,FIND("º",SUBSTITUTE(E2061,"°","º"))-1)),""))))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26" t="n">
        <v>46916</v>
      </c>
      <c r="G2062" s="126" t="n">
        <v>46930</v>
      </c>
      <c r="H2062" s="126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IF(E2062="","",IF(ISNUMBER(SEARCH("SUBSOLO",E2062)),IFERROR(-VALUE(LEFT(E2062,FIND("º",SUBSTITUTE(E2062,"°","º"))-1)),-1),IF(LEFT(E2062,6)="TÉRREO",0,IFERROR(VALUE(LEFT(E2062,FIND("º",SUBSTITUTE(E2062,"°","º"))-1)),""))))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26" t="n">
        <v>46916</v>
      </c>
      <c r="G2063" s="126" t="n">
        <v>46937</v>
      </c>
      <c r="H2063" s="126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IF(E2063="","",IF(ISNUMBER(SEARCH("SUBSOLO",E2063)),IFERROR(-VALUE(LEFT(E2063,FIND("º",SUBSTITUTE(E2063,"°","º"))-1)),-1),IF(LEFT(E2063,6)="TÉRREO",0,IFERROR(VALUE(LEFT(E2063,FIND("º",SUBSTITUTE(E2063,"°","º"))-1)),""))))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26" t="n">
        <v>46917</v>
      </c>
      <c r="G2064" s="126" t="n">
        <v>46924</v>
      </c>
      <c r="H2064" s="126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IF(E2064="","",IF(ISNUMBER(SEARCH("SUBSOLO",E2064)),IFERROR(-VALUE(LEFT(E2064,FIND("º",SUBSTITUTE(E2064,"°","º"))-1)),-1),IF(LEFT(E2064,6)="TÉRREO",0,IFERROR(VALUE(LEFT(E2064,FIND("º",SUBSTITUTE(E2064,"°","º"))-1)),""))))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26" t="n">
        <v>46917</v>
      </c>
      <c r="G2065" s="126" t="n">
        <v>46924</v>
      </c>
      <c r="H2065" s="126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IF(E2065="","",IF(ISNUMBER(SEARCH("SUBSOLO",E2065)),IFERROR(-VALUE(LEFT(E2065,FIND("º",SUBSTITUTE(E2065,"°","º"))-1)),-1),IF(LEFT(E2065,6)="TÉRREO",0,IFERROR(VALUE(LEFT(E2065,FIND("º",SUBSTITUTE(E2065,"°","º"))-1)),""))))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26" t="n">
        <v>46923</v>
      </c>
      <c r="G2066" s="126" t="n">
        <v>46931</v>
      </c>
      <c r="H2066" s="126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IF(E2066="","",IF(ISNUMBER(SEARCH("SUBSOLO",E2066)),IFERROR(-VALUE(LEFT(E2066,FIND("º",SUBSTITUTE(E2066,"°","º"))-1)),-1),IF(LEFT(E2066,6)="TÉRREO",0,IFERROR(VALUE(LEFT(E2066,FIND("º",SUBSTITUTE(E2066,"°","º"))-1)),""))))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26" t="n">
        <v>46923</v>
      </c>
      <c r="G2067" s="126" t="n">
        <v>46934</v>
      </c>
      <c r="H2067" s="126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IF(E2067="","",IF(ISNUMBER(SEARCH("SUBSOLO",E2067)),IFERROR(-VALUE(LEFT(E2067,FIND("º",SUBSTITUTE(E2067,"°","º"))-1)),-1),IF(LEFT(E2067,6)="TÉRREO",0,IFERROR(VALUE(LEFT(E2067,FIND("º",SUBSTITUTE(E2067,"°","º"))-1)),""))))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26" t="n">
        <v>46923</v>
      </c>
      <c r="G2068" s="126" t="n">
        <v>46934</v>
      </c>
      <c r="H2068" s="126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IF(E2068="","",IF(ISNUMBER(SEARCH("SUBSOLO",E2068)),IFERROR(-VALUE(LEFT(E2068,FIND("º",SUBSTITUTE(E2068,"°","º"))-1)),-1),IF(LEFT(E2068,6)="TÉRREO",0,IFERROR(VALUE(LEFT(E2068,FIND("º",SUBSTITUTE(E2068,"°","º"))-1)),""))))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26" t="n">
        <v>46924</v>
      </c>
      <c r="G2069" s="126" t="n">
        <v>46937</v>
      </c>
      <c r="H2069" s="126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IF(E2069="","",IF(ISNUMBER(SEARCH("SUBSOLO",E2069)),IFERROR(-VALUE(LEFT(E2069,FIND("º",SUBSTITUTE(E2069,"°","º"))-1)),-1),IF(LEFT(E2069,6)="TÉRREO",0,IFERROR(VALUE(LEFT(E2069,FIND("º",SUBSTITUTE(E2069,"°","º"))-1)),""))))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26" t="n">
        <v>46924</v>
      </c>
      <c r="G2070" s="126" t="n">
        <v>46937</v>
      </c>
      <c r="H2070" s="126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IF(E2070="","",IF(ISNUMBER(SEARCH("SUBSOLO",E2070)),IFERROR(-VALUE(LEFT(E2070,FIND("º",SUBSTITUTE(E2070,"°","º"))-1)),-1),IF(LEFT(E2070,6)="TÉRREO",0,IFERROR(VALUE(LEFT(E2070,FIND("º",SUBSTITUTE(E2070,"°","º"))-1)),""))))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26" t="n">
        <v>46924</v>
      </c>
      <c r="G2071" s="126" t="n">
        <v>46937</v>
      </c>
      <c r="H2071" s="126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IF(E2071="","",IF(ISNUMBER(SEARCH("SUBSOLO",E2071)),IFERROR(-VALUE(LEFT(E2071,FIND("º",SUBSTITUTE(E2071,"°","º"))-1)),-1),IF(LEFT(E2071,6)="TÉRREO",0,IFERROR(VALUE(LEFT(E2071,FIND("º",SUBSTITUTE(E2071,"°","º"))-1)),""))))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26" t="n">
        <v>46924</v>
      </c>
      <c r="G2072" s="126" t="n">
        <v>46937</v>
      </c>
      <c r="H2072" s="126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IF(E2072="","",IF(ISNUMBER(SEARCH("SUBSOLO",E2072)),IFERROR(-VALUE(LEFT(E2072,FIND("º",SUBSTITUTE(E2072,"°","º"))-1)),-1),IF(LEFT(E2072,6)="TÉRREO",0,IFERROR(VALUE(LEFT(E2072,FIND("º",SUBSTITUTE(E2072,"°","º"))-1)),""))))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26" t="n">
        <v>46924</v>
      </c>
      <c r="G2073" s="126" t="n">
        <v>46930</v>
      </c>
      <c r="H2073" s="126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IF(E2073="","",IF(ISNUMBER(SEARCH("SUBSOLO",E2073)),IFERROR(-VALUE(LEFT(E2073,FIND("º",SUBSTITUTE(E2073,"°","º"))-1)),-1),IF(LEFT(E2073,6)="TÉRREO",0,IFERROR(VALUE(LEFT(E2073,FIND("º",SUBSTITUTE(E2073,"°","º"))-1)),""))))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26" t="n">
        <v>46931</v>
      </c>
      <c r="G2074" s="126" t="n">
        <v>46937</v>
      </c>
      <c r="H2074" s="126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IF(E2074="","",IF(ISNUMBER(SEARCH("SUBSOLO",E2074)),IFERROR(-VALUE(LEFT(E2074,FIND("º",SUBSTITUTE(E2074,"°","º"))-1)),-1),IF(LEFT(E2074,6)="TÉRREO",0,IFERROR(VALUE(LEFT(E2074,FIND("º",SUBSTITUTE(E2074,"°","º"))-1)),""))))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26" t="n">
        <v>46924</v>
      </c>
      <c r="G2075" s="126" t="n">
        <v>46944</v>
      </c>
      <c r="H2075" s="126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IF(E2075="","",IF(ISNUMBER(SEARCH("SUBSOLO",E2075)),IFERROR(-VALUE(LEFT(E2075,FIND("º",SUBSTITUTE(E2075,"°","º"))-1)),-1),IF(LEFT(E2075,6)="TÉRREO",0,IFERROR(VALUE(LEFT(E2075,FIND("º",SUBSTITUTE(E2075,"°","º"))-1)),""))))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26" t="n">
        <v>46930</v>
      </c>
      <c r="G2076" s="126" t="n">
        <v>46940</v>
      </c>
      <c r="H2076" s="126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IF(E2076="","",IF(ISNUMBER(SEARCH("SUBSOLO",E2076)),IFERROR(-VALUE(LEFT(E2076,FIND("º",SUBSTITUTE(E2076,"°","º"))-1)),-1),IF(LEFT(E2076,6)="TÉRREO",0,IFERROR(VALUE(LEFT(E2076,FIND("º",SUBSTITUTE(E2076,"°","º"))-1)),""))))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26" t="n">
        <v>46930</v>
      </c>
      <c r="G2077" s="126" t="n">
        <v>46941</v>
      </c>
      <c r="H2077" s="126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IF(E2077="","",IF(ISNUMBER(SEARCH("SUBSOLO",E2077)),IFERROR(-VALUE(LEFT(E2077,FIND("º",SUBSTITUTE(E2077,"°","º"))-1)),-1),IF(LEFT(E2077,6)="TÉRREO",0,IFERROR(VALUE(LEFT(E2077,FIND("º",SUBSTITUTE(E2077,"°","º"))-1)),""))))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26" t="n">
        <v>46930</v>
      </c>
      <c r="G2078" s="126" t="n">
        <v>46941</v>
      </c>
      <c r="H2078" s="126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IF(E2078="","",IF(ISNUMBER(SEARCH("SUBSOLO",E2078)),IFERROR(-VALUE(LEFT(E2078,FIND("º",SUBSTITUTE(E2078,"°","º"))-1)),-1),IF(LEFT(E2078,6)="TÉRREO",0,IFERROR(VALUE(LEFT(E2078,FIND("º",SUBSTITUTE(E2078,"°","º"))-1)),""))))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26" t="n">
        <v>46930</v>
      </c>
      <c r="G2079" s="126" t="n">
        <v>46941</v>
      </c>
      <c r="H2079" s="126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IF(E2079="","",IF(ISNUMBER(SEARCH("SUBSOLO",E2079)),IFERROR(-VALUE(LEFT(E2079,FIND("º",SUBSTITUTE(E2079,"°","º"))-1)),-1),IF(LEFT(E2079,6)="TÉRREO",0,IFERROR(VALUE(LEFT(E2079,FIND("º",SUBSTITUTE(E2079,"°","º"))-1)),""))))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26" t="n">
        <v>46930</v>
      </c>
      <c r="G2080" s="126" t="n">
        <v>46941</v>
      </c>
      <c r="H2080" s="126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IF(E2080="","",IF(ISNUMBER(SEARCH("SUBSOLO",E2080)),IFERROR(-VALUE(LEFT(E2080,FIND("º",SUBSTITUTE(E2080,"°","º"))-1)),-1),IF(LEFT(E2080,6)="TÉRREO",0,IFERROR(VALUE(LEFT(E2080,FIND("º",SUBSTITUTE(E2080,"°","º"))-1)),""))))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26" t="n">
        <v>46931</v>
      </c>
      <c r="G2081" s="126" t="n">
        <v>46944</v>
      </c>
      <c r="H2081" s="126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IF(E2081="","",IF(ISNUMBER(SEARCH("SUBSOLO",E2081)),IFERROR(-VALUE(LEFT(E2081,FIND("º",SUBSTITUTE(E2081,"°","º"))-1)),-1),IF(LEFT(E2081,6)="TÉRREO",0,IFERROR(VALUE(LEFT(E2081,FIND("º",SUBSTITUTE(E2081,"°","º"))-1)),""))))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26" t="n">
        <v>46931</v>
      </c>
      <c r="G2082" s="126" t="n">
        <v>46944</v>
      </c>
      <c r="H2082" s="126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IF(E2082="","",IF(ISNUMBER(SEARCH("SUBSOLO",E2082)),IFERROR(-VALUE(LEFT(E2082,FIND("º",SUBSTITUTE(E2082,"°","º"))-1)),-1),IF(LEFT(E2082,6)="TÉRREO",0,IFERROR(VALUE(LEFT(E2082,FIND("º",SUBSTITUTE(E2082,"°","º"))-1)),""))))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26" t="n">
        <v>46931</v>
      </c>
      <c r="G2083" s="126" t="n">
        <v>46951</v>
      </c>
      <c r="H2083" s="126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IF(E2083="","",IF(ISNUMBER(SEARCH("SUBSOLO",E2083)),IFERROR(-VALUE(LEFT(E2083,FIND("º",SUBSTITUTE(E2083,"°","º"))-1)),-1),IF(LEFT(E2083,6)="TÉRREO",0,IFERROR(VALUE(LEFT(E2083,FIND("º",SUBSTITUTE(E2083,"°","º"))-1)),""))))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26" t="n">
        <v>46931</v>
      </c>
      <c r="G2084" s="126" t="n">
        <v>46944</v>
      </c>
      <c r="H2084" s="126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IF(E2084="","",IF(ISNUMBER(SEARCH("SUBSOLO",E2084)),IFERROR(-VALUE(LEFT(E2084,FIND("º",SUBSTITUTE(E2084,"°","º"))-1)),-1),IF(LEFT(E2084,6)="TÉRREO",0,IFERROR(VALUE(LEFT(E2084,FIND("º",SUBSTITUTE(E2084,"°","º"))-1)),""))))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26" t="n">
        <v>46937</v>
      </c>
      <c r="G2085" s="126" t="n">
        <v>46948</v>
      </c>
      <c r="H2085" s="126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IF(E2085="","",IF(ISNUMBER(SEARCH("SUBSOLO",E2085)),IFERROR(-VALUE(LEFT(E2085,FIND("º",SUBSTITUTE(E2085,"°","º"))-1)),-1),IF(LEFT(E2085,6)="TÉRREO",0,IFERROR(VALUE(LEFT(E2085,FIND("º",SUBSTITUTE(E2085,"°","º"))-1)),""))))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26" t="n">
        <v>46937</v>
      </c>
      <c r="G2086" s="126" t="n">
        <v>46948</v>
      </c>
      <c r="H2086" s="126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IF(E2086="","",IF(ISNUMBER(SEARCH("SUBSOLO",E2086)),IFERROR(-VALUE(LEFT(E2086,FIND("º",SUBSTITUTE(E2086,"°","º"))-1)),-1),IF(LEFT(E2086,6)="TÉRREO",0,IFERROR(VALUE(LEFT(E2086,FIND("º",SUBSTITUTE(E2086,"°","º"))-1)),""))))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26" t="n">
        <v>46938</v>
      </c>
      <c r="G2087" s="126" t="n">
        <v>46944</v>
      </c>
      <c r="H2087" s="126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IF(E2087="","",IF(ISNUMBER(SEARCH("SUBSOLO",E2087)),IFERROR(-VALUE(LEFT(E2087,FIND("º",SUBSTITUTE(E2087,"°","º"))-1)),-1),IF(LEFT(E2087,6)="TÉRREO",0,IFERROR(VALUE(LEFT(E2087,FIND("º",SUBSTITUTE(E2087,"°","º"))-1)),""))))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26" t="n">
        <v>46938</v>
      </c>
      <c r="G2088" s="126" t="n">
        <v>46948</v>
      </c>
      <c r="H2088" s="126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IF(E2088="","",IF(ISNUMBER(SEARCH("SUBSOLO",E2088)),IFERROR(-VALUE(LEFT(E2088,FIND("º",SUBSTITUTE(E2088,"°","º"))-1)),-1),IF(LEFT(E2088,6)="TÉRREO",0,IFERROR(VALUE(LEFT(E2088,FIND("º",SUBSTITUTE(E2088,"°","º"))-1)),""))))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26" t="n">
        <v>46938</v>
      </c>
      <c r="G2089" s="126" t="n">
        <v>46951</v>
      </c>
      <c r="H2089" s="126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IF(E2089="","",IF(ISNUMBER(SEARCH("SUBSOLO",E2089)),IFERROR(-VALUE(LEFT(E2089,FIND("º",SUBSTITUTE(E2089,"°","º"))-1)),-1),IF(LEFT(E2089,6)="TÉRREO",0,IFERROR(VALUE(LEFT(E2089,FIND("º",SUBSTITUTE(E2089,"°","º"))-1)),""))))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26" t="n">
        <v>46938</v>
      </c>
      <c r="G2090" s="126" t="n">
        <v>46951</v>
      </c>
      <c r="H2090" s="126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IF(E2090="","",IF(ISNUMBER(SEARCH("SUBSOLO",E2090)),IFERROR(-VALUE(LEFT(E2090,FIND("º",SUBSTITUTE(E2090,"°","º"))-1)),-1),IF(LEFT(E2090,6)="TÉRREO",0,IFERROR(VALUE(LEFT(E2090,FIND("º",SUBSTITUTE(E2090,"°","º"))-1)),""))))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26" t="n">
        <v>46938</v>
      </c>
      <c r="G2091" s="126" t="n">
        <v>46951</v>
      </c>
      <c r="H2091" s="126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IF(E2091="","",IF(ISNUMBER(SEARCH("SUBSOLO",E2091)),IFERROR(-VALUE(LEFT(E2091,FIND("º",SUBSTITUTE(E2091,"°","º"))-1)),-1),IF(LEFT(E2091,6)="TÉRREO",0,IFERROR(VALUE(LEFT(E2091,FIND("º",SUBSTITUTE(E2091,"°","º"))-1)),""))))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26" t="n">
        <v>46938</v>
      </c>
      <c r="G2092" s="126" t="n">
        <v>46951</v>
      </c>
      <c r="H2092" s="126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IF(E2092="","",IF(ISNUMBER(SEARCH("SUBSOLO",E2092)),IFERROR(-VALUE(LEFT(E2092,FIND("º",SUBSTITUTE(E2092,"°","º"))-1)),-1),IF(LEFT(E2092,6)="TÉRREO",0,IFERROR(VALUE(LEFT(E2092,FIND("º",SUBSTITUTE(E2092,"°","º"))-1)),""))))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26" t="n">
        <v>46938</v>
      </c>
      <c r="G2093" s="126" t="n">
        <v>46951</v>
      </c>
      <c r="H2093" s="126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IF(E2093="","",IF(ISNUMBER(SEARCH("SUBSOLO",E2093)),IFERROR(-VALUE(LEFT(E2093,FIND("º",SUBSTITUTE(E2093,"°","º"))-1)),-1),IF(LEFT(E2093,6)="TÉRREO",0,IFERROR(VALUE(LEFT(E2093,FIND("º",SUBSTITUTE(E2093,"°","º"))-1)),""))))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26" t="n">
        <v>46938</v>
      </c>
      <c r="G2094" s="126" t="n">
        <v>46951</v>
      </c>
      <c r="H2094" s="126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IF(E2094="","",IF(ISNUMBER(SEARCH("SUBSOLO",E2094)),IFERROR(-VALUE(LEFT(E2094,FIND("º",SUBSTITUTE(E2094,"°","º"))-1)),-1),IF(LEFT(E2094,6)="TÉRREO",0,IFERROR(VALUE(LEFT(E2094,FIND("º",SUBSTITUTE(E2094,"°","º"))-1)),""))))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26" t="n">
        <v>46938</v>
      </c>
      <c r="G2095" s="126" t="n">
        <v>46958</v>
      </c>
      <c r="H2095" s="126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IF(E2095="","",IF(ISNUMBER(SEARCH("SUBSOLO",E2095)),IFERROR(-VALUE(LEFT(E2095,FIND("º",SUBSTITUTE(E2095,"°","º"))-1)),-1),IF(LEFT(E2095,6)="TÉRREO",0,IFERROR(VALUE(LEFT(E2095,FIND("º",SUBSTITUTE(E2095,"°","º"))-1)),""))))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26" t="n">
        <v>46944</v>
      </c>
      <c r="G2096" s="126" t="n">
        <v>46955</v>
      </c>
      <c r="H2096" s="126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IF(E2096="","",IF(ISNUMBER(SEARCH("SUBSOLO",E2096)),IFERROR(-VALUE(LEFT(E2096,FIND("º",SUBSTITUTE(E2096,"°","º"))-1)),-1),IF(LEFT(E2096,6)="TÉRREO",0,IFERROR(VALUE(LEFT(E2096,FIND("º",SUBSTITUTE(E2096,"°","º"))-1)),""))))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26" t="n">
        <v>46945</v>
      </c>
      <c r="G2097" s="126" t="n">
        <v>46958</v>
      </c>
      <c r="H2097" s="126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IF(E2097="","",IF(ISNUMBER(SEARCH("SUBSOLO",E2097)),IFERROR(-VALUE(LEFT(E2097,FIND("º",SUBSTITUTE(E2097,"°","º"))-1)),-1),IF(LEFT(E2097,6)="TÉRREO",0,IFERROR(VALUE(LEFT(E2097,FIND("º",SUBSTITUTE(E2097,"°","º"))-1)),""))))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26" t="n">
        <v>46945</v>
      </c>
      <c r="G2098" s="126" t="n">
        <v>46958</v>
      </c>
      <c r="H2098" s="126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IF(E2098="","",IF(ISNUMBER(SEARCH("SUBSOLO",E2098)),IFERROR(-VALUE(LEFT(E2098,FIND("º",SUBSTITUTE(E2098,"°","º"))-1)),-1),IF(LEFT(E2098,6)="TÉRREO",0,IFERROR(VALUE(LEFT(E2098,FIND("º",SUBSTITUTE(E2098,"°","º"))-1)),""))))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26" t="n">
        <v>46945</v>
      </c>
      <c r="G2099" s="126" t="n">
        <v>46958</v>
      </c>
      <c r="H2099" s="126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IF(E2099="","",IF(ISNUMBER(SEARCH("SUBSOLO",E2099)),IFERROR(-VALUE(LEFT(E2099,FIND("º",SUBSTITUTE(E2099,"°","º"))-1)),-1),IF(LEFT(E2099,6)="TÉRREO",0,IFERROR(VALUE(LEFT(E2099,FIND("º",SUBSTITUTE(E2099,"°","º"))-1)),""))))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26" t="n">
        <v>46945</v>
      </c>
      <c r="G2100" s="126" t="n">
        <v>46958</v>
      </c>
      <c r="H2100" s="126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IF(E2100="","",IF(ISNUMBER(SEARCH("SUBSOLO",E2100)),IFERROR(-VALUE(LEFT(E2100,FIND("º",SUBSTITUTE(E2100,"°","º"))-1)),-1),IF(LEFT(E2100,6)="TÉRREO",0,IFERROR(VALUE(LEFT(E2100,FIND("º",SUBSTITUTE(E2100,"°","º"))-1)),""))))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26" t="n">
        <v>46945</v>
      </c>
      <c r="G2101" s="126" t="n">
        <v>46958</v>
      </c>
      <c r="H2101" s="126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IF(E2101="","",IF(ISNUMBER(SEARCH("SUBSOLO",E2101)),IFERROR(-VALUE(LEFT(E2101,FIND("º",SUBSTITUTE(E2101,"°","º"))-1)),-1),IF(LEFT(E2101,6)="TÉRREO",0,IFERROR(VALUE(LEFT(E2101,FIND("º",SUBSTITUTE(E2101,"°","º"))-1)),""))))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26" t="n">
        <v>46945</v>
      </c>
      <c r="G2102" s="126" t="n">
        <v>46951</v>
      </c>
      <c r="H2102" s="126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IF(E2102="","",IF(ISNUMBER(SEARCH("SUBSOLO",E2102)),IFERROR(-VALUE(LEFT(E2102,FIND("º",SUBSTITUTE(E2102,"°","º"))-1)),-1),IF(LEFT(E2102,6)="TÉRREO",0,IFERROR(VALUE(LEFT(E2102,FIND("º",SUBSTITUTE(E2102,"°","º"))-1)),""))))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26" t="n">
        <v>46952</v>
      </c>
      <c r="G2103" s="126" t="n">
        <v>46958</v>
      </c>
      <c r="H2103" s="126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IF(E2103="","",IF(ISNUMBER(SEARCH("SUBSOLO",E2103)),IFERROR(-VALUE(LEFT(E2103,FIND("º",SUBSTITUTE(E2103,"°","º"))-1)),-1),IF(LEFT(E2103,6)="TÉRREO",0,IFERROR(VALUE(LEFT(E2103,FIND("º",SUBSTITUTE(E2103,"°","º"))-1)),""))))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26" t="n">
        <v>46945</v>
      </c>
      <c r="G2104" s="126" t="n">
        <v>46965</v>
      </c>
      <c r="H2104" s="126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IF(E2104="","",IF(ISNUMBER(SEARCH("SUBSOLO",E2104)),IFERROR(-VALUE(LEFT(E2104,FIND("º",SUBSTITUTE(E2104,"°","º"))-1)),-1),IF(LEFT(E2104,6)="TÉRREO",0,IFERROR(VALUE(LEFT(E2104,FIND("º",SUBSTITUTE(E2104,"°","º"))-1)),""))))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26" t="n">
        <v>46946</v>
      </c>
      <c r="G2105" s="126" t="n">
        <v>46952</v>
      </c>
      <c r="H2105" s="126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IF(E2105="","",IF(ISNUMBER(SEARCH("SUBSOLO",E2105)),IFERROR(-VALUE(LEFT(E2105,FIND("º",SUBSTITUTE(E2105,"°","º"))-1)),-1),IF(LEFT(E2105,6)="TÉRREO",0,IFERROR(VALUE(LEFT(E2105,FIND("º",SUBSTITUTE(E2105,"°","º"))-1)),""))))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26" t="n">
        <v>46951</v>
      </c>
      <c r="G2106" s="126" t="n">
        <v>46961</v>
      </c>
      <c r="H2106" s="126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IF(E2106="","",IF(ISNUMBER(SEARCH("SUBSOLO",E2106)),IFERROR(-VALUE(LEFT(E2106,FIND("º",SUBSTITUTE(E2106,"°","º"))-1)),-1),IF(LEFT(E2106,6)="TÉRREO",0,IFERROR(VALUE(LEFT(E2106,FIND("º",SUBSTITUTE(E2106,"°","º"))-1)),""))))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26" t="n">
        <v>46951</v>
      </c>
      <c r="G2107" s="126" t="n">
        <v>46962</v>
      </c>
      <c r="H2107" s="126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IF(E2107="","",IF(ISNUMBER(SEARCH("SUBSOLO",E2107)),IFERROR(-VALUE(LEFT(E2107,FIND("º",SUBSTITUTE(E2107,"°","º"))-1)),-1),IF(LEFT(E2107,6)="TÉRREO",0,IFERROR(VALUE(LEFT(E2107,FIND("º",SUBSTITUTE(E2107,"°","º"))-1)),""))))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26" t="n">
        <v>46951</v>
      </c>
      <c r="G2108" s="126" t="n">
        <v>46962</v>
      </c>
      <c r="H2108" s="126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IF(E2108="","",IF(ISNUMBER(SEARCH("SUBSOLO",E2108)),IFERROR(-VALUE(LEFT(E2108,FIND("º",SUBSTITUTE(E2108,"°","º"))-1)),-1),IF(LEFT(E2108,6)="TÉRREO",0,IFERROR(VALUE(LEFT(E2108,FIND("º",SUBSTITUTE(E2108,"°","º"))-1)),""))))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26" t="n">
        <v>46951</v>
      </c>
      <c r="G2109" s="126" t="n">
        <v>46962</v>
      </c>
      <c r="H2109" s="126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IF(E2109="","",IF(ISNUMBER(SEARCH("SUBSOLO",E2109)),IFERROR(-VALUE(LEFT(E2109,FIND("º",SUBSTITUTE(E2109,"°","º"))-1)),-1),IF(LEFT(E2109,6)="TÉRREO",0,IFERROR(VALUE(LEFT(E2109,FIND("º",SUBSTITUTE(E2109,"°","º"))-1)),""))))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26" t="n">
        <v>46951</v>
      </c>
      <c r="G2110" s="126" t="n">
        <v>46962</v>
      </c>
      <c r="H2110" s="126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IF(E2110="","",IF(ISNUMBER(SEARCH("SUBSOLO",E2110)),IFERROR(-VALUE(LEFT(E2110,FIND("º",SUBSTITUTE(E2110,"°","º"))-1)),-1),IF(LEFT(E2110,6)="TÉRREO",0,IFERROR(VALUE(LEFT(E2110,FIND("º",SUBSTITUTE(E2110,"°","º"))-1)),""))))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26" t="n">
        <v>46951</v>
      </c>
      <c r="G2111" s="126" t="n">
        <v>46959</v>
      </c>
      <c r="H2111" s="126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IF(E2111="","",IF(ISNUMBER(SEARCH("SUBSOLO",E2111)),IFERROR(-VALUE(LEFT(E2111,FIND("º",SUBSTITUTE(E2111,"°","º"))-1)),-1),IF(LEFT(E2111,6)="TÉRREO",0,IFERROR(VALUE(LEFT(E2111,FIND("º",SUBSTITUTE(E2111,"°","º"))-1)),""))))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26" t="n">
        <v>46952</v>
      </c>
      <c r="G2112" s="126" t="n">
        <v>46965</v>
      </c>
      <c r="H2112" s="126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IF(E2112="","",IF(ISNUMBER(SEARCH("SUBSOLO",E2112)),IFERROR(-VALUE(LEFT(E2112,FIND("º",SUBSTITUTE(E2112,"°","º"))-1)),-1),IF(LEFT(E2112,6)="TÉRREO",0,IFERROR(VALUE(LEFT(E2112,FIND("º",SUBSTITUTE(E2112,"°","º"))-1)),""))))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26" t="n">
        <v>46952</v>
      </c>
      <c r="G2113" s="126" t="n">
        <v>46965</v>
      </c>
      <c r="H2113" s="126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IF(E2113="","",IF(ISNUMBER(SEARCH("SUBSOLO",E2113)),IFERROR(-VALUE(LEFT(E2113,FIND("º",SUBSTITUTE(E2113,"°","º"))-1)),-1),IF(LEFT(E2113,6)="TÉRREO",0,IFERROR(VALUE(LEFT(E2113,FIND("º",SUBSTITUTE(E2113,"°","º"))-1)),""))))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26" t="n">
        <v>46952</v>
      </c>
      <c r="G2114" s="126" t="n">
        <v>46972</v>
      </c>
      <c r="H2114" s="126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IF(E2114="","",IF(ISNUMBER(SEARCH("SUBSOLO",E2114)),IFERROR(-VALUE(LEFT(E2114,FIND("º",SUBSTITUTE(E2114,"°","º"))-1)),-1),IF(LEFT(E2114,6)="TÉRREO",0,IFERROR(VALUE(LEFT(E2114,FIND("º",SUBSTITUTE(E2114,"°","º"))-1)),""))))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26" t="n">
        <v>46952</v>
      </c>
      <c r="G2115" s="126" t="n">
        <v>46965</v>
      </c>
      <c r="H2115" s="126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IF(E2115="","",IF(ISNUMBER(SEARCH("SUBSOLO",E2115)),IFERROR(-VALUE(LEFT(E2115,FIND("º",SUBSTITUTE(E2115,"°","º"))-1)),-1),IF(LEFT(E2115,6)="TÉRREO",0,IFERROR(VALUE(LEFT(E2115,FIND("º",SUBSTITUTE(E2115,"°","º"))-1)),""))))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26" t="n">
        <v>46958</v>
      </c>
      <c r="G2116" s="126" t="n">
        <v>46969</v>
      </c>
      <c r="H2116" s="126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IF(E2116="","",IF(ISNUMBER(SEARCH("SUBSOLO",E2116)),IFERROR(-VALUE(LEFT(E2116,FIND("º",SUBSTITUTE(E2116,"°","º"))-1)),-1),IF(LEFT(E2116,6)="TÉRREO",0,IFERROR(VALUE(LEFT(E2116,FIND("º",SUBSTITUTE(E2116,"°","º"))-1)),""))))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26" t="n">
        <v>46959</v>
      </c>
      <c r="G2117" s="126" t="n">
        <v>46965</v>
      </c>
      <c r="H2117" s="126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IF(E2117="","",IF(ISNUMBER(SEARCH("SUBSOLO",E2117)),IFERROR(-VALUE(LEFT(E2117,FIND("º",SUBSTITUTE(E2117,"°","º"))-1)),-1),IF(LEFT(E2117,6)="TÉRREO",0,IFERROR(VALUE(LEFT(E2117,FIND("º",SUBSTITUTE(E2117,"°","º"))-1)),""))))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26" t="n">
        <v>46959</v>
      </c>
      <c r="G2118" s="126" t="n">
        <v>46967</v>
      </c>
      <c r="H2118" s="126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IF(E2118="","",IF(ISNUMBER(SEARCH("SUBSOLO",E2118)),IFERROR(-VALUE(LEFT(E2118,FIND("º",SUBSTITUTE(E2118,"°","º"))-1)),-1),IF(LEFT(E2118,6)="TÉRREO",0,IFERROR(VALUE(LEFT(E2118,FIND("º",SUBSTITUTE(E2118,"°","º"))-1)),""))))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26" t="n">
        <v>46959</v>
      </c>
      <c r="G2119" s="126" t="n">
        <v>46969</v>
      </c>
      <c r="H2119" s="126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IF(E2119="","",IF(ISNUMBER(SEARCH("SUBSOLO",E2119)),IFERROR(-VALUE(LEFT(E2119,FIND("º",SUBSTITUTE(E2119,"°","º"))-1)),-1),IF(LEFT(E2119,6)="TÉRREO",0,IFERROR(VALUE(LEFT(E2119,FIND("º",SUBSTITUTE(E2119,"°","º"))-1)),""))))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26" t="n">
        <v>46959</v>
      </c>
      <c r="G2120" s="126" t="n">
        <v>46972</v>
      </c>
      <c r="H2120" s="126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IF(E2120="","",IF(ISNUMBER(SEARCH("SUBSOLO",E2120)),IFERROR(-VALUE(LEFT(E2120,FIND("º",SUBSTITUTE(E2120,"°","º"))-1)),-1),IF(LEFT(E2120,6)="TÉRREO",0,IFERROR(VALUE(LEFT(E2120,FIND("º",SUBSTITUTE(E2120,"°","º"))-1)),""))))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26" t="n">
        <v>46959</v>
      </c>
      <c r="G2121" s="126" t="n">
        <v>46972</v>
      </c>
      <c r="H2121" s="126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IF(E2121="","",IF(ISNUMBER(SEARCH("SUBSOLO",E2121)),IFERROR(-VALUE(LEFT(E2121,FIND("º",SUBSTITUTE(E2121,"°","º"))-1)),-1),IF(LEFT(E2121,6)="TÉRREO",0,IFERROR(VALUE(LEFT(E2121,FIND("º",SUBSTITUTE(E2121,"°","º"))-1)),""))))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26" t="n">
        <v>46959</v>
      </c>
      <c r="G2122" s="126" t="n">
        <v>46972</v>
      </c>
      <c r="H2122" s="126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IF(E2122="","",IF(ISNUMBER(SEARCH("SUBSOLO",E2122)),IFERROR(-VALUE(LEFT(E2122,FIND("º",SUBSTITUTE(E2122,"°","º"))-1)),-1),IF(LEFT(E2122,6)="TÉRREO",0,IFERROR(VALUE(LEFT(E2122,FIND("º",SUBSTITUTE(E2122,"°","º"))-1)),""))))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26" t="n">
        <v>46959</v>
      </c>
      <c r="G2123" s="126" t="n">
        <v>46972</v>
      </c>
      <c r="H2123" s="126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IF(E2123="","",IF(ISNUMBER(SEARCH("SUBSOLO",E2123)),IFERROR(-VALUE(LEFT(E2123,FIND("º",SUBSTITUTE(E2123,"°","º"))-1)),-1),IF(LEFT(E2123,6)="TÉRREO",0,IFERROR(VALUE(LEFT(E2123,FIND("º",SUBSTITUTE(E2123,"°","º"))-1)),""))))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26" t="n">
        <v>46959</v>
      </c>
      <c r="G2124" s="126" t="n">
        <v>46972</v>
      </c>
      <c r="H2124" s="126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IF(E2124="","",IF(ISNUMBER(SEARCH("SUBSOLO",E2124)),IFERROR(-VALUE(LEFT(E2124,FIND("º",SUBSTITUTE(E2124,"°","º"))-1)),-1),IF(LEFT(E2124,6)="TÉRREO",0,IFERROR(VALUE(LEFT(E2124,FIND("º",SUBSTITUTE(E2124,"°","º"))-1)),""))))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26" t="n">
        <v>46959</v>
      </c>
      <c r="G2125" s="126" t="n">
        <v>46972</v>
      </c>
      <c r="H2125" s="126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IF(E2125="","",IF(ISNUMBER(SEARCH("SUBSOLO",E2125)),IFERROR(-VALUE(LEFT(E2125,FIND("º",SUBSTITUTE(E2125,"°","º"))-1)),-1),IF(LEFT(E2125,6)="TÉRREO",0,IFERROR(VALUE(LEFT(E2125,FIND("º",SUBSTITUTE(E2125,"°","º"))-1)),""))))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26" t="n">
        <v>46959</v>
      </c>
      <c r="G2126" s="126" t="n">
        <v>46979</v>
      </c>
      <c r="H2126" s="126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IF(E2126="","",IF(ISNUMBER(SEARCH("SUBSOLO",E2126)),IFERROR(-VALUE(LEFT(E2126,FIND("º",SUBSTITUTE(E2126,"°","º"))-1)),-1),IF(LEFT(E2126,6)="TÉRREO",0,IFERROR(VALUE(LEFT(E2126,FIND("º",SUBSTITUTE(E2126,"°","º"))-1)),""))))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26" t="n">
        <v>46965</v>
      </c>
      <c r="G2127" s="126" t="n">
        <v>46976</v>
      </c>
      <c r="H2127" s="126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IF(E2127="","",IF(ISNUMBER(SEARCH("SUBSOLO",E2127)),IFERROR(-VALUE(LEFT(E2127,FIND("º",SUBSTITUTE(E2127,"°","º"))-1)),-1),IF(LEFT(E2127,6)="TÉRREO",0,IFERROR(VALUE(LEFT(E2127,FIND("º",SUBSTITUTE(E2127,"°","º"))-1)),""))))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26" t="n">
        <v>46966</v>
      </c>
      <c r="G2128" s="126" t="n">
        <v>46979</v>
      </c>
      <c r="H2128" s="126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IF(E2128="","",IF(ISNUMBER(SEARCH("SUBSOLO",E2128)),IFERROR(-VALUE(LEFT(E2128,FIND("º",SUBSTITUTE(E2128,"°","º"))-1)),-1),IF(LEFT(E2128,6)="TÉRREO",0,IFERROR(VALUE(LEFT(E2128,FIND("º",SUBSTITUTE(E2128,"°","º"))-1)),""))))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26" t="n">
        <v>46966</v>
      </c>
      <c r="G2129" s="126" t="n">
        <v>46979</v>
      </c>
      <c r="H2129" s="126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IF(E2129="","",IF(ISNUMBER(SEARCH("SUBSOLO",E2129)),IFERROR(-VALUE(LEFT(E2129,FIND("º",SUBSTITUTE(E2129,"°","º"))-1)),-1),IF(LEFT(E2129,6)="TÉRREO",0,IFERROR(VALUE(LEFT(E2129,FIND("º",SUBSTITUTE(E2129,"°","º"))-1)),""))))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26" t="n">
        <v>46966</v>
      </c>
      <c r="G2130" s="126" t="n">
        <v>46979</v>
      </c>
      <c r="H2130" s="126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IF(E2130="","",IF(ISNUMBER(SEARCH("SUBSOLO",E2130)),IFERROR(-VALUE(LEFT(E2130,FIND("º",SUBSTITUTE(E2130,"°","º"))-1)),-1),IF(LEFT(E2130,6)="TÉRREO",0,IFERROR(VALUE(LEFT(E2130,FIND("º",SUBSTITUTE(E2130,"°","º"))-1)),""))))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26" t="n">
        <v>46966</v>
      </c>
      <c r="G2131" s="126" t="n">
        <v>46979</v>
      </c>
      <c r="H2131" s="126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IF(E2131="","",IF(ISNUMBER(SEARCH("SUBSOLO",E2131)),IFERROR(-VALUE(LEFT(E2131,FIND("º",SUBSTITUTE(E2131,"°","º"))-1)),-1),IF(LEFT(E2131,6)="TÉRREO",0,IFERROR(VALUE(LEFT(E2131,FIND("º",SUBSTITUTE(E2131,"°","º"))-1)),""))))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26" t="n">
        <v>46966</v>
      </c>
      <c r="G2132" s="126" t="n">
        <v>46979</v>
      </c>
      <c r="H2132" s="126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IF(E2132="","",IF(ISNUMBER(SEARCH("SUBSOLO",E2132)),IFERROR(-VALUE(LEFT(E2132,FIND("º",SUBSTITUTE(E2132,"°","º"))-1)),-1),IF(LEFT(E2132,6)="TÉRREO",0,IFERROR(VALUE(LEFT(E2132,FIND("º",SUBSTITUTE(E2132,"°","º"))-1)),""))))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26" t="n">
        <v>46966</v>
      </c>
      <c r="G2133" s="126" t="n">
        <v>46972</v>
      </c>
      <c r="H2133" s="126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IF(E2133="","",IF(ISNUMBER(SEARCH("SUBSOLO",E2133)),IFERROR(-VALUE(LEFT(E2133,FIND("º",SUBSTITUTE(E2133,"°","º"))-1)),-1),IF(LEFT(E2133,6)="TÉRREO",0,IFERROR(VALUE(LEFT(E2133,FIND("º",SUBSTITUTE(E2133,"°","º"))-1)),""))))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26" t="n">
        <v>46973</v>
      </c>
      <c r="G2134" s="126" t="n">
        <v>46979</v>
      </c>
      <c r="H2134" s="126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IF(E2134="","",IF(ISNUMBER(SEARCH("SUBSOLO",E2134)),IFERROR(-VALUE(LEFT(E2134,FIND("º",SUBSTITUTE(E2134,"°","º"))-1)),-1),IF(LEFT(E2134,6)="TÉRREO",0,IFERROR(VALUE(LEFT(E2134,FIND("º",SUBSTITUTE(E2134,"°","º"))-1)),""))))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26" t="n">
        <v>46966</v>
      </c>
      <c r="G2135" s="126" t="n">
        <v>46986</v>
      </c>
      <c r="H2135" s="126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IF(E2135="","",IF(ISNUMBER(SEARCH("SUBSOLO",E2135)),IFERROR(-VALUE(LEFT(E2135,FIND("º",SUBSTITUTE(E2135,"°","º"))-1)),-1),IF(LEFT(E2135,6)="TÉRREO",0,IFERROR(VALUE(LEFT(E2135,FIND("º",SUBSTITUTE(E2135,"°","º"))-1)),""))))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26" t="n">
        <v>46967</v>
      </c>
      <c r="G2136" s="126" t="n">
        <v>46973</v>
      </c>
      <c r="H2136" s="126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IF(E2136="","",IF(ISNUMBER(SEARCH("SUBSOLO",E2136)),IFERROR(-VALUE(LEFT(E2136,FIND("º",SUBSTITUTE(E2136,"°","º"))-1)),-1),IF(LEFT(E2136,6)="TÉRREO",0,IFERROR(VALUE(LEFT(E2136,FIND("º",SUBSTITUTE(E2136,"°","º"))-1)),""))))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26" t="n">
        <v>46972</v>
      </c>
      <c r="G2137" s="126" t="n">
        <v>46980</v>
      </c>
      <c r="H2137" s="126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IF(E2137="","",IF(ISNUMBER(SEARCH("SUBSOLO",E2137)),IFERROR(-VALUE(LEFT(E2137,FIND("º",SUBSTITUTE(E2137,"°","º"))-1)),-1),IF(LEFT(E2137,6)="TÉRREO",0,IFERROR(VALUE(LEFT(E2137,FIND("º",SUBSTITUTE(E2137,"°","º"))-1)),""))))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26" t="n">
        <v>46973</v>
      </c>
      <c r="G2138" s="126" t="n">
        <v>46986</v>
      </c>
      <c r="H2138" s="126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IF(E2138="","",IF(ISNUMBER(SEARCH("SUBSOLO",E2138)),IFERROR(-VALUE(LEFT(E2138,FIND("º",SUBSTITUTE(E2138,"°","º"))-1)),-1),IF(LEFT(E2138,6)="TÉRREO",0,IFERROR(VALUE(LEFT(E2138,FIND("º",SUBSTITUTE(E2138,"°","º"))-1)),""))))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26" t="n">
        <v>46973</v>
      </c>
      <c r="G2139" s="126" t="n">
        <v>46986</v>
      </c>
      <c r="H2139" s="126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IF(E2139="","",IF(ISNUMBER(SEARCH("SUBSOLO",E2139)),IFERROR(-VALUE(LEFT(E2139,FIND("º",SUBSTITUTE(E2139,"°","º"))-1)),-1),IF(LEFT(E2139,6)="TÉRREO",0,IFERROR(VALUE(LEFT(E2139,FIND("º",SUBSTITUTE(E2139,"°","º"))-1)),""))))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26" t="n">
        <v>46973</v>
      </c>
      <c r="G2140" s="126" t="n">
        <v>46993</v>
      </c>
      <c r="H2140" s="126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IF(E2140="","",IF(ISNUMBER(SEARCH("SUBSOLO",E2140)),IFERROR(-VALUE(LEFT(E2140,FIND("º",SUBSTITUTE(E2140,"°","º"))-1)),-1),IF(LEFT(E2140,6)="TÉRREO",0,IFERROR(VALUE(LEFT(E2140,FIND("º",SUBSTITUTE(E2140,"°","º"))-1)),""))))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26" t="n">
        <v>46973</v>
      </c>
      <c r="G2141" s="126" t="n">
        <v>46986</v>
      </c>
      <c r="H2141" s="126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IF(E2141="","",IF(ISNUMBER(SEARCH("SUBSOLO",E2141)),IFERROR(-VALUE(LEFT(E2141,FIND("º",SUBSTITUTE(E2141,"°","º"))-1)),-1),IF(LEFT(E2141,6)="TÉRREO",0,IFERROR(VALUE(LEFT(E2141,FIND("º",SUBSTITUTE(E2141,"°","º"))-1)),""))))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26" t="n">
        <v>46979</v>
      </c>
      <c r="G2142" s="126" t="n">
        <v>46990</v>
      </c>
      <c r="H2142" s="126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IF(E2142="","",IF(ISNUMBER(SEARCH("SUBSOLO",E2142)),IFERROR(-VALUE(LEFT(E2142,FIND("º",SUBSTITUTE(E2142,"°","º"))-1)),-1),IF(LEFT(E2142,6)="TÉRREO",0,IFERROR(VALUE(LEFT(E2142,FIND("º",SUBSTITUTE(E2142,"°","º"))-1)),""))))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26" t="n">
        <v>46980</v>
      </c>
      <c r="G2143" s="126" t="n">
        <v>46986</v>
      </c>
      <c r="H2143" s="126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IF(E2143="","",IF(ISNUMBER(SEARCH("SUBSOLO",E2143)),IFERROR(-VALUE(LEFT(E2143,FIND("º",SUBSTITUTE(E2143,"°","º"))-1)),-1),IF(LEFT(E2143,6)="TÉRREO",0,IFERROR(VALUE(LEFT(E2143,FIND("º",SUBSTITUTE(E2143,"°","º"))-1)),""))))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26" t="n">
        <v>46980</v>
      </c>
      <c r="G2144" s="126" t="n">
        <v>46988</v>
      </c>
      <c r="H2144" s="126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IF(E2144="","",IF(ISNUMBER(SEARCH("SUBSOLO",E2144)),IFERROR(-VALUE(LEFT(E2144,FIND("º",SUBSTITUTE(E2144,"°","º"))-1)),-1),IF(LEFT(E2144,6)="TÉRREO",0,IFERROR(VALUE(LEFT(E2144,FIND("º",SUBSTITUTE(E2144,"°","º"))-1)),""))))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26" t="n">
        <v>46980</v>
      </c>
      <c r="G2145" s="126" t="n">
        <v>46990</v>
      </c>
      <c r="H2145" s="126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IF(E2145="","",IF(ISNUMBER(SEARCH("SUBSOLO",E2145)),IFERROR(-VALUE(LEFT(E2145,FIND("º",SUBSTITUTE(E2145,"°","º"))-1)),-1),IF(LEFT(E2145,6)="TÉRREO",0,IFERROR(VALUE(LEFT(E2145,FIND("º",SUBSTITUTE(E2145,"°","º"))-1)),""))))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26" t="n">
        <v>46980</v>
      </c>
      <c r="G2146" s="126" t="n">
        <v>46993</v>
      </c>
      <c r="H2146" s="126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IF(E2146="","",IF(ISNUMBER(SEARCH("SUBSOLO",E2146)),IFERROR(-VALUE(LEFT(E2146,FIND("º",SUBSTITUTE(E2146,"°","º"))-1)),-1),IF(LEFT(E2146,6)="TÉRREO",0,IFERROR(VALUE(LEFT(E2146,FIND("º",SUBSTITUTE(E2146,"°","º"))-1)),""))))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26" t="n">
        <v>46980</v>
      </c>
      <c r="G2147" s="126" t="n">
        <v>46993</v>
      </c>
      <c r="H2147" s="126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IF(E2147="","",IF(ISNUMBER(SEARCH("SUBSOLO",E2147)),IFERROR(-VALUE(LEFT(E2147,FIND("º",SUBSTITUTE(E2147,"°","º"))-1)),-1),IF(LEFT(E2147,6)="TÉRREO",0,IFERROR(VALUE(LEFT(E2147,FIND("º",SUBSTITUTE(E2147,"°","º"))-1)),""))))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26" t="n">
        <v>46980</v>
      </c>
      <c r="G2148" s="126" t="n">
        <v>46993</v>
      </c>
      <c r="H2148" s="126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IF(E2148="","",IF(ISNUMBER(SEARCH("SUBSOLO",E2148)),IFERROR(-VALUE(LEFT(E2148,FIND("º",SUBSTITUTE(E2148,"°","º"))-1)),-1),IF(LEFT(E2148,6)="TÉRREO",0,IFERROR(VALUE(LEFT(E2148,FIND("º",SUBSTITUTE(E2148,"°","º"))-1)),""))))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26" t="n">
        <v>46980</v>
      </c>
      <c r="G2149" s="126" t="n">
        <v>46993</v>
      </c>
      <c r="H2149" s="126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IF(E2149="","",IF(ISNUMBER(SEARCH("SUBSOLO",E2149)),IFERROR(-VALUE(LEFT(E2149,FIND("º",SUBSTITUTE(E2149,"°","º"))-1)),-1),IF(LEFT(E2149,6)="TÉRREO",0,IFERROR(VALUE(LEFT(E2149,FIND("º",SUBSTITUTE(E2149,"°","º"))-1)),""))))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26" t="n">
        <v>46980</v>
      </c>
      <c r="G2150" s="126" t="n">
        <v>46993</v>
      </c>
      <c r="H2150" s="126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IF(E2150="","",IF(ISNUMBER(SEARCH("SUBSOLO",E2150)),IFERROR(-VALUE(LEFT(E2150,FIND("º",SUBSTITUTE(E2150,"°","º"))-1)),-1),IF(LEFT(E2150,6)="TÉRREO",0,IFERROR(VALUE(LEFT(E2150,FIND("º",SUBSTITUTE(E2150,"°","º"))-1)),""))))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26" t="n">
        <v>46980</v>
      </c>
      <c r="G2151" s="126" t="n">
        <v>46993</v>
      </c>
      <c r="H2151" s="126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IF(E2151="","",IF(ISNUMBER(SEARCH("SUBSOLO",E2151)),IFERROR(-VALUE(LEFT(E2151,FIND("º",SUBSTITUTE(E2151,"°","º"))-1)),-1),IF(LEFT(E2151,6)="TÉRREO",0,IFERROR(VALUE(LEFT(E2151,FIND("º",SUBSTITUTE(E2151,"°","º"))-1)),""))))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26" t="n">
        <v>46980</v>
      </c>
      <c r="G2152" s="126" t="n">
        <v>47000</v>
      </c>
      <c r="H2152" s="126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IF(E2152="","",IF(ISNUMBER(SEARCH("SUBSOLO",E2152)),IFERROR(-VALUE(LEFT(E2152,FIND("º",SUBSTITUTE(E2152,"°","º"))-1)),-1),IF(LEFT(E2152,6)="TÉRREO",0,IFERROR(VALUE(LEFT(E2152,FIND("º",SUBSTITUTE(E2152,"°","º"))-1)),""))))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26" t="n">
        <v>46987</v>
      </c>
      <c r="G2153" s="126" t="n">
        <v>47000</v>
      </c>
      <c r="H2153" s="126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IF(E2153="","",IF(ISNUMBER(SEARCH("SUBSOLO",E2153)),IFERROR(-VALUE(LEFT(E2153,FIND("º",SUBSTITUTE(E2153,"°","º"))-1)),-1),IF(LEFT(E2153,6)="TÉRREO",0,IFERROR(VALUE(LEFT(E2153,FIND("º",SUBSTITUTE(E2153,"°","º"))-1)),""))))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26" t="n">
        <v>46987</v>
      </c>
      <c r="G2154" s="126" t="n">
        <v>47000</v>
      </c>
      <c r="H2154" s="126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IF(E2154="","",IF(ISNUMBER(SEARCH("SUBSOLO",E2154)),IFERROR(-VALUE(LEFT(E2154,FIND("º",SUBSTITUTE(E2154,"°","º"))-1)),-1),IF(LEFT(E2154,6)="TÉRREO",0,IFERROR(VALUE(LEFT(E2154,FIND("º",SUBSTITUTE(E2154,"°","º"))-1)),""))))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26" t="n">
        <v>46987</v>
      </c>
      <c r="G2155" s="126" t="n">
        <v>47000</v>
      </c>
      <c r="H2155" s="126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IF(E2155="","",IF(ISNUMBER(SEARCH("SUBSOLO",E2155)),IFERROR(-VALUE(LEFT(E2155,FIND("º",SUBSTITUTE(E2155,"°","º"))-1)),-1),IF(LEFT(E2155,6)="TÉRREO",0,IFERROR(VALUE(LEFT(E2155,FIND("º",SUBSTITUTE(E2155,"°","º"))-1)),""))))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26" t="n">
        <v>46987</v>
      </c>
      <c r="G2156" s="126" t="n">
        <v>47000</v>
      </c>
      <c r="H2156" s="126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IF(E2156="","",IF(ISNUMBER(SEARCH("SUBSOLO",E2156)),IFERROR(-VALUE(LEFT(E2156,FIND("º",SUBSTITUTE(E2156,"°","º"))-1)),-1),IF(LEFT(E2156,6)="TÉRREO",0,IFERROR(VALUE(LEFT(E2156,FIND("º",SUBSTITUTE(E2156,"°","º"))-1)),""))))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26" t="n">
        <v>46987</v>
      </c>
      <c r="G2157" s="126" t="n">
        <v>47000</v>
      </c>
      <c r="H2157" s="126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IF(E2157="","",IF(ISNUMBER(SEARCH("SUBSOLO",E2157)),IFERROR(-VALUE(LEFT(E2157,FIND("º",SUBSTITUTE(E2157,"°","º"))-1)),-1),IF(LEFT(E2157,6)="TÉRREO",0,IFERROR(VALUE(LEFT(E2157,FIND("º",SUBSTITUTE(E2157,"°","º"))-1)),""))))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26" t="n">
        <v>46987</v>
      </c>
      <c r="G2158" s="126" t="n">
        <v>46993</v>
      </c>
      <c r="H2158" s="126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IF(E2158="","",IF(ISNUMBER(SEARCH("SUBSOLO",E2158)),IFERROR(-VALUE(LEFT(E2158,FIND("º",SUBSTITUTE(E2158,"°","º"))-1)),-1),IF(LEFT(E2158,6)="TÉRREO",0,IFERROR(VALUE(LEFT(E2158,FIND("º",SUBSTITUTE(E2158,"°","º"))-1)),""))))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26" t="n">
        <v>46994</v>
      </c>
      <c r="G2159" s="126" t="n">
        <v>47000</v>
      </c>
      <c r="H2159" s="126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IF(E2159="","",IF(ISNUMBER(SEARCH("SUBSOLO",E2159)),IFERROR(-VALUE(LEFT(E2159,FIND("º",SUBSTITUTE(E2159,"°","º"))-1)),-1),IF(LEFT(E2159,6)="TÉRREO",0,IFERROR(VALUE(LEFT(E2159,FIND("º",SUBSTITUTE(E2159,"°","º"))-1)),""))))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26" t="n">
        <v>46987</v>
      </c>
      <c r="G2160" s="126" t="n">
        <v>47008</v>
      </c>
      <c r="H2160" s="126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IF(E2160="","",IF(ISNUMBER(SEARCH("SUBSOLO",E2160)),IFERROR(-VALUE(LEFT(E2160,FIND("º",SUBSTITUTE(E2160,"°","º"))-1)),-1),IF(LEFT(E2160,6)="TÉRREO",0,IFERROR(VALUE(LEFT(E2160,FIND("º",SUBSTITUTE(E2160,"°","º"))-1)),""))))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26" t="n">
        <v>46988</v>
      </c>
      <c r="G2161" s="126" t="n">
        <v>46994</v>
      </c>
      <c r="H2161" s="126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IF(E2161="","",IF(ISNUMBER(SEARCH("SUBSOLO",E2161)),IFERROR(-VALUE(LEFT(E2161,FIND("º",SUBSTITUTE(E2161,"°","º"))-1)),-1),IF(LEFT(E2161,6)="TÉRREO",0,IFERROR(VALUE(LEFT(E2161,FIND("º",SUBSTITUTE(E2161,"°","º"))-1)),""))))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26" t="n">
        <v>46993</v>
      </c>
      <c r="G2162" s="126" t="n">
        <v>47001</v>
      </c>
      <c r="H2162" s="126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IF(E2162="","",IF(ISNUMBER(SEARCH("SUBSOLO",E2162)),IFERROR(-VALUE(LEFT(E2162,FIND("º",SUBSTITUTE(E2162,"°","º"))-1)),-1),IF(LEFT(E2162,6)="TÉRREO",0,IFERROR(VALUE(LEFT(E2162,FIND("º",SUBSTITUTE(E2162,"°","º"))-1)),""))))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26" t="n">
        <v>46994</v>
      </c>
      <c r="G2163" s="126" t="n">
        <v>47008</v>
      </c>
      <c r="H2163" s="126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IF(E2163="","",IF(ISNUMBER(SEARCH("SUBSOLO",E2163)),IFERROR(-VALUE(LEFT(E2163,FIND("º",SUBSTITUTE(E2163,"°","º"))-1)),-1),IF(LEFT(E2163,6)="TÉRREO",0,IFERROR(VALUE(LEFT(E2163,FIND("º",SUBSTITUTE(E2163,"°","º"))-1)),""))))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26" t="n">
        <v>46994</v>
      </c>
      <c r="G2164" s="126" t="n">
        <v>47008</v>
      </c>
      <c r="H2164" s="126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IF(E2164="","",IF(ISNUMBER(SEARCH("SUBSOLO",E2164)),IFERROR(-VALUE(LEFT(E2164,FIND("º",SUBSTITUTE(E2164,"°","º"))-1)),-1),IF(LEFT(E2164,6)="TÉRREO",0,IFERROR(VALUE(LEFT(E2164,FIND("º",SUBSTITUTE(E2164,"°","º"))-1)),""))))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26" t="n">
        <v>46994</v>
      </c>
      <c r="G2165" s="126" t="n">
        <v>47015</v>
      </c>
      <c r="H2165" s="126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IF(E2165="","",IF(ISNUMBER(SEARCH("SUBSOLO",E2165)),IFERROR(-VALUE(LEFT(E2165,FIND("º",SUBSTITUTE(E2165,"°","º"))-1)),-1),IF(LEFT(E2165,6)="TÉRREO",0,IFERROR(VALUE(LEFT(E2165,FIND("º",SUBSTITUTE(E2165,"°","º"))-1)),""))))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26" t="n">
        <v>46994</v>
      </c>
      <c r="G2166" s="126" t="n">
        <v>47008</v>
      </c>
      <c r="H2166" s="126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IF(E2166="","",IF(ISNUMBER(SEARCH("SUBSOLO",E2166)),IFERROR(-VALUE(LEFT(E2166,FIND("º",SUBSTITUTE(E2166,"°","º"))-1)),-1),IF(LEFT(E2166,6)="TÉRREO",0,IFERROR(VALUE(LEFT(E2166,FIND("º",SUBSTITUTE(E2166,"°","º"))-1)),""))))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26" t="n">
        <v>47001</v>
      </c>
      <c r="G2167" s="126" t="n">
        <v>47010</v>
      </c>
      <c r="H2167" s="126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IF(E2167="","",IF(ISNUMBER(SEARCH("SUBSOLO",E2167)),IFERROR(-VALUE(LEFT(E2167,FIND("º",SUBSTITUTE(E2167,"°","º"))-1)),-1),IF(LEFT(E2167,6)="TÉRREO",0,IFERROR(VALUE(LEFT(E2167,FIND("º",SUBSTITUTE(E2167,"°","º"))-1)),""))))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26" t="n">
        <v>47001</v>
      </c>
      <c r="G2168" s="126" t="n">
        <v>47014</v>
      </c>
      <c r="H2168" s="126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IF(E2168="","",IF(ISNUMBER(SEARCH("SUBSOLO",E2168)),IFERROR(-VALUE(LEFT(E2168,FIND("º",SUBSTITUTE(E2168,"°","º"))-1)),-1),IF(LEFT(E2168,6)="TÉRREO",0,IFERROR(VALUE(LEFT(E2168,FIND("º",SUBSTITUTE(E2168,"°","º"))-1)),""))))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26" t="n">
        <v>47001</v>
      </c>
      <c r="G2169" s="126" t="n">
        <v>47015</v>
      </c>
      <c r="H2169" s="126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IF(E2169="","",IF(ISNUMBER(SEARCH("SUBSOLO",E2169)),IFERROR(-VALUE(LEFT(E2169,FIND("º",SUBSTITUTE(E2169,"°","º"))-1)),-1),IF(LEFT(E2169,6)="TÉRREO",0,IFERROR(VALUE(LEFT(E2169,FIND("º",SUBSTITUTE(E2169,"°","º"))-1)),""))))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26" t="n">
        <v>47001</v>
      </c>
      <c r="G2170" s="126" t="n">
        <v>47015</v>
      </c>
      <c r="H2170" s="126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IF(E2170="","",IF(ISNUMBER(SEARCH("SUBSOLO",E2170)),IFERROR(-VALUE(LEFT(E2170,FIND("º",SUBSTITUTE(E2170,"°","º"))-1)),-1),IF(LEFT(E2170,6)="TÉRREO",0,IFERROR(VALUE(LEFT(E2170,FIND("º",SUBSTITUTE(E2170,"°","º"))-1)),""))))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26" t="n">
        <v>47001</v>
      </c>
      <c r="G2171" s="126" t="n">
        <v>47015</v>
      </c>
      <c r="H2171" s="126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IF(E2171="","",IF(ISNUMBER(SEARCH("SUBSOLO",E2171)),IFERROR(-VALUE(LEFT(E2171,FIND("º",SUBSTITUTE(E2171,"°","º"))-1)),-1),IF(LEFT(E2171,6)="TÉRREO",0,IFERROR(VALUE(LEFT(E2171,FIND("º",SUBSTITUTE(E2171,"°","º"))-1)),""))))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26" t="n">
        <v>47001</v>
      </c>
      <c r="G2172" s="126" t="n">
        <v>47015</v>
      </c>
      <c r="H2172" s="126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IF(E2172="","",IF(ISNUMBER(SEARCH("SUBSOLO",E2172)),IFERROR(-VALUE(LEFT(E2172,FIND("º",SUBSTITUTE(E2172,"°","º"))-1)),-1),IF(LEFT(E2172,6)="TÉRREO",0,IFERROR(VALUE(LEFT(E2172,FIND("º",SUBSTITUTE(E2172,"°","º"))-1)),""))))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26" t="n">
        <v>47001</v>
      </c>
      <c r="G2173" s="126" t="n">
        <v>47015</v>
      </c>
      <c r="H2173" s="126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IF(E2173="","",IF(ISNUMBER(SEARCH("SUBSOLO",E2173)),IFERROR(-VALUE(LEFT(E2173,FIND("º",SUBSTITUTE(E2173,"°","º"))-1)),-1),IF(LEFT(E2173,6)="TÉRREO",0,IFERROR(VALUE(LEFT(E2173,FIND("º",SUBSTITUTE(E2173,"°","º"))-1)),""))))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26" t="n">
        <v>47001</v>
      </c>
      <c r="G2174" s="126" t="n">
        <v>47015</v>
      </c>
      <c r="H2174" s="126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IF(E2174="","",IF(ISNUMBER(SEARCH("SUBSOLO",E2174)),IFERROR(-VALUE(LEFT(E2174,FIND("º",SUBSTITUTE(E2174,"°","º"))-1)),-1),IF(LEFT(E2174,6)="TÉRREO",0,IFERROR(VALUE(LEFT(E2174,FIND("º",SUBSTITUTE(E2174,"°","º"))-1)),""))))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26" t="n">
        <v>47001</v>
      </c>
      <c r="G2175" s="126" t="n">
        <v>47022</v>
      </c>
      <c r="H2175" s="126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IF(E2175="","",IF(ISNUMBER(SEARCH("SUBSOLO",E2175)),IFERROR(-VALUE(LEFT(E2175,FIND("º",SUBSTITUTE(E2175,"°","º"))-1)),-1),IF(LEFT(E2175,6)="TÉRREO",0,IFERROR(VALUE(LEFT(E2175,FIND("º",SUBSTITUTE(E2175,"°","º"))-1)),""))))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26" t="n">
        <v>47009</v>
      </c>
      <c r="G2176" s="126" t="n">
        <v>47022</v>
      </c>
      <c r="H2176" s="126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IF(E2176="","",IF(ISNUMBER(SEARCH("SUBSOLO",E2176)),IFERROR(-VALUE(LEFT(E2176,FIND("º",SUBSTITUTE(E2176,"°","º"))-1)),-1),IF(LEFT(E2176,6)="TÉRREO",0,IFERROR(VALUE(LEFT(E2176,FIND("º",SUBSTITUTE(E2176,"°","º"))-1)),""))))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26" t="n">
        <v>47009</v>
      </c>
      <c r="G2177" s="126" t="n">
        <v>47022</v>
      </c>
      <c r="H2177" s="126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IF(E2177="","",IF(ISNUMBER(SEARCH("SUBSOLO",E2177)),IFERROR(-VALUE(LEFT(E2177,FIND("º",SUBSTITUTE(E2177,"°","º"))-1)),-1),IF(LEFT(E2177,6)="TÉRREO",0,IFERROR(VALUE(LEFT(E2177,FIND("º",SUBSTITUTE(E2177,"°","º"))-1)),""))))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26" t="n">
        <v>47009</v>
      </c>
      <c r="G2178" s="126" t="n">
        <v>47022</v>
      </c>
      <c r="H2178" s="126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IF(E2178="","",IF(ISNUMBER(SEARCH("SUBSOLO",E2178)),IFERROR(-VALUE(LEFT(E2178,FIND("º",SUBSTITUTE(E2178,"°","º"))-1)),-1),IF(LEFT(E2178,6)="TÉRREO",0,IFERROR(VALUE(LEFT(E2178,FIND("º",SUBSTITUTE(E2178,"°","º"))-1)),""))))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26" t="n">
        <v>47009</v>
      </c>
      <c r="G2179" s="126" t="n">
        <v>47022</v>
      </c>
      <c r="H2179" s="126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IF(E2179="","",IF(ISNUMBER(SEARCH("SUBSOLO",E2179)),IFERROR(-VALUE(LEFT(E2179,FIND("º",SUBSTITUTE(E2179,"°","º"))-1)),-1),IF(LEFT(E2179,6)="TÉRREO",0,IFERROR(VALUE(LEFT(E2179,FIND("º",SUBSTITUTE(E2179,"°","º"))-1)),""))))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26" t="n">
        <v>47010</v>
      </c>
      <c r="G2180" s="126" t="n">
        <v>47016</v>
      </c>
      <c r="H2180" s="126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IF(E2180="","",IF(ISNUMBER(SEARCH("SUBSOLO",E2180)),IFERROR(-VALUE(LEFT(E2180,FIND("º",SUBSTITUTE(E2180,"°","º"))-1)),-1),IF(LEFT(E2180,6)="TÉRREO",0,IFERROR(VALUE(LEFT(E2180,FIND("º",SUBSTITUTE(E2180,"°","º"))-1)),""))))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26" t="n">
        <v>47016</v>
      </c>
      <c r="G2181" s="126" t="n">
        <v>47029</v>
      </c>
      <c r="H2181" s="126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IF(E2181="","",IF(ISNUMBER(SEARCH("SUBSOLO",E2181)),IFERROR(-VALUE(LEFT(E2181,FIND("º",SUBSTITUTE(E2181,"°","º"))-1)),-1),IF(LEFT(E2181,6)="TÉRREO",0,IFERROR(VALUE(LEFT(E2181,FIND("º",SUBSTITUTE(E2181,"°","º"))-1)),""))))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26" t="n">
        <v>47016</v>
      </c>
      <c r="G2182" s="126" t="n">
        <v>47029</v>
      </c>
      <c r="H2182" s="126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IF(E2182="","",IF(ISNUMBER(SEARCH("SUBSOLO",E2182)),IFERROR(-VALUE(LEFT(E2182,FIND("º",SUBSTITUTE(E2182,"°","º"))-1)),-1),IF(LEFT(E2182,6)="TÉRREO",0,IFERROR(VALUE(LEFT(E2182,FIND("º",SUBSTITUTE(E2182,"°","º"))-1)),""))))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26" t="n">
        <v>47016</v>
      </c>
      <c r="G2183" s="126" t="n">
        <v>47036</v>
      </c>
      <c r="H2183" s="126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IF(E2183="","",IF(ISNUMBER(SEARCH("SUBSOLO",E2183)),IFERROR(-VALUE(LEFT(E2183,FIND("º",SUBSTITUTE(E2183,"°","º"))-1)),-1),IF(LEFT(E2183,6)="TÉRREO",0,IFERROR(VALUE(LEFT(E2183,FIND("º",SUBSTITUTE(E2183,"°","º"))-1)),""))))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26" t="n">
        <v>47016</v>
      </c>
      <c r="G2184" s="126" t="n">
        <v>47029</v>
      </c>
      <c r="H2184" s="126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IF(E2184="","",IF(ISNUMBER(SEARCH("SUBSOLO",E2184)),IFERROR(-VALUE(LEFT(E2184,FIND("º",SUBSTITUTE(E2184,"°","º"))-1)),-1),IF(LEFT(E2184,6)="TÉRREO",0,IFERROR(VALUE(LEFT(E2184,FIND("º",SUBSTITUTE(E2184,"°","º"))-1)),""))))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26" t="n">
        <v>47023</v>
      </c>
      <c r="G2185" s="126" t="n">
        <v>47031</v>
      </c>
      <c r="H2185" s="126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IF(E2185="","",IF(ISNUMBER(SEARCH("SUBSOLO",E2185)),IFERROR(-VALUE(LEFT(E2185,FIND("º",SUBSTITUTE(E2185,"°","º"))-1)),-1),IF(LEFT(E2185,6)="TÉRREO",0,IFERROR(VALUE(LEFT(E2185,FIND("º",SUBSTITUTE(E2185,"°","º"))-1)),""))))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26" t="n">
        <v>47023</v>
      </c>
      <c r="G2186" s="126" t="n">
        <v>47035</v>
      </c>
      <c r="H2186" s="126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IF(E2186="","",IF(ISNUMBER(SEARCH("SUBSOLO",E2186)),IFERROR(-VALUE(LEFT(E2186,FIND("º",SUBSTITUTE(E2186,"°","º"))-1)),-1),IF(LEFT(E2186,6)="TÉRREO",0,IFERROR(VALUE(LEFT(E2186,FIND("º",SUBSTITUTE(E2186,"°","º"))-1)),""))))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26" t="n">
        <v>47023</v>
      </c>
      <c r="G2187" s="126" t="n">
        <v>47036</v>
      </c>
      <c r="H2187" s="126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IF(E2187="","",IF(ISNUMBER(SEARCH("SUBSOLO",E2187)),IFERROR(-VALUE(LEFT(E2187,FIND("º",SUBSTITUTE(E2187,"°","º"))-1)),-1),IF(LEFT(E2187,6)="TÉRREO",0,IFERROR(VALUE(LEFT(E2187,FIND("º",SUBSTITUTE(E2187,"°","º"))-1)),""))))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26" t="n">
        <v>47023</v>
      </c>
      <c r="G2188" s="126" t="n">
        <v>47036</v>
      </c>
      <c r="H2188" s="126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IF(E2188="","",IF(ISNUMBER(SEARCH("SUBSOLO",E2188)),IFERROR(-VALUE(LEFT(E2188,FIND("º",SUBSTITUTE(E2188,"°","º"))-1)),-1),IF(LEFT(E2188,6)="TÉRREO",0,IFERROR(VALUE(LEFT(E2188,FIND("º",SUBSTITUTE(E2188,"°","º"))-1)),""))))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26" t="n">
        <v>47023</v>
      </c>
      <c r="G2189" s="126" t="n">
        <v>47036</v>
      </c>
      <c r="H2189" s="126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IF(E2189="","",IF(ISNUMBER(SEARCH("SUBSOLO",E2189)),IFERROR(-VALUE(LEFT(E2189,FIND("º",SUBSTITUTE(E2189,"°","º"))-1)),-1),IF(LEFT(E2189,6)="TÉRREO",0,IFERROR(VALUE(LEFT(E2189,FIND("º",SUBSTITUTE(E2189,"°","º"))-1)),""))))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26" t="n">
        <v>47023</v>
      </c>
      <c r="G2190" s="126" t="n">
        <v>47036</v>
      </c>
      <c r="H2190" s="126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IF(E2190="","",IF(ISNUMBER(SEARCH("SUBSOLO",E2190)),IFERROR(-VALUE(LEFT(E2190,FIND("º",SUBSTITUTE(E2190,"°","º"))-1)),-1),IF(LEFT(E2190,6)="TÉRREO",0,IFERROR(VALUE(LEFT(E2190,FIND("º",SUBSTITUTE(E2190,"°","º"))-1)),""))))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26" t="n">
        <v>47023</v>
      </c>
      <c r="G2191" s="126" t="n">
        <v>47036</v>
      </c>
      <c r="H2191" s="126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IF(E2191="","",IF(ISNUMBER(SEARCH("SUBSOLO",E2191)),IFERROR(-VALUE(LEFT(E2191,FIND("º",SUBSTITUTE(E2191,"°","º"))-1)),-1),IF(LEFT(E2191,6)="TÉRREO",0,IFERROR(VALUE(LEFT(E2191,FIND("º",SUBSTITUTE(E2191,"°","º"))-1)),""))))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26" t="n">
        <v>47023</v>
      </c>
      <c r="G2192" s="126" t="n">
        <v>47044</v>
      </c>
      <c r="H2192" s="126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IF(E2192="","",IF(ISNUMBER(SEARCH("SUBSOLO",E2192)),IFERROR(-VALUE(LEFT(E2192,FIND("º",SUBSTITUTE(E2192,"°","º"))-1)),-1),IF(LEFT(E2192,6)="TÉRREO",0,IFERROR(VALUE(LEFT(E2192,FIND("º",SUBSTITUTE(E2192,"°","º"))-1)),""))))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26" t="n">
        <v>47030</v>
      </c>
      <c r="G2193" s="126" t="n">
        <v>47044</v>
      </c>
      <c r="H2193" s="126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IF(E2193="","",IF(ISNUMBER(SEARCH("SUBSOLO",E2193)),IFERROR(-VALUE(LEFT(E2193,FIND("º",SUBSTITUTE(E2193,"°","º"))-1)),-1),IF(LEFT(E2193,6)="TÉRREO",0,IFERROR(VALUE(LEFT(E2193,FIND("º",SUBSTITUTE(E2193,"°","º"))-1)),""))))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26" t="n">
        <v>47030</v>
      </c>
      <c r="G2194" s="126" t="n">
        <v>47044</v>
      </c>
      <c r="H2194" s="126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IF(E2194="","",IF(ISNUMBER(SEARCH("SUBSOLO",E2194)),IFERROR(-VALUE(LEFT(E2194,FIND("º",SUBSTITUTE(E2194,"°","º"))-1)),-1),IF(LEFT(E2194,6)="TÉRREO",0,IFERROR(VALUE(LEFT(E2194,FIND("º",SUBSTITUTE(E2194,"°","º"))-1)),""))))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26" t="n">
        <v>47030</v>
      </c>
      <c r="G2195" s="126" t="n">
        <v>47044</v>
      </c>
      <c r="H2195" s="126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IF(E2195="","",IF(ISNUMBER(SEARCH("SUBSOLO",E2195)),IFERROR(-VALUE(LEFT(E2195,FIND("º",SUBSTITUTE(E2195,"°","º"))-1)),-1),IF(LEFT(E2195,6)="TÉRREO",0,IFERROR(VALUE(LEFT(E2195,FIND("º",SUBSTITUTE(E2195,"°","º"))-1)),""))))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26" t="n">
        <v>47030</v>
      </c>
      <c r="G2196" s="126" t="n">
        <v>47044</v>
      </c>
      <c r="H2196" s="126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IF(E2196="","",IF(ISNUMBER(SEARCH("SUBSOLO",E2196)),IFERROR(-VALUE(LEFT(E2196,FIND("º",SUBSTITUTE(E2196,"°","º"))-1)),-1),IF(LEFT(E2196,6)="TÉRREO",0,IFERROR(VALUE(LEFT(E2196,FIND("º",SUBSTITUTE(E2196,"°","º"))-1)),""))))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26" t="n">
        <v>47031</v>
      </c>
      <c r="G2197" s="126" t="n">
        <v>47037</v>
      </c>
      <c r="H2197" s="126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IF(E2197="","",IF(ISNUMBER(SEARCH("SUBSOLO",E2197)),IFERROR(-VALUE(LEFT(E2197,FIND("º",SUBSTITUTE(E2197,"°","º"))-1)),-1),IF(LEFT(E2197,6)="TÉRREO",0,IFERROR(VALUE(LEFT(E2197,FIND("º",SUBSTITUTE(E2197,"°","º"))-1)),""))))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26" t="n">
        <v>47037</v>
      </c>
      <c r="G2198" s="126" t="n">
        <v>47051</v>
      </c>
      <c r="H2198" s="126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IF(E2198="","",IF(ISNUMBER(SEARCH("SUBSOLO",E2198)),IFERROR(-VALUE(LEFT(E2198,FIND("º",SUBSTITUTE(E2198,"°","º"))-1)),-1),IF(LEFT(E2198,6)="TÉRREO",0,IFERROR(VALUE(LEFT(E2198,FIND("º",SUBSTITUTE(E2198,"°","º"))-1)),""))))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26" t="n">
        <v>47037</v>
      </c>
      <c r="G2199" s="126" t="n">
        <v>47051</v>
      </c>
      <c r="H2199" s="126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IF(E2199="","",IF(ISNUMBER(SEARCH("SUBSOLO",E2199)),IFERROR(-VALUE(LEFT(E2199,FIND("º",SUBSTITUTE(E2199,"°","º"))-1)),-1),IF(LEFT(E2199,6)="TÉRREO",0,IFERROR(VALUE(LEFT(E2199,FIND("º",SUBSTITUTE(E2199,"°","º"))-1)),""))))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26" t="n">
        <v>47037</v>
      </c>
      <c r="G2200" s="126" t="n">
        <v>47058</v>
      </c>
      <c r="H2200" s="126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IF(E2200="","",IF(ISNUMBER(SEARCH("SUBSOLO",E2200)),IFERROR(-VALUE(LEFT(E2200,FIND("º",SUBSTITUTE(E2200,"°","º"))-1)),-1),IF(LEFT(E2200,6)="TÉRREO",0,IFERROR(VALUE(LEFT(E2200,FIND("º",SUBSTITUTE(E2200,"°","º"))-1)),""))))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26" t="n">
        <v>47045</v>
      </c>
      <c r="G2201" s="126" t="n">
        <v>47053</v>
      </c>
      <c r="H2201" s="126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IF(E2201="","",IF(ISNUMBER(SEARCH("SUBSOLO",E2201)),IFERROR(-VALUE(LEFT(E2201,FIND("º",SUBSTITUTE(E2201,"°","º"))-1)),-1),IF(LEFT(E2201,6)="TÉRREO",0,IFERROR(VALUE(LEFT(E2201,FIND("º",SUBSTITUTE(E2201,"°","º"))-1)),""))))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26" t="n">
        <v>47045</v>
      </c>
      <c r="G2202" s="126" t="n">
        <v>47057</v>
      </c>
      <c r="H2202" s="126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IF(E2202="","",IF(ISNUMBER(SEARCH("SUBSOLO",E2202)),IFERROR(-VALUE(LEFT(E2202,FIND("º",SUBSTITUTE(E2202,"°","º"))-1)),-1),IF(LEFT(E2202,6)="TÉRREO",0,IFERROR(VALUE(LEFT(E2202,FIND("º",SUBSTITUTE(E2202,"°","º"))-1)),""))))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26" t="n">
        <v>47045</v>
      </c>
      <c r="G2203" s="126" t="n">
        <v>47058</v>
      </c>
      <c r="H2203" s="126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IF(E2203="","",IF(ISNUMBER(SEARCH("SUBSOLO",E2203)),IFERROR(-VALUE(LEFT(E2203,FIND("º",SUBSTITUTE(E2203,"°","º"))-1)),-1),IF(LEFT(E2203,6)="TÉRREO",0,IFERROR(VALUE(LEFT(E2203,FIND("º",SUBSTITUTE(E2203,"°","º"))-1)),""))))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26" t="n">
        <v>47045</v>
      </c>
      <c r="G2204" s="126" t="n">
        <v>47058</v>
      </c>
      <c r="H2204" s="126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IF(E2204="","",IF(ISNUMBER(SEARCH("SUBSOLO",E2204)),IFERROR(-VALUE(LEFT(E2204,FIND("º",SUBSTITUTE(E2204,"°","º"))-1)),-1),IF(LEFT(E2204,6)="TÉRREO",0,IFERROR(VALUE(LEFT(E2204,FIND("º",SUBSTITUTE(E2204,"°","º"))-1)),""))))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26" t="n">
        <v>47045</v>
      </c>
      <c r="G2205" s="126" t="n">
        <v>47058</v>
      </c>
      <c r="H2205" s="126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IF(E2205="","",IF(ISNUMBER(SEARCH("SUBSOLO",E2205)),IFERROR(-VALUE(LEFT(E2205,FIND("º",SUBSTITUTE(E2205,"°","º"))-1)),-1),IF(LEFT(E2205,6)="TÉRREO",0,IFERROR(VALUE(LEFT(E2205,FIND("º",SUBSTITUTE(E2205,"°","º"))-1)),""))))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26" t="n">
        <v>47045</v>
      </c>
      <c r="G2206" s="126" t="n">
        <v>47058</v>
      </c>
      <c r="H2206" s="126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IF(E2206="","",IF(ISNUMBER(SEARCH("SUBSOLO",E2206)),IFERROR(-VALUE(LEFT(E2206,FIND("º",SUBSTITUTE(E2206,"°","º"))-1)),-1),IF(LEFT(E2206,6)="TÉRREO",0,IFERROR(VALUE(LEFT(E2206,FIND("º",SUBSTITUTE(E2206,"°","º"))-1)),""))))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26" t="n">
        <v>47045</v>
      </c>
      <c r="G2207" s="126" t="n">
        <v>47058</v>
      </c>
      <c r="H2207" s="126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IF(E2207="","",IF(ISNUMBER(SEARCH("SUBSOLO",E2207)),IFERROR(-VALUE(LEFT(E2207,FIND("º",SUBSTITUTE(E2207,"°","º"))-1)),-1),IF(LEFT(E2207,6)="TÉRREO",0,IFERROR(VALUE(LEFT(E2207,FIND("º",SUBSTITUTE(E2207,"°","º"))-1)),""))))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26" t="n">
        <v>47045</v>
      </c>
      <c r="G2208" s="126" t="n">
        <v>47066</v>
      </c>
      <c r="H2208" s="126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IF(E2208="","",IF(ISNUMBER(SEARCH("SUBSOLO",E2208)),IFERROR(-VALUE(LEFT(E2208,FIND("º",SUBSTITUTE(E2208,"°","º"))-1)),-1),IF(LEFT(E2208,6)="TÉRREO",0,IFERROR(VALUE(LEFT(E2208,FIND("º",SUBSTITUTE(E2208,"°","º"))-1)),""))))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26" t="n">
        <v>47052</v>
      </c>
      <c r="G2209" s="126" t="n">
        <v>47066</v>
      </c>
      <c r="H2209" s="126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IF(E2209="","",IF(ISNUMBER(SEARCH("SUBSOLO",E2209)),IFERROR(-VALUE(LEFT(E2209,FIND("º",SUBSTITUTE(E2209,"°","º"))-1)),-1),IF(LEFT(E2209,6)="TÉRREO",0,IFERROR(VALUE(LEFT(E2209,FIND("º",SUBSTITUTE(E2209,"°","º"))-1)),""))))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26" t="n">
        <v>47052</v>
      </c>
      <c r="G2210" s="126" t="n">
        <v>47066</v>
      </c>
      <c r="H2210" s="126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IF(E2210="","",IF(ISNUMBER(SEARCH("SUBSOLO",E2210)),IFERROR(-VALUE(LEFT(E2210,FIND("º",SUBSTITUTE(E2210,"°","º"))-1)),-1),IF(LEFT(E2210,6)="TÉRREO",0,IFERROR(VALUE(LEFT(E2210,FIND("º",SUBSTITUTE(E2210,"°","º"))-1)),""))))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26" t="n">
        <v>47053</v>
      </c>
      <c r="G2211" s="126" t="n">
        <v>47060</v>
      </c>
      <c r="H2211" s="126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IF(E2211="","",IF(ISNUMBER(SEARCH("SUBSOLO",E2211)),IFERROR(-VALUE(LEFT(E2211,FIND("º",SUBSTITUTE(E2211,"°","º"))-1)),-1),IF(LEFT(E2211,6)="TÉRREO",0,IFERROR(VALUE(LEFT(E2211,FIND("º",SUBSTITUTE(E2211,"°","º"))-1)),""))))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26" t="n">
        <v>47060</v>
      </c>
      <c r="G2212" s="126" t="n">
        <v>47074</v>
      </c>
      <c r="H2212" s="126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IF(E2212="","",IF(ISNUMBER(SEARCH("SUBSOLO",E2212)),IFERROR(-VALUE(LEFT(E2212,FIND("º",SUBSTITUTE(E2212,"°","º"))-1)),-1),IF(LEFT(E2212,6)="TÉRREO",0,IFERROR(VALUE(LEFT(E2212,FIND("º",SUBSTITUTE(E2212,"°","º"))-1)),""))))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26" t="n">
        <v>47060</v>
      </c>
      <c r="G2213" s="126" t="n">
        <v>47074</v>
      </c>
      <c r="H2213" s="126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IF(E2213="","",IF(ISNUMBER(SEARCH("SUBSOLO",E2213)),IFERROR(-VALUE(LEFT(E2213,FIND("º",SUBSTITUTE(E2213,"°","º"))-1)),-1),IF(LEFT(E2213,6)="TÉRREO",0,IFERROR(VALUE(LEFT(E2213,FIND("º",SUBSTITUTE(E2213,"°","º"))-1)),""))))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26" t="n">
        <v>47060</v>
      </c>
      <c r="G2214" s="126" t="n">
        <v>47081</v>
      </c>
      <c r="H2214" s="126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IF(E2214="","",IF(ISNUMBER(SEARCH("SUBSOLO",E2214)),IFERROR(-VALUE(LEFT(E2214,FIND("º",SUBSTITUTE(E2214,"°","º"))-1)),-1),IF(LEFT(E2214,6)="TÉRREO",0,IFERROR(VALUE(LEFT(E2214,FIND("º",SUBSTITUTE(E2214,"°","º"))-1)),""))))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26" t="n">
        <v>47060</v>
      </c>
      <c r="G2215" s="126" t="n">
        <v>47074</v>
      </c>
      <c r="H2215" s="126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IF(E2215="","",IF(ISNUMBER(SEARCH("SUBSOLO",E2215)),IFERROR(-VALUE(LEFT(E2215,FIND("º",SUBSTITUTE(E2215,"°","º"))-1)),-1),IF(LEFT(E2215,6)="TÉRREO",0,IFERROR(VALUE(LEFT(E2215,FIND("º",SUBSTITUTE(E2215,"°","º"))-1)),""))))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26" t="n">
        <v>47067</v>
      </c>
      <c r="G2216" s="126" t="n">
        <v>47074</v>
      </c>
      <c r="H2216" s="126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IF(E2216="","",IF(ISNUMBER(SEARCH("SUBSOLO",E2216)),IFERROR(-VALUE(LEFT(E2216,FIND("º",SUBSTITUTE(E2216,"°","º"))-1)),-1),IF(LEFT(E2216,6)="TÉRREO",0,IFERROR(VALUE(LEFT(E2216,FIND("º",SUBSTITUTE(E2216,"°","º"))-1)),""))))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26" t="n">
        <v>47067</v>
      </c>
      <c r="G2217" s="126" t="n">
        <v>47080</v>
      </c>
      <c r="H2217" s="126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IF(E2217="","",IF(ISNUMBER(SEARCH("SUBSOLO",E2217)),IFERROR(-VALUE(LEFT(E2217,FIND("º",SUBSTITUTE(E2217,"°","º"))-1)),-1),IF(LEFT(E2217,6)="TÉRREO",0,IFERROR(VALUE(LEFT(E2217,FIND("º",SUBSTITUTE(E2217,"°","º"))-1)),""))))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26" t="n">
        <v>47067</v>
      </c>
      <c r="G2218" s="126" t="n">
        <v>47081</v>
      </c>
      <c r="H2218" s="126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IF(E2218="","",IF(ISNUMBER(SEARCH("SUBSOLO",E2218)),IFERROR(-VALUE(LEFT(E2218,FIND("º",SUBSTITUTE(E2218,"°","º"))-1)),-1),IF(LEFT(E2218,6)="TÉRREO",0,IFERROR(VALUE(LEFT(E2218,FIND("º",SUBSTITUTE(E2218,"°","º"))-1)),""))))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26" t="n">
        <v>47067</v>
      </c>
      <c r="G2219" s="126" t="n">
        <v>47081</v>
      </c>
      <c r="H2219" s="126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IF(E2219="","",IF(ISNUMBER(SEARCH("SUBSOLO",E2219)),IFERROR(-VALUE(LEFT(E2219,FIND("º",SUBSTITUTE(E2219,"°","º"))-1)),-1),IF(LEFT(E2219,6)="TÉRREO",0,IFERROR(VALUE(LEFT(E2219,FIND("º",SUBSTITUTE(E2219,"°","º"))-1)),""))))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26" t="n">
        <v>47067</v>
      </c>
      <c r="G2220" s="126" t="n">
        <v>47081</v>
      </c>
      <c r="H2220" s="126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IF(E2220="","",IF(ISNUMBER(SEARCH("SUBSOLO",E2220)),IFERROR(-VALUE(LEFT(E2220,FIND("º",SUBSTITUTE(E2220,"°","º"))-1)),-1),IF(LEFT(E2220,6)="TÉRREO",0,IFERROR(VALUE(LEFT(E2220,FIND("º",SUBSTITUTE(E2220,"°","º"))-1)),""))))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26" t="n">
        <v>47067</v>
      </c>
      <c r="G2221" s="126" t="n">
        <v>47081</v>
      </c>
      <c r="H2221" s="126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IF(E2221="","",IF(ISNUMBER(SEARCH("SUBSOLO",E2221)),IFERROR(-VALUE(LEFT(E2221,FIND("º",SUBSTITUTE(E2221,"°","º"))-1)),-1),IF(LEFT(E2221,6)="TÉRREO",0,IFERROR(VALUE(LEFT(E2221,FIND("º",SUBSTITUTE(E2221,"°","º"))-1)),""))))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26" t="n">
        <v>47077</v>
      </c>
      <c r="G2222" s="126" t="n">
        <v>47088</v>
      </c>
      <c r="H2222" s="126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IF(E2222="","",IF(ISNUMBER(SEARCH("SUBSOLO",E2222)),IFERROR(-VALUE(LEFT(E2222,FIND("º",SUBSTITUTE(E2222,"°","º"))-1)),-1),IF(LEFT(E2222,6)="TÉRREO",0,IFERROR(VALUE(LEFT(E2222,FIND("º",SUBSTITUTE(E2222,"°","º"))-1)),""))))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26" t="n">
        <v>47077</v>
      </c>
      <c r="G2223" s="126" t="n">
        <v>47088</v>
      </c>
      <c r="H2223" s="126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IF(E2223="","",IF(ISNUMBER(SEARCH("SUBSOLO",E2223)),IFERROR(-VALUE(LEFT(E2223,FIND("º",SUBSTITUTE(E2223,"°","º"))-1)),-1),IF(LEFT(E2223,6)="TÉRREO",0,IFERROR(VALUE(LEFT(E2223,FIND("º",SUBSTITUTE(E2223,"°","º"))-1)),""))))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26" t="n">
        <v>47077</v>
      </c>
      <c r="G2224" s="126" t="n">
        <v>47088</v>
      </c>
      <c r="H2224" s="126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IF(E2224="","",IF(ISNUMBER(SEARCH("SUBSOLO",E2224)),IFERROR(-VALUE(LEFT(E2224,FIND("º",SUBSTITUTE(E2224,"°","º"))-1)),-1),IF(LEFT(E2224,6)="TÉRREO",0,IFERROR(VALUE(LEFT(E2224,FIND("º",SUBSTITUTE(E2224,"°","º"))-1)),""))))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26" t="n">
        <v>47078</v>
      </c>
      <c r="G2225" s="126" t="n">
        <v>47084</v>
      </c>
      <c r="H2225" s="126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IF(E2225="","",IF(ISNUMBER(SEARCH("SUBSOLO",E2225)),IFERROR(-VALUE(LEFT(E2225,FIND("º",SUBSTITUTE(E2225,"°","º"))-1)),-1),IF(LEFT(E2225,6)="TÉRREO",0,IFERROR(VALUE(LEFT(E2225,FIND("º",SUBSTITUTE(E2225,"°","º"))-1)),""))))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26" t="n">
        <v>47084</v>
      </c>
      <c r="G2226" s="126" t="n">
        <v>47095</v>
      </c>
      <c r="H2226" s="126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IF(E2226="","",IF(ISNUMBER(SEARCH("SUBSOLO",E2226)),IFERROR(-VALUE(LEFT(E2226,FIND("º",SUBSTITUTE(E2226,"°","º"))-1)),-1),IF(LEFT(E2226,6)="TÉRREO",0,IFERROR(VALUE(LEFT(E2226,FIND("º",SUBSTITUTE(E2226,"°","º"))-1)),""))))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26" t="n">
        <v>47084</v>
      </c>
      <c r="G2227" s="126" t="n">
        <v>47095</v>
      </c>
      <c r="H2227" s="126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IF(E2227="","",IF(ISNUMBER(SEARCH("SUBSOLO",E2227)),IFERROR(-VALUE(LEFT(E2227,FIND("º",SUBSTITUTE(E2227,"°","º"))-1)),-1),IF(LEFT(E2227,6)="TÉRREO",0,IFERROR(VALUE(LEFT(E2227,FIND("º",SUBSTITUTE(E2227,"°","º"))-1)),""))))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26" t="n">
        <v>47084</v>
      </c>
      <c r="G2228" s="126" t="n">
        <v>47102</v>
      </c>
      <c r="H2228" s="126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IF(E2228="","",IF(ISNUMBER(SEARCH("SUBSOLO",E2228)),IFERROR(-VALUE(LEFT(E2228,FIND("º",SUBSTITUTE(E2228,"°","º"))-1)),-1),IF(LEFT(E2228,6)="TÉRREO",0,IFERROR(VALUE(LEFT(E2228,FIND("º",SUBSTITUTE(E2228,"°","º"))-1)),""))))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26" t="n">
        <v>47091</v>
      </c>
      <c r="G2229" s="126" t="n">
        <v>47099</v>
      </c>
      <c r="H2229" s="126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IF(E2229="","",IF(ISNUMBER(SEARCH("SUBSOLO",E2229)),IFERROR(-VALUE(LEFT(E2229,FIND("º",SUBSTITUTE(E2229,"°","º"))-1)),-1),IF(LEFT(E2229,6)="TÉRREO",0,IFERROR(VALUE(LEFT(E2229,FIND("º",SUBSTITUTE(E2229,"°","º"))-1)),""))))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26" t="n">
        <v>47091</v>
      </c>
      <c r="G2230" s="126" t="n">
        <v>47101</v>
      </c>
      <c r="H2230" s="126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IF(E2230="","",IF(ISNUMBER(SEARCH("SUBSOLO",E2230)),IFERROR(-VALUE(LEFT(E2230,FIND("º",SUBSTITUTE(E2230,"°","º"))-1)),-1),IF(LEFT(E2230,6)="TÉRREO",0,IFERROR(VALUE(LEFT(E2230,FIND("º",SUBSTITUTE(E2230,"°","º"))-1)),""))))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26" t="n">
        <v>47091</v>
      </c>
      <c r="G2231" s="126" t="n">
        <v>47102</v>
      </c>
      <c r="H2231" s="126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IF(E2231="","",IF(ISNUMBER(SEARCH("SUBSOLO",E2231)),IFERROR(-VALUE(LEFT(E2231,FIND("º",SUBSTITUTE(E2231,"°","º"))-1)),-1),IF(LEFT(E2231,6)="TÉRREO",0,IFERROR(VALUE(LEFT(E2231,FIND("º",SUBSTITUTE(E2231,"°","º"))-1)),""))))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26" t="n">
        <v>47091</v>
      </c>
      <c r="G2232" s="126" t="n">
        <v>47102</v>
      </c>
      <c r="H2232" s="126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IF(E2232="","",IF(ISNUMBER(SEARCH("SUBSOLO",E2232)),IFERROR(-VALUE(LEFT(E2232,FIND("º",SUBSTITUTE(E2232,"°","º"))-1)),-1),IF(LEFT(E2232,6)="TÉRREO",0,IFERROR(VALUE(LEFT(E2232,FIND("º",SUBSTITUTE(E2232,"°","º"))-1)),""))))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26" t="n">
        <v>47091</v>
      </c>
      <c r="G2233" s="126" t="n">
        <v>47102</v>
      </c>
      <c r="H2233" s="126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IF(E2233="","",IF(ISNUMBER(SEARCH("SUBSOLO",E2233)),IFERROR(-VALUE(LEFT(E2233,FIND("º",SUBSTITUTE(E2233,"°","º"))-1)),-1),IF(LEFT(E2233,6)="TÉRREO",0,IFERROR(VALUE(LEFT(E2233,FIND("º",SUBSTITUTE(E2233,"°","º"))-1)),""))))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26" t="n">
        <v>47091</v>
      </c>
      <c r="G2234" s="126" t="n">
        <v>47102</v>
      </c>
      <c r="H2234" s="126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IF(E2234="","",IF(ISNUMBER(SEARCH("SUBSOLO",E2234)),IFERROR(-VALUE(LEFT(E2234,FIND("º",SUBSTITUTE(E2234,"°","º"))-1)),-1),IF(LEFT(E2234,6)="TÉRREO",0,IFERROR(VALUE(LEFT(E2234,FIND("º",SUBSTITUTE(E2234,"°","º"))-1)),""))))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26" t="n">
        <v>47098</v>
      </c>
      <c r="G2235" s="126" t="n">
        <v>47109</v>
      </c>
      <c r="H2235" s="126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IF(E2235="","",IF(ISNUMBER(SEARCH("SUBSOLO",E2235)),IFERROR(-VALUE(LEFT(E2235,FIND("º",SUBSTITUTE(E2235,"°","º"))-1)),-1),IF(LEFT(E2235,6)="TÉRREO",0,IFERROR(VALUE(LEFT(E2235,FIND("º",SUBSTITUTE(E2235,"°","º"))-1)),""))))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26" t="n">
        <v>47098</v>
      </c>
      <c r="G2236" s="126" t="n">
        <v>47109</v>
      </c>
      <c r="H2236" s="126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IF(E2236="","",IF(ISNUMBER(SEARCH("SUBSOLO",E2236)),IFERROR(-VALUE(LEFT(E2236,FIND("º",SUBSTITUTE(E2236,"°","º"))-1)),-1),IF(LEFT(E2236,6)="TÉRREO",0,IFERROR(VALUE(LEFT(E2236,FIND("º",SUBSTITUTE(E2236,"°","º"))-1)),""))))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26" t="n">
        <v>47099</v>
      </c>
      <c r="G2237" s="126" t="n">
        <v>47105</v>
      </c>
      <c r="H2237" s="126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IF(E2237="","",IF(ISNUMBER(SEARCH("SUBSOLO",E2237)),IFERROR(-VALUE(LEFT(E2237,FIND("º",SUBSTITUTE(E2237,"°","º"))-1)),-1),IF(LEFT(E2237,6)="TÉRREO",0,IFERROR(VALUE(LEFT(E2237,FIND("º",SUBSTITUTE(E2237,"°","º"))-1)),""))))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26" t="n">
        <v>47105</v>
      </c>
      <c r="G2238" s="126" t="n">
        <v>47120</v>
      </c>
      <c r="H2238" s="126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IF(E2238="","",IF(ISNUMBER(SEARCH("SUBSOLO",E2238)),IFERROR(-VALUE(LEFT(E2238,FIND("º",SUBSTITUTE(E2238,"°","º"))-1)),-1),IF(LEFT(E2238,6)="TÉRREO",0,IFERROR(VALUE(LEFT(E2238,FIND("º",SUBSTITUTE(E2238,"°","º"))-1)),""))))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26" t="n">
        <v>47105</v>
      </c>
      <c r="G2239" s="126" t="n">
        <v>47127</v>
      </c>
      <c r="H2239" s="126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IF(E2239="","",IF(ISNUMBER(SEARCH("SUBSOLO",E2239)),IFERROR(-VALUE(LEFT(E2239,FIND("º",SUBSTITUTE(E2239,"°","º"))-1)),-1),IF(LEFT(E2239,6)="TÉRREO",0,IFERROR(VALUE(LEFT(E2239,FIND("º",SUBSTITUTE(E2239,"°","º"))-1)),""))))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26" t="n">
        <v>47113</v>
      </c>
      <c r="G2240" s="126" t="n">
        <v>47120</v>
      </c>
      <c r="H2240" s="126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IF(E2240="","",IF(ISNUMBER(SEARCH("SUBSOLO",E2240)),IFERROR(-VALUE(LEFT(E2240,FIND("º",SUBSTITUTE(E2240,"°","º"))-1)),-1),IF(LEFT(E2240,6)="TÉRREO",0,IFERROR(VALUE(LEFT(E2240,FIND("º",SUBSTITUTE(E2240,"°","º"))-1)),""))))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26" t="n">
        <v>47113</v>
      </c>
      <c r="G2241" s="126" t="n">
        <v>47126</v>
      </c>
      <c r="H2241" s="126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IF(E2241="","",IF(ISNUMBER(SEARCH("SUBSOLO",E2241)),IFERROR(-VALUE(LEFT(E2241,FIND("º",SUBSTITUTE(E2241,"°","º"))-1)),-1),IF(LEFT(E2241,6)="TÉRREO",0,IFERROR(VALUE(LEFT(E2241,FIND("º",SUBSTITUTE(E2241,"°","º"))-1)),""))))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26" t="n">
        <v>47113</v>
      </c>
      <c r="G2242" s="126" t="n">
        <v>47127</v>
      </c>
      <c r="H2242" s="126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IF(E2242="","",IF(ISNUMBER(SEARCH("SUBSOLO",E2242)),IFERROR(-VALUE(LEFT(E2242,FIND("º",SUBSTITUTE(E2242,"°","º"))-1)),-1),IF(LEFT(E2242,6)="TÉRREO",0,IFERROR(VALUE(LEFT(E2242,FIND("º",SUBSTITUTE(E2242,"°","º"))-1)),""))))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26" t="n">
        <v>47113</v>
      </c>
      <c r="G2243" s="126" t="n">
        <v>47127</v>
      </c>
      <c r="H2243" s="126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IF(E2243="","",IF(ISNUMBER(SEARCH("SUBSOLO",E2243)),IFERROR(-VALUE(LEFT(E2243,FIND("º",SUBSTITUTE(E2243,"°","º"))-1)),-1),IF(LEFT(E2243,6)="TÉRREO",0,IFERROR(VALUE(LEFT(E2243,FIND("º",SUBSTITUTE(E2243,"°","º"))-1)),""))))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26" t="n">
        <v>47113</v>
      </c>
      <c r="G2244" s="126" t="n">
        <v>47127</v>
      </c>
      <c r="H2244" s="126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IF(E2244="","",IF(ISNUMBER(SEARCH("SUBSOLO",E2244)),IFERROR(-VALUE(LEFT(E2244,FIND("º",SUBSTITUTE(E2244,"°","º"))-1)),-1),IF(LEFT(E2244,6)="TÉRREO",0,IFERROR(VALUE(LEFT(E2244,FIND("º",SUBSTITUTE(E2244,"°","º"))-1)),""))))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26" t="n">
        <v>47113</v>
      </c>
      <c r="G2245" s="126" t="n">
        <v>47127</v>
      </c>
      <c r="H2245" s="126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IF(E2245="","",IF(ISNUMBER(SEARCH("SUBSOLO",E2245)),IFERROR(-VALUE(LEFT(E2245,FIND("º",SUBSTITUTE(E2245,"°","º"))-1)),-1),IF(LEFT(E2245,6)="TÉRREO",0,IFERROR(VALUE(LEFT(E2245,FIND("º",SUBSTITUTE(E2245,"°","º"))-1)),""))))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26" t="n">
        <v>47121</v>
      </c>
      <c r="G2246" s="126" t="n">
        <v>47134</v>
      </c>
      <c r="H2246" s="126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IF(E2246="","",IF(ISNUMBER(SEARCH("SUBSOLO",E2246)),IFERROR(-VALUE(LEFT(E2246,FIND("º",SUBSTITUTE(E2246,"°","º"))-1)),-1),IF(LEFT(E2246,6)="TÉRREO",0,IFERROR(VALUE(LEFT(E2246,FIND("º",SUBSTITUTE(E2246,"°","º"))-1)),""))))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26" t="n">
        <v>47122</v>
      </c>
      <c r="G2247" s="126" t="n">
        <v>47128</v>
      </c>
      <c r="H2247" s="126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IF(E2247="","",IF(ISNUMBER(SEARCH("SUBSOLO",E2247)),IFERROR(-VALUE(LEFT(E2247,FIND("º",SUBSTITUTE(E2247,"°","º"))-1)),-1),IF(LEFT(E2247,6)="TÉRREO",0,IFERROR(VALUE(LEFT(E2247,FIND("º",SUBSTITUTE(E2247,"°","º"))-1)),""))))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26" t="n">
        <v>47127</v>
      </c>
      <c r="G2248" s="126" t="n">
        <v>47137</v>
      </c>
      <c r="H2248" s="126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IF(E2248="","",IF(ISNUMBER(SEARCH("SUBSOLO",E2248)),IFERROR(-VALUE(LEFT(E2248,FIND("º",SUBSTITUTE(E2248,"°","º"))-1)),-1),IF(LEFT(E2248,6)="TÉRREO",0,IFERROR(VALUE(LEFT(E2248,FIND("º",SUBSTITUTE(E2248,"°","º"))-1)),""))))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26" t="n">
        <v>47128</v>
      </c>
      <c r="G2249" s="126" t="n">
        <v>47141</v>
      </c>
      <c r="H2249" s="126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IF(E2249="","",IF(ISNUMBER(SEARCH("SUBSOLO",E2249)),IFERROR(-VALUE(LEFT(E2249,FIND("º",SUBSTITUTE(E2249,"°","º"))-1)),-1),IF(LEFT(E2249,6)="TÉRREO",0,IFERROR(VALUE(LEFT(E2249,FIND("º",SUBSTITUTE(E2249,"°","º"))-1)),""))))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26" t="n">
        <v>47128</v>
      </c>
      <c r="G2250" s="126" t="n">
        <v>47141</v>
      </c>
      <c r="H2250" s="126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IF(E2250="","",IF(ISNUMBER(SEARCH("SUBSOLO",E2250)),IFERROR(-VALUE(LEFT(E2250,FIND("º",SUBSTITUTE(E2250,"°","º"))-1)),-1),IF(LEFT(E2250,6)="TÉRREO",0,IFERROR(VALUE(LEFT(E2250,FIND("º",SUBSTITUTE(E2250,"°","º"))-1)),""))))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26" t="n">
        <v>47135</v>
      </c>
      <c r="G2251" s="126" t="n">
        <v>47141</v>
      </c>
      <c r="H2251" s="126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IF(E2251="","",IF(ISNUMBER(SEARCH("SUBSOLO",E2251)),IFERROR(-VALUE(LEFT(E2251,FIND("º",SUBSTITUTE(E2251,"°","º"))-1)),-1),IF(LEFT(E2251,6)="TÉRREO",0,IFERROR(VALUE(LEFT(E2251,FIND("º",SUBSTITUTE(E2251,"°","º"))-1)),""))))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26" t="n">
        <v>47140</v>
      </c>
      <c r="G2252" s="126" t="n">
        <v>47150</v>
      </c>
      <c r="H2252" s="126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IF(E2252="","",IF(ISNUMBER(SEARCH("SUBSOLO",E2252)),IFERROR(-VALUE(LEFT(E2252,FIND("º",SUBSTITUTE(E2252,"°","º"))-1)),-1),IF(LEFT(E2252,6)="TÉRREO",0,IFERROR(VALUE(LEFT(E2252,FIND("º",SUBSTITUTE(E2252,"°","º"))-1)),""))))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26" t="n">
        <v>47142</v>
      </c>
      <c r="G2253" s="126" t="n">
        <v>47155</v>
      </c>
      <c r="H2253" s="126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IF(E2253="","",IF(ISNUMBER(SEARCH("SUBSOLO",E2253)),IFERROR(-VALUE(LEFT(E2253,FIND("º",SUBSTITUTE(E2253,"°","º"))-1)),-1),IF(LEFT(E2253,6)="TÉRREO",0,IFERROR(VALUE(LEFT(E2253,FIND("º",SUBSTITUTE(E2253,"°","º"))-1)),""))))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26" t="n">
        <v>47142</v>
      </c>
      <c r="G2254" s="126" t="n">
        <v>47155</v>
      </c>
      <c r="H2254" s="126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IF(E2254="","",IF(ISNUMBER(SEARCH("SUBSOLO",E2254)),IFERROR(-VALUE(LEFT(E2254,FIND("º",SUBSTITUTE(E2254,"°","º"))-1)),-1),IF(LEFT(E2254,6)="TÉRREO",0,IFERROR(VALUE(LEFT(E2254,FIND("º",SUBSTITUTE(E2254,"°","º"))-1)),""))))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26" t="n">
        <v>47143</v>
      </c>
      <c r="G2255" s="126" t="n">
        <v>47149</v>
      </c>
      <c r="H2255" s="126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IF(E2255="","",IF(ISNUMBER(SEARCH("SUBSOLO",E2255)),IFERROR(-VALUE(LEFT(E2255,FIND("º",SUBSTITUTE(E2255,"°","º"))-1)),-1),IF(LEFT(E2255,6)="TÉRREO",0,IFERROR(VALUE(LEFT(E2255,FIND("º",SUBSTITUTE(E2255,"°","º"))-1)),""))))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26" t="n">
        <v>47150</v>
      </c>
      <c r="G2256" s="126" t="n">
        <v>47156</v>
      </c>
      <c r="H2256" s="126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IF(E2256="","",IF(ISNUMBER(SEARCH("SUBSOLO",E2256)),IFERROR(-VALUE(LEFT(E2256,FIND("º",SUBSTITUTE(E2256,"°","º"))-1)),-1),IF(LEFT(E2256,6)="TÉRREO",0,IFERROR(VALUE(LEFT(E2256,FIND("º",SUBSTITUTE(E2256,"°","º"))-1)),""))))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26" t="n">
        <v>47156</v>
      </c>
      <c r="G2257" s="126" t="n">
        <v>47162</v>
      </c>
      <c r="H2257" s="126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IF(E2257="","",IF(ISNUMBER(SEARCH("SUBSOLO",E2257)),IFERROR(-VALUE(LEFT(E2257,FIND("º",SUBSTITUTE(E2257,"°","º"))-1)),-1),IF(LEFT(E2257,6)="TÉRREO",0,IFERROR(VALUE(LEFT(E2257,FIND("º",SUBSTITUTE(E2257,"°","º"))-1)),""))))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IF(E2258="","",IF(ISNUMBER(SEARCH("SUBSOLO",E2258)),IFERROR(-VALUE(LEFT(E2258,FIND("º",SUBSTITUTE(E2258,"°","º"))-1)),-1),IF(LEFT(E2258,6)="TÉRREO",0,IFERROR(VALUE(LEFT(E2258,FIND("º",SUBSTITUTE(E2258,"°","º"))-1)),""))))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IF(E2259="","",IF(ISNUMBER(SEARCH("SUBSOLO",E2259)),IFERROR(-VALUE(LEFT(E2259,FIND("º",SUBSTITUTE(E2259,"°","º"))-1)),-1),IF(LEFT(E2259,6)="TÉRREO",0,IFERROR(VALUE(LEFT(E2259,FIND("º",SUBSTITUTE(E2259,"°","º"))-1)),""))))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IF(E2260="","",IF(ISNUMBER(SEARCH("SUBSOLO",E2260)),IFERROR(-VALUE(LEFT(E2260,FIND("º",SUBSTITUTE(E2260,"°","º"))-1)),-1),IF(LEFT(E2260,6)="TÉRREO",0,IFERROR(VALUE(LEFT(E2260,FIND("º",SUBSTITUTE(E2260,"°","º"))-1)),""))))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IF(E2261="","",IF(ISNUMBER(SEARCH("SUBSOLO",E2261)),IFERROR(-VALUE(LEFT(E2261,FIND("º",SUBSTITUTE(E2261,"°","º"))-1)),-1),IF(LEFT(E2261,6)="TÉRREO",0,IFERROR(VALUE(LEFT(E2261,FIND("º",SUBSTITUTE(E2261,"°","º"))-1)),""))))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IF(E2262="","",IF(ISNUMBER(SEARCH("SUBSOLO",E2262)),IFERROR(-VALUE(LEFT(E2262,FIND("º",SUBSTITUTE(E2262,"°","º"))-1)),-1),IF(LEFT(E2262,6)="TÉRREO",0,IFERROR(VALUE(LEFT(E2262,FIND("º",SUBSTITUTE(E2262,"°","º"))-1)),""))))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IF(E2263="","",IF(ISNUMBER(SEARCH("SUBSOLO",E2263)),IFERROR(-VALUE(LEFT(E2263,FIND("º",SUBSTITUTE(E2263,"°","º"))-1)),-1),IF(LEFT(E2263,6)="TÉRREO",0,IFERROR(VALUE(LEFT(E2263,FIND("º",SUBSTITUTE(E2263,"°","º"))-1)),""))))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IF(E2264="","",IF(ISNUMBER(SEARCH("SUBSOLO",E2264)),IFERROR(-VALUE(LEFT(E2264,FIND("º",SUBSTITUTE(E2264,"°","º"))-1)),-1),IF(LEFT(E2264,6)="TÉRREO",0,IFERROR(VALUE(LEFT(E2264,FIND("º",SUBSTITUTE(E2264,"°","º"))-1)),""))))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IF(E2265="","",IF(ISNUMBER(SEARCH("SUBSOLO",E2265)),IFERROR(-VALUE(LEFT(E2265,FIND("º",SUBSTITUTE(E2265,"°","º"))-1)),-1),IF(LEFT(E2265,6)="TÉRREO",0,IFERROR(VALUE(LEFT(E2265,FIND("º",SUBSTITUTE(E2265,"°","º"))-1)),""))))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IF(E2266="","",IF(ISNUMBER(SEARCH("SUBSOLO",E2266)),IFERROR(-VALUE(LEFT(E2266,FIND("º",SUBSTITUTE(E2266,"°","º"))-1)),-1),IF(LEFT(E2266,6)="TÉRREO",0,IFERROR(VALUE(LEFT(E2266,FIND("º",SUBSTITUTE(E2266,"°","º"))-1)),""))))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IF(E2267="","",IF(ISNUMBER(SEARCH("SUBSOLO",E2267)),IFERROR(-VALUE(LEFT(E2267,FIND("º",SUBSTITUTE(E2267,"°","º"))-1)),-1),IF(LEFT(E2267,6)="TÉRREO",0,IFERROR(VALUE(LEFT(E2267,FIND("º",SUBSTITUTE(E2267,"°","º"))-1)),""))))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IF(E2268="","",IF(ISNUMBER(SEARCH("SUBSOLO",E2268)),IFERROR(-VALUE(LEFT(E2268,FIND("º",SUBSTITUTE(E2268,"°","º"))-1)),-1),IF(LEFT(E2268,6)="TÉRREO",0,IFERROR(VALUE(LEFT(E2268,FIND("º",SUBSTITUTE(E2268,"°","º"))-1)),""))))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IF(E2269="","",IF(ISNUMBER(SEARCH("SUBSOLO",E2269)),IFERROR(-VALUE(LEFT(E2269,FIND("º",SUBSTITUTE(E2269,"°","º"))-1)),-1),IF(LEFT(E2269,6)="TÉRREO",0,IFERROR(VALUE(LEFT(E2269,FIND("º",SUBSTITUTE(E2269,"°","º"))-1)),""))))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IF(E2270="","",IF(ISNUMBER(SEARCH("SUBSOLO",E2270)),IFERROR(-VALUE(LEFT(E2270,FIND("º",SUBSTITUTE(E2270,"°","º"))-1)),-1),IF(LEFT(E2270,6)="TÉRREO",0,IFERROR(VALUE(LEFT(E2270,FIND("º",SUBSTITUTE(E2270,"°","º"))-1)),""))))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IF(E2271="","",IF(ISNUMBER(SEARCH("SUBSOLO",E2271)),IFERROR(-VALUE(LEFT(E2271,FIND("º",SUBSTITUTE(E2271,"°","º"))-1)),-1),IF(LEFT(E2271,6)="TÉRREO",0,IFERROR(VALUE(LEFT(E2271,FIND("º",SUBSTITUTE(E2271,"°","º"))-1)),""))))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IF(E2272="","",IF(ISNUMBER(SEARCH("SUBSOLO",E2272)),IFERROR(-VALUE(LEFT(E2272,FIND("º",SUBSTITUTE(E2272,"°","º"))-1)),-1),IF(LEFT(E2272,6)="TÉRREO",0,IFERROR(VALUE(LEFT(E2272,FIND("º",SUBSTITUTE(E2272,"°","º"))-1)),""))))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IF(E2273="","",IF(ISNUMBER(SEARCH("SUBSOLO",E2273)),IFERROR(-VALUE(LEFT(E2273,FIND("º",SUBSTITUTE(E2273,"°","º"))-1)),-1),IF(LEFT(E2273,6)="TÉRREO",0,IFERROR(VALUE(LEFT(E2273,FIND("º",SUBSTITUTE(E2273,"°","º"))-1)),""))))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IF(E2274="","",IF(ISNUMBER(SEARCH("SUBSOLO",E2274)),IFERROR(-VALUE(LEFT(E2274,FIND("º",SUBSTITUTE(E2274,"°","º"))-1)),-1),IF(LEFT(E2274,6)="TÉRREO",0,IFERROR(VALUE(LEFT(E2274,FIND("º",SUBSTITUTE(E2274,"°","º"))-1)),""))))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IF(E2275="","",IF(ISNUMBER(SEARCH("SUBSOLO",E2275)),IFERROR(-VALUE(LEFT(E2275,FIND("º",SUBSTITUTE(E2275,"°","º"))-1)),-1),IF(LEFT(E2275,6)="TÉRREO",0,IFERROR(VALUE(LEFT(E2275,FIND("º",SUBSTITUTE(E2275,"°","º"))-1)),""))))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IF(E2276="","",IF(ISNUMBER(SEARCH("SUBSOLO",E2276)),IFERROR(-VALUE(LEFT(E2276,FIND("º",SUBSTITUTE(E2276,"°","º"))-1)),-1),IF(LEFT(E2276,6)="TÉRREO",0,IFERROR(VALUE(LEFT(E2276,FIND("º",SUBSTITUTE(E2276,"°","º"))-1)),""))))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IF(E2277="","",IF(ISNUMBER(SEARCH("SUBSOLO",E2277)),IFERROR(-VALUE(LEFT(E2277,FIND("º",SUBSTITUTE(E2277,"°","º"))-1)),-1),IF(LEFT(E2277,6)="TÉRREO",0,IFERROR(VALUE(LEFT(E2277,FIND("º",SUBSTITUTE(E2277,"°","º"))-1)),""))))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IF(E2278="","",IF(ISNUMBER(SEARCH("SUBSOLO",E2278)),IFERROR(-VALUE(LEFT(E2278,FIND("º",SUBSTITUTE(E2278,"°","º"))-1)),-1),IF(LEFT(E2278,6)="TÉRREO",0,IFERROR(VALUE(LEFT(E2278,FIND("º",SUBSTITUTE(E2278,"°","º"))-1)),""))))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IF(E2279="","",IF(ISNUMBER(SEARCH("SUBSOLO",E2279)),IFERROR(-VALUE(LEFT(E2279,FIND("º",SUBSTITUTE(E2279,"°","º"))-1)),-1),IF(LEFT(E2279,6)="TÉRREO",0,IFERROR(VALUE(LEFT(E2279,FIND("º",SUBSTITUTE(E2279,"°","º"))-1)),""))))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IF(E2280="","",IF(ISNUMBER(SEARCH("SUBSOLO",E2280)),IFERROR(-VALUE(LEFT(E2280,FIND("º",SUBSTITUTE(E2280,"°","º"))-1)),-1),IF(LEFT(E2280,6)="TÉRREO",0,IFERROR(VALUE(LEFT(E2280,FIND("º",SUBSTITUTE(E2280,"°","º"))-1)),""))))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IF(E2281="","",IF(ISNUMBER(SEARCH("SUBSOLO",E2281)),IFERROR(-VALUE(LEFT(E2281,FIND("º",SUBSTITUTE(E2281,"°","º"))-1)),-1),IF(LEFT(E2281,6)="TÉRREO",0,IFERROR(VALUE(LEFT(E2281,FIND("º",SUBSTITUTE(E2281,"°","º"))-1)),""))))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IF(E2282="","",IF(ISNUMBER(SEARCH("SUBSOLO",E2282)),IFERROR(-VALUE(LEFT(E2282,FIND("º",SUBSTITUTE(E2282,"°","º"))-1)),-1),IF(LEFT(E2282,6)="TÉRREO",0,IFERROR(VALUE(LEFT(E2282,FIND("º",SUBSTITUTE(E2282,"°","º"))-1)),""))))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IF(E2283="","",IF(ISNUMBER(SEARCH("SUBSOLO",E2283)),IFERROR(-VALUE(LEFT(E2283,FIND("º",SUBSTITUTE(E2283,"°","º"))-1)),-1),IF(LEFT(E2283,6)="TÉRREO",0,IFERROR(VALUE(LEFT(E2283,FIND("º",SUBSTITUTE(E2283,"°","º"))-1)),""))))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IF(E2284="","",IF(ISNUMBER(SEARCH("SUBSOLO",E2284)),IFERROR(-VALUE(LEFT(E2284,FIND("º",SUBSTITUTE(E2284,"°","º"))-1)),-1),IF(LEFT(E2284,6)="TÉRREO",0,IFERROR(VALUE(LEFT(E2284,FIND("º",SUBSTITUTE(E2284,"°","º"))-1)),""))))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IF(E2285="","",IF(ISNUMBER(SEARCH("SUBSOLO",E2285)),IFERROR(-VALUE(LEFT(E2285,FIND("º",SUBSTITUTE(E2285,"°","º"))-1)),-1),IF(LEFT(E2285,6)="TÉRREO",0,IFERROR(VALUE(LEFT(E2285,FIND("º",SUBSTITUTE(E2285,"°","º"))-1)),""))))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IF(E2286="","",IF(ISNUMBER(SEARCH("SUBSOLO",E2286)),IFERROR(-VALUE(LEFT(E2286,FIND("º",SUBSTITUTE(E2286,"°","º"))-1)),-1),IF(LEFT(E2286,6)="TÉRREO",0,IFERROR(VALUE(LEFT(E2286,FIND("º",SUBSTITUTE(E2286,"°","º"))-1)),""))))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IF(E2287="","",IF(ISNUMBER(SEARCH("SUBSOLO",E2287)),IFERROR(-VALUE(LEFT(E2287,FIND("º",SUBSTITUTE(E2287,"°","º"))-1)),-1),IF(LEFT(E2287,6)="TÉRREO",0,IFERROR(VALUE(LEFT(E2287,FIND("º",SUBSTITUTE(E2287,"°","º"))-1)),""))))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IF(E2288="","",IF(ISNUMBER(SEARCH("SUBSOLO",E2288)),IFERROR(-VALUE(LEFT(E2288,FIND("º",SUBSTITUTE(E2288,"°","º"))-1)),-1),IF(LEFT(E2288,6)="TÉRREO",0,IFERROR(VALUE(LEFT(E2288,FIND("º",SUBSTITUTE(E2288,"°","º"))-1)),""))))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IF(E2289="","",IF(ISNUMBER(SEARCH("SUBSOLO",E2289)),IFERROR(-VALUE(LEFT(E2289,FIND("º",SUBSTITUTE(E2289,"°","º"))-1)),-1),IF(LEFT(E2289,6)="TÉRREO",0,IFERROR(VALUE(LEFT(E2289,FIND("º",SUBSTITUTE(E2289,"°","º"))-1)),""))))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IF(E2290="","",IF(ISNUMBER(SEARCH("SUBSOLO",E2290)),IFERROR(-VALUE(LEFT(E2290,FIND("º",SUBSTITUTE(E2290,"°","º"))-1)),-1),IF(LEFT(E2290,6)="TÉRREO",0,IFERROR(VALUE(LEFT(E2290,FIND("º",SUBSTITUTE(E2290,"°","º"))-1)),""))))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IF(E2291="","",IF(ISNUMBER(SEARCH("SUBSOLO",E2291)),IFERROR(-VALUE(LEFT(E2291,FIND("º",SUBSTITUTE(E2291,"°","º"))-1)),-1),IF(LEFT(E2291,6)="TÉRREO",0,IFERROR(VALUE(LEFT(E2291,FIND("º",SUBSTITUTE(E2291,"°","º"))-1)),""))))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IF(E2292="","",IF(ISNUMBER(SEARCH("SUBSOLO",E2292)),IFERROR(-VALUE(LEFT(E2292,FIND("º",SUBSTITUTE(E2292,"°","º"))-1)),-1),IF(LEFT(E2292,6)="TÉRREO",0,IFERROR(VALUE(LEFT(E2292,FIND("º",SUBSTITUTE(E2292,"°","º"))-1)),""))))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IF(E2293="","",IF(ISNUMBER(SEARCH("SUBSOLO",E2293)),IFERROR(-VALUE(LEFT(E2293,FIND("º",SUBSTITUTE(E2293,"°","º"))-1)),-1),IF(LEFT(E2293,6)="TÉRREO",0,IFERROR(VALUE(LEFT(E2293,FIND("º",SUBSTITUTE(E2293,"°","º"))-1)),""))))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IF(E2294="","",IF(ISNUMBER(SEARCH("SUBSOLO",E2294)),IFERROR(-VALUE(LEFT(E2294,FIND("º",SUBSTITUTE(E2294,"°","º"))-1)),-1),IF(LEFT(E2294,6)="TÉRREO",0,IFERROR(VALUE(LEFT(E2294,FIND("º",SUBSTITUTE(E2294,"°","º"))-1)),""))))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IF(E2295="","",IF(ISNUMBER(SEARCH("SUBSOLO",E2295)),IFERROR(-VALUE(LEFT(E2295,FIND("º",SUBSTITUTE(E2295,"°","º"))-1)),-1),IF(LEFT(E2295,6)="TÉRREO",0,IFERROR(VALUE(LEFT(E2295,FIND("º",SUBSTITUTE(E2295,"°","º"))-1)),""))))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IF(E2296="","",IF(ISNUMBER(SEARCH("SUBSOLO",E2296)),IFERROR(-VALUE(LEFT(E2296,FIND("º",SUBSTITUTE(E2296,"°","º"))-1)),-1),IF(LEFT(E2296,6)="TÉRREO",0,IFERROR(VALUE(LEFT(E2296,FIND("º",SUBSTITUTE(E2296,"°","º"))-1)),""))))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IF(E2297="","",IF(ISNUMBER(SEARCH("SUBSOLO",E2297)),IFERROR(-VALUE(LEFT(E2297,FIND("º",SUBSTITUTE(E2297,"°","º"))-1)),-1),IF(LEFT(E2297,6)="TÉRREO",0,IFERROR(VALUE(LEFT(E2297,FIND("º",SUBSTITUTE(E2297,"°","º"))-1)),""))))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IF(E2298="","",IF(ISNUMBER(SEARCH("SUBSOLO",E2298)),IFERROR(-VALUE(LEFT(E2298,FIND("º",SUBSTITUTE(E2298,"°","º"))-1)),-1),IF(LEFT(E2298,6)="TÉRREO",0,IFERROR(VALUE(LEFT(E2298,FIND("º",SUBSTITUTE(E2298,"°","º"))-1)),""))))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IF(E2299="","",IF(ISNUMBER(SEARCH("SUBSOLO",E2299)),IFERROR(-VALUE(LEFT(E2299,FIND("º",SUBSTITUTE(E2299,"°","º"))-1)),-1),IF(LEFT(E2299,6)="TÉRREO",0,IFERROR(VALUE(LEFT(E2299,FIND("º",SUBSTITUTE(E2299,"°","º"))-1)),""))))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IF(E2300="","",IF(ISNUMBER(SEARCH("SUBSOLO",E2300)),IFERROR(-VALUE(LEFT(E2300,FIND("º",SUBSTITUTE(E2300,"°","º"))-1)),-1),IF(LEFT(E2300,6)="TÉRREO",0,IFERROR(VALUE(LEFT(E2300,FIND("º",SUBSTITUTE(E2300,"°","º"))-1)),""))))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IF(E2301="","",IF(ISNUMBER(SEARCH("SUBSOLO",E2301)),IFERROR(-VALUE(LEFT(E2301,FIND("º",SUBSTITUTE(E2301,"°","º"))-1)),-1),IF(LEFT(E2301,6)="TÉRREO",0,IFERROR(VALUE(LEFT(E2301,FIND("º",SUBSTITUTE(E2301,"°","º"))-1)),""))))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IF(E2302="","",IF(ISNUMBER(SEARCH("SUBSOLO",E2302)),IFERROR(-VALUE(LEFT(E2302,FIND("º",SUBSTITUTE(E2302,"°","º"))-1)),-1),IF(LEFT(E2302,6)="TÉRREO",0,IFERROR(VALUE(LEFT(E2302,FIND("º",SUBSTITUTE(E2302,"°","º"))-1)),""))))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IF(E2303="","",IF(ISNUMBER(SEARCH("SUBSOLO",E2303)),IFERROR(-VALUE(LEFT(E2303,FIND("º",SUBSTITUTE(E2303,"°","º"))-1)),-1),IF(LEFT(E2303,6)="TÉRREO",0,IFERROR(VALUE(LEFT(E2303,FIND("º",SUBSTITUTE(E2303,"°","º"))-1)),""))))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IF(E2304="","",IF(ISNUMBER(SEARCH("SUBSOLO",E2304)),IFERROR(-VALUE(LEFT(E2304,FIND("º",SUBSTITUTE(E2304,"°","º"))-1)),-1),IF(LEFT(E2304,6)="TÉRREO",0,IFERROR(VALUE(LEFT(E2304,FIND("º",SUBSTITUTE(E2304,"°","º"))-1)),""))))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IF(E2305="","",IF(ISNUMBER(SEARCH("SUBSOLO",E2305)),IFERROR(-VALUE(LEFT(E2305,FIND("º",SUBSTITUTE(E2305,"°","º"))-1)),-1),IF(LEFT(E2305,6)="TÉRREO",0,IFERROR(VALUE(LEFT(E2305,FIND("º",SUBSTITUTE(E2305,"°","º"))-1)),""))))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IF(E2306="","",IF(ISNUMBER(SEARCH("SUBSOLO",E2306)),IFERROR(-VALUE(LEFT(E2306,FIND("º",SUBSTITUTE(E2306,"°","º"))-1)),-1),IF(LEFT(E2306,6)="TÉRREO",0,IFERROR(VALUE(LEFT(E2306,FIND("º",SUBSTITUTE(E2306,"°","º"))-1)),""))))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IF(E2307="","",IF(ISNUMBER(SEARCH("SUBSOLO",E2307)),IFERROR(-VALUE(LEFT(E2307,FIND("º",SUBSTITUTE(E2307,"°","º"))-1)),-1),IF(LEFT(E2307,6)="TÉRREO",0,IFERROR(VALUE(LEFT(E2307,FIND("º",SUBSTITUTE(E2307,"°","º"))-1)),""))))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IF(E2308="","",IF(ISNUMBER(SEARCH("SUBSOLO",E2308)),IFERROR(-VALUE(LEFT(E2308,FIND("º",SUBSTITUTE(E2308,"°","º"))-1)),-1),IF(LEFT(E2308,6)="TÉRREO",0,IFERROR(VALUE(LEFT(E2308,FIND("º",SUBSTITUTE(E2308,"°","º"))-1)),""))))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IF(E2309="","",IF(ISNUMBER(SEARCH("SUBSOLO",E2309)),IFERROR(-VALUE(LEFT(E2309,FIND("º",SUBSTITUTE(E2309,"°","º"))-1)),-1),IF(LEFT(E2309,6)="TÉRREO",0,IFERROR(VALUE(LEFT(E2309,FIND("º",SUBSTITUTE(E2309,"°","º"))-1)),""))))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IF(E2310="","",IF(ISNUMBER(SEARCH("SUBSOLO",E2310)),IFERROR(-VALUE(LEFT(E2310,FIND("º",SUBSTITUTE(E2310,"°","º"))-1)),-1),IF(LEFT(E2310,6)="TÉRREO",0,IFERROR(VALUE(LEFT(E2310,FIND("º",SUBSTITUTE(E2310,"°","º"))-1)),""))))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IF(E2311="","",IF(ISNUMBER(SEARCH("SUBSOLO",E2311)),IFERROR(-VALUE(LEFT(E2311,FIND("º",SUBSTITUTE(E2311,"°","º"))-1)),-1),IF(LEFT(E2311,6)="TÉRREO",0,IFERROR(VALUE(LEFT(E2311,FIND("º",SUBSTITUTE(E2311,"°","º"))-1)),""))))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IF(E2312="","",IF(ISNUMBER(SEARCH("SUBSOLO",E2312)),IFERROR(-VALUE(LEFT(E2312,FIND("º",SUBSTITUTE(E2312,"°","º"))-1)),-1),IF(LEFT(E2312,6)="TÉRREO",0,IFERROR(VALUE(LEFT(E2312,FIND("º",SUBSTITUTE(E2312,"°","º"))-1)),""))))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IF(E2313="","",IF(ISNUMBER(SEARCH("SUBSOLO",E2313)),IFERROR(-VALUE(LEFT(E2313,FIND("º",SUBSTITUTE(E2313,"°","º"))-1)),-1),IF(LEFT(E2313,6)="TÉRREO",0,IFERROR(VALUE(LEFT(E2313,FIND("º",SUBSTITUTE(E2313,"°","º"))-1)),""))))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IF(E2314="","",IF(ISNUMBER(SEARCH("SUBSOLO",E2314)),IFERROR(-VALUE(LEFT(E2314,FIND("º",SUBSTITUTE(E2314,"°","º"))-1)),-1),IF(LEFT(E2314,6)="TÉRREO",0,IFERROR(VALUE(LEFT(E2314,FIND("º",SUBSTITUTE(E2314,"°","º"))-1)),""))))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IF(E2315="","",IF(ISNUMBER(SEARCH("SUBSOLO",E2315)),IFERROR(-VALUE(LEFT(E2315,FIND("º",SUBSTITUTE(E2315,"°","º"))-1)),-1),IF(LEFT(E2315,6)="TÉRREO",0,IFERROR(VALUE(LEFT(E2315,FIND("º",SUBSTITUTE(E2315,"°","º"))-1)),""))))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IF(E2316="","",IF(ISNUMBER(SEARCH("SUBSOLO",E2316)),IFERROR(-VALUE(LEFT(E2316,FIND("º",SUBSTITUTE(E2316,"°","º"))-1)),-1),IF(LEFT(E2316,6)="TÉRREO",0,IFERROR(VALUE(LEFT(E2316,FIND("º",SUBSTITUTE(E2316,"°","º"))-1)),""))))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IF(E2317="","",IF(ISNUMBER(SEARCH("SUBSOLO",E2317)),IFERROR(-VALUE(LEFT(E2317,FIND("º",SUBSTITUTE(E2317,"°","º"))-1)),-1),IF(LEFT(E2317,6)="TÉRREO",0,IFERROR(VALUE(LEFT(E2317,FIND("º",SUBSTITUTE(E2317,"°","º"))-1)),""))))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IF(E2318="","",IF(ISNUMBER(SEARCH("SUBSOLO",E2318)),IFERROR(-VALUE(LEFT(E2318,FIND("º",SUBSTITUTE(E2318,"°","º"))-1)),-1),IF(LEFT(E2318,6)="TÉRREO",0,IFERROR(VALUE(LEFT(E2318,FIND("º",SUBSTITUTE(E2318,"°","º"))-1)),""))))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IF(E2319="","",IF(ISNUMBER(SEARCH("SUBSOLO",E2319)),IFERROR(-VALUE(LEFT(E2319,FIND("º",SUBSTITUTE(E2319,"°","º"))-1)),-1),IF(LEFT(E2319,6)="TÉRREO",0,IFERROR(VALUE(LEFT(E2319,FIND("º",SUBSTITUTE(E2319,"°","º"))-1)),""))))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IF(E2320="","",IF(ISNUMBER(SEARCH("SUBSOLO",E2320)),IFERROR(-VALUE(LEFT(E2320,FIND("º",SUBSTITUTE(E2320,"°","º"))-1)),-1),IF(LEFT(E2320,6)="TÉRREO",0,IFERROR(VALUE(LEFT(E2320,FIND("º",SUBSTITUTE(E2320,"°","º"))-1)),""))))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IF(E2321="","",IF(ISNUMBER(SEARCH("SUBSOLO",E2321)),IFERROR(-VALUE(LEFT(E2321,FIND("º",SUBSTITUTE(E2321,"°","º"))-1)),-1),IF(LEFT(E2321,6)="TÉRREO",0,IFERROR(VALUE(LEFT(E2321,FIND("º",SUBSTITUTE(E2321,"°","º"))-1)),""))))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IF(E2322="","",IF(ISNUMBER(SEARCH("SUBSOLO",E2322)),IFERROR(-VALUE(LEFT(E2322,FIND("º",SUBSTITUTE(E2322,"°","º"))-1)),-1),IF(LEFT(E2322,6)="TÉRREO",0,IFERROR(VALUE(LEFT(E2322,FIND("º",SUBSTITUTE(E2322,"°","º"))-1)),""))))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IF(E2323="","",IF(ISNUMBER(SEARCH("SUBSOLO",E2323)),IFERROR(-VALUE(LEFT(E2323,FIND("º",SUBSTITUTE(E2323,"°","º"))-1)),-1),IF(LEFT(E2323,6)="TÉRREO",0,IFERROR(VALUE(LEFT(E2323,FIND("º",SUBSTITUTE(E2323,"°","º"))-1)),""))))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IF(E2324="","",IF(ISNUMBER(SEARCH("SUBSOLO",E2324)),IFERROR(-VALUE(LEFT(E2324,FIND("º",SUBSTITUTE(E2324,"°","º"))-1)),-1),IF(LEFT(E2324,6)="TÉRREO",0,IFERROR(VALUE(LEFT(E2324,FIND("º",SUBSTITUTE(E2324,"°","º"))-1)),""))))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IF(E2325="","",IF(ISNUMBER(SEARCH("SUBSOLO",E2325)),IFERROR(-VALUE(LEFT(E2325,FIND("º",SUBSTITUTE(E2325,"°","º"))-1)),-1),IF(LEFT(E2325,6)="TÉRREO",0,IFERROR(VALUE(LEFT(E2325,FIND("º",SUBSTITUTE(E2325,"°","º"))-1)),""))))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IF(E2326="","",IF(ISNUMBER(SEARCH("SUBSOLO",E2326)),IFERROR(-VALUE(LEFT(E2326,FIND("º",SUBSTITUTE(E2326,"°","º"))-1)),-1),IF(LEFT(E2326,6)="TÉRREO",0,IFERROR(VALUE(LEFT(E2326,FIND("º",SUBSTITUTE(E2326,"°","º"))-1)),""))))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IF(E2327="","",IF(ISNUMBER(SEARCH("SUBSOLO",E2327)),IFERROR(-VALUE(LEFT(E2327,FIND("º",SUBSTITUTE(E2327,"°","º"))-1)),-1),IF(LEFT(E2327,6)="TÉRREO",0,IFERROR(VALUE(LEFT(E2327,FIND("º",SUBSTITUTE(E2327,"°","º"))-1)),""))))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IF(E2328="","",IF(ISNUMBER(SEARCH("SUBSOLO",E2328)),IFERROR(-VALUE(LEFT(E2328,FIND("º",SUBSTITUTE(E2328,"°","º"))-1)),-1),IF(LEFT(E2328,6)="TÉRREO",0,IFERROR(VALUE(LEFT(E2328,FIND("º",SUBSTITUTE(E2328,"°","º"))-1)),""))))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IF(E2329="","",IF(ISNUMBER(SEARCH("SUBSOLO",E2329)),IFERROR(-VALUE(LEFT(E2329,FIND("º",SUBSTITUTE(E2329,"°","º"))-1)),-1),IF(LEFT(E2329,6)="TÉRREO",0,IFERROR(VALUE(LEFT(E2329,FIND("º",SUBSTITUTE(E2329,"°","º"))-1)),""))))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IF(E2330="","",IF(ISNUMBER(SEARCH("SUBSOLO",E2330)),IFERROR(-VALUE(LEFT(E2330,FIND("º",SUBSTITUTE(E2330,"°","º"))-1)),-1),IF(LEFT(E2330,6)="TÉRREO",0,IFERROR(VALUE(LEFT(E2330,FIND("º",SUBSTITUTE(E2330,"°","º"))-1)),""))))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IF(E2331="","",IF(ISNUMBER(SEARCH("SUBSOLO",E2331)),IFERROR(-VALUE(LEFT(E2331,FIND("º",SUBSTITUTE(E2331,"°","º"))-1)),-1),IF(LEFT(E2331,6)="TÉRREO",0,IFERROR(VALUE(LEFT(E2331,FIND("º",SUBSTITUTE(E2331,"°","º"))-1)),""))))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IF(E2332="","",IF(ISNUMBER(SEARCH("SUBSOLO",E2332)),IFERROR(-VALUE(LEFT(E2332,FIND("º",SUBSTITUTE(E2332,"°","º"))-1)),-1),IF(LEFT(E2332,6)="TÉRREO",0,IFERROR(VALUE(LEFT(E2332,FIND("º",SUBSTITUTE(E2332,"°","º"))-1)),""))))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IF(E2333="","",IF(ISNUMBER(SEARCH("SUBSOLO",E2333)),IFERROR(-VALUE(LEFT(E2333,FIND("º",SUBSTITUTE(E2333,"°","º"))-1)),-1),IF(LEFT(E2333,6)="TÉRREO",0,IFERROR(VALUE(LEFT(E2333,FIND("º",SUBSTITUTE(E2333,"°","º"))-1)),""))))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IF(E2334="","",IF(ISNUMBER(SEARCH("SUBSOLO",E2334)),IFERROR(-VALUE(LEFT(E2334,FIND("º",SUBSTITUTE(E2334,"°","º"))-1)),-1),IF(LEFT(E2334,6)="TÉRREO",0,IFERROR(VALUE(LEFT(E2334,FIND("º",SUBSTITUTE(E2334,"°","º"))-1)),""))))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IF(E2335="","",IF(ISNUMBER(SEARCH("SUBSOLO",E2335)),IFERROR(-VALUE(LEFT(E2335,FIND("º",SUBSTITUTE(E2335,"°","º"))-1)),-1),IF(LEFT(E2335,6)="TÉRREO",0,IFERROR(VALUE(LEFT(E2335,FIND("º",SUBSTITUTE(E2335,"°","º"))-1)),""))))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IF(E2336="","",IF(ISNUMBER(SEARCH("SUBSOLO",E2336)),IFERROR(-VALUE(LEFT(E2336,FIND("º",SUBSTITUTE(E2336,"°","º"))-1)),-1),IF(LEFT(E2336,6)="TÉRREO",0,IFERROR(VALUE(LEFT(E2336,FIND("º",SUBSTITUTE(E2336,"°","º"))-1)),""))))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IF(E2337="","",IF(ISNUMBER(SEARCH("SUBSOLO",E2337)),IFERROR(-VALUE(LEFT(E2337,FIND("º",SUBSTITUTE(E2337,"°","º"))-1)),-1),IF(LEFT(E2337,6)="TÉRREO",0,IFERROR(VALUE(LEFT(E2337,FIND("º",SUBSTITUTE(E2337,"°","º"))-1)),""))))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IF(E2338="","",IF(ISNUMBER(SEARCH("SUBSOLO",E2338)),IFERROR(-VALUE(LEFT(E2338,FIND("º",SUBSTITUTE(E2338,"°","º"))-1)),-1),IF(LEFT(E2338,6)="TÉRREO",0,IFERROR(VALUE(LEFT(E2338,FIND("º",SUBSTITUTE(E2338,"°","º"))-1)),""))))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IF(E2339="","",IF(ISNUMBER(SEARCH("SUBSOLO",E2339)),IFERROR(-VALUE(LEFT(E2339,FIND("º",SUBSTITUTE(E2339,"°","º"))-1)),-1),IF(LEFT(E2339,6)="TÉRREO",0,IFERROR(VALUE(LEFT(E2339,FIND("º",SUBSTITUTE(E2339,"°","º"))-1)),""))))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IF(E2340="","",IF(ISNUMBER(SEARCH("SUBSOLO",E2340)),IFERROR(-VALUE(LEFT(E2340,FIND("º",SUBSTITUTE(E2340,"°","º"))-1)),-1),IF(LEFT(E2340,6)="TÉRREO",0,IFERROR(VALUE(LEFT(E2340,FIND("º",SUBSTITUTE(E2340,"°","º"))-1)),""))))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IF(E2341="","",IF(ISNUMBER(SEARCH("SUBSOLO",E2341)),IFERROR(-VALUE(LEFT(E2341,FIND("º",SUBSTITUTE(E2341,"°","º"))-1)),-1),IF(LEFT(E2341,6)="TÉRREO",0,IFERROR(VALUE(LEFT(E2341,FIND("º",SUBSTITUTE(E2341,"°","º"))-1)),""))))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IF(E2342="","",IF(ISNUMBER(SEARCH("SUBSOLO",E2342)),IFERROR(-VALUE(LEFT(E2342,FIND("º",SUBSTITUTE(E2342,"°","º"))-1)),-1),IF(LEFT(E2342,6)="TÉRREO",0,IFERROR(VALUE(LEFT(E2342,FIND("º",SUBSTITUTE(E2342,"°","º"))-1)),""))))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IF(E2343="","",IF(ISNUMBER(SEARCH("SUBSOLO",E2343)),IFERROR(-VALUE(LEFT(E2343,FIND("º",SUBSTITUTE(E2343,"°","º"))-1)),-1),IF(LEFT(E2343,6)="TÉRREO",0,IFERROR(VALUE(LEFT(E2343,FIND("º",SUBSTITUTE(E2343,"°","º"))-1)),""))))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IF(E2344="","",IF(ISNUMBER(SEARCH("SUBSOLO",E2344)),IFERROR(-VALUE(LEFT(E2344,FIND("º",SUBSTITUTE(E2344,"°","º"))-1)),-1),IF(LEFT(E2344,6)="TÉRREO",0,IFERROR(VALUE(LEFT(E2344,FIND("º",SUBSTITUTE(E2344,"°","º"))-1)),""))))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IF(E2345="","",IF(ISNUMBER(SEARCH("SUBSOLO",E2345)),IFERROR(-VALUE(LEFT(E2345,FIND("º",SUBSTITUTE(E2345,"°","º"))-1)),-1),IF(LEFT(E2345,6)="TÉRREO",0,IFERROR(VALUE(LEFT(E2345,FIND("º",SUBSTITUTE(E2345,"°","º"))-1)),""))))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IF(E2346="","",IF(ISNUMBER(SEARCH("SUBSOLO",E2346)),IFERROR(-VALUE(LEFT(E2346,FIND("º",SUBSTITUTE(E2346,"°","º"))-1)),-1),IF(LEFT(E2346,6)="TÉRREO",0,IFERROR(VALUE(LEFT(E2346,FIND("º",SUBSTITUTE(E2346,"°","º"))-1)),""))))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IF(E2347="","",IF(ISNUMBER(SEARCH("SUBSOLO",E2347)),IFERROR(-VALUE(LEFT(E2347,FIND("º",SUBSTITUTE(E2347,"°","º"))-1)),-1),IF(LEFT(E2347,6)="TÉRREO",0,IFERROR(VALUE(LEFT(E2347,FIND("º",SUBSTITUTE(E2347,"°","º"))-1)),""))))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IF(E2348="","",IF(ISNUMBER(SEARCH("SUBSOLO",E2348)),IFERROR(-VALUE(LEFT(E2348,FIND("º",SUBSTITUTE(E2348,"°","º"))-1)),-1),IF(LEFT(E2348,6)="TÉRREO",0,IFERROR(VALUE(LEFT(E2348,FIND("º",SUBSTITUTE(E2348,"°","º"))-1)),""))))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IF(E2349="","",IF(ISNUMBER(SEARCH("SUBSOLO",E2349)),IFERROR(-VALUE(LEFT(E2349,FIND("º",SUBSTITUTE(E2349,"°","º"))-1)),-1),IF(LEFT(E2349,6)="TÉRREO",0,IFERROR(VALUE(LEFT(E2349,FIND("º",SUBSTITUTE(E2349,"°","º"))-1)),""))))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IF(E2350="","",IF(ISNUMBER(SEARCH("SUBSOLO",E2350)),IFERROR(-VALUE(LEFT(E2350,FIND("º",SUBSTITUTE(E2350,"°","º"))-1)),-1),IF(LEFT(E2350,6)="TÉRREO",0,IFERROR(VALUE(LEFT(E2350,FIND("º",SUBSTITUTE(E2350,"°","º"))-1)),""))))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IF(E2351="","",IF(ISNUMBER(SEARCH("SUBSOLO",E2351)),IFERROR(-VALUE(LEFT(E2351,FIND("º",SUBSTITUTE(E2351,"°","º"))-1)),-1),IF(LEFT(E2351,6)="TÉRREO",0,IFERROR(VALUE(LEFT(E2351,FIND("º",SUBSTITUTE(E2351,"°","º"))-1)),""))))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IF(E2352="","",IF(ISNUMBER(SEARCH("SUBSOLO",E2352)),IFERROR(-VALUE(LEFT(E2352,FIND("º",SUBSTITUTE(E2352,"°","º"))-1)),-1),IF(LEFT(E2352,6)="TÉRREO",0,IFERROR(VALUE(LEFT(E2352,FIND("º",SUBSTITUTE(E2352,"°","º"))-1)),""))))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IF(E2353="","",IF(ISNUMBER(SEARCH("SUBSOLO",E2353)),IFERROR(-VALUE(LEFT(E2353,FIND("º",SUBSTITUTE(E2353,"°","º"))-1)),-1),IF(LEFT(E2353,6)="TÉRREO",0,IFERROR(VALUE(LEFT(E2353,FIND("º",SUBSTITUTE(E2353,"°","º"))-1)),""))))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IF(E2354="","",IF(ISNUMBER(SEARCH("SUBSOLO",E2354)),IFERROR(-VALUE(LEFT(E2354,FIND("º",SUBSTITUTE(E2354,"°","º"))-1)),-1),IF(LEFT(E2354,6)="TÉRREO",0,IFERROR(VALUE(LEFT(E2354,FIND("º",SUBSTITUTE(E2354,"°","º"))-1)),""))))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IF(E2355="","",IF(ISNUMBER(SEARCH("SUBSOLO",E2355)),IFERROR(-VALUE(LEFT(E2355,FIND("º",SUBSTITUTE(E2355,"°","º"))-1)),-1),IF(LEFT(E2355,6)="TÉRREO",0,IFERROR(VALUE(LEFT(E2355,FIND("º",SUBSTITUTE(E2355,"°","º"))-1)),""))))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IF(E2356="","",IF(ISNUMBER(SEARCH("SUBSOLO",E2356)),IFERROR(-VALUE(LEFT(E2356,FIND("º",SUBSTITUTE(E2356,"°","º"))-1)),-1),IF(LEFT(E2356,6)="TÉRREO",0,IFERROR(VALUE(LEFT(E2356,FIND("º",SUBSTITUTE(E2356,"°","º"))-1)),""))))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IF(E2357="","",IF(ISNUMBER(SEARCH("SUBSOLO",E2357)),IFERROR(-VALUE(LEFT(E2357,FIND("º",SUBSTITUTE(E2357,"°","º"))-1)),-1),IF(LEFT(E2357,6)="TÉRREO",0,IFERROR(VALUE(LEFT(E2357,FIND("º",SUBSTITUTE(E2357,"°","º"))-1)),""))))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IF(E2358="","",IF(ISNUMBER(SEARCH("SUBSOLO",E2358)),IFERROR(-VALUE(LEFT(E2358,FIND("º",SUBSTITUTE(E2358,"°","º"))-1)),-1),IF(LEFT(E2358,6)="TÉRREO",0,IFERROR(VALUE(LEFT(E2358,FIND("º",SUBSTITUTE(E2358,"°","º"))-1)),""))))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IF(E2359="","",IF(ISNUMBER(SEARCH("SUBSOLO",E2359)),IFERROR(-VALUE(LEFT(E2359,FIND("º",SUBSTITUTE(E2359,"°","º"))-1)),-1),IF(LEFT(E2359,6)="TÉRREO",0,IFERROR(VALUE(LEFT(E2359,FIND("º",SUBSTITUTE(E2359,"°","º"))-1)),""))))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IF(E2360="","",IF(ISNUMBER(SEARCH("SUBSOLO",E2360)),IFERROR(-VALUE(LEFT(E2360,FIND("º",SUBSTITUTE(E2360,"°","º"))-1)),-1),IF(LEFT(E2360,6)="TÉRREO",0,IFERROR(VALUE(LEFT(E2360,FIND("º",SUBSTITUTE(E2360,"°","º"))-1)),""))))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IF(E2361="","",IF(ISNUMBER(SEARCH("SUBSOLO",E2361)),IFERROR(-VALUE(LEFT(E2361,FIND("º",SUBSTITUTE(E2361,"°","º"))-1)),-1),IF(LEFT(E2361,6)="TÉRREO",0,IFERROR(VALUE(LEFT(E2361,FIND("º",SUBSTITUTE(E2361,"°","º"))-1)),""))))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IF(E2362="","",IF(ISNUMBER(SEARCH("SUBSOLO",E2362)),IFERROR(-VALUE(LEFT(E2362,FIND("º",SUBSTITUTE(E2362,"°","º"))-1)),-1),IF(LEFT(E2362,6)="TÉRREO",0,IFERROR(VALUE(LEFT(E2362,FIND("º",SUBSTITUTE(E2362,"°","º"))-1)),""))))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IF(E2363="","",IF(ISNUMBER(SEARCH("SUBSOLO",E2363)),IFERROR(-VALUE(LEFT(E2363,FIND("º",SUBSTITUTE(E2363,"°","º"))-1)),-1),IF(LEFT(E2363,6)="TÉRREO",0,IFERROR(VALUE(LEFT(E2363,FIND("º",SUBSTITUTE(E2363,"°","º"))-1)),""))))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IF(E2364="","",IF(ISNUMBER(SEARCH("SUBSOLO",E2364)),IFERROR(-VALUE(LEFT(E2364,FIND("º",SUBSTITUTE(E2364,"°","º"))-1)),-1),IF(LEFT(E2364,6)="TÉRREO",0,IFERROR(VALUE(LEFT(E2364,FIND("º",SUBSTITUTE(E2364,"°","º"))-1)),""))))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IF(E2365="","",IF(ISNUMBER(SEARCH("SUBSOLO",E2365)),IFERROR(-VALUE(LEFT(E2365,FIND("º",SUBSTITUTE(E2365,"°","º"))-1)),-1),IF(LEFT(E2365,6)="TÉRREO",0,IFERROR(VALUE(LEFT(E2365,FIND("º",SUBSTITUTE(E2365,"°","º"))-1)),""))))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IF(E2366="","",IF(ISNUMBER(SEARCH("SUBSOLO",E2366)),IFERROR(-VALUE(LEFT(E2366,FIND("º",SUBSTITUTE(E2366,"°","º"))-1)),-1),IF(LEFT(E2366,6)="TÉRREO",0,IFERROR(VALUE(LEFT(E2366,FIND("º",SUBSTITUTE(E2366,"°","º"))-1)),""))))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IF(E2367="","",IF(ISNUMBER(SEARCH("SUBSOLO",E2367)),IFERROR(-VALUE(LEFT(E2367,FIND("º",SUBSTITUTE(E2367,"°","º"))-1)),-1),IF(LEFT(E2367,6)="TÉRREO",0,IFERROR(VALUE(LEFT(E2367,FIND("º",SUBSTITUTE(E2367,"°","º"))-1)),""))))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IF(E2368="","",IF(ISNUMBER(SEARCH("SUBSOLO",E2368)),IFERROR(-VALUE(LEFT(E2368,FIND("º",SUBSTITUTE(E2368,"°","º"))-1)),-1),IF(LEFT(E2368,6)="TÉRREO",0,IFERROR(VALUE(LEFT(E2368,FIND("º",SUBSTITUTE(E2368,"°","º"))-1)),""))))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IF(E2369="","",IF(ISNUMBER(SEARCH("SUBSOLO",E2369)),IFERROR(-VALUE(LEFT(E2369,FIND("º",SUBSTITUTE(E2369,"°","º"))-1)),-1),IF(LEFT(E2369,6)="TÉRREO",0,IFERROR(VALUE(LEFT(E2369,FIND("º",SUBSTITUTE(E2369,"°","º"))-1)),""))))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IF(E2370="","",IF(ISNUMBER(SEARCH("SUBSOLO",E2370)),IFERROR(-VALUE(LEFT(E2370,FIND("º",SUBSTITUTE(E2370,"°","º"))-1)),-1),IF(LEFT(E2370,6)="TÉRREO",0,IFERROR(VALUE(LEFT(E2370,FIND("º",SUBSTITUTE(E2370,"°","º"))-1)),""))))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IF(E2371="","",IF(ISNUMBER(SEARCH("SUBSOLO",E2371)),IFERROR(-VALUE(LEFT(E2371,FIND("º",SUBSTITUTE(E2371,"°","º"))-1)),-1),IF(LEFT(E2371,6)="TÉRREO",0,IFERROR(VALUE(LEFT(E2371,FIND("º",SUBSTITUTE(E2371,"°","º"))-1)),""))))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IF(E2372="","",IF(ISNUMBER(SEARCH("SUBSOLO",E2372)),IFERROR(-VALUE(LEFT(E2372,FIND("º",SUBSTITUTE(E2372,"°","º"))-1)),-1),IF(LEFT(E2372,6)="TÉRREO",0,IFERROR(VALUE(LEFT(E2372,FIND("º",SUBSTITUTE(E2372,"°","º"))-1)),""))))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IF(E2373="","",IF(ISNUMBER(SEARCH("SUBSOLO",E2373)),IFERROR(-VALUE(LEFT(E2373,FIND("º",SUBSTITUTE(E2373,"°","º"))-1)),-1),IF(LEFT(E2373,6)="TÉRREO",0,IFERROR(VALUE(LEFT(E2373,FIND("º",SUBSTITUTE(E2373,"°","º"))-1)),""))))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IF(E2374="","",IF(ISNUMBER(SEARCH("SUBSOLO",E2374)),IFERROR(-VALUE(LEFT(E2374,FIND("º",SUBSTITUTE(E2374,"°","º"))-1)),-1),IF(LEFT(E2374,6)="TÉRREO",0,IFERROR(VALUE(LEFT(E2374,FIND("º",SUBSTITUTE(E2374,"°","º"))-1)),""))))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IF(E2375="","",IF(ISNUMBER(SEARCH("SUBSOLO",E2375)),IFERROR(-VALUE(LEFT(E2375,FIND("º",SUBSTITUTE(E2375,"°","º"))-1)),-1),IF(LEFT(E2375,6)="TÉRREO",0,IFERROR(VALUE(LEFT(E2375,FIND("º",SUBSTITUTE(E2375,"°","º"))-1)),""))))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IF(E2376="","",IF(ISNUMBER(SEARCH("SUBSOLO",E2376)),IFERROR(-VALUE(LEFT(E2376,FIND("º",SUBSTITUTE(E2376,"°","º"))-1)),-1),IF(LEFT(E2376,6)="TÉRREO",0,IFERROR(VALUE(LEFT(E2376,FIND("º",SUBSTITUTE(E2376,"°","º"))-1)),""))))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IF(E2377="","",IF(ISNUMBER(SEARCH("SUBSOLO",E2377)),IFERROR(-VALUE(LEFT(E2377,FIND("º",SUBSTITUTE(E2377,"°","º"))-1)),-1),IF(LEFT(E2377,6)="TÉRREO",0,IFERROR(VALUE(LEFT(E2377,FIND("º",SUBSTITUTE(E2377,"°","º"))-1)),""))))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IF(E2378="","",IF(ISNUMBER(SEARCH("SUBSOLO",E2378)),IFERROR(-VALUE(LEFT(E2378,FIND("º",SUBSTITUTE(E2378,"°","º"))-1)),-1),IF(LEFT(E2378,6)="TÉRREO",0,IFERROR(VALUE(LEFT(E2378,FIND("º",SUBSTITUTE(E2378,"°","º"))-1)),""))))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IF(E2379="","",IF(ISNUMBER(SEARCH("SUBSOLO",E2379)),IFERROR(-VALUE(LEFT(E2379,FIND("º",SUBSTITUTE(E2379,"°","º"))-1)),-1),IF(LEFT(E2379,6)="TÉRREO",0,IFERROR(VALUE(LEFT(E2379,FIND("º",SUBSTITUTE(E2379,"°","º"))-1)),""))))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IF(E2380="","",IF(ISNUMBER(SEARCH("SUBSOLO",E2380)),IFERROR(-VALUE(LEFT(E2380,FIND("º",SUBSTITUTE(E2380,"°","º"))-1)),-1),IF(LEFT(E2380,6)="TÉRREO",0,IFERROR(VALUE(LEFT(E2380,FIND("º",SUBSTITUTE(E2380,"°","º"))-1)),""))))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IF(E2381="","",IF(ISNUMBER(SEARCH("SUBSOLO",E2381)),IFERROR(-VALUE(LEFT(E2381,FIND("º",SUBSTITUTE(E2381,"°","º"))-1)),-1),IF(LEFT(E2381,6)="TÉRREO",0,IFERROR(VALUE(LEFT(E2381,FIND("º",SUBSTITUTE(E2381,"°","º"))-1)),""))))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IF(E2382="","",IF(ISNUMBER(SEARCH("SUBSOLO",E2382)),IFERROR(-VALUE(LEFT(E2382,FIND("º",SUBSTITUTE(E2382,"°","º"))-1)),-1),IF(LEFT(E2382,6)="TÉRREO",0,IFERROR(VALUE(LEFT(E2382,FIND("º",SUBSTITUTE(E2382,"°","º"))-1)),""))))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IF(E2383="","",IF(ISNUMBER(SEARCH("SUBSOLO",E2383)),IFERROR(-VALUE(LEFT(E2383,FIND("º",SUBSTITUTE(E2383,"°","º"))-1)),-1),IF(LEFT(E2383,6)="TÉRREO",0,IFERROR(VALUE(LEFT(E2383,FIND("º",SUBSTITUTE(E2383,"°","º"))-1)),""))))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IF(E2384="","",IF(ISNUMBER(SEARCH("SUBSOLO",E2384)),IFERROR(-VALUE(LEFT(E2384,FIND("º",SUBSTITUTE(E2384,"°","º"))-1)),-1),IF(LEFT(E2384,6)="TÉRREO",0,IFERROR(VALUE(LEFT(E2384,FIND("º",SUBSTITUTE(E2384,"°","º"))-1)),""))))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IF(E2385="","",IF(ISNUMBER(SEARCH("SUBSOLO",E2385)),IFERROR(-VALUE(LEFT(E2385,FIND("º",SUBSTITUTE(E2385,"°","º"))-1)),-1),IF(LEFT(E2385,6)="TÉRREO",0,IFERROR(VALUE(LEFT(E2385,FIND("º",SUBSTITUTE(E2385,"°","º"))-1)),""))))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IF(E2386="","",IF(ISNUMBER(SEARCH("SUBSOLO",E2386)),IFERROR(-VALUE(LEFT(E2386,FIND("º",SUBSTITUTE(E2386,"°","º"))-1)),-1),IF(LEFT(E2386,6)="TÉRREO",0,IFERROR(VALUE(LEFT(E2386,FIND("º",SUBSTITUTE(E2386,"°","º"))-1)),""))))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IF(E2387="","",IF(ISNUMBER(SEARCH("SUBSOLO",E2387)),IFERROR(-VALUE(LEFT(E2387,FIND("º",SUBSTITUTE(E2387,"°","º"))-1)),-1),IF(LEFT(E2387,6)="TÉRREO",0,IFERROR(VALUE(LEFT(E2387,FIND("º",SUBSTITUTE(E2387,"°","º"))-1)),""))))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IF(E2388="","",IF(ISNUMBER(SEARCH("SUBSOLO",E2388)),IFERROR(-VALUE(LEFT(E2388,FIND("º",SUBSTITUTE(E2388,"°","º"))-1)),-1),IF(LEFT(E2388,6)="TÉRREO",0,IFERROR(VALUE(LEFT(E2388,FIND("º",SUBSTITUTE(E2388,"°","º"))-1)),""))))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IF(E2389="","",IF(ISNUMBER(SEARCH("SUBSOLO",E2389)),IFERROR(-VALUE(LEFT(E2389,FIND("º",SUBSTITUTE(E2389,"°","º"))-1)),-1),IF(LEFT(E2389,6)="TÉRREO",0,IFERROR(VALUE(LEFT(E2389,FIND("º",SUBSTITUTE(E2389,"°","º"))-1)),""))))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IF(E2390="","",IF(ISNUMBER(SEARCH("SUBSOLO",E2390)),IFERROR(-VALUE(LEFT(E2390,FIND("º",SUBSTITUTE(E2390,"°","º"))-1)),-1),IF(LEFT(E2390,6)="TÉRREO",0,IFERROR(VALUE(LEFT(E2390,FIND("º",SUBSTITUTE(E2390,"°","º"))-1)),""))))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IF(E2391="","",IF(ISNUMBER(SEARCH("SUBSOLO",E2391)),IFERROR(-VALUE(LEFT(E2391,FIND("º",SUBSTITUTE(E2391,"°","º"))-1)),-1),IF(LEFT(E2391,6)="TÉRREO",0,IFERROR(VALUE(LEFT(E2391,FIND("º",SUBSTITUTE(E2391,"°","º"))-1)),""))))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IF(E2392="","",IF(ISNUMBER(SEARCH("SUBSOLO",E2392)),IFERROR(-VALUE(LEFT(E2392,FIND("º",SUBSTITUTE(E2392,"°","º"))-1)),-1),IF(LEFT(E2392,6)="TÉRREO",0,IFERROR(VALUE(LEFT(E2392,FIND("º",SUBSTITUTE(E2392,"°","º"))-1)),""))))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IF(E2393="","",IF(ISNUMBER(SEARCH("SUBSOLO",E2393)),IFERROR(-VALUE(LEFT(E2393,FIND("º",SUBSTITUTE(E2393,"°","º"))-1)),-1),IF(LEFT(E2393,6)="TÉRREO",0,IFERROR(VALUE(LEFT(E2393,FIND("º",SUBSTITUTE(E2393,"°","º"))-1)),""))))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IF(E2394="","",IF(ISNUMBER(SEARCH("SUBSOLO",E2394)),IFERROR(-VALUE(LEFT(E2394,FIND("º",SUBSTITUTE(E2394,"°","º"))-1)),-1),IF(LEFT(E2394,6)="TÉRREO",0,IFERROR(VALUE(LEFT(E2394,FIND("º",SUBSTITUTE(E2394,"°","º"))-1)),""))))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IF(E2395="","",IF(ISNUMBER(SEARCH("SUBSOLO",E2395)),IFERROR(-VALUE(LEFT(E2395,FIND("º",SUBSTITUTE(E2395,"°","º"))-1)),-1),IF(LEFT(E2395,6)="TÉRREO",0,IFERROR(VALUE(LEFT(E2395,FIND("º",SUBSTITUTE(E2395,"°","º"))-1)),""))))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IF(E2396="","",IF(ISNUMBER(SEARCH("SUBSOLO",E2396)),IFERROR(-VALUE(LEFT(E2396,FIND("º",SUBSTITUTE(E2396,"°","º"))-1)),-1),IF(LEFT(E2396,6)="TÉRREO",0,IFERROR(VALUE(LEFT(E2396,FIND("º",SUBSTITUTE(E2396,"°","º"))-1)),""))))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IF(E2397="","",IF(ISNUMBER(SEARCH("SUBSOLO",E2397)),IFERROR(-VALUE(LEFT(E2397,FIND("º",SUBSTITUTE(E2397,"°","º"))-1)),-1),IF(LEFT(E2397,6)="TÉRREO",0,IFERROR(VALUE(LEFT(E2397,FIND("º",SUBSTITUTE(E2397,"°","º"))-1)),""))))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IF(E2398="","",IF(ISNUMBER(SEARCH("SUBSOLO",E2398)),IFERROR(-VALUE(LEFT(E2398,FIND("º",SUBSTITUTE(E2398,"°","º"))-1)),-1),IF(LEFT(E2398,6)="TÉRREO",0,IFERROR(VALUE(LEFT(E2398,FIND("º",SUBSTITUTE(E2398,"°","º"))-1)),""))))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IF(E2399="","",IF(ISNUMBER(SEARCH("SUBSOLO",E2399)),IFERROR(-VALUE(LEFT(E2399,FIND("º",SUBSTITUTE(E2399,"°","º"))-1)),-1),IF(LEFT(E2399,6)="TÉRREO",0,IFERROR(VALUE(LEFT(E2399,FIND("º",SUBSTITUTE(E2399,"°","º"))-1)),""))))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IF(E2400="","",IF(ISNUMBER(SEARCH("SUBSOLO",E2400)),IFERROR(-VALUE(LEFT(E2400,FIND("º",SUBSTITUTE(E2400,"°","º"))-1)),-1),IF(LEFT(E2400,6)="TÉRREO",0,IFERROR(VALUE(LEFT(E2400,FIND("º",SUBSTITUTE(E2400,"°","º"))-1)),""))))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IF(E2401="","",IF(ISNUMBER(SEARCH("SUBSOLO",E2401)),IFERROR(-VALUE(LEFT(E2401,FIND("º",SUBSTITUTE(E2401,"°","º"))-1)),-1),IF(LEFT(E2401,6)="TÉRREO",0,IFERROR(VALUE(LEFT(E2401,FIND("º",SUBSTITUTE(E2401,"°","º"))-1)),""))))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IF(E2402="","",IF(ISNUMBER(SEARCH("SUBSOLO",E2402)),IFERROR(-VALUE(LEFT(E2402,FIND("º",SUBSTITUTE(E2402,"°","º"))-1)),-1),IF(LEFT(E2402,6)="TÉRREO",0,IFERROR(VALUE(LEFT(E2402,FIND("º",SUBSTITUTE(E2402,"°","º"))-1)),""))))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IF(E2403="","",IF(ISNUMBER(SEARCH("SUBSOLO",E2403)),IFERROR(-VALUE(LEFT(E2403,FIND("º",SUBSTITUTE(E2403,"°","º"))-1)),-1),IF(LEFT(E2403,6)="TÉRREO",0,IFERROR(VALUE(LEFT(E2403,FIND("º",SUBSTITUTE(E2403,"°","º"))-1)),""))))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IF(E2404="","",IF(ISNUMBER(SEARCH("SUBSOLO",E2404)),IFERROR(-VALUE(LEFT(E2404,FIND("º",SUBSTITUTE(E2404,"°","º"))-1)),-1),IF(LEFT(E2404,6)="TÉRREO",0,IFERROR(VALUE(LEFT(E2404,FIND("º",SUBSTITUTE(E2404,"°","º"))-1)),""))))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IF(E2405="","",IF(ISNUMBER(SEARCH("SUBSOLO",E2405)),IFERROR(-VALUE(LEFT(E2405,FIND("º",SUBSTITUTE(E2405,"°","º"))-1)),-1),IF(LEFT(E2405,6)="TÉRREO",0,IFERROR(VALUE(LEFT(E2405,FIND("º",SUBSTITUTE(E2405,"°","º"))-1)),""))))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IF(E2406="","",IF(ISNUMBER(SEARCH("SUBSOLO",E2406)),IFERROR(-VALUE(LEFT(E2406,FIND("º",SUBSTITUTE(E2406,"°","º"))-1)),-1),IF(LEFT(E2406,6)="TÉRREO",0,IFERROR(VALUE(LEFT(E2406,FIND("º",SUBSTITUTE(E2406,"°","º"))-1)),""))))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IF(E2407="","",IF(ISNUMBER(SEARCH("SUBSOLO",E2407)),IFERROR(-VALUE(LEFT(E2407,FIND("º",SUBSTITUTE(E2407,"°","º"))-1)),-1),IF(LEFT(E2407,6)="TÉRREO",0,IFERROR(VALUE(LEFT(E2407,FIND("º",SUBSTITUTE(E2407,"°","º"))-1)),""))))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IF(E2408="","",IF(ISNUMBER(SEARCH("SUBSOLO",E2408)),IFERROR(-VALUE(LEFT(E2408,FIND("º",SUBSTITUTE(E2408,"°","º"))-1)),-1),IF(LEFT(E2408,6)="TÉRREO",0,IFERROR(VALUE(LEFT(E2408,FIND("º",SUBSTITUTE(E2408,"°","º"))-1)),""))))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IF(E2409="","",IF(ISNUMBER(SEARCH("SUBSOLO",E2409)),IFERROR(-VALUE(LEFT(E2409,FIND("º",SUBSTITUTE(E2409,"°","º"))-1)),-1),IF(LEFT(E2409,6)="TÉRREO",0,IFERROR(VALUE(LEFT(E2409,FIND("º",SUBSTITUTE(E2409,"°","º"))-1)),""))))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IF(E2410="","",IF(ISNUMBER(SEARCH("SUBSOLO",E2410)),IFERROR(-VALUE(LEFT(E2410,FIND("º",SUBSTITUTE(E2410,"°","º"))-1)),-1),IF(LEFT(E2410,6)="TÉRREO",0,IFERROR(VALUE(LEFT(E2410,FIND("º",SUBSTITUTE(E2410,"°","º"))-1)),""))))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IF(E2411="","",IF(ISNUMBER(SEARCH("SUBSOLO",E2411)),IFERROR(-VALUE(LEFT(E2411,FIND("º",SUBSTITUTE(E2411,"°","º"))-1)),-1),IF(LEFT(E2411,6)="TÉRREO",0,IFERROR(VALUE(LEFT(E2411,FIND("º",SUBSTITUTE(E2411,"°","º"))-1)),""))))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IF(E2412="","",IF(ISNUMBER(SEARCH("SUBSOLO",E2412)),IFERROR(-VALUE(LEFT(E2412,FIND("º",SUBSTITUTE(E2412,"°","º"))-1)),-1),IF(LEFT(E2412,6)="TÉRREO",0,IFERROR(VALUE(LEFT(E2412,FIND("º",SUBSTITUTE(E2412,"°","º"))-1)),""))))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IF(E2413="","",IF(ISNUMBER(SEARCH("SUBSOLO",E2413)),IFERROR(-VALUE(LEFT(E2413,FIND("º",SUBSTITUTE(E2413,"°","º"))-1)),-1),IF(LEFT(E2413,6)="TÉRREO",0,IFERROR(VALUE(LEFT(E2413,FIND("º",SUBSTITUTE(E2413,"°","º"))-1)),""))))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IF(E2414="","",IF(ISNUMBER(SEARCH("SUBSOLO",E2414)),IFERROR(-VALUE(LEFT(E2414,FIND("º",SUBSTITUTE(E2414,"°","º"))-1)),-1),IF(LEFT(E2414,6)="TÉRREO",0,IFERROR(VALUE(LEFT(E2414,FIND("º",SUBSTITUTE(E2414,"°","º"))-1)),""))))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IF(E2415="","",IF(ISNUMBER(SEARCH("SUBSOLO",E2415)),IFERROR(-VALUE(LEFT(E2415,FIND("º",SUBSTITUTE(E2415,"°","º"))-1)),-1),IF(LEFT(E2415,6)="TÉRREO",0,IFERROR(VALUE(LEFT(E2415,FIND("º",SUBSTITUTE(E2415,"°","º"))-1)),""))))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IF(E2416="","",IF(ISNUMBER(SEARCH("SUBSOLO",E2416)),IFERROR(-VALUE(LEFT(E2416,FIND("º",SUBSTITUTE(E2416,"°","º"))-1)),-1),IF(LEFT(E2416,6)="TÉRREO",0,IFERROR(VALUE(LEFT(E2416,FIND("º",SUBSTITUTE(E2416,"°","º"))-1)),""))))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IF(E2417="","",IF(ISNUMBER(SEARCH("SUBSOLO",E2417)),IFERROR(-VALUE(LEFT(E2417,FIND("º",SUBSTITUTE(E2417,"°","º"))-1)),-1),IF(LEFT(E2417,6)="TÉRREO",0,IFERROR(VALUE(LEFT(E2417,FIND("º",SUBSTITUTE(E2417,"°","º"))-1)),""))))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IF(E2418="","",IF(ISNUMBER(SEARCH("SUBSOLO",E2418)),IFERROR(-VALUE(LEFT(E2418,FIND("º",SUBSTITUTE(E2418,"°","º"))-1)),-1),IF(LEFT(E2418,6)="TÉRREO",0,IFERROR(VALUE(LEFT(E2418,FIND("º",SUBSTITUTE(E2418,"°","º"))-1)),""))))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IF(E2419="","",IF(ISNUMBER(SEARCH("SUBSOLO",E2419)),IFERROR(-VALUE(LEFT(E2419,FIND("º",SUBSTITUTE(E2419,"°","º"))-1)),-1),IF(LEFT(E2419,6)="TÉRREO",0,IFERROR(VALUE(LEFT(E2419,FIND("º",SUBSTITUTE(E2419,"°","º"))-1)),""))))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IF(E2420="","",IF(ISNUMBER(SEARCH("SUBSOLO",E2420)),IFERROR(-VALUE(LEFT(E2420,FIND("º",SUBSTITUTE(E2420,"°","º"))-1)),-1),IF(LEFT(E2420,6)="TÉRREO",0,IFERROR(VALUE(LEFT(E2420,FIND("º",SUBSTITUTE(E2420,"°","º"))-1)),""))))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IF(E2421="","",IF(ISNUMBER(SEARCH("SUBSOLO",E2421)),IFERROR(-VALUE(LEFT(E2421,FIND("º",SUBSTITUTE(E2421,"°","º"))-1)),-1),IF(LEFT(E2421,6)="TÉRREO",0,IFERROR(VALUE(LEFT(E2421,FIND("º",SUBSTITUTE(E2421,"°","º"))-1)),""))))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IF(E2422="","",IF(ISNUMBER(SEARCH("SUBSOLO",E2422)),IFERROR(-VALUE(LEFT(E2422,FIND("º",SUBSTITUTE(E2422,"°","º"))-1)),-1),IF(LEFT(E2422,6)="TÉRREO",0,IFERROR(VALUE(LEFT(E2422,FIND("º",SUBSTITUTE(E2422,"°","º"))-1)),""))))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IF(E2423="","",IF(ISNUMBER(SEARCH("SUBSOLO",E2423)),IFERROR(-VALUE(LEFT(E2423,FIND("º",SUBSTITUTE(E2423,"°","º"))-1)),-1),IF(LEFT(E2423,6)="TÉRREO",0,IFERROR(VALUE(LEFT(E2423,FIND("º",SUBSTITUTE(E2423,"°","º"))-1)),""))))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IF(E2424="","",IF(ISNUMBER(SEARCH("SUBSOLO",E2424)),IFERROR(-VALUE(LEFT(E2424,FIND("º",SUBSTITUTE(E2424,"°","º"))-1)),-1),IF(LEFT(E2424,6)="TÉRREO",0,IFERROR(VALUE(LEFT(E2424,FIND("º",SUBSTITUTE(E2424,"°","º"))-1)),""))))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IF(E2425="","",IF(ISNUMBER(SEARCH("SUBSOLO",E2425)),IFERROR(-VALUE(LEFT(E2425,FIND("º",SUBSTITUTE(E2425,"°","º"))-1)),-1),IF(LEFT(E2425,6)="TÉRREO",0,IFERROR(VALUE(LEFT(E2425,FIND("º",SUBSTITUTE(E2425,"°","º"))-1)),""))))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IF(E2426="","",IF(ISNUMBER(SEARCH("SUBSOLO",E2426)),IFERROR(-VALUE(LEFT(E2426,FIND("º",SUBSTITUTE(E2426,"°","º"))-1)),-1),IF(LEFT(E2426,6)="TÉRREO",0,IFERROR(VALUE(LEFT(E2426,FIND("º",SUBSTITUTE(E2426,"°","º"))-1)),""))))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IF(E2427="","",IF(ISNUMBER(SEARCH("SUBSOLO",E2427)),IFERROR(-VALUE(LEFT(E2427,FIND("º",SUBSTITUTE(E2427,"°","º"))-1)),-1),IF(LEFT(E2427,6)="TÉRREO",0,IFERROR(VALUE(LEFT(E2427,FIND("º",SUBSTITUTE(E2427,"°","º"))-1)),""))))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IF(E2428="","",IF(ISNUMBER(SEARCH("SUBSOLO",E2428)),IFERROR(-VALUE(LEFT(E2428,FIND("º",SUBSTITUTE(E2428,"°","º"))-1)),-1),IF(LEFT(E2428,6)="TÉRREO",0,IFERROR(VALUE(LEFT(E2428,FIND("º",SUBSTITUTE(E2428,"°","º"))-1)),""))))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IF(E2429="","",IF(ISNUMBER(SEARCH("SUBSOLO",E2429)),IFERROR(-VALUE(LEFT(E2429,FIND("º",SUBSTITUTE(E2429,"°","º"))-1)),-1),IF(LEFT(E2429,6)="TÉRREO",0,IFERROR(VALUE(LEFT(E2429,FIND("º",SUBSTITUTE(E2429,"°","º"))-1)),""))))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IF(E2430="","",IF(ISNUMBER(SEARCH("SUBSOLO",E2430)),IFERROR(-VALUE(LEFT(E2430,FIND("º",SUBSTITUTE(E2430,"°","º"))-1)),-1),IF(LEFT(E2430,6)="TÉRREO",0,IFERROR(VALUE(LEFT(E2430,FIND("º",SUBSTITUTE(E2430,"°","º"))-1)),""))))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IF(E2431="","",IF(ISNUMBER(SEARCH("SUBSOLO",E2431)),IFERROR(-VALUE(LEFT(E2431,FIND("º",SUBSTITUTE(E2431,"°","º"))-1)),-1),IF(LEFT(E2431,6)="TÉRREO",0,IFERROR(VALUE(LEFT(E2431,FIND("º",SUBSTITUTE(E2431,"°","º"))-1)),""))))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IF(E2432="","",IF(ISNUMBER(SEARCH("SUBSOLO",E2432)),IFERROR(-VALUE(LEFT(E2432,FIND("º",SUBSTITUTE(E2432,"°","º"))-1)),-1),IF(LEFT(E2432,6)="TÉRREO",0,IFERROR(VALUE(LEFT(E2432,FIND("º",SUBSTITUTE(E2432,"°","º"))-1)),""))))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IF(E2433="","",IF(ISNUMBER(SEARCH("SUBSOLO",E2433)),IFERROR(-VALUE(LEFT(E2433,FIND("º",SUBSTITUTE(E2433,"°","º"))-1)),-1),IF(LEFT(E2433,6)="TÉRREO",0,IFERROR(VALUE(LEFT(E2433,FIND("º",SUBSTITUTE(E2433,"°","º"))-1)),""))))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IF(E2434="","",IF(ISNUMBER(SEARCH("SUBSOLO",E2434)),IFERROR(-VALUE(LEFT(E2434,FIND("º",SUBSTITUTE(E2434,"°","º"))-1)),-1),IF(LEFT(E2434,6)="TÉRREO",0,IFERROR(VALUE(LEFT(E2434,FIND("º",SUBSTITUTE(E2434,"°","º"))-1)),""))))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IF(E2435="","",IF(ISNUMBER(SEARCH("SUBSOLO",E2435)),IFERROR(-VALUE(LEFT(E2435,FIND("º",SUBSTITUTE(E2435,"°","º"))-1)),-1),IF(LEFT(E2435,6)="TÉRREO",0,IFERROR(VALUE(LEFT(E2435,FIND("º",SUBSTITUTE(E2435,"°","º"))-1)),""))))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IF(E2436="","",IF(ISNUMBER(SEARCH("SUBSOLO",E2436)),IFERROR(-VALUE(LEFT(E2436,FIND("º",SUBSTITUTE(E2436,"°","º"))-1)),-1),IF(LEFT(E2436,6)="TÉRREO",0,IFERROR(VALUE(LEFT(E2436,FIND("º",SUBSTITUTE(E2436,"°","º"))-1)),""))))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IF(E2437="","",IF(ISNUMBER(SEARCH("SUBSOLO",E2437)),IFERROR(-VALUE(LEFT(E2437,FIND("º",SUBSTITUTE(E2437,"°","º"))-1)),-1),IF(LEFT(E2437,6)="TÉRREO",0,IFERROR(VALUE(LEFT(E2437,FIND("º",SUBSTITUTE(E2437,"°","º"))-1)),""))))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IF(E2438="","",IF(ISNUMBER(SEARCH("SUBSOLO",E2438)),IFERROR(-VALUE(LEFT(E2438,FIND("º",SUBSTITUTE(E2438,"°","º"))-1)),-1),IF(LEFT(E2438,6)="TÉRREO",0,IFERROR(VALUE(LEFT(E2438,FIND("º",SUBSTITUTE(E2438,"°","º"))-1)),""))))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IF(E2439="","",IF(ISNUMBER(SEARCH("SUBSOLO",E2439)),IFERROR(-VALUE(LEFT(E2439,FIND("º",SUBSTITUTE(E2439,"°","º"))-1)),-1),IF(LEFT(E2439,6)="TÉRREO",0,IFERROR(VALUE(LEFT(E2439,FIND("º",SUBSTITUTE(E2439,"°","º"))-1)),""))))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IF(E2440="","",IF(ISNUMBER(SEARCH("SUBSOLO",E2440)),IFERROR(-VALUE(LEFT(E2440,FIND("º",SUBSTITUTE(E2440,"°","º"))-1)),-1),IF(LEFT(E2440,6)="TÉRREO",0,IFERROR(VALUE(LEFT(E2440,FIND("º",SUBSTITUTE(E2440,"°","º"))-1)),""))))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IF(E2441="","",IF(ISNUMBER(SEARCH("SUBSOLO",E2441)),IFERROR(-VALUE(LEFT(E2441,FIND("º",SUBSTITUTE(E2441,"°","º"))-1)),-1),IF(LEFT(E2441,6)="TÉRREO",0,IFERROR(VALUE(LEFT(E2441,FIND("º",SUBSTITUTE(E2441,"°","º"))-1)),""))))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IF(E2442="","",IF(ISNUMBER(SEARCH("SUBSOLO",E2442)),IFERROR(-VALUE(LEFT(E2442,FIND("º",SUBSTITUTE(E2442,"°","º"))-1)),-1),IF(LEFT(E2442,6)="TÉRREO",0,IFERROR(VALUE(LEFT(E2442,FIND("º",SUBSTITUTE(E2442,"°","º"))-1)),""))))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IF(E2443="","",IF(ISNUMBER(SEARCH("SUBSOLO",E2443)),IFERROR(-VALUE(LEFT(E2443,FIND("º",SUBSTITUTE(E2443,"°","º"))-1)),-1),IF(LEFT(E2443,6)="TÉRREO",0,IFERROR(VALUE(LEFT(E2443,FIND("º",SUBSTITUTE(E2443,"°","º"))-1)),""))))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IF(E2444="","",IF(ISNUMBER(SEARCH("SUBSOLO",E2444)),IFERROR(-VALUE(LEFT(E2444,FIND("º",SUBSTITUTE(E2444,"°","º"))-1)),-1),IF(LEFT(E2444,6)="TÉRREO",0,IFERROR(VALUE(LEFT(E2444,FIND("º",SUBSTITUTE(E2444,"°","º"))-1)),""))))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IF(E2445="","",IF(ISNUMBER(SEARCH("SUBSOLO",E2445)),IFERROR(-VALUE(LEFT(E2445,FIND("º",SUBSTITUTE(E2445,"°","º"))-1)),-1),IF(LEFT(E2445,6)="TÉRREO",0,IFERROR(VALUE(LEFT(E2445,FIND("º",SUBSTITUTE(E2445,"°","º"))-1)),""))))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IF(E2446="","",IF(ISNUMBER(SEARCH("SUBSOLO",E2446)),IFERROR(-VALUE(LEFT(E2446,FIND("º",SUBSTITUTE(E2446,"°","º"))-1)),-1),IF(LEFT(E2446,6)="TÉRREO",0,IFERROR(VALUE(LEFT(E2446,FIND("º",SUBSTITUTE(E2446,"°","º"))-1)),""))))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IF(E2447="","",IF(ISNUMBER(SEARCH("SUBSOLO",E2447)),IFERROR(-VALUE(LEFT(E2447,FIND("º",SUBSTITUTE(E2447,"°","º"))-1)),-1),IF(LEFT(E2447,6)="TÉRREO",0,IFERROR(VALUE(LEFT(E2447,FIND("º",SUBSTITUTE(E2447,"°","º"))-1)),""))))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IF(E2448="","",IF(ISNUMBER(SEARCH("SUBSOLO",E2448)),IFERROR(-VALUE(LEFT(E2448,FIND("º",SUBSTITUTE(E2448,"°","º"))-1)),-1),IF(LEFT(E2448,6)="TÉRREO",0,IFERROR(VALUE(LEFT(E2448,FIND("º",SUBSTITUTE(E2448,"°","º"))-1)),""))))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IF(E2449="","",IF(ISNUMBER(SEARCH("SUBSOLO",E2449)),IFERROR(-VALUE(LEFT(E2449,FIND("º",SUBSTITUTE(E2449,"°","º"))-1)),-1),IF(LEFT(E2449,6)="TÉRREO",0,IFERROR(VALUE(LEFT(E2449,FIND("º",SUBSTITUTE(E2449,"°","º"))-1)),""))))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IF(E2450="","",IF(ISNUMBER(SEARCH("SUBSOLO",E2450)),IFERROR(-VALUE(LEFT(E2450,FIND("º",SUBSTITUTE(E2450,"°","º"))-1)),-1),IF(LEFT(E2450,6)="TÉRREO",0,IFERROR(VALUE(LEFT(E2450,FIND("º",SUBSTITUTE(E2450,"°","º"))-1)),""))))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IF(E2451="","",IF(ISNUMBER(SEARCH("SUBSOLO",E2451)),IFERROR(-VALUE(LEFT(E2451,FIND("º",SUBSTITUTE(E2451,"°","º"))-1)),-1),IF(LEFT(E2451,6)="TÉRREO",0,IFERROR(VALUE(LEFT(E2451,FIND("º",SUBSTITUTE(E2451,"°","º"))-1)),""))))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IF(E2452="","",IF(ISNUMBER(SEARCH("SUBSOLO",E2452)),IFERROR(-VALUE(LEFT(E2452,FIND("º",SUBSTITUTE(E2452,"°","º"))-1)),-1),IF(LEFT(E2452,6)="TÉRREO",0,IFERROR(VALUE(LEFT(E2452,FIND("º",SUBSTITUTE(E2452,"°","º"))-1)),""))))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IF(E2453="","",IF(ISNUMBER(SEARCH("SUBSOLO",E2453)),IFERROR(-VALUE(LEFT(E2453,FIND("º",SUBSTITUTE(E2453,"°","º"))-1)),-1),IF(LEFT(E2453,6)="TÉRREO",0,IFERROR(VALUE(LEFT(E2453,FIND("º",SUBSTITUTE(E2453,"°","º"))-1)),""))))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IF(E2454="","",IF(ISNUMBER(SEARCH("SUBSOLO",E2454)),IFERROR(-VALUE(LEFT(E2454,FIND("º",SUBSTITUTE(E2454,"°","º"))-1)),-1),IF(LEFT(E2454,6)="TÉRREO",0,IFERROR(VALUE(LEFT(E2454,FIND("º",SUBSTITUTE(E2454,"°","º"))-1)),""))))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IF(E2455="","",IF(ISNUMBER(SEARCH("SUBSOLO",E2455)),IFERROR(-VALUE(LEFT(E2455,FIND("º",SUBSTITUTE(E2455,"°","º"))-1)),-1),IF(LEFT(E2455,6)="TÉRREO",0,IFERROR(VALUE(LEFT(E2455,FIND("º",SUBSTITUTE(E2455,"°","º"))-1)),""))))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IF(E2456="","",IF(ISNUMBER(SEARCH("SUBSOLO",E2456)),IFERROR(-VALUE(LEFT(E2456,FIND("º",SUBSTITUTE(E2456,"°","º"))-1)),-1),IF(LEFT(E2456,6)="TÉRREO",0,IFERROR(VALUE(LEFT(E2456,FIND("º",SUBSTITUTE(E2456,"°","º"))-1)),""))))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IF(E2457="","",IF(ISNUMBER(SEARCH("SUBSOLO",E2457)),IFERROR(-VALUE(LEFT(E2457,FIND("º",SUBSTITUTE(E2457,"°","º"))-1)),-1),IF(LEFT(E2457,6)="TÉRREO",0,IFERROR(VALUE(LEFT(E2457,FIND("º",SUBSTITUTE(E2457,"°","º"))-1)),""))))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IF(E2458="","",IF(ISNUMBER(SEARCH("SUBSOLO",E2458)),IFERROR(-VALUE(LEFT(E2458,FIND("º",SUBSTITUTE(E2458,"°","º"))-1)),-1),IF(LEFT(E2458,6)="TÉRREO",0,IFERROR(VALUE(LEFT(E2458,FIND("º",SUBSTITUTE(E2458,"°","º"))-1)),""))))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IF(E2459="","",IF(ISNUMBER(SEARCH("SUBSOLO",E2459)),IFERROR(-VALUE(LEFT(E2459,FIND("º",SUBSTITUTE(E2459,"°","º"))-1)),-1),IF(LEFT(E2459,6)="TÉRREO",0,IFERROR(VALUE(LEFT(E2459,FIND("º",SUBSTITUTE(E2459,"°","º"))-1)),""))))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IF(E2460="","",IF(ISNUMBER(SEARCH("SUBSOLO",E2460)),IFERROR(-VALUE(LEFT(E2460,FIND("º",SUBSTITUTE(E2460,"°","º"))-1)),-1),IF(LEFT(E2460,6)="TÉRREO",0,IFERROR(VALUE(LEFT(E2460,FIND("º",SUBSTITUTE(E2460,"°","º"))-1)),""))))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IF(E2461="","",IF(ISNUMBER(SEARCH("SUBSOLO",E2461)),IFERROR(-VALUE(LEFT(E2461,FIND("º",SUBSTITUTE(E2461,"°","º"))-1)),-1),IF(LEFT(E2461,6)="TÉRREO",0,IFERROR(VALUE(LEFT(E2461,FIND("º",SUBSTITUTE(E2461,"°","º"))-1)),""))))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IF(E2462="","",IF(ISNUMBER(SEARCH("SUBSOLO",E2462)),IFERROR(-VALUE(LEFT(E2462,FIND("º",SUBSTITUTE(E2462,"°","º"))-1)),-1),IF(LEFT(E2462,6)="TÉRREO",0,IFERROR(VALUE(LEFT(E2462,FIND("º",SUBSTITUTE(E2462,"°","º"))-1)),""))))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IF(E2463="","",IF(ISNUMBER(SEARCH("SUBSOLO",E2463)),IFERROR(-VALUE(LEFT(E2463,FIND("º",SUBSTITUTE(E2463,"°","º"))-1)),-1),IF(LEFT(E2463,6)="TÉRREO",0,IFERROR(VALUE(LEFT(E2463,FIND("º",SUBSTITUTE(E2463,"°","º"))-1)),""))))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IF(E2464="","",IF(ISNUMBER(SEARCH("SUBSOLO",E2464)),IFERROR(-VALUE(LEFT(E2464,FIND("º",SUBSTITUTE(E2464,"°","º"))-1)),-1),IF(LEFT(E2464,6)="TÉRREO",0,IFERROR(VALUE(LEFT(E2464,FIND("º",SUBSTITUTE(E2464,"°","º"))-1)),""))))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IF(E2465="","",IF(ISNUMBER(SEARCH("SUBSOLO",E2465)),IFERROR(-VALUE(LEFT(E2465,FIND("º",SUBSTITUTE(E2465,"°","º"))-1)),-1),IF(LEFT(E2465,6)="TÉRREO",0,IFERROR(VALUE(LEFT(E2465,FIND("º",SUBSTITUTE(E2465,"°","º"))-1)),""))))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IF(E2466="","",IF(ISNUMBER(SEARCH("SUBSOLO",E2466)),IFERROR(-VALUE(LEFT(E2466,FIND("º",SUBSTITUTE(E2466,"°","º"))-1)),-1),IF(LEFT(E2466,6)="TÉRREO",0,IFERROR(VALUE(LEFT(E2466,FIND("º",SUBSTITUTE(E2466,"°","º"))-1)),""))))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IF(E2467="","",IF(ISNUMBER(SEARCH("SUBSOLO",E2467)),IFERROR(-VALUE(LEFT(E2467,FIND("º",SUBSTITUTE(E2467,"°","º"))-1)),-1),IF(LEFT(E2467,6)="TÉRREO",0,IFERROR(VALUE(LEFT(E2467,FIND("º",SUBSTITUTE(E2467,"°","º"))-1)),""))))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IF(E2468="","",IF(ISNUMBER(SEARCH("SUBSOLO",E2468)),IFERROR(-VALUE(LEFT(E2468,FIND("º",SUBSTITUTE(E2468,"°","º"))-1)),-1),IF(LEFT(E2468,6)="TÉRREO",0,IFERROR(VALUE(LEFT(E2468,FIND("º",SUBSTITUTE(E2468,"°","º"))-1)),""))))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IF(E2469="","",IF(ISNUMBER(SEARCH("SUBSOLO",E2469)),IFERROR(-VALUE(LEFT(E2469,FIND("º",SUBSTITUTE(E2469,"°","º"))-1)),-1),IF(LEFT(E2469,6)="TÉRREO",0,IFERROR(VALUE(LEFT(E2469,FIND("º",SUBSTITUTE(E2469,"°","º"))-1)),""))))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IF(E2470="","",IF(ISNUMBER(SEARCH("SUBSOLO",E2470)),IFERROR(-VALUE(LEFT(E2470,FIND("º",SUBSTITUTE(E2470,"°","º"))-1)),-1),IF(LEFT(E2470,6)="TÉRREO",0,IFERROR(VALUE(LEFT(E2470,FIND("º",SUBSTITUTE(E2470,"°","º"))-1)),""))))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IF(E2471="","",IF(ISNUMBER(SEARCH("SUBSOLO",E2471)),IFERROR(-VALUE(LEFT(E2471,FIND("º",SUBSTITUTE(E2471,"°","º"))-1)),-1),IF(LEFT(E2471,6)="TÉRREO",0,IFERROR(VALUE(LEFT(E2471,FIND("º",SUBSTITUTE(E2471,"°","º"))-1)),""))))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IF(E2472="","",IF(ISNUMBER(SEARCH("SUBSOLO",E2472)),IFERROR(-VALUE(LEFT(E2472,FIND("º",SUBSTITUTE(E2472,"°","º"))-1)),-1),IF(LEFT(E2472,6)="TÉRREO",0,IFERROR(VALUE(LEFT(E2472,FIND("º",SUBSTITUTE(E2472,"°","º"))-1)),""))))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IF(E2473="","",IF(ISNUMBER(SEARCH("SUBSOLO",E2473)),IFERROR(-VALUE(LEFT(E2473,FIND("º",SUBSTITUTE(E2473,"°","º"))-1)),-1),IF(LEFT(E2473,6)="TÉRREO",0,IFERROR(VALUE(LEFT(E2473,FIND("º",SUBSTITUTE(E2473,"°","º"))-1)),""))))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IF(E2474="","",IF(ISNUMBER(SEARCH("SUBSOLO",E2474)),IFERROR(-VALUE(LEFT(E2474,FIND("º",SUBSTITUTE(E2474,"°","º"))-1)),-1),IF(LEFT(E2474,6)="TÉRREO",0,IFERROR(VALUE(LEFT(E2474,FIND("º",SUBSTITUTE(E2474,"°","º"))-1)),""))))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IF(E2475="","",IF(ISNUMBER(SEARCH("SUBSOLO",E2475)),IFERROR(-VALUE(LEFT(E2475,FIND("º",SUBSTITUTE(E2475,"°","º"))-1)),-1),IF(LEFT(E2475,6)="TÉRREO",0,IFERROR(VALUE(LEFT(E2475,FIND("º",SUBSTITUTE(E2475,"°","º"))-1)),""))))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IF(E2476="","",IF(ISNUMBER(SEARCH("SUBSOLO",E2476)),IFERROR(-VALUE(LEFT(E2476,FIND("º",SUBSTITUTE(E2476,"°","º"))-1)),-1),IF(LEFT(E2476,6)="TÉRREO",0,IFERROR(VALUE(LEFT(E2476,FIND("º",SUBSTITUTE(E2476,"°","º"))-1)),""))))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IF(E2477="","",IF(ISNUMBER(SEARCH("SUBSOLO",E2477)),IFERROR(-VALUE(LEFT(E2477,FIND("º",SUBSTITUTE(E2477,"°","º"))-1)),-1),IF(LEFT(E2477,6)="TÉRREO",0,IFERROR(VALUE(LEFT(E2477,FIND("º",SUBSTITUTE(E2477,"°","º"))-1)),""))))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IF(E2478="","",IF(ISNUMBER(SEARCH("SUBSOLO",E2478)),IFERROR(-VALUE(LEFT(E2478,FIND("º",SUBSTITUTE(E2478,"°","º"))-1)),-1),IF(LEFT(E2478,6)="TÉRREO",0,IFERROR(VALUE(LEFT(E2478,FIND("º",SUBSTITUTE(E2478,"°","º"))-1)),""))))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IF(E2479="","",IF(ISNUMBER(SEARCH("SUBSOLO",E2479)),IFERROR(-VALUE(LEFT(E2479,FIND("º",SUBSTITUTE(E2479,"°","º"))-1)),-1),IF(LEFT(E2479,6)="TÉRREO",0,IFERROR(VALUE(LEFT(E2479,FIND("º",SUBSTITUTE(E2479,"°","º"))-1)),""))))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IF(E2480="","",IF(ISNUMBER(SEARCH("SUBSOLO",E2480)),IFERROR(-VALUE(LEFT(E2480,FIND("º",SUBSTITUTE(E2480,"°","º"))-1)),-1),IF(LEFT(E2480,6)="TÉRREO",0,IFERROR(VALUE(LEFT(E2480,FIND("º",SUBSTITUTE(E2480,"°","º"))-1)),""))))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IF(E2481="","",IF(ISNUMBER(SEARCH("SUBSOLO",E2481)),IFERROR(-VALUE(LEFT(E2481,FIND("º",SUBSTITUTE(E2481,"°","º"))-1)),-1),IF(LEFT(E2481,6)="TÉRREO",0,IFERROR(VALUE(LEFT(E2481,FIND("º",SUBSTITUTE(E2481,"°","º"))-1)),""))))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IF(E2482="","",IF(ISNUMBER(SEARCH("SUBSOLO",E2482)),IFERROR(-VALUE(LEFT(E2482,FIND("º",SUBSTITUTE(E2482,"°","º"))-1)),-1),IF(LEFT(E2482,6)="TÉRREO",0,IFERROR(VALUE(LEFT(E2482,FIND("º",SUBSTITUTE(E2482,"°","º"))-1)),""))))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IF(E2483="","",IF(ISNUMBER(SEARCH("SUBSOLO",E2483)),IFERROR(-VALUE(LEFT(E2483,FIND("º",SUBSTITUTE(E2483,"°","º"))-1)),-1),IF(LEFT(E2483,6)="TÉRREO",0,IFERROR(VALUE(LEFT(E2483,FIND("º",SUBSTITUTE(E2483,"°","º"))-1)),""))))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IF(E2484="","",IF(ISNUMBER(SEARCH("SUBSOLO",E2484)),IFERROR(-VALUE(LEFT(E2484,FIND("º",SUBSTITUTE(E2484,"°","º"))-1)),-1),IF(LEFT(E2484,6)="TÉRREO",0,IFERROR(VALUE(LEFT(E2484,FIND("º",SUBSTITUTE(E2484,"°","º"))-1)),""))))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IF(E2485="","",IF(ISNUMBER(SEARCH("SUBSOLO",E2485)),IFERROR(-VALUE(LEFT(E2485,FIND("º",SUBSTITUTE(E2485,"°","º"))-1)),-1),IF(LEFT(E2485,6)="TÉRREO",0,IFERROR(VALUE(LEFT(E2485,FIND("º",SUBSTITUTE(E2485,"°","º"))-1)),""))))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IF(E2486="","",IF(ISNUMBER(SEARCH("SUBSOLO",E2486)),IFERROR(-VALUE(LEFT(E2486,FIND("º",SUBSTITUTE(E2486,"°","º"))-1)),-1),IF(LEFT(E2486,6)="TÉRREO",0,IFERROR(VALUE(LEFT(E2486,FIND("º",SUBSTITUTE(E2486,"°","º"))-1)),""))))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IF(E2487="","",IF(ISNUMBER(SEARCH("SUBSOLO",E2487)),IFERROR(-VALUE(LEFT(E2487,FIND("º",SUBSTITUTE(E2487,"°","º"))-1)),-1),IF(LEFT(E2487,6)="TÉRREO",0,IFERROR(VALUE(LEFT(E2487,FIND("º",SUBSTITUTE(E2487,"°","º"))-1)),""))))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IF(E2488="","",IF(ISNUMBER(SEARCH("SUBSOLO",E2488)),IFERROR(-VALUE(LEFT(E2488,FIND("º",SUBSTITUTE(E2488,"°","º"))-1)),-1),IF(LEFT(E2488,6)="TÉRREO",0,IFERROR(VALUE(LEFT(E2488,FIND("º",SUBSTITUTE(E2488,"°","º"))-1)),""))))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IF(E2489="","",IF(ISNUMBER(SEARCH("SUBSOLO",E2489)),IFERROR(-VALUE(LEFT(E2489,FIND("º",SUBSTITUTE(E2489,"°","º"))-1)),-1),IF(LEFT(E2489,6)="TÉRREO",0,IFERROR(VALUE(LEFT(E2489,FIND("º",SUBSTITUTE(E2489,"°","º"))-1)),""))))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IF(E2490="","",IF(ISNUMBER(SEARCH("SUBSOLO",E2490)),IFERROR(-VALUE(LEFT(E2490,FIND("º",SUBSTITUTE(E2490,"°","º"))-1)),-1),IF(LEFT(E2490,6)="TÉRREO",0,IFERROR(VALUE(LEFT(E2490,FIND("º",SUBSTITUTE(E2490,"°","º"))-1)),""))))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IF(E2491="","",IF(ISNUMBER(SEARCH("SUBSOLO",E2491)),IFERROR(-VALUE(LEFT(E2491,FIND("º",SUBSTITUTE(E2491,"°","º"))-1)),-1),IF(LEFT(E2491,6)="TÉRREO",0,IFERROR(VALUE(LEFT(E2491,FIND("º",SUBSTITUTE(E2491,"°","º"))-1)),""))))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IF(E2492="","",IF(ISNUMBER(SEARCH("SUBSOLO",E2492)),IFERROR(-VALUE(LEFT(E2492,FIND("º",SUBSTITUTE(E2492,"°","º"))-1)),-1),IF(LEFT(E2492,6)="TÉRREO",0,IFERROR(VALUE(LEFT(E2492,FIND("º",SUBSTITUTE(E2492,"°","º"))-1)),""))))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IF(E2493="","",IF(ISNUMBER(SEARCH("SUBSOLO",E2493)),IFERROR(-VALUE(LEFT(E2493,FIND("º",SUBSTITUTE(E2493,"°","º"))-1)),-1),IF(LEFT(E2493,6)="TÉRREO",0,IFERROR(VALUE(LEFT(E2493,FIND("º",SUBSTITUTE(E2493,"°","º"))-1)),""))))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IF(E2494="","",IF(ISNUMBER(SEARCH("SUBSOLO",E2494)),IFERROR(-VALUE(LEFT(E2494,FIND("º",SUBSTITUTE(E2494,"°","º"))-1)),-1),IF(LEFT(E2494,6)="TÉRREO",0,IFERROR(VALUE(LEFT(E2494,FIND("º",SUBSTITUTE(E2494,"°","º"))-1)),""))))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IF(E2495="","",IF(ISNUMBER(SEARCH("SUBSOLO",E2495)),IFERROR(-VALUE(LEFT(E2495,FIND("º",SUBSTITUTE(E2495,"°","º"))-1)),-1),IF(LEFT(E2495,6)="TÉRREO",0,IFERROR(VALUE(LEFT(E2495,FIND("º",SUBSTITUTE(E2495,"°","º"))-1)),""))))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IF(E2496="","",IF(ISNUMBER(SEARCH("SUBSOLO",E2496)),IFERROR(-VALUE(LEFT(E2496,FIND("º",SUBSTITUTE(E2496,"°","º"))-1)),-1),IF(LEFT(E2496,6)="TÉRREO",0,IFERROR(VALUE(LEFT(E2496,FIND("º",SUBSTITUTE(E2496,"°","º"))-1)),""))))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IF(E2497="","",IF(ISNUMBER(SEARCH("SUBSOLO",E2497)),IFERROR(-VALUE(LEFT(E2497,FIND("º",SUBSTITUTE(E2497,"°","º"))-1)),-1),IF(LEFT(E2497,6)="TÉRREO",0,IFERROR(VALUE(LEFT(E2497,FIND("º",SUBSTITUTE(E2497,"°","º"))-1)),""))))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IF(E2498="","",IF(ISNUMBER(SEARCH("SUBSOLO",E2498)),IFERROR(-VALUE(LEFT(E2498,FIND("º",SUBSTITUTE(E2498,"°","º"))-1)),-1),IF(LEFT(E2498,6)="TÉRREO",0,IFERROR(VALUE(LEFT(E2498,FIND("º",SUBSTITUTE(E2498,"°","º"))-1)),""))))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IF(E2499="","",IF(ISNUMBER(SEARCH("SUBSOLO",E2499)),IFERROR(-VALUE(LEFT(E2499,FIND("º",SUBSTITUTE(E2499,"°","º"))-1)),-1),IF(LEFT(E2499,6)="TÉRREO",0,IFERROR(VALUE(LEFT(E2499,FIND("º",SUBSTITUTE(E2499,"°","º"))-1)),""))))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IF(E2500="","",IF(ISNUMBER(SEARCH("SUBSOLO",E2500)),IFERROR(-VALUE(LEFT(E2500,FIND("º",SUBSTITUTE(E2500,"°","º"))-1)),-1),IF(LEFT(E2500,6)="TÉRREO",0,IFERROR(VALUE(LEFT(E2500,FIND("º",SUBSTITUTE(E2500,"°","º"))-1)),""))))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IF(E2501="","",IF(ISNUMBER(SEARCH("SUBSOLO",E2501)),IFERROR(-VALUE(LEFT(E2501,FIND("º",SUBSTITUTE(E2501,"°","º"))-1)),-1),IF(LEFT(E2501,6)="TÉRREO",0,IFERROR(VALUE(LEFT(E2501,FIND("º",SUBSTITUTE(E2501,"°","º"))-1)),""))))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IF(E2502="","",IF(ISNUMBER(SEARCH("SUBSOLO",E2502)),IFERROR(-VALUE(LEFT(E2502,FIND("º",SUBSTITUTE(E2502,"°","º"))-1)),-1),IF(LEFT(E2502,6)="TÉRREO",0,IFERROR(VALUE(LEFT(E2502,FIND("º",SUBSTITUTE(E2502,"°","º"))-1)),""))))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IF(E2503="","",IF(ISNUMBER(SEARCH("SUBSOLO",E2503)),IFERROR(-VALUE(LEFT(E2503,FIND("º",SUBSTITUTE(E2503,"°","º"))-1)),-1),IF(LEFT(E2503,6)="TÉRREO",0,IFERROR(VALUE(LEFT(E2503,FIND("º",SUBSTITUTE(E2503,"°","º"))-1)),""))))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IF(E2504="","",IF(ISNUMBER(SEARCH("SUBSOLO",E2504)),IFERROR(-VALUE(LEFT(E2504,FIND("º",SUBSTITUTE(E2504,"°","º"))-1)),-1),IF(LEFT(E2504,6)="TÉRREO",0,IFERROR(VALUE(LEFT(E2504,FIND("º",SUBSTITUTE(E2504,"°","º"))-1)),""))))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IF(E2505="","",IF(ISNUMBER(SEARCH("SUBSOLO",E2505)),IFERROR(-VALUE(LEFT(E2505,FIND("º",SUBSTITUTE(E2505,"°","º"))-1)),-1),IF(LEFT(E2505,6)="TÉRREO",0,IFERROR(VALUE(LEFT(E2505,FIND("º",SUBSTITUTE(E2505,"°","º"))-1)),""))))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IF(E2506="","",IF(ISNUMBER(SEARCH("SUBSOLO",E2506)),IFERROR(-VALUE(LEFT(E2506,FIND("º",SUBSTITUTE(E2506,"°","º"))-1)),-1),IF(LEFT(E2506,6)="TÉRREO",0,IFERROR(VALUE(LEFT(E2506,FIND("º",SUBSTITUTE(E2506,"°","º"))-1)),""))))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IF(E2507="","",IF(ISNUMBER(SEARCH("SUBSOLO",E2507)),IFERROR(-VALUE(LEFT(E2507,FIND("º",SUBSTITUTE(E2507,"°","º"))-1)),-1),IF(LEFT(E2507,6)="TÉRREO",0,IFERROR(VALUE(LEFT(E2507,FIND("º",SUBSTITUTE(E2507,"°","º"))-1)),""))))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IF(E2508="","",IF(ISNUMBER(SEARCH("SUBSOLO",E2508)),IFERROR(-VALUE(LEFT(E2508,FIND("º",SUBSTITUTE(E2508,"°","º"))-1)),-1),IF(LEFT(E2508,6)="TÉRREO",0,IFERROR(VALUE(LEFT(E2508,FIND("º",SUBSTITUTE(E2508,"°","º"))-1)),""))))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IF(E2509="","",IF(ISNUMBER(SEARCH("SUBSOLO",E2509)),IFERROR(-VALUE(LEFT(E2509,FIND("º",SUBSTITUTE(E2509,"°","º"))-1)),-1),IF(LEFT(E2509,6)="TÉRREO",0,IFERROR(VALUE(LEFT(E2509,FIND("º",SUBSTITUTE(E2509,"°","º"))-1)),""))))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IF(E2510="","",IF(ISNUMBER(SEARCH("SUBSOLO",E2510)),IFERROR(-VALUE(LEFT(E2510,FIND("º",SUBSTITUTE(E2510,"°","º"))-1)),-1),IF(LEFT(E2510,6)="TÉRREO",0,IFERROR(VALUE(LEFT(E2510,FIND("º",SUBSTITUTE(E2510,"°","º"))-1)),""))))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IF(E2511="","",IF(ISNUMBER(SEARCH("SUBSOLO",E2511)),IFERROR(-VALUE(LEFT(E2511,FIND("º",SUBSTITUTE(E2511,"°","º"))-1)),-1),IF(LEFT(E2511,6)="TÉRREO",0,IFERROR(VALUE(LEFT(E2511,FIND("º",SUBSTITUTE(E2511,"°","º"))-1)),""))))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IF(E2512="","",IF(ISNUMBER(SEARCH("SUBSOLO",E2512)),IFERROR(-VALUE(LEFT(E2512,FIND("º",SUBSTITUTE(E2512,"°","º"))-1)),-1),IF(LEFT(E2512,6)="TÉRREO",0,IFERROR(VALUE(LEFT(E2512,FIND("º",SUBSTITUTE(E2512,"°","º"))-1)),""))))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IF(E2513="","",IF(ISNUMBER(SEARCH("SUBSOLO",E2513)),IFERROR(-VALUE(LEFT(E2513,FIND("º",SUBSTITUTE(E2513,"°","º"))-1)),-1),IF(LEFT(E2513,6)="TÉRREO",0,IFERROR(VALUE(LEFT(E2513,FIND("º",SUBSTITUTE(E2513,"°","º"))-1)),""))))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IF(E2514="","",IF(ISNUMBER(SEARCH("SUBSOLO",E2514)),IFERROR(-VALUE(LEFT(E2514,FIND("º",SUBSTITUTE(E2514,"°","º"))-1)),-1),IF(LEFT(E2514,6)="TÉRREO",0,IFERROR(VALUE(LEFT(E2514,FIND("º",SUBSTITUTE(E2514,"°","º"))-1)),""))))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IF(E2515="","",IF(ISNUMBER(SEARCH("SUBSOLO",E2515)),IFERROR(-VALUE(LEFT(E2515,FIND("º",SUBSTITUTE(E2515,"°","º"))-1)),-1),IF(LEFT(E2515,6)="TÉRREO",0,IFERROR(VALUE(LEFT(E2515,FIND("º",SUBSTITUTE(E2515,"°","º"))-1)),""))))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IF(E2516="","",IF(ISNUMBER(SEARCH("SUBSOLO",E2516)),IFERROR(-VALUE(LEFT(E2516,FIND("º",SUBSTITUTE(E2516,"°","º"))-1)),-1),IF(LEFT(E2516,6)="TÉRREO",0,IFERROR(VALUE(LEFT(E2516,FIND("º",SUBSTITUTE(E2516,"°","º"))-1)),""))))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IF(E2517="","",IF(ISNUMBER(SEARCH("SUBSOLO",E2517)),IFERROR(-VALUE(LEFT(E2517,FIND("º",SUBSTITUTE(E2517,"°","º"))-1)),-1),IF(LEFT(E2517,6)="TÉRREO",0,IFERROR(VALUE(LEFT(E2517,FIND("º",SUBSTITUTE(E2517,"°","º"))-1)),""))))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IF(E2518="","",IF(ISNUMBER(SEARCH("SUBSOLO",E2518)),IFERROR(-VALUE(LEFT(E2518,FIND("º",SUBSTITUTE(E2518,"°","º"))-1)),-1),IF(LEFT(E2518,6)="TÉRREO",0,IFERROR(VALUE(LEFT(E2518,FIND("º",SUBSTITUTE(E2518,"°","º"))-1)),""))))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IF(E2519="","",IF(ISNUMBER(SEARCH("SUBSOLO",E2519)),IFERROR(-VALUE(LEFT(E2519,FIND("º",SUBSTITUTE(E2519,"°","º"))-1)),-1),IF(LEFT(E2519,6)="TÉRREO",0,IFERROR(VALUE(LEFT(E2519,FIND("º",SUBSTITUTE(E2519,"°","º"))-1)),""))))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IF(E2520="","",IF(ISNUMBER(SEARCH("SUBSOLO",E2520)),IFERROR(-VALUE(LEFT(E2520,FIND("º",SUBSTITUTE(E2520,"°","º"))-1)),-1),IF(LEFT(E2520,6)="TÉRREO",0,IFERROR(VALUE(LEFT(E2520,FIND("º",SUBSTITUTE(E2520,"°","º"))-1)),""))))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IF(E2521="","",IF(ISNUMBER(SEARCH("SUBSOLO",E2521)),IFERROR(-VALUE(LEFT(E2521,FIND("º",SUBSTITUTE(E2521,"°","º"))-1)),-1),IF(LEFT(E2521,6)="TÉRREO",0,IFERROR(VALUE(LEFT(E2521,FIND("º",SUBSTITUTE(E2521,"°","º"))-1)),""))))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IF(E2522="","",IF(ISNUMBER(SEARCH("SUBSOLO",E2522)),IFERROR(-VALUE(LEFT(E2522,FIND("º",SUBSTITUTE(E2522,"°","º"))-1)),-1),IF(LEFT(E2522,6)="TÉRREO",0,IFERROR(VALUE(LEFT(E2522,FIND("º",SUBSTITUTE(E2522,"°","º"))-1)),""))))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IF(E2523="","",IF(ISNUMBER(SEARCH("SUBSOLO",E2523)),IFERROR(-VALUE(LEFT(E2523,FIND("º",SUBSTITUTE(E2523,"°","º"))-1)),-1),IF(LEFT(E2523,6)="TÉRREO",0,IFERROR(VALUE(LEFT(E2523,FIND("º",SUBSTITUTE(E2523,"°","º"))-1)),""))))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IF(E2524="","",IF(ISNUMBER(SEARCH("SUBSOLO",E2524)),IFERROR(-VALUE(LEFT(E2524,FIND("º",SUBSTITUTE(E2524,"°","º"))-1)),-1),IF(LEFT(E2524,6)="TÉRREO",0,IFERROR(VALUE(LEFT(E2524,FIND("º",SUBSTITUTE(E2524,"°","º"))-1)),""))))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IF(E2525="","",IF(ISNUMBER(SEARCH("SUBSOLO",E2525)),IFERROR(-VALUE(LEFT(E2525,FIND("º",SUBSTITUTE(E2525,"°","º"))-1)),-1),IF(LEFT(E2525,6)="TÉRREO",0,IFERROR(VALUE(LEFT(E2525,FIND("º",SUBSTITUTE(E2525,"°","º"))-1)),""))))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IF(E2526="","",IF(ISNUMBER(SEARCH("SUBSOLO",E2526)),IFERROR(-VALUE(LEFT(E2526,FIND("º",SUBSTITUTE(E2526,"°","º"))-1)),-1),IF(LEFT(E2526,6)="TÉRREO",0,IFERROR(VALUE(LEFT(E2526,FIND("º",SUBSTITUTE(E2526,"°","º"))-1)),""))))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IF(E2527="","",IF(ISNUMBER(SEARCH("SUBSOLO",E2527)),IFERROR(-VALUE(LEFT(E2527,FIND("º",SUBSTITUTE(E2527,"°","º"))-1)),-1),IF(LEFT(E2527,6)="TÉRREO",0,IFERROR(VALUE(LEFT(E2527,FIND("º",SUBSTITUTE(E2527,"°","º"))-1)),""))))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IF(E2528="","",IF(ISNUMBER(SEARCH("SUBSOLO",E2528)),IFERROR(-VALUE(LEFT(E2528,FIND("º",SUBSTITUTE(E2528,"°","º"))-1)),-1),IF(LEFT(E2528,6)="TÉRREO",0,IFERROR(VALUE(LEFT(E2528,FIND("º",SUBSTITUTE(E2528,"°","º"))-1)),""))))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IF(E2529="","",IF(ISNUMBER(SEARCH("SUBSOLO",E2529)),IFERROR(-VALUE(LEFT(E2529,FIND("º",SUBSTITUTE(E2529,"°","º"))-1)),-1),IF(LEFT(E2529,6)="TÉRREO",0,IFERROR(VALUE(LEFT(E2529,FIND("º",SUBSTITUTE(E2529,"°","º"))-1)),""))))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IF(E2530="","",IF(ISNUMBER(SEARCH("SUBSOLO",E2530)),IFERROR(-VALUE(LEFT(E2530,FIND("º",SUBSTITUTE(E2530,"°","º"))-1)),-1),IF(LEFT(E2530,6)="TÉRREO",0,IFERROR(VALUE(LEFT(E2530,FIND("º",SUBSTITUTE(E2530,"°","º"))-1)),""))))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IF(E2531="","",IF(ISNUMBER(SEARCH("SUBSOLO",E2531)),IFERROR(-VALUE(LEFT(E2531,FIND("º",SUBSTITUTE(E2531,"°","º"))-1)),-1),IF(LEFT(E2531,6)="TÉRREO",0,IFERROR(VALUE(LEFT(E2531,FIND("º",SUBSTITUTE(E2531,"°","º"))-1)),""))))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IF(E2532="","",IF(ISNUMBER(SEARCH("SUBSOLO",E2532)),IFERROR(-VALUE(LEFT(E2532,FIND("º",SUBSTITUTE(E2532,"°","º"))-1)),-1),IF(LEFT(E2532,6)="TÉRREO",0,IFERROR(VALUE(LEFT(E2532,FIND("º",SUBSTITUTE(E2532,"°","º"))-1)),""))))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IF(E2533="","",IF(ISNUMBER(SEARCH("SUBSOLO",E2533)),IFERROR(-VALUE(LEFT(E2533,FIND("º",SUBSTITUTE(E2533,"°","º"))-1)),-1),IF(LEFT(E2533,6)="TÉRREO",0,IFERROR(VALUE(LEFT(E2533,FIND("º",SUBSTITUTE(E2533,"°","º"))-1)),""))))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IF(E2534="","",IF(ISNUMBER(SEARCH("SUBSOLO",E2534)),IFERROR(-VALUE(LEFT(E2534,FIND("º",SUBSTITUTE(E2534,"°","º"))-1)),-1),IF(LEFT(E2534,6)="TÉRREO",0,IFERROR(VALUE(LEFT(E2534,FIND("º",SUBSTITUTE(E2534,"°","º"))-1)),""))))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IF(E2535="","",IF(ISNUMBER(SEARCH("SUBSOLO",E2535)),IFERROR(-VALUE(LEFT(E2535,FIND("º",SUBSTITUTE(E2535,"°","º"))-1)),-1),IF(LEFT(E2535,6)="TÉRREO",0,IFERROR(VALUE(LEFT(E2535,FIND("º",SUBSTITUTE(E2535,"°","º"))-1)),""))))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IF(E2536="","",IF(ISNUMBER(SEARCH("SUBSOLO",E2536)),IFERROR(-VALUE(LEFT(E2536,FIND("º",SUBSTITUTE(E2536,"°","º"))-1)),-1),IF(LEFT(E2536,6)="TÉRREO",0,IFERROR(VALUE(LEFT(E2536,FIND("º",SUBSTITUTE(E2536,"°","º"))-1)),""))))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IF(E2537="","",IF(ISNUMBER(SEARCH("SUBSOLO",E2537)),IFERROR(-VALUE(LEFT(E2537,FIND("º",SUBSTITUTE(E2537,"°","º"))-1)),-1),IF(LEFT(E2537,6)="TÉRREO",0,IFERROR(VALUE(LEFT(E2537,FIND("º",SUBSTITUTE(E2537,"°","º"))-1)),""))))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IF(E2538="","",IF(ISNUMBER(SEARCH("SUBSOLO",E2538)),IFERROR(-VALUE(LEFT(E2538,FIND("º",SUBSTITUTE(E2538,"°","º"))-1)),-1),IF(LEFT(E2538,6)="TÉRREO",0,IFERROR(VALUE(LEFT(E2538,FIND("º",SUBSTITUTE(E2538,"°","º"))-1)),""))))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IF(E2539="","",IF(ISNUMBER(SEARCH("SUBSOLO",E2539)),IFERROR(-VALUE(LEFT(E2539,FIND("º",SUBSTITUTE(E2539,"°","º"))-1)),-1),IF(LEFT(E2539,6)="TÉRREO",0,IFERROR(VALUE(LEFT(E2539,FIND("º",SUBSTITUTE(E2539,"°","º"))-1)),""))))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IF(E2540="","",IF(ISNUMBER(SEARCH("SUBSOLO",E2540)),IFERROR(-VALUE(LEFT(E2540,FIND("º",SUBSTITUTE(E2540,"°","º"))-1)),-1),IF(LEFT(E2540,6)="TÉRREO",0,IFERROR(VALUE(LEFT(E2540,FIND("º",SUBSTITUTE(E2540,"°","º"))-1)),""))))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IF(E2541="","",IF(ISNUMBER(SEARCH("SUBSOLO",E2541)),IFERROR(-VALUE(LEFT(E2541,FIND("º",SUBSTITUTE(E2541,"°","º"))-1)),-1),IF(LEFT(E2541,6)="TÉRREO",0,IFERROR(VALUE(LEFT(E2541,FIND("º",SUBSTITUTE(E2541,"°","º"))-1)),""))))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IF(E2542="","",IF(ISNUMBER(SEARCH("SUBSOLO",E2542)),IFERROR(-VALUE(LEFT(E2542,FIND("º",SUBSTITUTE(E2542,"°","º"))-1)),-1),IF(LEFT(E2542,6)="TÉRREO",0,IFERROR(VALUE(LEFT(E2542,FIND("º",SUBSTITUTE(E2542,"°","º"))-1)),""))))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IF(E2543="","",IF(ISNUMBER(SEARCH("SUBSOLO",E2543)),IFERROR(-VALUE(LEFT(E2543,FIND("º",SUBSTITUTE(E2543,"°","º"))-1)),-1),IF(LEFT(E2543,6)="TÉRREO",0,IFERROR(VALUE(LEFT(E2543,FIND("º",SUBSTITUTE(E2543,"°","º"))-1)),""))))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IF(E2544="","",IF(ISNUMBER(SEARCH("SUBSOLO",E2544)),IFERROR(-VALUE(LEFT(E2544,FIND("º",SUBSTITUTE(E2544,"°","º"))-1)),-1),IF(LEFT(E2544,6)="TÉRREO",0,IFERROR(VALUE(LEFT(E2544,FIND("º",SUBSTITUTE(E2544,"°","º"))-1)),""))))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IF(E2545="","",IF(ISNUMBER(SEARCH("SUBSOLO",E2545)),IFERROR(-VALUE(LEFT(E2545,FIND("º",SUBSTITUTE(E2545,"°","º"))-1)),-1),IF(LEFT(E2545,6)="TÉRREO",0,IFERROR(VALUE(LEFT(E2545,FIND("º",SUBSTITUTE(E2545,"°","º"))-1)),""))))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IF(E2546="","",IF(ISNUMBER(SEARCH("SUBSOLO",E2546)),IFERROR(-VALUE(LEFT(E2546,FIND("º",SUBSTITUTE(E2546,"°","º"))-1)),-1),IF(LEFT(E2546,6)="TÉRREO",0,IFERROR(VALUE(LEFT(E2546,FIND("º",SUBSTITUTE(E2546,"°","º"))-1)),""))))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IF(E2547="","",IF(ISNUMBER(SEARCH("SUBSOLO",E2547)),IFERROR(-VALUE(LEFT(E2547,FIND("º",SUBSTITUTE(E2547,"°","º"))-1)),-1),IF(LEFT(E2547,6)="TÉRREO",0,IFERROR(VALUE(LEFT(E2547,FIND("º",SUBSTITUTE(E2547,"°","º"))-1)),""))))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IF(E2548="","",IF(ISNUMBER(SEARCH("SUBSOLO",E2548)),IFERROR(-VALUE(LEFT(E2548,FIND("º",SUBSTITUTE(E2548,"°","º"))-1)),-1),IF(LEFT(E2548,6)="TÉRREO",0,IFERROR(VALUE(LEFT(E2548,FIND("º",SUBSTITUTE(E2548,"°","º"))-1)),""))))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IF(E2549="","",IF(ISNUMBER(SEARCH("SUBSOLO",E2549)),IFERROR(-VALUE(LEFT(E2549,FIND("º",SUBSTITUTE(E2549,"°","º"))-1)),-1),IF(LEFT(E2549,6)="TÉRREO",0,IFERROR(VALUE(LEFT(E2549,FIND("º",SUBSTITUTE(E2549,"°","º"))-1)),""))))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IF(E2550="","",IF(ISNUMBER(SEARCH("SUBSOLO",E2550)),IFERROR(-VALUE(LEFT(E2550,FIND("º",SUBSTITUTE(E2550,"°","º"))-1)),-1),IF(LEFT(E2550,6)="TÉRREO",0,IFERROR(VALUE(LEFT(E2550,FIND("º",SUBSTITUTE(E2550,"°","º"))-1)),""))))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IF(E2551="","",IF(ISNUMBER(SEARCH("SUBSOLO",E2551)),IFERROR(-VALUE(LEFT(E2551,FIND("º",SUBSTITUTE(E2551,"°","º"))-1)),-1),IF(LEFT(E2551,6)="TÉRREO",0,IFERROR(VALUE(LEFT(E2551,FIND("º",SUBSTITUTE(E2551,"°","º"))-1)),""))))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IF(E2552="","",IF(ISNUMBER(SEARCH("SUBSOLO",E2552)),IFERROR(-VALUE(LEFT(E2552,FIND("º",SUBSTITUTE(E2552,"°","º"))-1)),-1),IF(LEFT(E2552,6)="TÉRREO",0,IFERROR(VALUE(LEFT(E2552,FIND("º",SUBSTITUTE(E2552,"°","º"))-1)),""))))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IF(E2553="","",IF(ISNUMBER(SEARCH("SUBSOLO",E2553)),IFERROR(-VALUE(LEFT(E2553,FIND("º",SUBSTITUTE(E2553,"°","º"))-1)),-1),IF(LEFT(E2553,6)="TÉRREO",0,IFERROR(VALUE(LEFT(E2553,FIND("º",SUBSTITUTE(E2553,"°","º"))-1)),""))))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IF(E2554="","",IF(ISNUMBER(SEARCH("SUBSOLO",E2554)),IFERROR(-VALUE(LEFT(E2554,FIND("º",SUBSTITUTE(E2554,"°","º"))-1)),-1),IF(LEFT(E2554,6)="TÉRREO",0,IFERROR(VALUE(LEFT(E2554,FIND("º",SUBSTITUTE(E2554,"°","º"))-1)),""))))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IF(E2555="","",IF(ISNUMBER(SEARCH("SUBSOLO",E2555)),IFERROR(-VALUE(LEFT(E2555,FIND("º",SUBSTITUTE(E2555,"°","º"))-1)),-1),IF(LEFT(E2555,6)="TÉRREO",0,IFERROR(VALUE(LEFT(E2555,FIND("º",SUBSTITUTE(E2555,"°","º"))-1)),""))))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IF(E2556="","",IF(ISNUMBER(SEARCH("SUBSOLO",E2556)),IFERROR(-VALUE(LEFT(E2556,FIND("º",SUBSTITUTE(E2556,"°","º"))-1)),-1),IF(LEFT(E2556,6)="TÉRREO",0,IFERROR(VALUE(LEFT(E2556,FIND("º",SUBSTITUTE(E2556,"°","º"))-1)),""))))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IF(E2557="","",IF(ISNUMBER(SEARCH("SUBSOLO",E2557)),IFERROR(-VALUE(LEFT(E2557,FIND("º",SUBSTITUTE(E2557,"°","º"))-1)),-1),IF(LEFT(E2557,6)="TÉRREO",0,IFERROR(VALUE(LEFT(E2557,FIND("º",SUBSTITUTE(E2557,"°","º"))-1)),""))))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IF(E2558="","",IF(ISNUMBER(SEARCH("SUBSOLO",E2558)),IFERROR(-VALUE(LEFT(E2558,FIND("º",SUBSTITUTE(E2558,"°","º"))-1)),-1),IF(LEFT(E2558,6)="TÉRREO",0,IFERROR(VALUE(LEFT(E2558,FIND("º",SUBSTITUTE(E2558,"°","º"))-1)),""))))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IF(E2559="","",IF(ISNUMBER(SEARCH("SUBSOLO",E2559)),IFERROR(-VALUE(LEFT(E2559,FIND("º",SUBSTITUTE(E2559,"°","º"))-1)),-1),IF(LEFT(E2559,6)="TÉRREO",0,IFERROR(VALUE(LEFT(E2559,FIND("º",SUBSTITUTE(E2559,"°","º"))-1)),""))))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IF(E2560="","",IF(ISNUMBER(SEARCH("SUBSOLO",E2560)),IFERROR(-VALUE(LEFT(E2560,FIND("º",SUBSTITUTE(E2560,"°","º"))-1)),-1),IF(LEFT(E2560,6)="TÉRREO",0,IFERROR(VALUE(LEFT(E2560,FIND("º",SUBSTITUTE(E2560,"°","º"))-1)),""))))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IF(E2561="","",IF(ISNUMBER(SEARCH("SUBSOLO",E2561)),IFERROR(-VALUE(LEFT(E2561,FIND("º",SUBSTITUTE(E2561,"°","º"))-1)),-1),IF(LEFT(E2561,6)="TÉRREO",0,IFERROR(VALUE(LEFT(E2561,FIND("º",SUBSTITUTE(E2561,"°","º"))-1)),""))))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IF(E2562="","",IF(ISNUMBER(SEARCH("SUBSOLO",E2562)),IFERROR(-VALUE(LEFT(E2562,FIND("º",SUBSTITUTE(E2562,"°","º"))-1)),-1),IF(LEFT(E2562,6)="TÉRREO",0,IFERROR(VALUE(LEFT(E2562,FIND("º",SUBSTITUTE(E2562,"°","º"))-1)),""))))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IF(E2563="","",IF(ISNUMBER(SEARCH("SUBSOLO",E2563)),IFERROR(-VALUE(LEFT(E2563,FIND("º",SUBSTITUTE(E2563,"°","º"))-1)),-1),IF(LEFT(E2563,6)="TÉRREO",0,IFERROR(VALUE(LEFT(E2563,FIND("º",SUBSTITUTE(E2563,"°","º"))-1)),""))))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IF(E2564="","",IF(ISNUMBER(SEARCH("SUBSOLO",E2564)),IFERROR(-VALUE(LEFT(E2564,FIND("º",SUBSTITUTE(E2564,"°","º"))-1)),-1),IF(LEFT(E2564,6)="TÉRREO",0,IFERROR(VALUE(LEFT(E2564,FIND("º",SUBSTITUTE(E2564,"°","º"))-1)),""))))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IF(E2565="","",IF(ISNUMBER(SEARCH("SUBSOLO",E2565)),IFERROR(-VALUE(LEFT(E2565,FIND("º",SUBSTITUTE(E2565,"°","º"))-1)),-1),IF(LEFT(E2565,6)="TÉRREO",0,IFERROR(VALUE(LEFT(E2565,FIND("º",SUBSTITUTE(E2565,"°","º"))-1)),""))))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IF(E2566="","",IF(ISNUMBER(SEARCH("SUBSOLO",E2566)),IFERROR(-VALUE(LEFT(E2566,FIND("º",SUBSTITUTE(E2566,"°","º"))-1)),-1),IF(LEFT(E2566,6)="TÉRREO",0,IFERROR(VALUE(LEFT(E2566,FIND("º",SUBSTITUTE(E2566,"°","º"))-1)),""))))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IF(E2567="","",IF(ISNUMBER(SEARCH("SUBSOLO",E2567)),IFERROR(-VALUE(LEFT(E2567,FIND("º",SUBSTITUTE(E2567,"°","º"))-1)),-1),IF(LEFT(E2567,6)="TÉRREO",0,IFERROR(VALUE(LEFT(E2567,FIND("º",SUBSTITUTE(E2567,"°","º"))-1)),""))))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IF(E2568="","",IF(ISNUMBER(SEARCH("SUBSOLO",E2568)),IFERROR(-VALUE(LEFT(E2568,FIND("º",SUBSTITUTE(E2568,"°","º"))-1)),-1),IF(LEFT(E2568,6)="TÉRREO",0,IFERROR(VALUE(LEFT(E2568,FIND("º",SUBSTITUTE(E2568,"°","º"))-1)),""))))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IF(E2569="","",IF(ISNUMBER(SEARCH("SUBSOLO",E2569)),IFERROR(-VALUE(LEFT(E2569,FIND("º",SUBSTITUTE(E2569,"°","º"))-1)),-1),IF(LEFT(E2569,6)="TÉRREO",0,IFERROR(VALUE(LEFT(E2569,FIND("º",SUBSTITUTE(E2569,"°","º"))-1)),""))))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IF(E2570="","",IF(ISNUMBER(SEARCH("SUBSOLO",E2570)),IFERROR(-VALUE(LEFT(E2570,FIND("º",SUBSTITUTE(E2570,"°","º"))-1)),-1),IF(LEFT(E2570,6)="TÉRREO",0,IFERROR(VALUE(LEFT(E2570,FIND("º",SUBSTITUTE(E2570,"°","º"))-1)),""))))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IF(E2571="","",IF(ISNUMBER(SEARCH("SUBSOLO",E2571)),IFERROR(-VALUE(LEFT(E2571,FIND("º",SUBSTITUTE(E2571,"°","º"))-1)),-1),IF(LEFT(E2571,6)="TÉRREO",0,IFERROR(VALUE(LEFT(E2571,FIND("º",SUBSTITUTE(E2571,"°","º"))-1)),""))))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IF(E2572="","",IF(ISNUMBER(SEARCH("SUBSOLO",E2572)),IFERROR(-VALUE(LEFT(E2572,FIND("º",SUBSTITUTE(E2572,"°","º"))-1)),-1),IF(LEFT(E2572,6)="TÉRREO",0,IFERROR(VALUE(LEFT(E2572,FIND("º",SUBSTITUTE(E2572,"°","º"))-1)),""))))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IF(E2573="","",IF(ISNUMBER(SEARCH("SUBSOLO",E2573)),IFERROR(-VALUE(LEFT(E2573,FIND("º",SUBSTITUTE(E2573,"°","º"))-1)),-1),IF(LEFT(E2573,6)="TÉRREO",0,IFERROR(VALUE(LEFT(E2573,FIND("º",SUBSTITUTE(E2573,"°","º"))-1)),""))))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IF(E2574="","",IF(ISNUMBER(SEARCH("SUBSOLO",E2574)),IFERROR(-VALUE(LEFT(E2574,FIND("º",SUBSTITUTE(E2574,"°","º"))-1)),-1),IF(LEFT(E2574,6)="TÉRREO",0,IFERROR(VALUE(LEFT(E2574,FIND("º",SUBSTITUTE(E2574,"°","º"))-1)),""))))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IF(E2575="","",IF(ISNUMBER(SEARCH("SUBSOLO",E2575)),IFERROR(-VALUE(LEFT(E2575,FIND("º",SUBSTITUTE(E2575,"°","º"))-1)),-1),IF(LEFT(E2575,6)="TÉRREO",0,IFERROR(VALUE(LEFT(E2575,FIND("º",SUBSTITUTE(E2575,"°","º"))-1)),""))))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IF(E2576="","",IF(ISNUMBER(SEARCH("SUBSOLO",E2576)),IFERROR(-VALUE(LEFT(E2576,FIND("º",SUBSTITUTE(E2576,"°","º"))-1)),-1),IF(LEFT(E2576,6)="TÉRREO",0,IFERROR(VALUE(LEFT(E2576,FIND("º",SUBSTITUTE(E2576,"°","º"))-1)),""))))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IF(E2577="","",IF(ISNUMBER(SEARCH("SUBSOLO",E2577)),IFERROR(-VALUE(LEFT(E2577,FIND("º",SUBSTITUTE(E2577,"°","º"))-1)),-1),IF(LEFT(E2577,6)="TÉRREO",0,IFERROR(VALUE(LEFT(E2577,FIND("º",SUBSTITUTE(E2577,"°","º"))-1)),""))))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IF(E2578="","",IF(ISNUMBER(SEARCH("SUBSOLO",E2578)),IFERROR(-VALUE(LEFT(E2578,FIND("º",SUBSTITUTE(E2578,"°","º"))-1)),-1),IF(LEFT(E2578,6)="TÉRREO",0,IFERROR(VALUE(LEFT(E2578,FIND("º",SUBSTITUTE(E2578,"°","º"))-1)),""))))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IF(E2579="","",IF(ISNUMBER(SEARCH("SUBSOLO",E2579)),IFERROR(-VALUE(LEFT(E2579,FIND("º",SUBSTITUTE(E2579,"°","º"))-1)),-1),IF(LEFT(E2579,6)="TÉRREO",0,IFERROR(VALUE(LEFT(E2579,FIND("º",SUBSTITUTE(E2579,"°","º"))-1)),""))))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IF(E2580="","",IF(ISNUMBER(SEARCH("SUBSOLO",E2580)),IFERROR(-VALUE(LEFT(E2580,FIND("º",SUBSTITUTE(E2580,"°","º"))-1)),-1),IF(LEFT(E2580,6)="TÉRREO",0,IFERROR(VALUE(LEFT(E2580,FIND("º",SUBSTITUTE(E2580,"°","º"))-1)),""))))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IF(E2581="","",IF(ISNUMBER(SEARCH("SUBSOLO",E2581)),IFERROR(-VALUE(LEFT(E2581,FIND("º",SUBSTITUTE(E2581,"°","º"))-1)),-1),IF(LEFT(E2581,6)="TÉRREO",0,IFERROR(VALUE(LEFT(E2581,FIND("º",SUBSTITUTE(E2581,"°","º"))-1)),""))))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IF(E2582="","",IF(ISNUMBER(SEARCH("SUBSOLO",E2582)),IFERROR(-VALUE(LEFT(E2582,FIND("º",SUBSTITUTE(E2582,"°","º"))-1)),-1),IF(LEFT(E2582,6)="TÉRREO",0,IFERROR(VALUE(LEFT(E2582,FIND("º",SUBSTITUTE(E2582,"°","º"))-1)),""))))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IF(E2583="","",IF(ISNUMBER(SEARCH("SUBSOLO",E2583)),IFERROR(-VALUE(LEFT(E2583,FIND("º",SUBSTITUTE(E2583,"°","º"))-1)),-1),IF(LEFT(E2583,6)="TÉRREO",0,IFERROR(VALUE(LEFT(E2583,FIND("º",SUBSTITUTE(E2583,"°","º"))-1)),""))))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IF(E2584="","",IF(ISNUMBER(SEARCH("SUBSOLO",E2584)),IFERROR(-VALUE(LEFT(E2584,FIND("º",SUBSTITUTE(E2584,"°","º"))-1)),-1),IF(LEFT(E2584,6)="TÉRREO",0,IFERROR(VALUE(LEFT(E2584,FIND("º",SUBSTITUTE(E2584,"°","º"))-1)),""))))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IF(E2585="","",IF(ISNUMBER(SEARCH("SUBSOLO",E2585)),IFERROR(-VALUE(LEFT(E2585,FIND("º",SUBSTITUTE(E2585,"°","º"))-1)),-1),IF(LEFT(E2585,6)="TÉRREO",0,IFERROR(VALUE(LEFT(E2585,FIND("º",SUBSTITUTE(E2585,"°","º"))-1)),""))))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IF(E2586="","",IF(ISNUMBER(SEARCH("SUBSOLO",E2586)),IFERROR(-VALUE(LEFT(E2586,FIND("º",SUBSTITUTE(E2586,"°","º"))-1)),-1),IF(LEFT(E2586,6)="TÉRREO",0,IFERROR(VALUE(LEFT(E2586,FIND("º",SUBSTITUTE(E2586,"°","º"))-1)),""))))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IF(E2587="","",IF(ISNUMBER(SEARCH("SUBSOLO",E2587)),IFERROR(-VALUE(LEFT(E2587,FIND("º",SUBSTITUTE(E2587,"°","º"))-1)),-1),IF(LEFT(E2587,6)="TÉRREO",0,IFERROR(VALUE(LEFT(E2587,FIND("º",SUBSTITUTE(E2587,"°","º"))-1)),""))))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IF(E2588="","",IF(ISNUMBER(SEARCH("SUBSOLO",E2588)),IFERROR(-VALUE(LEFT(E2588,FIND("º",SUBSTITUTE(E2588,"°","º"))-1)),-1),IF(LEFT(E2588,6)="TÉRREO",0,IFERROR(VALUE(LEFT(E2588,FIND("º",SUBSTITUTE(E2588,"°","º"))-1)),""))))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IF(E2589="","",IF(ISNUMBER(SEARCH("SUBSOLO",E2589)),IFERROR(-VALUE(LEFT(E2589,FIND("º",SUBSTITUTE(E2589,"°","º"))-1)),-1),IF(LEFT(E2589,6)="TÉRREO",0,IFERROR(VALUE(LEFT(E2589,FIND("º",SUBSTITUTE(E2589,"°","º"))-1)),""))))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IF(E2590="","",IF(ISNUMBER(SEARCH("SUBSOLO",E2590)),IFERROR(-VALUE(LEFT(E2590,FIND("º",SUBSTITUTE(E2590,"°","º"))-1)),-1),IF(LEFT(E2590,6)="TÉRREO",0,IFERROR(VALUE(LEFT(E2590,FIND("º",SUBSTITUTE(E2590,"°","º"))-1)),""))))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IF(E2591="","",IF(ISNUMBER(SEARCH("SUBSOLO",E2591)),IFERROR(-VALUE(LEFT(E2591,FIND("º",SUBSTITUTE(E2591,"°","º"))-1)),-1),IF(LEFT(E2591,6)="TÉRREO",0,IFERROR(VALUE(LEFT(E2591,FIND("º",SUBSTITUTE(E2591,"°","º"))-1)),""))))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IF(E2592="","",IF(ISNUMBER(SEARCH("SUBSOLO",E2592)),IFERROR(-VALUE(LEFT(E2592,FIND("º",SUBSTITUTE(E2592,"°","º"))-1)),-1),IF(LEFT(E2592,6)="TÉRREO",0,IFERROR(VALUE(LEFT(E2592,FIND("º",SUBSTITUTE(E2592,"°","º"))-1)),""))))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IF(E2593="","",IF(ISNUMBER(SEARCH("SUBSOLO",E2593)),IFERROR(-VALUE(LEFT(E2593,FIND("º",SUBSTITUTE(E2593,"°","º"))-1)),-1),IF(LEFT(E2593,6)="TÉRREO",0,IFERROR(VALUE(LEFT(E2593,FIND("º",SUBSTITUTE(E2593,"°","º"))-1)),""))))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IF(E2594="","",IF(ISNUMBER(SEARCH("SUBSOLO",E2594)),IFERROR(-VALUE(LEFT(E2594,FIND("º",SUBSTITUTE(E2594,"°","º"))-1)),-1),IF(LEFT(E2594,6)="TÉRREO",0,IFERROR(VALUE(LEFT(E2594,FIND("º",SUBSTITUTE(E2594,"°","º"))-1)),""))))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IF(E2595="","",IF(ISNUMBER(SEARCH("SUBSOLO",E2595)),IFERROR(-VALUE(LEFT(E2595,FIND("º",SUBSTITUTE(E2595,"°","º"))-1)),-1),IF(LEFT(E2595,6)="TÉRREO",0,IFERROR(VALUE(LEFT(E2595,FIND("º",SUBSTITUTE(E2595,"°","º"))-1)),""))))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IF(E2596="","",IF(ISNUMBER(SEARCH("SUBSOLO",E2596)),IFERROR(-VALUE(LEFT(E2596,FIND("º",SUBSTITUTE(E2596,"°","º"))-1)),-1),IF(LEFT(E2596,6)="TÉRREO",0,IFERROR(VALUE(LEFT(E2596,FIND("º",SUBSTITUTE(E2596,"°","º"))-1)),""))))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IF(E2597="","",IF(ISNUMBER(SEARCH("SUBSOLO",E2597)),IFERROR(-VALUE(LEFT(E2597,FIND("º",SUBSTITUTE(E2597,"°","º"))-1)),-1),IF(LEFT(E2597,6)="TÉRREO",0,IFERROR(VALUE(LEFT(E2597,FIND("º",SUBSTITUTE(E2597,"°","º"))-1)),""))))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IF(E2598="","",IF(ISNUMBER(SEARCH("SUBSOLO",E2598)),IFERROR(-VALUE(LEFT(E2598,FIND("º",SUBSTITUTE(E2598,"°","º"))-1)),-1),IF(LEFT(E2598,6)="TÉRREO",0,IFERROR(VALUE(LEFT(E2598,FIND("º",SUBSTITUTE(E2598,"°","º"))-1)),""))))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IF(E2599="","",IF(ISNUMBER(SEARCH("SUBSOLO",E2599)),IFERROR(-VALUE(LEFT(E2599,FIND("º",SUBSTITUTE(E2599,"°","º"))-1)),-1),IF(LEFT(E2599,6)="TÉRREO",0,IFERROR(VALUE(LEFT(E2599,FIND("º",SUBSTITUTE(E2599,"°","º"))-1)),""))))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IF(E2600="","",IF(ISNUMBER(SEARCH("SUBSOLO",E2600)),IFERROR(-VALUE(LEFT(E2600,FIND("º",SUBSTITUTE(E2600,"°","º"))-1)),-1),IF(LEFT(E2600,6)="TÉRREO",0,IFERROR(VALUE(LEFT(E2600,FIND("º",SUBSTITUTE(E2600,"°","º"))-1)),""))))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IF(E2601="","",IF(ISNUMBER(SEARCH("SUBSOLO",E2601)),IFERROR(-VALUE(LEFT(E2601,FIND("º",SUBSTITUTE(E2601,"°","º"))-1)),-1),IF(LEFT(E2601,6)="TÉRREO",0,IFERROR(VALUE(LEFT(E2601,FIND("º",SUBSTITUTE(E2601,"°","º"))-1)),""))))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IF(E2602="","",IF(ISNUMBER(SEARCH("SUBSOLO",E2602)),IFERROR(-VALUE(LEFT(E2602,FIND("º",SUBSTITUTE(E2602,"°","º"))-1)),-1),IF(LEFT(E2602,6)="TÉRREO",0,IFERROR(VALUE(LEFT(E2602,FIND("º",SUBSTITUTE(E2602,"°","º"))-1)),""))))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IF(E2603="","",IF(ISNUMBER(SEARCH("SUBSOLO",E2603)),IFERROR(-VALUE(LEFT(E2603,FIND("º",SUBSTITUTE(E2603,"°","º"))-1)),-1),IF(LEFT(E2603,6)="TÉRREO",0,IFERROR(VALUE(LEFT(E2603,FIND("º",SUBSTITUTE(E2603,"°","º"))-1)),""))))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IF(E2604="","",IF(ISNUMBER(SEARCH("SUBSOLO",E2604)),IFERROR(-VALUE(LEFT(E2604,FIND("º",SUBSTITUTE(E2604,"°","º"))-1)),-1),IF(LEFT(E2604,6)="TÉRREO",0,IFERROR(VALUE(LEFT(E2604,FIND("º",SUBSTITUTE(E2604,"°","º"))-1)),""))))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IF(E2605="","",IF(ISNUMBER(SEARCH("SUBSOLO",E2605)),IFERROR(-VALUE(LEFT(E2605,FIND("º",SUBSTITUTE(E2605,"°","º"))-1)),-1),IF(LEFT(E2605,6)="TÉRREO",0,IFERROR(VALUE(LEFT(E2605,FIND("º",SUBSTITUTE(E2605,"°","º"))-1)),""))))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IF(E2606="","",IF(ISNUMBER(SEARCH("SUBSOLO",E2606)),IFERROR(-VALUE(LEFT(E2606,FIND("º",SUBSTITUTE(E2606,"°","º"))-1)),-1),IF(LEFT(E2606,6)="TÉRREO",0,IFERROR(VALUE(LEFT(E2606,FIND("º",SUBSTITUTE(E2606,"°","º"))-1)),""))))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IF(E2607="","",IF(ISNUMBER(SEARCH("SUBSOLO",E2607)),IFERROR(-VALUE(LEFT(E2607,FIND("º",SUBSTITUTE(E2607,"°","º"))-1)),-1),IF(LEFT(E2607,6)="TÉRREO",0,IFERROR(VALUE(LEFT(E2607,FIND("º",SUBSTITUTE(E2607,"°","º"))-1)),""))))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IF(E2608="","",IF(ISNUMBER(SEARCH("SUBSOLO",E2608)),IFERROR(-VALUE(LEFT(E2608,FIND("º",SUBSTITUTE(E2608,"°","º"))-1)),-1),IF(LEFT(E2608,6)="TÉRREO",0,IFERROR(VALUE(LEFT(E2608,FIND("º",SUBSTITUTE(E2608,"°","º"))-1)),""))))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IF(E2609="","",IF(ISNUMBER(SEARCH("SUBSOLO",E2609)),IFERROR(-VALUE(LEFT(E2609,FIND("º",SUBSTITUTE(E2609,"°","º"))-1)),-1),IF(LEFT(E2609,6)="TÉRREO",0,IFERROR(VALUE(LEFT(E2609,FIND("º",SUBSTITUTE(E2609,"°","º"))-1)),""))))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IF(E2610="","",IF(ISNUMBER(SEARCH("SUBSOLO",E2610)),IFERROR(-VALUE(LEFT(E2610,FIND("º",SUBSTITUTE(E2610,"°","º"))-1)),-1),IF(LEFT(E2610,6)="TÉRREO",0,IFERROR(VALUE(LEFT(E2610,FIND("º",SUBSTITUTE(E2610,"°","º"))-1)),""))))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IF(E2611="","",IF(ISNUMBER(SEARCH("SUBSOLO",E2611)),IFERROR(-VALUE(LEFT(E2611,FIND("º",SUBSTITUTE(E2611,"°","º"))-1)),-1),IF(LEFT(E2611,6)="TÉRREO",0,IFERROR(VALUE(LEFT(E2611,FIND("º",SUBSTITUTE(E2611,"°","º"))-1)),""))))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IF(E2612="","",IF(ISNUMBER(SEARCH("SUBSOLO",E2612)),IFERROR(-VALUE(LEFT(E2612,FIND("º",SUBSTITUTE(E2612,"°","º"))-1)),-1),IF(LEFT(E2612,6)="TÉRREO",0,IFERROR(VALUE(LEFT(E2612,FIND("º",SUBSTITUTE(E2612,"°","º"))-1)),""))))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IF(E2613="","",IF(ISNUMBER(SEARCH("SUBSOLO",E2613)),IFERROR(-VALUE(LEFT(E2613,FIND("º",SUBSTITUTE(E2613,"°","º"))-1)),-1),IF(LEFT(E2613,6)="TÉRREO",0,IFERROR(VALUE(LEFT(E2613,FIND("º",SUBSTITUTE(E2613,"°","º"))-1)),""))))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IF(E2614="","",IF(ISNUMBER(SEARCH("SUBSOLO",E2614)),IFERROR(-VALUE(LEFT(E2614,FIND("º",SUBSTITUTE(E2614,"°","º"))-1)),-1),IF(LEFT(E2614,6)="TÉRREO",0,IFERROR(VALUE(LEFT(E2614,FIND("º",SUBSTITUTE(E2614,"°","º"))-1)),""))))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IF(E2615="","",IF(ISNUMBER(SEARCH("SUBSOLO",E2615)),IFERROR(-VALUE(LEFT(E2615,FIND("º",SUBSTITUTE(E2615,"°","º"))-1)),-1),IF(LEFT(E2615,6)="TÉRREO",0,IFERROR(VALUE(LEFT(E2615,FIND("º",SUBSTITUTE(E2615,"°","º"))-1)),""))))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IF(E2616="","",IF(ISNUMBER(SEARCH("SUBSOLO",E2616)),IFERROR(-VALUE(LEFT(E2616,FIND("º",SUBSTITUTE(E2616,"°","º"))-1)),-1),IF(LEFT(E2616,6)="TÉRREO",0,IFERROR(VALUE(LEFT(E2616,FIND("º",SUBSTITUTE(E2616,"°","º"))-1)),""))))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IF(E2617="","",IF(ISNUMBER(SEARCH("SUBSOLO",E2617)),IFERROR(-VALUE(LEFT(E2617,FIND("º",SUBSTITUTE(E2617,"°","º"))-1)),-1),IF(LEFT(E2617,6)="TÉRREO",0,IFERROR(VALUE(LEFT(E2617,FIND("º",SUBSTITUTE(E2617,"°","º"))-1)),""))))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IF(E2618="","",IF(ISNUMBER(SEARCH("SUBSOLO",E2618)),IFERROR(-VALUE(LEFT(E2618,FIND("º",SUBSTITUTE(E2618,"°","º"))-1)),-1),IF(LEFT(E2618,6)="TÉRREO",0,IFERROR(VALUE(LEFT(E2618,FIND("º",SUBSTITUTE(E2618,"°","º"))-1)),""))))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IF(E2619="","",IF(ISNUMBER(SEARCH("SUBSOLO",E2619)),IFERROR(-VALUE(LEFT(E2619,FIND("º",SUBSTITUTE(E2619,"°","º"))-1)),-1),IF(LEFT(E2619,6)="TÉRREO",0,IFERROR(VALUE(LEFT(E2619,FIND("º",SUBSTITUTE(E2619,"°","º"))-1)),""))))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IF(E2620="","",IF(ISNUMBER(SEARCH("SUBSOLO",E2620)),IFERROR(-VALUE(LEFT(E2620,FIND("º",SUBSTITUTE(E2620,"°","º"))-1)),-1),IF(LEFT(E2620,6)="TÉRREO",0,IFERROR(VALUE(LEFT(E2620,FIND("º",SUBSTITUTE(E2620,"°","º"))-1)),""))))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IF(E2621="","",IF(ISNUMBER(SEARCH("SUBSOLO",E2621)),IFERROR(-VALUE(LEFT(E2621,FIND("º",SUBSTITUTE(E2621,"°","º"))-1)),-1),IF(LEFT(E2621,6)="TÉRREO",0,IFERROR(VALUE(LEFT(E2621,FIND("º",SUBSTITUTE(E2621,"°","º"))-1)),""))))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IF(E2622="","",IF(ISNUMBER(SEARCH("SUBSOLO",E2622)),IFERROR(-VALUE(LEFT(E2622,FIND("º",SUBSTITUTE(E2622,"°","º"))-1)),-1),IF(LEFT(E2622,6)="TÉRREO",0,IFERROR(VALUE(LEFT(E2622,FIND("º",SUBSTITUTE(E2622,"°","º"))-1)),""))))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IF(E2623="","",IF(ISNUMBER(SEARCH("SUBSOLO",E2623)),IFERROR(-VALUE(LEFT(E2623,FIND("º",SUBSTITUTE(E2623,"°","º"))-1)),-1),IF(LEFT(E2623,6)="TÉRREO",0,IFERROR(VALUE(LEFT(E2623,FIND("º",SUBSTITUTE(E2623,"°","º"))-1)),""))))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IF(E2624="","",IF(ISNUMBER(SEARCH("SUBSOLO",E2624)),IFERROR(-VALUE(LEFT(E2624,FIND("º",SUBSTITUTE(E2624,"°","º"))-1)),-1),IF(LEFT(E2624,6)="TÉRREO",0,IFERROR(VALUE(LEFT(E2624,FIND("º",SUBSTITUTE(E2624,"°","º"))-1)),""))))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IF(E2625="","",IF(ISNUMBER(SEARCH("SUBSOLO",E2625)),IFERROR(-VALUE(LEFT(E2625,FIND("º",SUBSTITUTE(E2625,"°","º"))-1)),-1),IF(LEFT(E2625,6)="TÉRREO",0,IFERROR(VALUE(LEFT(E2625,FIND("º",SUBSTITUTE(E2625,"°","º"))-1)),""))))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IF(E2626="","",IF(ISNUMBER(SEARCH("SUBSOLO",E2626)),IFERROR(-VALUE(LEFT(E2626,FIND("º",SUBSTITUTE(E2626,"°","º"))-1)),-1),IF(LEFT(E2626,6)="TÉRREO",0,IFERROR(VALUE(LEFT(E2626,FIND("º",SUBSTITUTE(E2626,"°","º"))-1)),""))))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IF(E2627="","",IF(ISNUMBER(SEARCH("SUBSOLO",E2627)),IFERROR(-VALUE(LEFT(E2627,FIND("º",SUBSTITUTE(E2627,"°","º"))-1)),-1),IF(LEFT(E2627,6)="TÉRREO",0,IFERROR(VALUE(LEFT(E2627,FIND("º",SUBSTITUTE(E2627,"°","º"))-1)),""))))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IF(E2628="","",IF(ISNUMBER(SEARCH("SUBSOLO",E2628)),IFERROR(-VALUE(LEFT(E2628,FIND("º",SUBSTITUTE(E2628,"°","º"))-1)),-1),IF(LEFT(E2628,6)="TÉRREO",0,IFERROR(VALUE(LEFT(E2628,FIND("º",SUBSTITUTE(E2628,"°","º"))-1)),""))))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IF(E2629="","",IF(ISNUMBER(SEARCH("SUBSOLO",E2629)),IFERROR(-VALUE(LEFT(E2629,FIND("º",SUBSTITUTE(E2629,"°","º"))-1)),-1),IF(LEFT(E2629,6)="TÉRREO",0,IFERROR(VALUE(LEFT(E2629,FIND("º",SUBSTITUTE(E2629,"°","º"))-1)),""))))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IF(E2630="","",IF(ISNUMBER(SEARCH("SUBSOLO",E2630)),IFERROR(-VALUE(LEFT(E2630,FIND("º",SUBSTITUTE(E2630,"°","º"))-1)),-1),IF(LEFT(E2630,6)="TÉRREO",0,IFERROR(VALUE(LEFT(E2630,FIND("º",SUBSTITUTE(E2630,"°","º"))-1)),""))))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IF(E2631="","",IF(ISNUMBER(SEARCH("SUBSOLO",E2631)),IFERROR(-VALUE(LEFT(E2631,FIND("º",SUBSTITUTE(E2631,"°","º"))-1)),-1),IF(LEFT(E2631,6)="TÉRREO",0,IFERROR(VALUE(LEFT(E2631,FIND("º",SUBSTITUTE(E2631,"°","º"))-1)),""))))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IF(E2632="","",IF(ISNUMBER(SEARCH("SUBSOLO",E2632)),IFERROR(-VALUE(LEFT(E2632,FIND("º",SUBSTITUTE(E2632,"°","º"))-1)),-1),IF(LEFT(E2632,6)="TÉRREO",0,IFERROR(VALUE(LEFT(E2632,FIND("º",SUBSTITUTE(E2632,"°","º"))-1)),""))))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IF(E2633="","",IF(ISNUMBER(SEARCH("SUBSOLO",E2633)),IFERROR(-VALUE(LEFT(E2633,FIND("º",SUBSTITUTE(E2633,"°","º"))-1)),-1),IF(LEFT(E2633,6)="TÉRREO",0,IFERROR(VALUE(LEFT(E2633,FIND("º",SUBSTITUTE(E2633,"°","º"))-1)),""))))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IF(E2634="","",IF(ISNUMBER(SEARCH("SUBSOLO",E2634)),IFERROR(-VALUE(LEFT(E2634,FIND("º",SUBSTITUTE(E2634,"°","º"))-1)),-1),IF(LEFT(E2634,6)="TÉRREO",0,IFERROR(VALUE(LEFT(E2634,FIND("º",SUBSTITUTE(E2634,"°","º"))-1)),""))))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IF(E2635="","",IF(ISNUMBER(SEARCH("SUBSOLO",E2635)),IFERROR(-VALUE(LEFT(E2635,FIND("º",SUBSTITUTE(E2635,"°","º"))-1)),-1),IF(LEFT(E2635,6)="TÉRREO",0,IFERROR(VALUE(LEFT(E2635,FIND("º",SUBSTITUTE(E2635,"°","º"))-1)),""))))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IF(E2636="","",IF(ISNUMBER(SEARCH("SUBSOLO",E2636)),IFERROR(-VALUE(LEFT(E2636,FIND("º",SUBSTITUTE(E2636,"°","º"))-1)),-1),IF(LEFT(E2636,6)="TÉRREO",0,IFERROR(VALUE(LEFT(E2636,FIND("º",SUBSTITUTE(E2636,"°","º"))-1)),""))))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IF(E2637="","",IF(ISNUMBER(SEARCH("SUBSOLO",E2637)),IFERROR(-VALUE(LEFT(E2637,FIND("º",SUBSTITUTE(E2637,"°","º"))-1)),-1),IF(LEFT(E2637,6)="TÉRREO",0,IFERROR(VALUE(LEFT(E2637,FIND("º",SUBSTITUTE(E2637,"°","º"))-1)),""))))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IF(E2638="","",IF(ISNUMBER(SEARCH("SUBSOLO",E2638)),IFERROR(-VALUE(LEFT(E2638,FIND("º",SUBSTITUTE(E2638,"°","º"))-1)),-1),IF(LEFT(E2638,6)="TÉRREO",0,IFERROR(VALUE(LEFT(E2638,FIND("º",SUBSTITUTE(E2638,"°","º"))-1)),""))))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IF(E2639="","",IF(ISNUMBER(SEARCH("SUBSOLO",E2639)),IFERROR(-VALUE(LEFT(E2639,FIND("º",SUBSTITUTE(E2639,"°","º"))-1)),-1),IF(LEFT(E2639,6)="TÉRREO",0,IFERROR(VALUE(LEFT(E2639,FIND("º",SUBSTITUTE(E2639,"°","º"))-1)),""))))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IF(E2640="","",IF(ISNUMBER(SEARCH("SUBSOLO",E2640)),IFERROR(-VALUE(LEFT(E2640,FIND("º",SUBSTITUTE(E2640,"°","º"))-1)),-1),IF(LEFT(E2640,6)="TÉRREO",0,IFERROR(VALUE(LEFT(E2640,FIND("º",SUBSTITUTE(E2640,"°","º"))-1)),""))))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IF(E2641="","",IF(ISNUMBER(SEARCH("SUBSOLO",E2641)),IFERROR(-VALUE(LEFT(E2641,FIND("º",SUBSTITUTE(E2641,"°","º"))-1)),-1),IF(LEFT(E2641,6)="TÉRREO",0,IFERROR(VALUE(LEFT(E2641,FIND("º",SUBSTITUTE(E2641,"°","º"))-1)),""))))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IF(E2642="","",IF(ISNUMBER(SEARCH("SUBSOLO",E2642)),IFERROR(-VALUE(LEFT(E2642,FIND("º",SUBSTITUTE(E2642,"°","º"))-1)),-1),IF(LEFT(E2642,6)="TÉRREO",0,IFERROR(VALUE(LEFT(E2642,FIND("º",SUBSTITUTE(E2642,"°","º"))-1)),""))))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IF(E2643="","",IF(ISNUMBER(SEARCH("SUBSOLO",E2643)),IFERROR(-VALUE(LEFT(E2643,FIND("º",SUBSTITUTE(E2643,"°","º"))-1)),-1),IF(LEFT(E2643,6)="TÉRREO",0,IFERROR(VALUE(LEFT(E2643,FIND("º",SUBSTITUTE(E2643,"°","º"))-1)),""))))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IF(E2644="","",IF(ISNUMBER(SEARCH("SUBSOLO",E2644)),IFERROR(-VALUE(LEFT(E2644,FIND("º",SUBSTITUTE(E2644,"°","º"))-1)),-1),IF(LEFT(E2644,6)="TÉRREO",0,IFERROR(VALUE(LEFT(E2644,FIND("º",SUBSTITUTE(E2644,"°","º"))-1)),""))))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IF(E2645="","",IF(ISNUMBER(SEARCH("SUBSOLO",E2645)),IFERROR(-VALUE(LEFT(E2645,FIND("º",SUBSTITUTE(E2645,"°","º"))-1)),-1),IF(LEFT(E2645,6)="TÉRREO",0,IFERROR(VALUE(LEFT(E2645,FIND("º",SUBSTITUTE(E2645,"°","º"))-1)),""))))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IF(E2646="","",IF(ISNUMBER(SEARCH("SUBSOLO",E2646)),IFERROR(-VALUE(LEFT(E2646,FIND("º",SUBSTITUTE(E2646,"°","º"))-1)),-1),IF(LEFT(E2646,6)="TÉRREO",0,IFERROR(VALUE(LEFT(E2646,FIND("º",SUBSTITUTE(E2646,"°","º"))-1)),""))))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IF(E2647="","",IF(ISNUMBER(SEARCH("SUBSOLO",E2647)),IFERROR(-VALUE(LEFT(E2647,FIND("º",SUBSTITUTE(E2647,"°","º"))-1)),-1),IF(LEFT(E2647,6)="TÉRREO",0,IFERROR(VALUE(LEFT(E2647,FIND("º",SUBSTITUTE(E2647,"°","º"))-1)),""))))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IF(E2648="","",IF(ISNUMBER(SEARCH("SUBSOLO",E2648)),IFERROR(-VALUE(LEFT(E2648,FIND("º",SUBSTITUTE(E2648,"°","º"))-1)),-1),IF(LEFT(E2648,6)="TÉRREO",0,IFERROR(VALUE(LEFT(E2648,FIND("º",SUBSTITUTE(E2648,"°","º"))-1)),""))))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IF(E2649="","",IF(ISNUMBER(SEARCH("SUBSOLO",E2649)),IFERROR(-VALUE(LEFT(E2649,FIND("º",SUBSTITUTE(E2649,"°","º"))-1)),-1),IF(LEFT(E2649,6)="TÉRREO",0,IFERROR(VALUE(LEFT(E2649,FIND("º",SUBSTITUTE(E2649,"°","º"))-1)),""))))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IF(E2650="","",IF(ISNUMBER(SEARCH("SUBSOLO",E2650)),IFERROR(-VALUE(LEFT(E2650,FIND("º",SUBSTITUTE(E2650,"°","º"))-1)),-1),IF(LEFT(E2650,6)="TÉRREO",0,IFERROR(VALUE(LEFT(E2650,FIND("º",SUBSTITUTE(E2650,"°","º"))-1)),""))))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IF(E2651="","",IF(ISNUMBER(SEARCH("SUBSOLO",E2651)),IFERROR(-VALUE(LEFT(E2651,FIND("º",SUBSTITUTE(E2651,"°","º"))-1)),-1),IF(LEFT(E2651,6)="TÉRREO",0,IFERROR(VALUE(LEFT(E2651,FIND("º",SUBSTITUTE(E2651,"°","º"))-1)),""))))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IF(E2652="","",IF(ISNUMBER(SEARCH("SUBSOLO",E2652)),IFERROR(-VALUE(LEFT(E2652,FIND("º",SUBSTITUTE(E2652,"°","º"))-1)),-1),IF(LEFT(E2652,6)="TÉRREO",0,IFERROR(VALUE(LEFT(E2652,FIND("º",SUBSTITUTE(E2652,"°","º"))-1)),""))))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IF(E2653="","",IF(ISNUMBER(SEARCH("SUBSOLO",E2653)),IFERROR(-VALUE(LEFT(E2653,FIND("º",SUBSTITUTE(E2653,"°","º"))-1)),-1),IF(LEFT(E2653,6)="TÉRREO",0,IFERROR(VALUE(LEFT(E2653,FIND("º",SUBSTITUTE(E2653,"°","º"))-1)),""))))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IF(E2654="","",IF(ISNUMBER(SEARCH("SUBSOLO",E2654)),IFERROR(-VALUE(LEFT(E2654,FIND("º",SUBSTITUTE(E2654,"°","º"))-1)),-1),IF(LEFT(E2654,6)="TÉRREO",0,IFERROR(VALUE(LEFT(E2654,FIND("º",SUBSTITUTE(E2654,"°","º"))-1)),""))))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IF(E2655="","",IF(ISNUMBER(SEARCH("SUBSOLO",E2655)),IFERROR(-VALUE(LEFT(E2655,FIND("º",SUBSTITUTE(E2655,"°","º"))-1)),-1),IF(LEFT(E2655,6)="TÉRREO",0,IFERROR(VALUE(LEFT(E2655,FIND("º",SUBSTITUTE(E2655,"°","º"))-1)),""))))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IF(E2656="","",IF(ISNUMBER(SEARCH("SUBSOLO",E2656)),IFERROR(-VALUE(LEFT(E2656,FIND("º",SUBSTITUTE(E2656,"°","º"))-1)),-1),IF(LEFT(E2656,6)="TÉRREO",0,IFERROR(VALUE(LEFT(E2656,FIND("º",SUBSTITUTE(E2656,"°","º"))-1)),""))))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IF(E2657="","",IF(ISNUMBER(SEARCH("SUBSOLO",E2657)),IFERROR(-VALUE(LEFT(E2657,FIND("º",SUBSTITUTE(E2657,"°","º"))-1)),-1),IF(LEFT(E2657,6)="TÉRREO",0,IFERROR(VALUE(LEFT(E2657,FIND("º",SUBSTITUTE(E2657,"°","º"))-1)),""))))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IF(E2658="","",IF(ISNUMBER(SEARCH("SUBSOLO",E2658)),IFERROR(-VALUE(LEFT(E2658,FIND("º",SUBSTITUTE(E2658,"°","º"))-1)),-1),IF(LEFT(E2658,6)="TÉRREO",0,IFERROR(VALUE(LEFT(E2658,FIND("º",SUBSTITUTE(E2658,"°","º"))-1)),""))))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IF(E2659="","",IF(ISNUMBER(SEARCH("SUBSOLO",E2659)),IFERROR(-VALUE(LEFT(E2659,FIND("º",SUBSTITUTE(E2659,"°","º"))-1)),-1),IF(LEFT(E2659,6)="TÉRREO",0,IFERROR(VALUE(LEFT(E2659,FIND("º",SUBSTITUTE(E2659,"°","º"))-1)),""))))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IF(E2660="","",IF(ISNUMBER(SEARCH("SUBSOLO",E2660)),IFERROR(-VALUE(LEFT(E2660,FIND("º",SUBSTITUTE(E2660,"°","º"))-1)),-1),IF(LEFT(E2660,6)="TÉRREO",0,IFERROR(VALUE(LEFT(E2660,FIND("º",SUBSTITUTE(E2660,"°","º"))-1)),""))))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IF(E2661="","",IF(ISNUMBER(SEARCH("SUBSOLO",E2661)),IFERROR(-VALUE(LEFT(E2661,FIND("º",SUBSTITUTE(E2661,"°","º"))-1)),-1),IF(LEFT(E2661,6)="TÉRREO",0,IFERROR(VALUE(LEFT(E2661,FIND("º",SUBSTITUTE(E2661,"°","º"))-1)),""))))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IF(E2662="","",IF(ISNUMBER(SEARCH("SUBSOLO",E2662)),IFERROR(-VALUE(LEFT(E2662,FIND("º",SUBSTITUTE(E2662,"°","º"))-1)),-1),IF(LEFT(E2662,6)="TÉRREO",0,IFERROR(VALUE(LEFT(E2662,FIND("º",SUBSTITUTE(E2662,"°","º"))-1)),""))))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IF(E2663="","",IF(ISNUMBER(SEARCH("SUBSOLO",E2663)),IFERROR(-VALUE(LEFT(E2663,FIND("º",SUBSTITUTE(E2663,"°","º"))-1)),-1),IF(LEFT(E2663,6)="TÉRREO",0,IFERROR(VALUE(LEFT(E2663,FIND("º",SUBSTITUTE(E2663,"°","º"))-1)),""))))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IF(E2664="","",IF(ISNUMBER(SEARCH("SUBSOLO",E2664)),IFERROR(-VALUE(LEFT(E2664,FIND("º",SUBSTITUTE(E2664,"°","º"))-1)),-1),IF(LEFT(E2664,6)="TÉRREO",0,IFERROR(VALUE(LEFT(E2664,FIND("º",SUBSTITUTE(E2664,"°","º"))-1)),""))))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IF(E2665="","",IF(ISNUMBER(SEARCH("SUBSOLO",E2665)),IFERROR(-VALUE(LEFT(E2665,FIND("º",SUBSTITUTE(E2665,"°","º"))-1)),-1),IF(LEFT(E2665,6)="TÉRREO",0,IFERROR(VALUE(LEFT(E2665,FIND("º",SUBSTITUTE(E2665,"°","º"))-1)),""))))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IF(E2666="","",IF(ISNUMBER(SEARCH("SUBSOLO",E2666)),IFERROR(-VALUE(LEFT(E2666,FIND("º",SUBSTITUTE(E2666,"°","º"))-1)),-1),IF(LEFT(E2666,6)="TÉRREO",0,IFERROR(VALUE(LEFT(E2666,FIND("º",SUBSTITUTE(E2666,"°","º"))-1)),""))))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IF(E2667="","",IF(ISNUMBER(SEARCH("SUBSOLO",E2667)),IFERROR(-VALUE(LEFT(E2667,FIND("º",SUBSTITUTE(E2667,"°","º"))-1)),-1),IF(LEFT(E2667,6)="TÉRREO",0,IFERROR(VALUE(LEFT(E2667,FIND("º",SUBSTITUTE(E2667,"°","º"))-1)),""))))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IF(E2668="","",IF(ISNUMBER(SEARCH("SUBSOLO",E2668)),IFERROR(-VALUE(LEFT(E2668,FIND("º",SUBSTITUTE(E2668,"°","º"))-1)),-1),IF(LEFT(E2668,6)="TÉRREO",0,IFERROR(VALUE(LEFT(E2668,FIND("º",SUBSTITUTE(E2668,"°","º"))-1)),""))))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IF(E2669="","",IF(ISNUMBER(SEARCH("SUBSOLO",E2669)),IFERROR(-VALUE(LEFT(E2669,FIND("º",SUBSTITUTE(E2669,"°","º"))-1)),-1),IF(LEFT(E2669,6)="TÉRREO",0,IFERROR(VALUE(LEFT(E2669,FIND("º",SUBSTITUTE(E2669,"°","º"))-1)),""))))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IF(E2670="","",IF(ISNUMBER(SEARCH("SUBSOLO",E2670)),IFERROR(-VALUE(LEFT(E2670,FIND("º",SUBSTITUTE(E2670,"°","º"))-1)),-1),IF(LEFT(E2670,6)="TÉRREO",0,IFERROR(VALUE(LEFT(E2670,FIND("º",SUBSTITUTE(E2670,"°","º"))-1)),""))))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IF(E2671="","",IF(ISNUMBER(SEARCH("SUBSOLO",E2671)),IFERROR(-VALUE(LEFT(E2671,FIND("º",SUBSTITUTE(E2671,"°","º"))-1)),-1),IF(LEFT(E2671,6)="TÉRREO",0,IFERROR(VALUE(LEFT(E2671,FIND("º",SUBSTITUTE(E2671,"°","º"))-1)),""))))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IF(E2672="","",IF(ISNUMBER(SEARCH("SUBSOLO",E2672)),IFERROR(-VALUE(LEFT(E2672,FIND("º",SUBSTITUTE(E2672,"°","º"))-1)),-1),IF(LEFT(E2672,6)="TÉRREO",0,IFERROR(VALUE(LEFT(E2672,FIND("º",SUBSTITUTE(E2672,"°","º"))-1)),""))))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IF(E2673="","",IF(ISNUMBER(SEARCH("SUBSOLO",E2673)),IFERROR(-VALUE(LEFT(E2673,FIND("º",SUBSTITUTE(E2673,"°","º"))-1)),-1),IF(LEFT(E2673,6)="TÉRREO",0,IFERROR(VALUE(LEFT(E2673,FIND("º",SUBSTITUTE(E2673,"°","º"))-1)),""))))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IF(E2674="","",IF(ISNUMBER(SEARCH("SUBSOLO",E2674)),IFERROR(-VALUE(LEFT(E2674,FIND("º",SUBSTITUTE(E2674,"°","º"))-1)),-1),IF(LEFT(E2674,6)="TÉRREO",0,IFERROR(VALUE(LEFT(E2674,FIND("º",SUBSTITUTE(E2674,"°","º"))-1)),""))))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IF(E2675="","",IF(ISNUMBER(SEARCH("SUBSOLO",E2675)),IFERROR(-VALUE(LEFT(E2675,FIND("º",SUBSTITUTE(E2675,"°","º"))-1)),-1),IF(LEFT(E2675,6)="TÉRREO",0,IFERROR(VALUE(LEFT(E2675,FIND("º",SUBSTITUTE(E2675,"°","º"))-1)),""))))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IF(E2676="","",IF(ISNUMBER(SEARCH("SUBSOLO",E2676)),IFERROR(-VALUE(LEFT(E2676,FIND("º",SUBSTITUTE(E2676,"°","º"))-1)),-1),IF(LEFT(E2676,6)="TÉRREO",0,IFERROR(VALUE(LEFT(E2676,FIND("º",SUBSTITUTE(E2676,"°","º"))-1)),""))))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IF(E2677="","",IF(ISNUMBER(SEARCH("SUBSOLO",E2677)),IFERROR(-VALUE(LEFT(E2677,FIND("º",SUBSTITUTE(E2677,"°","º"))-1)),-1),IF(LEFT(E2677,6)="TÉRREO",0,IFERROR(VALUE(LEFT(E2677,FIND("º",SUBSTITUTE(E2677,"°","º"))-1)),""))))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IF(E2678="","",IF(ISNUMBER(SEARCH("SUBSOLO",E2678)),IFERROR(-VALUE(LEFT(E2678,FIND("º",SUBSTITUTE(E2678,"°","º"))-1)),-1),IF(LEFT(E2678,6)="TÉRREO",0,IFERROR(VALUE(LEFT(E2678,FIND("º",SUBSTITUTE(E2678,"°","º"))-1)),""))))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IF(E2679="","",IF(ISNUMBER(SEARCH("SUBSOLO",E2679)),IFERROR(-VALUE(LEFT(E2679,FIND("º",SUBSTITUTE(E2679,"°","º"))-1)),-1),IF(LEFT(E2679,6)="TÉRREO",0,IFERROR(VALUE(LEFT(E2679,FIND("º",SUBSTITUTE(E2679,"°","º"))-1)),""))))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IF(E2680="","",IF(ISNUMBER(SEARCH("SUBSOLO",E2680)),IFERROR(-VALUE(LEFT(E2680,FIND("º",SUBSTITUTE(E2680,"°","º"))-1)),-1),IF(LEFT(E2680,6)="TÉRREO",0,IFERROR(VALUE(LEFT(E2680,FIND("º",SUBSTITUTE(E2680,"°","º"))-1)),""))))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IF(E2681="","",IF(ISNUMBER(SEARCH("SUBSOLO",E2681)),IFERROR(-VALUE(LEFT(E2681,FIND("º",SUBSTITUTE(E2681,"°","º"))-1)),-1),IF(LEFT(E2681,6)="TÉRREO",0,IFERROR(VALUE(LEFT(E2681,FIND("º",SUBSTITUTE(E2681,"°","º"))-1)),""))))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IF(E2682="","",IF(ISNUMBER(SEARCH("SUBSOLO",E2682)),IFERROR(-VALUE(LEFT(E2682,FIND("º",SUBSTITUTE(E2682,"°","º"))-1)),-1),IF(LEFT(E2682,6)="TÉRREO",0,IFERROR(VALUE(LEFT(E2682,FIND("º",SUBSTITUTE(E2682,"°","º"))-1)),""))))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IF(E2683="","",IF(ISNUMBER(SEARCH("SUBSOLO",E2683)),IFERROR(-VALUE(LEFT(E2683,FIND("º",SUBSTITUTE(E2683,"°","º"))-1)),-1),IF(LEFT(E2683,6)="TÉRREO",0,IFERROR(VALUE(LEFT(E2683,FIND("º",SUBSTITUTE(E2683,"°","º"))-1)),""))))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IF(E2684="","",IF(ISNUMBER(SEARCH("SUBSOLO",E2684)),IFERROR(-VALUE(LEFT(E2684,FIND("º",SUBSTITUTE(E2684,"°","º"))-1)),-1),IF(LEFT(E2684,6)="TÉRREO",0,IFERROR(VALUE(LEFT(E2684,FIND("º",SUBSTITUTE(E2684,"°","º"))-1)),""))))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IF(E2685="","",IF(ISNUMBER(SEARCH("SUBSOLO",E2685)),IFERROR(-VALUE(LEFT(E2685,FIND("º",SUBSTITUTE(E2685,"°","º"))-1)),-1),IF(LEFT(E2685,6)="TÉRREO",0,IFERROR(VALUE(LEFT(E2685,FIND("º",SUBSTITUTE(E2685,"°","º"))-1)),""))))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IF(E2686="","",IF(ISNUMBER(SEARCH("SUBSOLO",E2686)),IFERROR(-VALUE(LEFT(E2686,FIND("º",SUBSTITUTE(E2686,"°","º"))-1)),-1),IF(LEFT(E2686,6)="TÉRREO",0,IFERROR(VALUE(LEFT(E2686,FIND("º",SUBSTITUTE(E2686,"°","º"))-1)),""))))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IF(E2687="","",IF(ISNUMBER(SEARCH("SUBSOLO",E2687)),IFERROR(-VALUE(LEFT(E2687,FIND("º",SUBSTITUTE(E2687,"°","º"))-1)),-1),IF(LEFT(E2687,6)="TÉRREO",0,IFERROR(VALUE(LEFT(E2687,FIND("º",SUBSTITUTE(E2687,"°","º"))-1)),""))))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IF(E2688="","",IF(ISNUMBER(SEARCH("SUBSOLO",E2688)),IFERROR(-VALUE(LEFT(E2688,FIND("º",SUBSTITUTE(E2688,"°","º"))-1)),-1),IF(LEFT(E2688,6)="TÉRREO",0,IFERROR(VALUE(LEFT(E2688,FIND("º",SUBSTITUTE(E2688,"°","º"))-1)),""))))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IF(E2689="","",IF(ISNUMBER(SEARCH("SUBSOLO",E2689)),IFERROR(-VALUE(LEFT(E2689,FIND("º",SUBSTITUTE(E2689,"°","º"))-1)),-1),IF(LEFT(E2689,6)="TÉRREO",0,IFERROR(VALUE(LEFT(E2689,FIND("º",SUBSTITUTE(E2689,"°","º"))-1)),""))))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IF(E2690="","",IF(ISNUMBER(SEARCH("SUBSOLO",E2690)),IFERROR(-VALUE(LEFT(E2690,FIND("º",SUBSTITUTE(E2690,"°","º"))-1)),-1),IF(LEFT(E2690,6)="TÉRREO",0,IFERROR(VALUE(LEFT(E2690,FIND("º",SUBSTITUTE(E2690,"°","º"))-1)),""))))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IF(E2691="","",IF(ISNUMBER(SEARCH("SUBSOLO",E2691)),IFERROR(-VALUE(LEFT(E2691,FIND("º",SUBSTITUTE(E2691,"°","º"))-1)),-1),IF(LEFT(E2691,6)="TÉRREO",0,IFERROR(VALUE(LEFT(E2691,FIND("º",SUBSTITUTE(E2691,"°","º"))-1)),""))))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IF(E2692="","",IF(ISNUMBER(SEARCH("SUBSOLO",E2692)),IFERROR(-VALUE(LEFT(E2692,FIND("º",SUBSTITUTE(E2692,"°","º"))-1)),-1),IF(LEFT(E2692,6)="TÉRREO",0,IFERROR(VALUE(LEFT(E2692,FIND("º",SUBSTITUTE(E2692,"°","º"))-1)),""))))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IF(E2693="","",IF(ISNUMBER(SEARCH("SUBSOLO",E2693)),IFERROR(-VALUE(LEFT(E2693,FIND("º",SUBSTITUTE(E2693,"°","º"))-1)),-1),IF(LEFT(E2693,6)="TÉRREO",0,IFERROR(VALUE(LEFT(E2693,FIND("º",SUBSTITUTE(E2693,"°","º"))-1)),""))))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IF(E2694="","",IF(ISNUMBER(SEARCH("SUBSOLO",E2694)),IFERROR(-VALUE(LEFT(E2694,FIND("º",SUBSTITUTE(E2694,"°","º"))-1)),-1),IF(LEFT(E2694,6)="TÉRREO",0,IFERROR(VALUE(LEFT(E2694,FIND("º",SUBSTITUTE(E2694,"°","º"))-1)),""))))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IF(E2695="","",IF(ISNUMBER(SEARCH("SUBSOLO",E2695)),IFERROR(-VALUE(LEFT(E2695,FIND("º",SUBSTITUTE(E2695,"°","º"))-1)),-1),IF(LEFT(E2695,6)="TÉRREO",0,IFERROR(VALUE(LEFT(E2695,FIND("º",SUBSTITUTE(E2695,"°","º"))-1)),""))))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IF(E2696="","",IF(ISNUMBER(SEARCH("SUBSOLO",E2696)),IFERROR(-VALUE(LEFT(E2696,FIND("º",SUBSTITUTE(E2696,"°","º"))-1)),-1),IF(LEFT(E2696,6)="TÉRREO",0,IFERROR(VALUE(LEFT(E2696,FIND("º",SUBSTITUTE(E2696,"°","º"))-1)),""))))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IF(E2697="","",IF(ISNUMBER(SEARCH("SUBSOLO",E2697)),IFERROR(-VALUE(LEFT(E2697,FIND("º",SUBSTITUTE(E2697,"°","º"))-1)),-1),IF(LEFT(E2697,6)="TÉRREO",0,IFERROR(VALUE(LEFT(E2697,FIND("º",SUBSTITUTE(E2697,"°","º"))-1)),""))))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IF(E2698="","",IF(ISNUMBER(SEARCH("SUBSOLO",E2698)),IFERROR(-VALUE(LEFT(E2698,FIND("º",SUBSTITUTE(E2698,"°","º"))-1)),-1),IF(LEFT(E2698,6)="TÉRREO",0,IFERROR(VALUE(LEFT(E2698,FIND("º",SUBSTITUTE(E2698,"°","º"))-1)),""))))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IF(E2699="","",IF(ISNUMBER(SEARCH("SUBSOLO",E2699)),IFERROR(-VALUE(LEFT(E2699,FIND("º",SUBSTITUTE(E2699,"°","º"))-1)),-1),IF(LEFT(E2699,6)="TÉRREO",0,IFERROR(VALUE(LEFT(E2699,FIND("º",SUBSTITUTE(E2699,"°","º"))-1)),""))))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IF(E2700="","",IF(ISNUMBER(SEARCH("SUBSOLO",E2700)),IFERROR(-VALUE(LEFT(E2700,FIND("º",SUBSTITUTE(E2700,"°","º"))-1)),-1),IF(LEFT(E2700,6)="TÉRREO",0,IFERROR(VALUE(LEFT(E2700,FIND("º",SUBSTITUTE(E2700,"°","º"))-1)),""))))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IF(E2701="","",IF(ISNUMBER(SEARCH("SUBSOLO",E2701)),IFERROR(-VALUE(LEFT(E2701,FIND("º",SUBSTITUTE(E2701,"°","º"))-1)),-1),IF(LEFT(E2701,6)="TÉRREO",0,IFERROR(VALUE(LEFT(E2701,FIND("º",SUBSTITUTE(E2701,"°","º"))-1)),""))))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IF(E2702="","",IF(ISNUMBER(SEARCH("SUBSOLO",E2702)),IFERROR(-VALUE(LEFT(E2702,FIND("º",SUBSTITUTE(E2702,"°","º"))-1)),-1),IF(LEFT(E2702,6)="TÉRREO",0,IFERROR(VALUE(LEFT(E2702,FIND("º",SUBSTITUTE(E2702,"°","º"))-1)),""))))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IF(E2703="","",IF(ISNUMBER(SEARCH("SUBSOLO",E2703)),IFERROR(-VALUE(LEFT(E2703,FIND("º",SUBSTITUTE(E2703,"°","º"))-1)),-1),IF(LEFT(E2703,6)="TÉRREO",0,IFERROR(VALUE(LEFT(E2703,FIND("º",SUBSTITUTE(E2703,"°","º"))-1)),""))))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IF(E2704="","",IF(ISNUMBER(SEARCH("SUBSOLO",E2704)),IFERROR(-VALUE(LEFT(E2704,FIND("º",SUBSTITUTE(E2704,"°","º"))-1)),-1),IF(LEFT(E2704,6)="TÉRREO",0,IFERROR(VALUE(LEFT(E2704,FIND("º",SUBSTITUTE(E2704,"°","º"))-1)),""))))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IF(E2705="","",IF(ISNUMBER(SEARCH("SUBSOLO",E2705)),IFERROR(-VALUE(LEFT(E2705,FIND("º",SUBSTITUTE(E2705,"°","º"))-1)),-1),IF(LEFT(E2705,6)="TÉRREO",0,IFERROR(VALUE(LEFT(E2705,FIND("º",SUBSTITUTE(E2705,"°","º"))-1)),""))))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IF(E2706="","",IF(ISNUMBER(SEARCH("SUBSOLO",E2706)),IFERROR(-VALUE(LEFT(E2706,FIND("º",SUBSTITUTE(E2706,"°","º"))-1)),-1),IF(LEFT(E2706,6)="TÉRREO",0,IFERROR(VALUE(LEFT(E2706,FIND("º",SUBSTITUTE(E2706,"°","º"))-1)),""))))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IF(E2707="","",IF(ISNUMBER(SEARCH("SUBSOLO",E2707)),IFERROR(-VALUE(LEFT(E2707,FIND("º",SUBSTITUTE(E2707,"°","º"))-1)),-1),IF(LEFT(E2707,6)="TÉRREO",0,IFERROR(VALUE(LEFT(E2707,FIND("º",SUBSTITUTE(E2707,"°","º"))-1)),""))))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IF(E2708="","",IF(ISNUMBER(SEARCH("SUBSOLO",E2708)),IFERROR(-VALUE(LEFT(E2708,FIND("º",SUBSTITUTE(E2708,"°","º"))-1)),-1),IF(LEFT(E2708,6)="TÉRREO",0,IFERROR(VALUE(LEFT(E2708,FIND("º",SUBSTITUTE(E2708,"°","º"))-1)),""))))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IF(E2709="","",IF(ISNUMBER(SEARCH("SUBSOLO",E2709)),IFERROR(-VALUE(LEFT(E2709,FIND("º",SUBSTITUTE(E2709,"°","º"))-1)),-1),IF(LEFT(E2709,6)="TÉRREO",0,IFERROR(VALUE(LEFT(E2709,FIND("º",SUBSTITUTE(E2709,"°","º"))-1)),""))))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IF(E2710="","",IF(ISNUMBER(SEARCH("SUBSOLO",E2710)),IFERROR(-VALUE(LEFT(E2710,FIND("º",SUBSTITUTE(E2710,"°","º"))-1)),-1),IF(LEFT(E2710,6)="TÉRREO",0,IFERROR(VALUE(LEFT(E2710,FIND("º",SUBSTITUTE(E2710,"°","º"))-1)),""))))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IF(E2711="","",IF(ISNUMBER(SEARCH("SUBSOLO",E2711)),IFERROR(-VALUE(LEFT(E2711,FIND("º",SUBSTITUTE(E2711,"°","º"))-1)),-1),IF(LEFT(E2711,6)="TÉRREO",0,IFERROR(VALUE(LEFT(E2711,FIND("º",SUBSTITUTE(E2711,"°","º"))-1)),""))))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IF(E2712="","",IF(ISNUMBER(SEARCH("SUBSOLO",E2712)),IFERROR(-VALUE(LEFT(E2712,FIND("º",SUBSTITUTE(E2712,"°","º"))-1)),-1),IF(LEFT(E2712,6)="TÉRREO",0,IFERROR(VALUE(LEFT(E2712,FIND("º",SUBSTITUTE(E2712,"°","º"))-1)),""))))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IF(E2713="","",IF(ISNUMBER(SEARCH("SUBSOLO",E2713)),IFERROR(-VALUE(LEFT(E2713,FIND("º",SUBSTITUTE(E2713,"°","º"))-1)),-1),IF(LEFT(E2713,6)="TÉRREO",0,IFERROR(VALUE(LEFT(E2713,FIND("º",SUBSTITUTE(E2713,"°","º"))-1)),""))))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IF(E2714="","",IF(ISNUMBER(SEARCH("SUBSOLO",E2714)),IFERROR(-VALUE(LEFT(E2714,FIND("º",SUBSTITUTE(E2714,"°","º"))-1)),-1),IF(LEFT(E2714,6)="TÉRREO",0,IFERROR(VALUE(LEFT(E2714,FIND("º",SUBSTITUTE(E2714,"°","º"))-1)),""))))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IF(E2715="","",IF(ISNUMBER(SEARCH("SUBSOLO",E2715)),IFERROR(-VALUE(LEFT(E2715,FIND("º",SUBSTITUTE(E2715,"°","º"))-1)),-1),IF(LEFT(E2715,6)="TÉRREO",0,IFERROR(VALUE(LEFT(E2715,FIND("º",SUBSTITUTE(E2715,"°","º"))-1)),""))))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IF(E2716="","",IF(ISNUMBER(SEARCH("SUBSOLO",E2716)),IFERROR(-VALUE(LEFT(E2716,FIND("º",SUBSTITUTE(E2716,"°","º"))-1)),-1),IF(LEFT(E2716,6)="TÉRREO",0,IFERROR(VALUE(LEFT(E2716,FIND("º",SUBSTITUTE(E2716,"°","º"))-1)),""))))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IF(E2717="","",IF(ISNUMBER(SEARCH("SUBSOLO",E2717)),IFERROR(-VALUE(LEFT(E2717,FIND("º",SUBSTITUTE(E2717,"°","º"))-1)),-1),IF(LEFT(E2717,6)="TÉRREO",0,IFERROR(VALUE(LEFT(E2717,FIND("º",SUBSTITUTE(E2717,"°","º"))-1)),""))))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IF(E2718="","",IF(ISNUMBER(SEARCH("SUBSOLO",E2718)),IFERROR(-VALUE(LEFT(E2718,FIND("º",SUBSTITUTE(E2718,"°","º"))-1)),-1),IF(LEFT(E2718,6)="TÉRREO",0,IFERROR(VALUE(LEFT(E2718,FIND("º",SUBSTITUTE(E2718,"°","º"))-1)),""))))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IF(E2719="","",IF(ISNUMBER(SEARCH("SUBSOLO",E2719)),IFERROR(-VALUE(LEFT(E2719,FIND("º",SUBSTITUTE(E2719,"°","º"))-1)),-1),IF(LEFT(E2719,6)="TÉRREO",0,IFERROR(VALUE(LEFT(E2719,FIND("º",SUBSTITUTE(E2719,"°","º"))-1)),""))))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IF(E2720="","",IF(ISNUMBER(SEARCH("SUBSOLO",E2720)),IFERROR(-VALUE(LEFT(E2720,FIND("º",SUBSTITUTE(E2720,"°","º"))-1)),-1),IF(LEFT(E2720,6)="TÉRREO",0,IFERROR(VALUE(LEFT(E2720,FIND("º",SUBSTITUTE(E2720,"°","º"))-1)),""))))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IF(E2721="","",IF(ISNUMBER(SEARCH("SUBSOLO",E2721)),IFERROR(-VALUE(LEFT(E2721,FIND("º",SUBSTITUTE(E2721,"°","º"))-1)),-1),IF(LEFT(E2721,6)="TÉRREO",0,IFERROR(VALUE(LEFT(E2721,FIND("º",SUBSTITUTE(E2721,"°","º"))-1)),""))))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IF(E2722="","",IF(ISNUMBER(SEARCH("SUBSOLO",E2722)),IFERROR(-VALUE(LEFT(E2722,FIND("º",SUBSTITUTE(E2722,"°","º"))-1)),-1),IF(LEFT(E2722,6)="TÉRREO",0,IFERROR(VALUE(LEFT(E2722,FIND("º",SUBSTITUTE(E2722,"°","º"))-1)),""))))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IF(E2723="","",IF(ISNUMBER(SEARCH("SUBSOLO",E2723)),IFERROR(-VALUE(LEFT(E2723,FIND("º",SUBSTITUTE(E2723,"°","º"))-1)),-1),IF(LEFT(E2723,6)="TÉRREO",0,IFERROR(VALUE(LEFT(E2723,FIND("º",SUBSTITUTE(E2723,"°","º"))-1)),""))))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IF(E2724="","",IF(ISNUMBER(SEARCH("SUBSOLO",E2724)),IFERROR(-VALUE(LEFT(E2724,FIND("º",SUBSTITUTE(E2724,"°","º"))-1)),-1),IF(LEFT(E2724,6)="TÉRREO",0,IFERROR(VALUE(LEFT(E2724,FIND("º",SUBSTITUTE(E2724,"°","º"))-1)),""))))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IF(E2725="","",IF(ISNUMBER(SEARCH("SUBSOLO",E2725)),IFERROR(-VALUE(LEFT(E2725,FIND("º",SUBSTITUTE(E2725,"°","º"))-1)),-1),IF(LEFT(E2725,6)="TÉRREO",0,IFERROR(VALUE(LEFT(E2725,FIND("º",SUBSTITUTE(E2725,"°","º"))-1)),""))))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IF(E2726="","",IF(ISNUMBER(SEARCH("SUBSOLO",E2726)),IFERROR(-VALUE(LEFT(E2726,FIND("º",SUBSTITUTE(E2726,"°","º"))-1)),-1),IF(LEFT(E2726,6)="TÉRREO",0,IFERROR(VALUE(LEFT(E2726,FIND("º",SUBSTITUTE(E2726,"°","º"))-1)),""))))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IF(E2727="","",IF(ISNUMBER(SEARCH("SUBSOLO",E2727)),IFERROR(-VALUE(LEFT(E2727,FIND("º",SUBSTITUTE(E2727,"°","º"))-1)),-1),IF(LEFT(E2727,6)="TÉRREO",0,IFERROR(VALUE(LEFT(E2727,FIND("º",SUBSTITUTE(E2727,"°","º"))-1)),""))))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IF(E2728="","",IF(ISNUMBER(SEARCH("SUBSOLO",E2728)),IFERROR(-VALUE(LEFT(E2728,FIND("º",SUBSTITUTE(E2728,"°","º"))-1)),-1),IF(LEFT(E2728,6)="TÉRREO",0,IFERROR(VALUE(LEFT(E2728,FIND("º",SUBSTITUTE(E2728,"°","º"))-1)),""))))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IF(E2729="","",IF(ISNUMBER(SEARCH("SUBSOLO",E2729)),IFERROR(-VALUE(LEFT(E2729,FIND("º",SUBSTITUTE(E2729,"°","º"))-1)),-1),IF(LEFT(E2729,6)="TÉRREO",0,IFERROR(VALUE(LEFT(E2729,FIND("º",SUBSTITUTE(E2729,"°","º"))-1)),""))))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IF(E2730="","",IF(ISNUMBER(SEARCH("SUBSOLO",E2730)),IFERROR(-VALUE(LEFT(E2730,FIND("º",SUBSTITUTE(E2730,"°","º"))-1)),-1),IF(LEFT(E2730,6)="TÉRREO",0,IFERROR(VALUE(LEFT(E2730,FIND("º",SUBSTITUTE(E2730,"°","º"))-1)),""))))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IF(E2731="","",IF(ISNUMBER(SEARCH("SUBSOLO",E2731)),IFERROR(-VALUE(LEFT(E2731,FIND("º",SUBSTITUTE(E2731,"°","º"))-1)),-1),IF(LEFT(E2731,6)="TÉRREO",0,IFERROR(VALUE(LEFT(E2731,FIND("º",SUBSTITUTE(E2731,"°","º"))-1)),""))))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IF(E2732="","",IF(ISNUMBER(SEARCH("SUBSOLO",E2732)),IFERROR(-VALUE(LEFT(E2732,FIND("º",SUBSTITUTE(E2732,"°","º"))-1)),-1),IF(LEFT(E2732,6)="TÉRREO",0,IFERROR(VALUE(LEFT(E2732,FIND("º",SUBSTITUTE(E2732,"°","º"))-1)),""))))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IF(E2733="","",IF(ISNUMBER(SEARCH("SUBSOLO",E2733)),IFERROR(-VALUE(LEFT(E2733,FIND("º",SUBSTITUTE(E2733,"°","º"))-1)),-1),IF(LEFT(E2733,6)="TÉRREO",0,IFERROR(VALUE(LEFT(E2733,FIND("º",SUBSTITUTE(E2733,"°","º"))-1)),""))))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IF(E2734="","",IF(ISNUMBER(SEARCH("SUBSOLO",E2734)),IFERROR(-VALUE(LEFT(E2734,FIND("º",SUBSTITUTE(E2734,"°","º"))-1)),-1),IF(LEFT(E2734,6)="TÉRREO",0,IFERROR(VALUE(LEFT(E2734,FIND("º",SUBSTITUTE(E2734,"°","º"))-1)),""))))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IF(E2735="","",IF(ISNUMBER(SEARCH("SUBSOLO",E2735)),IFERROR(-VALUE(LEFT(E2735,FIND("º",SUBSTITUTE(E2735,"°","º"))-1)),-1),IF(LEFT(E2735,6)="TÉRREO",0,IFERROR(VALUE(LEFT(E2735,FIND("º",SUBSTITUTE(E2735,"°","º"))-1)),""))))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IF(E2736="","",IF(ISNUMBER(SEARCH("SUBSOLO",E2736)),IFERROR(-VALUE(LEFT(E2736,FIND("º",SUBSTITUTE(E2736,"°","º"))-1)),-1),IF(LEFT(E2736,6)="TÉRREO",0,IFERROR(VALUE(LEFT(E2736,FIND("º",SUBSTITUTE(E2736,"°","º"))-1)),""))))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IF(E2737="","",IF(ISNUMBER(SEARCH("SUBSOLO",E2737)),IFERROR(-VALUE(LEFT(E2737,FIND("º",SUBSTITUTE(E2737,"°","º"))-1)),-1),IF(LEFT(E2737,6)="TÉRREO",0,IFERROR(VALUE(LEFT(E2737,FIND("º",SUBSTITUTE(E2737,"°","º"))-1)),""))))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IF(E2738="","",IF(ISNUMBER(SEARCH("SUBSOLO",E2738)),IFERROR(-VALUE(LEFT(E2738,FIND("º",SUBSTITUTE(E2738,"°","º"))-1)),-1),IF(LEFT(E2738,6)="TÉRREO",0,IFERROR(VALUE(LEFT(E2738,FIND("º",SUBSTITUTE(E2738,"°","º"))-1)),""))))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IF(E2739="","",IF(ISNUMBER(SEARCH("SUBSOLO",E2739)),IFERROR(-VALUE(LEFT(E2739,FIND("º",SUBSTITUTE(E2739,"°","º"))-1)),-1),IF(LEFT(E2739,6)="TÉRREO",0,IFERROR(VALUE(LEFT(E2739,FIND("º",SUBSTITUTE(E2739,"°","º"))-1)),""))))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IF(E2740="","",IF(ISNUMBER(SEARCH("SUBSOLO",E2740)),IFERROR(-VALUE(LEFT(E2740,FIND("º",SUBSTITUTE(E2740,"°","º"))-1)),-1),IF(LEFT(E2740,6)="TÉRREO",0,IFERROR(VALUE(LEFT(E2740,FIND("º",SUBSTITUTE(E2740,"°","º"))-1)),""))))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IF(E2741="","",IF(ISNUMBER(SEARCH("SUBSOLO",E2741)),IFERROR(-VALUE(LEFT(E2741,FIND("º",SUBSTITUTE(E2741,"°","º"))-1)),-1),IF(LEFT(E2741,6)="TÉRREO",0,IFERROR(VALUE(LEFT(E2741,FIND("º",SUBSTITUTE(E2741,"°","º"))-1)),""))))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IF(E2742="","",IF(ISNUMBER(SEARCH("SUBSOLO",E2742)),IFERROR(-VALUE(LEFT(E2742,FIND("º",SUBSTITUTE(E2742,"°","º"))-1)),-1),IF(LEFT(E2742,6)="TÉRREO",0,IFERROR(VALUE(LEFT(E2742,FIND("º",SUBSTITUTE(E2742,"°","º"))-1)),""))))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IF(E2743="","",IF(ISNUMBER(SEARCH("SUBSOLO",E2743)),IFERROR(-VALUE(LEFT(E2743,FIND("º",SUBSTITUTE(E2743,"°","º"))-1)),-1),IF(LEFT(E2743,6)="TÉRREO",0,IFERROR(VALUE(LEFT(E2743,FIND("º",SUBSTITUTE(E2743,"°","º"))-1)),""))))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IF(E2744="","",IF(ISNUMBER(SEARCH("SUBSOLO",E2744)),IFERROR(-VALUE(LEFT(E2744,FIND("º",SUBSTITUTE(E2744,"°","º"))-1)),-1),IF(LEFT(E2744,6)="TÉRREO",0,IFERROR(VALUE(LEFT(E2744,FIND("º",SUBSTITUTE(E2744,"°","º"))-1)),""))))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IF(E2745="","",IF(ISNUMBER(SEARCH("SUBSOLO",E2745)),IFERROR(-VALUE(LEFT(E2745,FIND("º",SUBSTITUTE(E2745,"°","º"))-1)),-1),IF(LEFT(E2745,6)="TÉRREO",0,IFERROR(VALUE(LEFT(E2745,FIND("º",SUBSTITUTE(E2745,"°","º"))-1)),""))))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IF(E2746="","",IF(ISNUMBER(SEARCH("SUBSOLO",E2746)),IFERROR(-VALUE(LEFT(E2746,FIND("º",SUBSTITUTE(E2746,"°","º"))-1)),-1),IF(LEFT(E2746,6)="TÉRREO",0,IFERROR(VALUE(LEFT(E2746,FIND("º",SUBSTITUTE(E2746,"°","º"))-1)),""))))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IF(E2747="","",IF(ISNUMBER(SEARCH("SUBSOLO",E2747)),IFERROR(-VALUE(LEFT(E2747,FIND("º",SUBSTITUTE(E2747,"°","º"))-1)),-1),IF(LEFT(E2747,6)="TÉRREO",0,IFERROR(VALUE(LEFT(E2747,FIND("º",SUBSTITUTE(E2747,"°","º"))-1)),""))))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IF(E2748="","",IF(ISNUMBER(SEARCH("SUBSOLO",E2748)),IFERROR(-VALUE(LEFT(E2748,FIND("º",SUBSTITUTE(E2748,"°","º"))-1)),-1),IF(LEFT(E2748,6)="TÉRREO",0,IFERROR(VALUE(LEFT(E2748,FIND("º",SUBSTITUTE(E2748,"°","º"))-1)),""))))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IF(E2749="","",IF(ISNUMBER(SEARCH("SUBSOLO",E2749)),IFERROR(-VALUE(LEFT(E2749,FIND("º",SUBSTITUTE(E2749,"°","º"))-1)),-1),IF(LEFT(E2749,6)="TÉRREO",0,IFERROR(VALUE(LEFT(E2749,FIND("º",SUBSTITUTE(E2749,"°","º"))-1)),""))))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IF(E2750="","",IF(ISNUMBER(SEARCH("SUBSOLO",E2750)),IFERROR(-VALUE(LEFT(E2750,FIND("º",SUBSTITUTE(E2750,"°","º"))-1)),-1),IF(LEFT(E2750,6)="TÉRREO",0,IFERROR(VALUE(LEFT(E2750,FIND("º",SUBSTITUTE(E2750,"°","º"))-1)),""))))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IF(E2751="","",IF(ISNUMBER(SEARCH("SUBSOLO",E2751)),IFERROR(-VALUE(LEFT(E2751,FIND("º",SUBSTITUTE(E2751,"°","º"))-1)),-1),IF(LEFT(E2751,6)="TÉRREO",0,IFERROR(VALUE(LEFT(E2751,FIND("º",SUBSTITUTE(E2751,"°","º"))-1)),""))))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IF(E2752="","",IF(ISNUMBER(SEARCH("SUBSOLO",E2752)),IFERROR(-VALUE(LEFT(E2752,FIND("º",SUBSTITUTE(E2752,"°","º"))-1)),-1),IF(LEFT(E2752,6)="TÉRREO",0,IFERROR(VALUE(LEFT(E2752,FIND("º",SUBSTITUTE(E2752,"°","º"))-1)),""))))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IF(E2753="","",IF(ISNUMBER(SEARCH("SUBSOLO",E2753)),IFERROR(-VALUE(LEFT(E2753,FIND("º",SUBSTITUTE(E2753,"°","º"))-1)),-1),IF(LEFT(E2753,6)="TÉRREO",0,IFERROR(VALUE(LEFT(E2753,FIND("º",SUBSTITUTE(E2753,"°","º"))-1)),""))))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IF(E2754="","",IF(ISNUMBER(SEARCH("SUBSOLO",E2754)),IFERROR(-VALUE(LEFT(E2754,FIND("º",SUBSTITUTE(E2754,"°","º"))-1)),-1),IF(LEFT(E2754,6)="TÉRREO",0,IFERROR(VALUE(LEFT(E2754,FIND("º",SUBSTITUTE(E2754,"°","º"))-1)),""))))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IF(E2755="","",IF(ISNUMBER(SEARCH("SUBSOLO",E2755)),IFERROR(-VALUE(LEFT(E2755,FIND("º",SUBSTITUTE(E2755,"°","º"))-1)),-1),IF(LEFT(E2755,6)="TÉRREO",0,IFERROR(VALUE(LEFT(E2755,FIND("º",SUBSTITUTE(E2755,"°","º"))-1)),""))))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IF(E2756="","",IF(ISNUMBER(SEARCH("SUBSOLO",E2756)),IFERROR(-VALUE(LEFT(E2756,FIND("º",SUBSTITUTE(E2756,"°","º"))-1)),-1),IF(LEFT(E2756,6)="TÉRREO",0,IFERROR(VALUE(LEFT(E2756,FIND("º",SUBSTITUTE(E2756,"°","º"))-1)),""))))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IF(E2757="","",IF(ISNUMBER(SEARCH("SUBSOLO",E2757)),IFERROR(-VALUE(LEFT(E2757,FIND("º",SUBSTITUTE(E2757,"°","º"))-1)),-1),IF(LEFT(E2757,6)="TÉRREO",0,IFERROR(VALUE(LEFT(E2757,FIND("º",SUBSTITUTE(E2757,"°","º"))-1)),""))))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IF(E2758="","",IF(ISNUMBER(SEARCH("SUBSOLO",E2758)),IFERROR(-VALUE(LEFT(E2758,FIND("º",SUBSTITUTE(E2758,"°","º"))-1)),-1),IF(LEFT(E2758,6)="TÉRREO",0,IFERROR(VALUE(LEFT(E2758,FIND("º",SUBSTITUTE(E2758,"°","º"))-1)),""))))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IF(E2759="","",IF(ISNUMBER(SEARCH("SUBSOLO",E2759)),IFERROR(-VALUE(LEFT(E2759,FIND("º",SUBSTITUTE(E2759,"°","º"))-1)),-1),IF(LEFT(E2759,6)="TÉRREO",0,IFERROR(VALUE(LEFT(E2759,FIND("º",SUBSTITUTE(E2759,"°","º"))-1)),""))))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IF(E2760="","",IF(ISNUMBER(SEARCH("SUBSOLO",E2760)),IFERROR(-VALUE(LEFT(E2760,FIND("º",SUBSTITUTE(E2760,"°","º"))-1)),-1),IF(LEFT(E2760,6)="TÉRREO",0,IFERROR(VALUE(LEFT(E2760,FIND("º",SUBSTITUTE(E2760,"°","º"))-1)),""))))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IF(E2761="","",IF(ISNUMBER(SEARCH("SUBSOLO",E2761)),IFERROR(-VALUE(LEFT(E2761,FIND("º",SUBSTITUTE(E2761,"°","º"))-1)),-1),IF(LEFT(E2761,6)="TÉRREO",0,IFERROR(VALUE(LEFT(E2761,FIND("º",SUBSTITUTE(E2761,"°","º"))-1)),""))))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IF(E2762="","",IF(ISNUMBER(SEARCH("SUBSOLO",E2762)),IFERROR(-VALUE(LEFT(E2762,FIND("º",SUBSTITUTE(E2762,"°","º"))-1)),-1),IF(LEFT(E2762,6)="TÉRREO",0,IFERROR(VALUE(LEFT(E2762,FIND("º",SUBSTITUTE(E2762,"°","º"))-1)),""))))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IF(E2763="","",IF(ISNUMBER(SEARCH("SUBSOLO",E2763)),IFERROR(-VALUE(LEFT(E2763,FIND("º",SUBSTITUTE(E2763,"°","º"))-1)),-1),IF(LEFT(E2763,6)="TÉRREO",0,IFERROR(VALUE(LEFT(E2763,FIND("º",SUBSTITUTE(E2763,"°","º"))-1)),""))))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IF(E2764="","",IF(ISNUMBER(SEARCH("SUBSOLO",E2764)),IFERROR(-VALUE(LEFT(E2764,FIND("º",SUBSTITUTE(E2764,"°","º"))-1)),-1),IF(LEFT(E2764,6)="TÉRREO",0,IFERROR(VALUE(LEFT(E2764,FIND("º",SUBSTITUTE(E2764,"°","º"))-1)),""))))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IF(E2765="","",IF(ISNUMBER(SEARCH("SUBSOLO",E2765)),IFERROR(-VALUE(LEFT(E2765,FIND("º",SUBSTITUTE(E2765,"°","º"))-1)),-1),IF(LEFT(E2765,6)="TÉRREO",0,IFERROR(VALUE(LEFT(E2765,FIND("º",SUBSTITUTE(E2765,"°","º"))-1)),""))))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IF(E2766="","",IF(ISNUMBER(SEARCH("SUBSOLO",E2766)),IFERROR(-VALUE(LEFT(E2766,FIND("º",SUBSTITUTE(E2766,"°","º"))-1)),-1),IF(LEFT(E2766,6)="TÉRREO",0,IFERROR(VALUE(LEFT(E2766,FIND("º",SUBSTITUTE(E2766,"°","º"))-1)),""))))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IF(E2767="","",IF(ISNUMBER(SEARCH("SUBSOLO",E2767)),IFERROR(-VALUE(LEFT(E2767,FIND("º",SUBSTITUTE(E2767,"°","º"))-1)),-1),IF(LEFT(E2767,6)="TÉRREO",0,IFERROR(VALUE(LEFT(E2767,FIND("º",SUBSTITUTE(E2767,"°","º"))-1)),""))))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IF(E2768="","",IF(ISNUMBER(SEARCH("SUBSOLO",E2768)),IFERROR(-VALUE(LEFT(E2768,FIND("º",SUBSTITUTE(E2768,"°","º"))-1)),-1),IF(LEFT(E2768,6)="TÉRREO",0,IFERROR(VALUE(LEFT(E2768,FIND("º",SUBSTITUTE(E2768,"°","º"))-1)),""))))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IF(E2769="","",IF(ISNUMBER(SEARCH("SUBSOLO",E2769)),IFERROR(-VALUE(LEFT(E2769,FIND("º",SUBSTITUTE(E2769,"°","º"))-1)),-1),IF(LEFT(E2769,6)="TÉRREO",0,IFERROR(VALUE(LEFT(E2769,FIND("º",SUBSTITUTE(E2769,"°","º"))-1)),""))))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IF(E2770="","",IF(ISNUMBER(SEARCH("SUBSOLO",E2770)),IFERROR(-VALUE(LEFT(E2770,FIND("º",SUBSTITUTE(E2770,"°","º"))-1)),-1),IF(LEFT(E2770,6)="TÉRREO",0,IFERROR(VALUE(LEFT(E2770,FIND("º",SUBSTITUTE(E2770,"°","º"))-1)),""))))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IF(E2771="","",IF(ISNUMBER(SEARCH("SUBSOLO",E2771)),IFERROR(-VALUE(LEFT(E2771,FIND("º",SUBSTITUTE(E2771,"°","º"))-1)),-1),IF(LEFT(E2771,6)="TÉRREO",0,IFERROR(VALUE(LEFT(E2771,FIND("º",SUBSTITUTE(E2771,"°","º"))-1)),""))))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IF(E2772="","",IF(ISNUMBER(SEARCH("SUBSOLO",E2772)),IFERROR(-VALUE(LEFT(E2772,FIND("º",SUBSTITUTE(E2772,"°","º"))-1)),-1),IF(LEFT(E2772,6)="TÉRREO",0,IFERROR(VALUE(LEFT(E2772,FIND("º",SUBSTITUTE(E2772,"°","º"))-1)),""))))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IF(E2773="","",IF(ISNUMBER(SEARCH("SUBSOLO",E2773)),IFERROR(-VALUE(LEFT(E2773,FIND("º",SUBSTITUTE(E2773,"°","º"))-1)),-1),IF(LEFT(E2773,6)="TÉRREO",0,IFERROR(VALUE(LEFT(E2773,FIND("º",SUBSTITUTE(E2773,"°","º"))-1)),""))))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IF(E2774="","",IF(ISNUMBER(SEARCH("SUBSOLO",E2774)),IFERROR(-VALUE(LEFT(E2774,FIND("º",SUBSTITUTE(E2774,"°","º"))-1)),-1),IF(LEFT(E2774,6)="TÉRREO",0,IFERROR(VALUE(LEFT(E2774,FIND("º",SUBSTITUTE(E2774,"°","º"))-1)),""))))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IF(E2775="","",IF(ISNUMBER(SEARCH("SUBSOLO",E2775)),IFERROR(-VALUE(LEFT(E2775,FIND("º",SUBSTITUTE(E2775,"°","º"))-1)),-1),IF(LEFT(E2775,6)="TÉRREO",0,IFERROR(VALUE(LEFT(E2775,FIND("º",SUBSTITUTE(E2775,"°","º"))-1)),""))))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IF(E2776="","",IF(ISNUMBER(SEARCH("SUBSOLO",E2776)),IFERROR(-VALUE(LEFT(E2776,FIND("º",SUBSTITUTE(E2776,"°","º"))-1)),-1),IF(LEFT(E2776,6)="TÉRREO",0,IFERROR(VALUE(LEFT(E2776,FIND("º",SUBSTITUTE(E2776,"°","º"))-1)),""))))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IF(E2777="","",IF(ISNUMBER(SEARCH("SUBSOLO",E2777)),IFERROR(-VALUE(LEFT(E2777,FIND("º",SUBSTITUTE(E2777,"°","º"))-1)),-1),IF(LEFT(E2777,6)="TÉRREO",0,IFERROR(VALUE(LEFT(E2777,FIND("º",SUBSTITUTE(E2777,"°","º"))-1)),""))))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IF(E2778="","",IF(ISNUMBER(SEARCH("SUBSOLO",E2778)),IFERROR(-VALUE(LEFT(E2778,FIND("º",SUBSTITUTE(E2778,"°","º"))-1)),-1),IF(LEFT(E2778,6)="TÉRREO",0,IFERROR(VALUE(LEFT(E2778,FIND("º",SUBSTITUTE(E2778,"°","º"))-1)),""))))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IF(E2779="","",IF(ISNUMBER(SEARCH("SUBSOLO",E2779)),IFERROR(-VALUE(LEFT(E2779,FIND("º",SUBSTITUTE(E2779,"°","º"))-1)),-1),IF(LEFT(E2779,6)="TÉRREO",0,IFERROR(VALUE(LEFT(E2779,FIND("º",SUBSTITUTE(E2779,"°","º"))-1)),""))))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IF(E2780="","",IF(ISNUMBER(SEARCH("SUBSOLO",E2780)),IFERROR(-VALUE(LEFT(E2780,FIND("º",SUBSTITUTE(E2780,"°","º"))-1)),-1),IF(LEFT(E2780,6)="TÉRREO",0,IFERROR(VALUE(LEFT(E2780,FIND("º",SUBSTITUTE(E2780,"°","º"))-1)),""))))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IF(E2781="","",IF(ISNUMBER(SEARCH("SUBSOLO",E2781)),IFERROR(-VALUE(LEFT(E2781,FIND("º",SUBSTITUTE(E2781,"°","º"))-1)),-1),IF(LEFT(E2781,6)="TÉRREO",0,IFERROR(VALUE(LEFT(E2781,FIND("º",SUBSTITUTE(E2781,"°","º"))-1)),""))))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IF(E2782="","",IF(ISNUMBER(SEARCH("SUBSOLO",E2782)),IFERROR(-VALUE(LEFT(E2782,FIND("º",SUBSTITUTE(E2782,"°","º"))-1)),-1),IF(LEFT(E2782,6)="TÉRREO",0,IFERROR(VALUE(LEFT(E2782,FIND("º",SUBSTITUTE(E2782,"°","º"))-1)),""))))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IF(E2783="","",IF(ISNUMBER(SEARCH("SUBSOLO",E2783)),IFERROR(-VALUE(LEFT(E2783,FIND("º",SUBSTITUTE(E2783,"°","º"))-1)),-1),IF(LEFT(E2783,6)="TÉRREO",0,IFERROR(VALUE(LEFT(E2783,FIND("º",SUBSTITUTE(E2783,"°","º"))-1)),""))))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IF(E2784="","",IF(ISNUMBER(SEARCH("SUBSOLO",E2784)),IFERROR(-VALUE(LEFT(E2784,FIND("º",SUBSTITUTE(E2784,"°","º"))-1)),-1),IF(LEFT(E2784,6)="TÉRREO",0,IFERROR(VALUE(LEFT(E2784,FIND("º",SUBSTITUTE(E2784,"°","º"))-1)),""))))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IF(E2785="","",IF(ISNUMBER(SEARCH("SUBSOLO",E2785)),IFERROR(-VALUE(LEFT(E2785,FIND("º",SUBSTITUTE(E2785,"°","º"))-1)),-1),IF(LEFT(E2785,6)="TÉRREO",0,IFERROR(VALUE(LEFT(E2785,FIND("º",SUBSTITUTE(E2785,"°","º"))-1)),""))))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IF(E2786="","",IF(ISNUMBER(SEARCH("SUBSOLO",E2786)),IFERROR(-VALUE(LEFT(E2786,FIND("º",SUBSTITUTE(E2786,"°","º"))-1)),-1),IF(LEFT(E2786,6)="TÉRREO",0,IFERROR(VALUE(LEFT(E2786,FIND("º",SUBSTITUTE(E2786,"°","º"))-1)),""))))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IF(E2787="","",IF(ISNUMBER(SEARCH("SUBSOLO",E2787)),IFERROR(-VALUE(LEFT(E2787,FIND("º",SUBSTITUTE(E2787,"°","º"))-1)),-1),IF(LEFT(E2787,6)="TÉRREO",0,IFERROR(VALUE(LEFT(E2787,FIND("º",SUBSTITUTE(E2787,"°","º"))-1)),""))))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IF(E2788="","",IF(ISNUMBER(SEARCH("SUBSOLO",E2788)),IFERROR(-VALUE(LEFT(E2788,FIND("º",SUBSTITUTE(E2788,"°","º"))-1)),-1),IF(LEFT(E2788,6)="TÉRREO",0,IFERROR(VALUE(LEFT(E2788,FIND("º",SUBSTITUTE(E2788,"°","º"))-1)),""))))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IF(E2789="","",IF(ISNUMBER(SEARCH("SUBSOLO",E2789)),IFERROR(-VALUE(LEFT(E2789,FIND("º",SUBSTITUTE(E2789,"°","º"))-1)),-1),IF(LEFT(E2789,6)="TÉRREO",0,IFERROR(VALUE(LEFT(E2789,FIND("º",SUBSTITUTE(E2789,"°","º"))-1)),""))))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IF(E2790="","",IF(ISNUMBER(SEARCH("SUBSOLO",E2790)),IFERROR(-VALUE(LEFT(E2790,FIND("º",SUBSTITUTE(E2790,"°","º"))-1)),-1),IF(LEFT(E2790,6)="TÉRREO",0,IFERROR(VALUE(LEFT(E2790,FIND("º",SUBSTITUTE(E2790,"°","º"))-1)),""))))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IF(E2791="","",IF(ISNUMBER(SEARCH("SUBSOLO",E2791)),IFERROR(-VALUE(LEFT(E2791,FIND("º",SUBSTITUTE(E2791,"°","º"))-1)),-1),IF(LEFT(E2791,6)="TÉRREO",0,IFERROR(VALUE(LEFT(E2791,FIND("º",SUBSTITUTE(E2791,"°","º"))-1)),""))))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IF(E2792="","",IF(ISNUMBER(SEARCH("SUBSOLO",E2792)),IFERROR(-VALUE(LEFT(E2792,FIND("º",SUBSTITUTE(E2792,"°","º"))-1)),-1),IF(LEFT(E2792,6)="TÉRREO",0,IFERROR(VALUE(LEFT(E2792,FIND("º",SUBSTITUTE(E2792,"°","º"))-1)),""))))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IF(E2793="","",IF(ISNUMBER(SEARCH("SUBSOLO",E2793)),IFERROR(-VALUE(LEFT(E2793,FIND("º",SUBSTITUTE(E2793,"°","º"))-1)),-1),IF(LEFT(E2793,6)="TÉRREO",0,IFERROR(VALUE(LEFT(E2793,FIND("º",SUBSTITUTE(E2793,"°","º"))-1)),""))))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IF(E2794="","",IF(ISNUMBER(SEARCH("SUBSOLO",E2794)),IFERROR(-VALUE(LEFT(E2794,FIND("º",SUBSTITUTE(E2794,"°","º"))-1)),-1),IF(LEFT(E2794,6)="TÉRREO",0,IFERROR(VALUE(LEFT(E2794,FIND("º",SUBSTITUTE(E2794,"°","º"))-1)),""))))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IF(E2795="","",IF(ISNUMBER(SEARCH("SUBSOLO",E2795)),IFERROR(-VALUE(LEFT(E2795,FIND("º",SUBSTITUTE(E2795,"°","º"))-1)),-1),IF(LEFT(E2795,6)="TÉRREO",0,IFERROR(VALUE(LEFT(E2795,FIND("º",SUBSTITUTE(E2795,"°","º"))-1)),""))))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IF(E2796="","",IF(ISNUMBER(SEARCH("SUBSOLO",E2796)),IFERROR(-VALUE(LEFT(E2796,FIND("º",SUBSTITUTE(E2796,"°","º"))-1)),-1),IF(LEFT(E2796,6)="TÉRREO",0,IFERROR(VALUE(LEFT(E2796,FIND("º",SUBSTITUTE(E2796,"°","º"))-1)),""))))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IF(E2797="","",IF(ISNUMBER(SEARCH("SUBSOLO",E2797)),IFERROR(-VALUE(LEFT(E2797,FIND("º",SUBSTITUTE(E2797,"°","º"))-1)),-1),IF(LEFT(E2797,6)="TÉRREO",0,IFERROR(VALUE(LEFT(E2797,FIND("º",SUBSTITUTE(E2797,"°","º"))-1)),""))))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IF(E2798="","",IF(ISNUMBER(SEARCH("SUBSOLO",E2798)),IFERROR(-VALUE(LEFT(E2798,FIND("º",SUBSTITUTE(E2798,"°","º"))-1)),-1),IF(LEFT(E2798,6)="TÉRREO",0,IFERROR(VALUE(LEFT(E2798,FIND("º",SUBSTITUTE(E2798,"°","º"))-1)),""))))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IF(E2799="","",IF(ISNUMBER(SEARCH("SUBSOLO",E2799)),IFERROR(-VALUE(LEFT(E2799,FIND("º",SUBSTITUTE(E2799,"°","º"))-1)),-1),IF(LEFT(E2799,6)="TÉRREO",0,IFERROR(VALUE(LEFT(E2799,FIND("º",SUBSTITUTE(E2799,"°","º"))-1)),""))))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IF(E2800="","",IF(ISNUMBER(SEARCH("SUBSOLO",E2800)),IFERROR(-VALUE(LEFT(E2800,FIND("º",SUBSTITUTE(E2800,"°","º"))-1)),-1),IF(LEFT(E2800,6)="TÉRREO",0,IFERROR(VALUE(LEFT(E2800,FIND("º",SUBSTITUTE(E2800,"°","º"))-1)),""))))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IF(E2801="","",IF(ISNUMBER(SEARCH("SUBSOLO",E2801)),IFERROR(-VALUE(LEFT(E2801,FIND("º",SUBSTITUTE(E2801,"°","º"))-1)),-1),IF(LEFT(E2801,6)="TÉRREO",0,IFERROR(VALUE(LEFT(E2801,FIND("º",SUBSTITUTE(E2801,"°","º"))-1)),""))))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IF(E2802="","",IF(ISNUMBER(SEARCH("SUBSOLO",E2802)),IFERROR(-VALUE(LEFT(E2802,FIND("º",SUBSTITUTE(E2802,"°","º"))-1)),-1),IF(LEFT(E2802,6)="TÉRREO",0,IFERROR(VALUE(LEFT(E2802,FIND("º",SUBSTITUTE(E2802,"°","º"))-1)),""))))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IF(E2803="","",IF(ISNUMBER(SEARCH("SUBSOLO",E2803)),IFERROR(-VALUE(LEFT(E2803,FIND("º",SUBSTITUTE(E2803,"°","º"))-1)),-1),IF(LEFT(E2803,6)="TÉRREO",0,IFERROR(VALUE(LEFT(E2803,FIND("º",SUBSTITUTE(E2803,"°","º"))-1)),""))))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IF(E2804="","",IF(ISNUMBER(SEARCH("SUBSOLO",E2804)),IFERROR(-VALUE(LEFT(E2804,FIND("º",SUBSTITUTE(E2804,"°","º"))-1)),-1),IF(LEFT(E2804,6)="TÉRREO",0,IFERROR(VALUE(LEFT(E2804,FIND("º",SUBSTITUTE(E2804,"°","º"))-1)),""))))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IF(E2805="","",IF(ISNUMBER(SEARCH("SUBSOLO",E2805)),IFERROR(-VALUE(LEFT(E2805,FIND("º",SUBSTITUTE(E2805,"°","º"))-1)),-1),IF(LEFT(E2805,6)="TÉRREO",0,IFERROR(VALUE(LEFT(E2805,FIND("º",SUBSTITUTE(E2805,"°","º"))-1)),""))))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IF(E2806="","",IF(ISNUMBER(SEARCH("SUBSOLO",E2806)),IFERROR(-VALUE(LEFT(E2806,FIND("º",SUBSTITUTE(E2806,"°","º"))-1)),-1),IF(LEFT(E2806,6)="TÉRREO",0,IFERROR(VALUE(LEFT(E2806,FIND("º",SUBSTITUTE(E2806,"°","º"))-1)),""))))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IF(E2807="","",IF(ISNUMBER(SEARCH("SUBSOLO",E2807)),IFERROR(-VALUE(LEFT(E2807,FIND("º",SUBSTITUTE(E2807,"°","º"))-1)),-1),IF(LEFT(E2807,6)="TÉRREO",0,IFERROR(VALUE(LEFT(E2807,FIND("º",SUBSTITUTE(E2807,"°","º"))-1)),""))))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IF(E2808="","",IF(ISNUMBER(SEARCH("SUBSOLO",E2808)),IFERROR(-VALUE(LEFT(E2808,FIND("º",SUBSTITUTE(E2808,"°","º"))-1)),-1),IF(LEFT(E2808,6)="TÉRREO",0,IFERROR(VALUE(LEFT(E2808,FIND("º",SUBSTITUTE(E2808,"°","º"))-1)),""))))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IF(E2809="","",IF(ISNUMBER(SEARCH("SUBSOLO",E2809)),IFERROR(-VALUE(LEFT(E2809,FIND("º",SUBSTITUTE(E2809,"°","º"))-1)),-1),IF(LEFT(E2809,6)="TÉRREO",0,IFERROR(VALUE(LEFT(E2809,FIND("º",SUBSTITUTE(E2809,"°","º"))-1)),""))))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IF(E2810="","",IF(ISNUMBER(SEARCH("SUBSOLO",E2810)),IFERROR(-VALUE(LEFT(E2810,FIND("º",SUBSTITUTE(E2810,"°","º"))-1)),-1),IF(LEFT(E2810,6)="TÉRREO",0,IFERROR(VALUE(LEFT(E2810,FIND("º",SUBSTITUTE(E2810,"°","º"))-1)),""))))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IF(E2811="","",IF(ISNUMBER(SEARCH("SUBSOLO",E2811)),IFERROR(-VALUE(LEFT(E2811,FIND("º",SUBSTITUTE(E2811,"°","º"))-1)),-1),IF(LEFT(E2811,6)="TÉRREO",0,IFERROR(VALUE(LEFT(E2811,FIND("º",SUBSTITUTE(E2811,"°","º"))-1)),""))))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IF(E2812="","",IF(ISNUMBER(SEARCH("SUBSOLO",E2812)),IFERROR(-VALUE(LEFT(E2812,FIND("º",SUBSTITUTE(E2812,"°","º"))-1)),-1),IF(LEFT(E2812,6)="TÉRREO",0,IFERROR(VALUE(LEFT(E2812,FIND("º",SUBSTITUTE(E2812,"°","º"))-1)),""))))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IF(E2813="","",IF(ISNUMBER(SEARCH("SUBSOLO",E2813)),IFERROR(-VALUE(LEFT(E2813,FIND("º",SUBSTITUTE(E2813,"°","º"))-1)),-1),IF(LEFT(E2813,6)="TÉRREO",0,IFERROR(VALUE(LEFT(E2813,FIND("º",SUBSTITUTE(E2813,"°","º"))-1)),""))))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IF(E2814="","",IF(ISNUMBER(SEARCH("SUBSOLO",E2814)),IFERROR(-VALUE(LEFT(E2814,FIND("º",SUBSTITUTE(E2814,"°","º"))-1)),-1),IF(LEFT(E2814,6)="TÉRREO",0,IFERROR(VALUE(LEFT(E2814,FIND("º",SUBSTITUTE(E2814,"°","º"))-1)),""))))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IF(E2815="","",IF(ISNUMBER(SEARCH("SUBSOLO",E2815)),IFERROR(-VALUE(LEFT(E2815,FIND("º",SUBSTITUTE(E2815,"°","º"))-1)),-1),IF(LEFT(E2815,6)="TÉRREO",0,IFERROR(VALUE(LEFT(E2815,FIND("º",SUBSTITUTE(E2815,"°","º"))-1)),""))))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IF(E2816="","",IF(ISNUMBER(SEARCH("SUBSOLO",E2816)),IFERROR(-VALUE(LEFT(E2816,FIND("º",SUBSTITUTE(E2816,"°","º"))-1)),-1),IF(LEFT(E2816,6)="TÉRREO",0,IFERROR(VALUE(LEFT(E2816,FIND("º",SUBSTITUTE(E2816,"°","º"))-1)),""))))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IF(E2817="","",IF(ISNUMBER(SEARCH("SUBSOLO",E2817)),IFERROR(-VALUE(LEFT(E2817,FIND("º",SUBSTITUTE(E2817,"°","º"))-1)),-1),IF(LEFT(E2817,6)="TÉRREO",0,IFERROR(VALUE(LEFT(E2817,FIND("º",SUBSTITUTE(E2817,"°","º"))-1)),""))))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IF(E2818="","",IF(ISNUMBER(SEARCH("SUBSOLO",E2818)),IFERROR(-VALUE(LEFT(E2818,FIND("º",SUBSTITUTE(E2818,"°","º"))-1)),-1),IF(LEFT(E2818,6)="TÉRREO",0,IFERROR(VALUE(LEFT(E2818,FIND("º",SUBSTITUTE(E2818,"°","º"))-1)),""))))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IF(E2819="","",IF(ISNUMBER(SEARCH("SUBSOLO",E2819)),IFERROR(-VALUE(LEFT(E2819,FIND("º",SUBSTITUTE(E2819,"°","º"))-1)),-1),IF(LEFT(E2819,6)="TÉRREO",0,IFERROR(VALUE(LEFT(E2819,FIND("º",SUBSTITUTE(E2819,"°","º"))-1)),""))))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IF(E2820="","",IF(ISNUMBER(SEARCH("SUBSOLO",E2820)),IFERROR(-VALUE(LEFT(E2820,FIND("º",SUBSTITUTE(E2820,"°","º"))-1)),-1),IF(LEFT(E2820,6)="TÉRREO",0,IFERROR(VALUE(LEFT(E2820,FIND("º",SUBSTITUTE(E2820,"°","º"))-1)),""))))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IF(E2821="","",IF(ISNUMBER(SEARCH("SUBSOLO",E2821)),IFERROR(-VALUE(LEFT(E2821,FIND("º",SUBSTITUTE(E2821,"°","º"))-1)),-1),IF(LEFT(E2821,6)="TÉRREO",0,IFERROR(VALUE(LEFT(E2821,FIND("º",SUBSTITUTE(E2821,"°","º"))-1)),""))))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IF(E2822="","",IF(ISNUMBER(SEARCH("SUBSOLO",E2822)),IFERROR(-VALUE(LEFT(E2822,FIND("º",SUBSTITUTE(E2822,"°","º"))-1)),-1),IF(LEFT(E2822,6)="TÉRREO",0,IFERROR(VALUE(LEFT(E2822,FIND("º",SUBSTITUTE(E2822,"°","º"))-1)),""))))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IF(E2823="","",IF(ISNUMBER(SEARCH("SUBSOLO",E2823)),IFERROR(-VALUE(LEFT(E2823,FIND("º",SUBSTITUTE(E2823,"°","º"))-1)),-1),IF(LEFT(E2823,6)="TÉRREO",0,IFERROR(VALUE(LEFT(E2823,FIND("º",SUBSTITUTE(E2823,"°","º"))-1)),""))))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IF(E2824="","",IF(ISNUMBER(SEARCH("SUBSOLO",E2824)),IFERROR(-VALUE(LEFT(E2824,FIND("º",SUBSTITUTE(E2824,"°","º"))-1)),-1),IF(LEFT(E2824,6)="TÉRREO",0,IFERROR(VALUE(LEFT(E2824,FIND("º",SUBSTITUTE(E2824,"°","º"))-1)),""))))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IF(E2825="","",IF(ISNUMBER(SEARCH("SUBSOLO",E2825)),IFERROR(-VALUE(LEFT(E2825,FIND("º",SUBSTITUTE(E2825,"°","º"))-1)),-1),IF(LEFT(E2825,6)="TÉRREO",0,IFERROR(VALUE(LEFT(E2825,FIND("º",SUBSTITUTE(E2825,"°","º"))-1)),""))))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IF(E2826="","",IF(ISNUMBER(SEARCH("SUBSOLO",E2826)),IFERROR(-VALUE(LEFT(E2826,FIND("º",SUBSTITUTE(E2826,"°","º"))-1)),-1),IF(LEFT(E2826,6)="TÉRREO",0,IFERROR(VALUE(LEFT(E2826,FIND("º",SUBSTITUTE(E2826,"°","º"))-1)),""))))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IF(E2827="","",IF(ISNUMBER(SEARCH("SUBSOLO",E2827)),IFERROR(-VALUE(LEFT(E2827,FIND("º",SUBSTITUTE(E2827,"°","º"))-1)),-1),IF(LEFT(E2827,6)="TÉRREO",0,IFERROR(VALUE(LEFT(E2827,FIND("º",SUBSTITUTE(E2827,"°","º"))-1)),""))))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IF(E2828="","",IF(ISNUMBER(SEARCH("SUBSOLO",E2828)),IFERROR(-VALUE(LEFT(E2828,FIND("º",SUBSTITUTE(E2828,"°","º"))-1)),-1),IF(LEFT(E2828,6)="TÉRREO",0,IFERROR(VALUE(LEFT(E2828,FIND("º",SUBSTITUTE(E2828,"°","º"))-1)),""))))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IF(E2829="","",IF(ISNUMBER(SEARCH("SUBSOLO",E2829)),IFERROR(-VALUE(LEFT(E2829,FIND("º",SUBSTITUTE(E2829,"°","º"))-1)),-1),IF(LEFT(E2829,6)="TÉRREO",0,IFERROR(VALUE(LEFT(E2829,FIND("º",SUBSTITUTE(E2829,"°","º"))-1)),""))))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IF(E2830="","",IF(ISNUMBER(SEARCH("SUBSOLO",E2830)),IFERROR(-VALUE(LEFT(E2830,FIND("º",SUBSTITUTE(E2830,"°","º"))-1)),-1),IF(LEFT(E2830,6)="TÉRREO",0,IFERROR(VALUE(LEFT(E2830,FIND("º",SUBSTITUTE(E2830,"°","º"))-1)),""))))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IF(E2831="","",IF(ISNUMBER(SEARCH("SUBSOLO",E2831)),IFERROR(-VALUE(LEFT(E2831,FIND("º",SUBSTITUTE(E2831,"°","º"))-1)),-1),IF(LEFT(E2831,6)="TÉRREO",0,IFERROR(VALUE(LEFT(E2831,FIND("º",SUBSTITUTE(E2831,"°","º"))-1)),""))))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IF(E2832="","",IF(ISNUMBER(SEARCH("SUBSOLO",E2832)),IFERROR(-VALUE(LEFT(E2832,FIND("º",SUBSTITUTE(E2832,"°","º"))-1)),-1),IF(LEFT(E2832,6)="TÉRREO",0,IFERROR(VALUE(LEFT(E2832,FIND("º",SUBSTITUTE(E2832,"°","º"))-1)),""))))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IF(E2833="","",IF(ISNUMBER(SEARCH("SUBSOLO",E2833)),IFERROR(-VALUE(LEFT(E2833,FIND("º",SUBSTITUTE(E2833,"°","º"))-1)),-1),IF(LEFT(E2833,6)="TÉRREO",0,IFERROR(VALUE(LEFT(E2833,FIND("º",SUBSTITUTE(E2833,"°","º"))-1)),""))))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IF(E2834="","",IF(ISNUMBER(SEARCH("SUBSOLO",E2834)),IFERROR(-VALUE(LEFT(E2834,FIND("º",SUBSTITUTE(E2834,"°","º"))-1)),-1),IF(LEFT(E2834,6)="TÉRREO",0,IFERROR(VALUE(LEFT(E2834,FIND("º",SUBSTITUTE(E2834,"°","º"))-1)),""))))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IF(E2835="","",IF(ISNUMBER(SEARCH("SUBSOLO",E2835)),IFERROR(-VALUE(LEFT(E2835,FIND("º",SUBSTITUTE(E2835,"°","º"))-1)),-1),IF(LEFT(E2835,6)="TÉRREO",0,IFERROR(VALUE(LEFT(E2835,FIND("º",SUBSTITUTE(E2835,"°","º"))-1)),""))))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IF(E2836="","",IF(ISNUMBER(SEARCH("SUBSOLO",E2836)),IFERROR(-VALUE(LEFT(E2836,FIND("º",SUBSTITUTE(E2836,"°","º"))-1)),-1),IF(LEFT(E2836,6)="TÉRREO",0,IFERROR(VALUE(LEFT(E2836,FIND("º",SUBSTITUTE(E2836,"°","º"))-1)),""))))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IF(E2837="","",IF(ISNUMBER(SEARCH("SUBSOLO",E2837)),IFERROR(-VALUE(LEFT(E2837,FIND("º",SUBSTITUTE(E2837,"°","º"))-1)),-1),IF(LEFT(E2837,6)="TÉRREO",0,IFERROR(VALUE(LEFT(E2837,FIND("º",SUBSTITUTE(E2837,"°","º"))-1)),""))))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IF(E2838="","",IF(ISNUMBER(SEARCH("SUBSOLO",E2838)),IFERROR(-VALUE(LEFT(E2838,FIND("º",SUBSTITUTE(E2838,"°","º"))-1)),-1),IF(LEFT(E2838,6)="TÉRREO",0,IFERROR(VALUE(LEFT(E2838,FIND("º",SUBSTITUTE(E2838,"°","º"))-1)),""))))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IF(E2839="","",IF(ISNUMBER(SEARCH("SUBSOLO",E2839)),IFERROR(-VALUE(LEFT(E2839,FIND("º",SUBSTITUTE(E2839,"°","º"))-1)),-1),IF(LEFT(E2839,6)="TÉRREO",0,IFERROR(VALUE(LEFT(E2839,FIND("º",SUBSTITUTE(E2839,"°","º"))-1)),""))))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IF(E2840="","",IF(ISNUMBER(SEARCH("SUBSOLO",E2840)),IFERROR(-VALUE(LEFT(E2840,FIND("º",SUBSTITUTE(E2840,"°","º"))-1)),-1),IF(LEFT(E2840,6)="TÉRREO",0,IFERROR(VALUE(LEFT(E2840,FIND("º",SUBSTITUTE(E2840,"°","º"))-1)),""))))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IF(E2841="","",IF(ISNUMBER(SEARCH("SUBSOLO",E2841)),IFERROR(-VALUE(LEFT(E2841,FIND("º",SUBSTITUTE(E2841,"°","º"))-1)),-1),IF(LEFT(E2841,6)="TÉRREO",0,IFERROR(VALUE(LEFT(E2841,FIND("º",SUBSTITUTE(E2841,"°","º"))-1)),""))))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IF(E2842="","",IF(ISNUMBER(SEARCH("SUBSOLO",E2842)),IFERROR(-VALUE(LEFT(E2842,FIND("º",SUBSTITUTE(E2842,"°","º"))-1)),-1),IF(LEFT(E2842,6)="TÉRREO",0,IFERROR(VALUE(LEFT(E2842,FIND("º",SUBSTITUTE(E2842,"°","º"))-1)),""))))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IF(E2843="","",IF(ISNUMBER(SEARCH("SUBSOLO",E2843)),IFERROR(-VALUE(LEFT(E2843,FIND("º",SUBSTITUTE(E2843,"°","º"))-1)),-1),IF(LEFT(E2843,6)="TÉRREO",0,IFERROR(VALUE(LEFT(E2843,FIND("º",SUBSTITUTE(E2843,"°","º"))-1)),""))))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IF(E2844="","",IF(ISNUMBER(SEARCH("SUBSOLO",E2844)),IFERROR(-VALUE(LEFT(E2844,FIND("º",SUBSTITUTE(E2844,"°","º"))-1)),-1),IF(LEFT(E2844,6)="TÉRREO",0,IFERROR(VALUE(LEFT(E2844,FIND("º",SUBSTITUTE(E2844,"°","º"))-1)),""))))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IF(E2845="","",IF(ISNUMBER(SEARCH("SUBSOLO",E2845)),IFERROR(-VALUE(LEFT(E2845,FIND("º",SUBSTITUTE(E2845,"°","º"))-1)),-1),IF(LEFT(E2845,6)="TÉRREO",0,IFERROR(VALUE(LEFT(E2845,FIND("º",SUBSTITUTE(E2845,"°","º"))-1)),""))))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IF(E2846="","",IF(ISNUMBER(SEARCH("SUBSOLO",E2846)),IFERROR(-VALUE(LEFT(E2846,FIND("º",SUBSTITUTE(E2846,"°","º"))-1)),-1),IF(LEFT(E2846,6)="TÉRREO",0,IFERROR(VALUE(LEFT(E2846,FIND("º",SUBSTITUTE(E2846,"°","º"))-1)),""))))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IF(E2847="","",IF(ISNUMBER(SEARCH("SUBSOLO",E2847)),IFERROR(-VALUE(LEFT(E2847,FIND("º",SUBSTITUTE(E2847,"°","º"))-1)),-1),IF(LEFT(E2847,6)="TÉRREO",0,IFERROR(VALUE(LEFT(E2847,FIND("º",SUBSTITUTE(E2847,"°","º"))-1)),""))))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IF(E2848="","",IF(ISNUMBER(SEARCH("SUBSOLO",E2848)),IFERROR(-VALUE(LEFT(E2848,FIND("º",SUBSTITUTE(E2848,"°","º"))-1)),-1),IF(LEFT(E2848,6)="TÉRREO",0,IFERROR(VALUE(LEFT(E2848,FIND("º",SUBSTITUTE(E2848,"°","º"))-1)),""))))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IF(E2849="","",IF(ISNUMBER(SEARCH("SUBSOLO",E2849)),IFERROR(-VALUE(LEFT(E2849,FIND("º",SUBSTITUTE(E2849,"°","º"))-1)),-1),IF(LEFT(E2849,6)="TÉRREO",0,IFERROR(VALUE(LEFT(E2849,FIND("º",SUBSTITUTE(E2849,"°","º"))-1)),""))))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IF(E2850="","",IF(ISNUMBER(SEARCH("SUBSOLO",E2850)),IFERROR(-VALUE(LEFT(E2850,FIND("º",SUBSTITUTE(E2850,"°","º"))-1)),-1),IF(LEFT(E2850,6)="TÉRREO",0,IFERROR(VALUE(LEFT(E2850,FIND("º",SUBSTITUTE(E2850,"°","º"))-1)),""))))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IF(E2851="","",IF(ISNUMBER(SEARCH("SUBSOLO",E2851)),IFERROR(-VALUE(LEFT(E2851,FIND("º",SUBSTITUTE(E2851,"°","º"))-1)),-1),IF(LEFT(E2851,6)="TÉRREO",0,IFERROR(VALUE(LEFT(E2851,FIND("º",SUBSTITUTE(E2851,"°","º"))-1)),""))))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IF(E2852="","",IF(ISNUMBER(SEARCH("SUBSOLO",E2852)),IFERROR(-VALUE(LEFT(E2852,FIND("º",SUBSTITUTE(E2852,"°","º"))-1)),-1),IF(LEFT(E2852,6)="TÉRREO",0,IFERROR(VALUE(LEFT(E2852,FIND("º",SUBSTITUTE(E2852,"°","º"))-1)),""))))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IF(E2853="","",IF(ISNUMBER(SEARCH("SUBSOLO",E2853)),IFERROR(-VALUE(LEFT(E2853,FIND("º",SUBSTITUTE(E2853,"°","º"))-1)),-1),IF(LEFT(E2853,6)="TÉRREO",0,IFERROR(VALUE(LEFT(E2853,FIND("º",SUBSTITUTE(E2853,"°","º"))-1)),""))))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IF(E2854="","",IF(ISNUMBER(SEARCH("SUBSOLO",E2854)),IFERROR(-VALUE(LEFT(E2854,FIND("º",SUBSTITUTE(E2854,"°","º"))-1)),-1),IF(LEFT(E2854,6)="TÉRREO",0,IFERROR(VALUE(LEFT(E2854,FIND("º",SUBSTITUTE(E2854,"°","º"))-1)),""))))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IF(E2855="","",IF(ISNUMBER(SEARCH("SUBSOLO",E2855)),IFERROR(-VALUE(LEFT(E2855,FIND("º",SUBSTITUTE(E2855,"°","º"))-1)),-1),IF(LEFT(E2855,6)="TÉRREO",0,IFERROR(VALUE(LEFT(E2855,FIND("º",SUBSTITUTE(E2855,"°","º"))-1)),""))))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IF(E2856="","",IF(ISNUMBER(SEARCH("SUBSOLO",E2856)),IFERROR(-VALUE(LEFT(E2856,FIND("º",SUBSTITUTE(E2856,"°","º"))-1)),-1),IF(LEFT(E2856,6)="TÉRREO",0,IFERROR(VALUE(LEFT(E2856,FIND("º",SUBSTITUTE(E2856,"°","º"))-1)),""))))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IF(E2857="","",IF(ISNUMBER(SEARCH("SUBSOLO",E2857)),IFERROR(-VALUE(LEFT(E2857,FIND("º",SUBSTITUTE(E2857,"°","º"))-1)),-1),IF(LEFT(E2857,6)="TÉRREO",0,IFERROR(VALUE(LEFT(E2857,FIND("º",SUBSTITUTE(E2857,"°","º"))-1)),""))))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IF(E2858="","",IF(ISNUMBER(SEARCH("SUBSOLO",E2858)),IFERROR(-VALUE(LEFT(E2858,FIND("º",SUBSTITUTE(E2858,"°","º"))-1)),-1),IF(LEFT(E2858,6)="TÉRREO",0,IFERROR(VALUE(LEFT(E2858,FIND("º",SUBSTITUTE(E2858,"°","º"))-1)),""))))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IF(E2859="","",IF(ISNUMBER(SEARCH("SUBSOLO",E2859)),IFERROR(-VALUE(LEFT(E2859,FIND("º",SUBSTITUTE(E2859,"°","º"))-1)),-1),IF(LEFT(E2859,6)="TÉRREO",0,IFERROR(VALUE(LEFT(E2859,FIND("º",SUBSTITUTE(E2859,"°","º"))-1)),""))))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IF(E2860="","",IF(ISNUMBER(SEARCH("SUBSOLO",E2860)),IFERROR(-VALUE(LEFT(E2860,FIND("º",SUBSTITUTE(E2860,"°","º"))-1)),-1),IF(LEFT(E2860,6)="TÉRREO",0,IFERROR(VALUE(LEFT(E2860,FIND("º",SUBSTITUTE(E2860,"°","º"))-1)),""))))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IF(E2861="","",IF(ISNUMBER(SEARCH("SUBSOLO",E2861)),IFERROR(-VALUE(LEFT(E2861,FIND("º",SUBSTITUTE(E2861,"°","º"))-1)),-1),IF(LEFT(E2861,6)="TÉRREO",0,IFERROR(VALUE(LEFT(E2861,FIND("º",SUBSTITUTE(E2861,"°","º"))-1)),""))))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IF(E2862="","",IF(ISNUMBER(SEARCH("SUBSOLO",E2862)),IFERROR(-VALUE(LEFT(E2862,FIND("º",SUBSTITUTE(E2862,"°","º"))-1)),-1),IF(LEFT(E2862,6)="TÉRREO",0,IFERROR(VALUE(LEFT(E2862,FIND("º",SUBSTITUTE(E2862,"°","º"))-1)),""))))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IF(E2863="","",IF(ISNUMBER(SEARCH("SUBSOLO",E2863)),IFERROR(-VALUE(LEFT(E2863,FIND("º",SUBSTITUTE(E2863,"°","º"))-1)),-1),IF(LEFT(E2863,6)="TÉRREO",0,IFERROR(VALUE(LEFT(E2863,FIND("º",SUBSTITUTE(E2863,"°","º"))-1)),""))))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IF(E2864="","",IF(ISNUMBER(SEARCH("SUBSOLO",E2864)),IFERROR(-VALUE(LEFT(E2864,FIND("º",SUBSTITUTE(E2864,"°","º"))-1)),-1),IF(LEFT(E2864,6)="TÉRREO",0,IFERROR(VALUE(LEFT(E2864,FIND("º",SUBSTITUTE(E2864,"°","º"))-1)),""))))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IF(E2865="","",IF(ISNUMBER(SEARCH("SUBSOLO",E2865)),IFERROR(-VALUE(LEFT(E2865,FIND("º",SUBSTITUTE(E2865,"°","º"))-1)),-1),IF(LEFT(E2865,6)="TÉRREO",0,IFERROR(VALUE(LEFT(E2865,FIND("º",SUBSTITUTE(E2865,"°","º"))-1)),""))))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IF(E2866="","",IF(ISNUMBER(SEARCH("SUBSOLO",E2866)),IFERROR(-VALUE(LEFT(E2866,FIND("º",SUBSTITUTE(E2866,"°","º"))-1)),-1),IF(LEFT(E2866,6)="TÉRREO",0,IFERROR(VALUE(LEFT(E2866,FIND("º",SUBSTITUTE(E2866,"°","º"))-1)),""))))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IF(E2867="","",IF(ISNUMBER(SEARCH("SUBSOLO",E2867)),IFERROR(-VALUE(LEFT(E2867,FIND("º",SUBSTITUTE(E2867,"°","º"))-1)),-1),IF(LEFT(E2867,6)="TÉRREO",0,IFERROR(VALUE(LEFT(E2867,FIND("º",SUBSTITUTE(E2867,"°","º"))-1)),""))))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IF(E2868="","",IF(ISNUMBER(SEARCH("SUBSOLO",E2868)),IFERROR(-VALUE(LEFT(E2868,FIND("º",SUBSTITUTE(E2868,"°","º"))-1)),-1),IF(LEFT(E2868,6)="TÉRREO",0,IFERROR(VALUE(LEFT(E2868,FIND("º",SUBSTITUTE(E2868,"°","º"))-1)),""))))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IF(E2869="","",IF(ISNUMBER(SEARCH("SUBSOLO",E2869)),IFERROR(-VALUE(LEFT(E2869,FIND("º",SUBSTITUTE(E2869,"°","º"))-1)),-1),IF(LEFT(E2869,6)="TÉRREO",0,IFERROR(VALUE(LEFT(E2869,FIND("º",SUBSTITUTE(E2869,"°","º"))-1)),""))))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IF(E2870="","",IF(ISNUMBER(SEARCH("SUBSOLO",E2870)),IFERROR(-VALUE(LEFT(E2870,FIND("º",SUBSTITUTE(E2870,"°","º"))-1)),-1),IF(LEFT(E2870,6)="TÉRREO",0,IFERROR(VALUE(LEFT(E2870,FIND("º",SUBSTITUTE(E2870,"°","º"))-1)),""))))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IF(E2871="","",IF(ISNUMBER(SEARCH("SUBSOLO",E2871)),IFERROR(-VALUE(LEFT(E2871,FIND("º",SUBSTITUTE(E2871,"°","º"))-1)),-1),IF(LEFT(E2871,6)="TÉRREO",0,IFERROR(VALUE(LEFT(E2871,FIND("º",SUBSTITUTE(E2871,"°","º"))-1)),""))))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IF(E2872="","",IF(ISNUMBER(SEARCH("SUBSOLO",E2872)),IFERROR(-VALUE(LEFT(E2872,FIND("º",SUBSTITUTE(E2872,"°","º"))-1)),-1),IF(LEFT(E2872,6)="TÉRREO",0,IFERROR(VALUE(LEFT(E2872,FIND("º",SUBSTITUTE(E2872,"°","º"))-1)),""))))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IF(E2873="","",IF(ISNUMBER(SEARCH("SUBSOLO",E2873)),IFERROR(-VALUE(LEFT(E2873,FIND("º",SUBSTITUTE(E2873,"°","º"))-1)),-1),IF(LEFT(E2873,6)="TÉRREO",0,IFERROR(VALUE(LEFT(E2873,FIND("º",SUBSTITUTE(E2873,"°","º"))-1)),""))))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IF(E2874="","",IF(ISNUMBER(SEARCH("SUBSOLO",E2874)),IFERROR(-VALUE(LEFT(E2874,FIND("º",SUBSTITUTE(E2874,"°","º"))-1)),-1),IF(LEFT(E2874,6)="TÉRREO",0,IFERROR(VALUE(LEFT(E2874,FIND("º",SUBSTITUTE(E2874,"°","º"))-1)),""))))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IF(E2875="","",IF(ISNUMBER(SEARCH("SUBSOLO",E2875)),IFERROR(-VALUE(LEFT(E2875,FIND("º",SUBSTITUTE(E2875,"°","º"))-1)),-1),IF(LEFT(E2875,6)="TÉRREO",0,IFERROR(VALUE(LEFT(E2875,FIND("º",SUBSTITUTE(E2875,"°","º"))-1)),""))))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IF(E2876="","",IF(ISNUMBER(SEARCH("SUBSOLO",E2876)),IFERROR(-VALUE(LEFT(E2876,FIND("º",SUBSTITUTE(E2876,"°","º"))-1)),-1),IF(LEFT(E2876,6)="TÉRREO",0,IFERROR(VALUE(LEFT(E2876,FIND("º",SUBSTITUTE(E2876,"°","º"))-1)),""))))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IF(E2877="","",IF(ISNUMBER(SEARCH("SUBSOLO",E2877)),IFERROR(-VALUE(LEFT(E2877,FIND("º",SUBSTITUTE(E2877,"°","º"))-1)),-1),IF(LEFT(E2877,6)="TÉRREO",0,IFERROR(VALUE(LEFT(E2877,FIND("º",SUBSTITUTE(E2877,"°","º"))-1)),""))))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IF(E2878="","",IF(ISNUMBER(SEARCH("SUBSOLO",E2878)),IFERROR(-VALUE(LEFT(E2878,FIND("º",SUBSTITUTE(E2878,"°","º"))-1)),-1),IF(LEFT(E2878,6)="TÉRREO",0,IFERROR(VALUE(LEFT(E2878,FIND("º",SUBSTITUTE(E2878,"°","º"))-1)),""))))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IF(E2879="","",IF(ISNUMBER(SEARCH("SUBSOLO",E2879)),IFERROR(-VALUE(LEFT(E2879,FIND("º",SUBSTITUTE(E2879,"°","º"))-1)),-1),IF(LEFT(E2879,6)="TÉRREO",0,IFERROR(VALUE(LEFT(E2879,FIND("º",SUBSTITUTE(E2879,"°","º"))-1)),""))))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IF(E2880="","",IF(ISNUMBER(SEARCH("SUBSOLO",E2880)),IFERROR(-VALUE(LEFT(E2880,FIND("º",SUBSTITUTE(E2880,"°","º"))-1)),-1),IF(LEFT(E2880,6)="TÉRREO",0,IFERROR(VALUE(LEFT(E2880,FIND("º",SUBSTITUTE(E2880,"°","º"))-1)),""))))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IF(E2881="","",IF(ISNUMBER(SEARCH("SUBSOLO",E2881)),IFERROR(-VALUE(LEFT(E2881,FIND("º",SUBSTITUTE(E2881,"°","º"))-1)),-1),IF(LEFT(E2881,6)="TÉRREO",0,IFERROR(VALUE(LEFT(E2881,FIND("º",SUBSTITUTE(E2881,"°","º"))-1)),""))))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IF(E2882="","",IF(ISNUMBER(SEARCH("SUBSOLO",E2882)),IFERROR(-VALUE(LEFT(E2882,FIND("º",SUBSTITUTE(E2882,"°","º"))-1)),-1),IF(LEFT(E2882,6)="TÉRREO",0,IFERROR(VALUE(LEFT(E2882,FIND("º",SUBSTITUTE(E2882,"°","º"))-1)),""))))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IF(E2883="","",IF(ISNUMBER(SEARCH("SUBSOLO",E2883)),IFERROR(-VALUE(LEFT(E2883,FIND("º",SUBSTITUTE(E2883,"°","º"))-1)),-1),IF(LEFT(E2883,6)="TÉRREO",0,IFERROR(VALUE(LEFT(E2883,FIND("º",SUBSTITUTE(E2883,"°","º"))-1)),""))))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IF(E2884="","",IF(ISNUMBER(SEARCH("SUBSOLO",E2884)),IFERROR(-VALUE(LEFT(E2884,FIND("º",SUBSTITUTE(E2884,"°","º"))-1)),-1),IF(LEFT(E2884,6)="TÉRREO",0,IFERROR(VALUE(LEFT(E2884,FIND("º",SUBSTITUTE(E2884,"°","º"))-1)),""))))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IF(E2885="","",IF(ISNUMBER(SEARCH("SUBSOLO",E2885)),IFERROR(-VALUE(LEFT(E2885,FIND("º",SUBSTITUTE(E2885,"°","º"))-1)),-1),IF(LEFT(E2885,6)="TÉRREO",0,IFERROR(VALUE(LEFT(E2885,FIND("º",SUBSTITUTE(E2885,"°","º"))-1)),""))))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IF(E2886="","",IF(ISNUMBER(SEARCH("SUBSOLO",E2886)),IFERROR(-VALUE(LEFT(E2886,FIND("º",SUBSTITUTE(E2886,"°","º"))-1)),-1),IF(LEFT(E2886,6)="TÉRREO",0,IFERROR(VALUE(LEFT(E2886,FIND("º",SUBSTITUTE(E2886,"°","º"))-1)),""))))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IF(E2887="","",IF(ISNUMBER(SEARCH("SUBSOLO",E2887)),IFERROR(-VALUE(LEFT(E2887,FIND("º",SUBSTITUTE(E2887,"°","º"))-1)),-1),IF(LEFT(E2887,6)="TÉRREO",0,IFERROR(VALUE(LEFT(E2887,FIND("º",SUBSTITUTE(E2887,"°","º"))-1)),""))))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IF(E2888="","",IF(ISNUMBER(SEARCH("SUBSOLO",E2888)),IFERROR(-VALUE(LEFT(E2888,FIND("º",SUBSTITUTE(E2888,"°","º"))-1)),-1),IF(LEFT(E2888,6)="TÉRREO",0,IFERROR(VALUE(LEFT(E2888,FIND("º",SUBSTITUTE(E2888,"°","º"))-1)),""))))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IF(E2889="","",IF(ISNUMBER(SEARCH("SUBSOLO",E2889)),IFERROR(-VALUE(LEFT(E2889,FIND("º",SUBSTITUTE(E2889,"°","º"))-1)),-1),IF(LEFT(E2889,6)="TÉRREO",0,IFERROR(VALUE(LEFT(E2889,FIND("º",SUBSTITUTE(E2889,"°","º"))-1)),""))))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IF(E2890="","",IF(ISNUMBER(SEARCH("SUBSOLO",E2890)),IFERROR(-VALUE(LEFT(E2890,FIND("º",SUBSTITUTE(E2890,"°","º"))-1)),-1),IF(LEFT(E2890,6)="TÉRREO",0,IFERROR(VALUE(LEFT(E2890,FIND("º",SUBSTITUTE(E2890,"°","º"))-1)),""))))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IF(E2891="","",IF(ISNUMBER(SEARCH("SUBSOLO",E2891)),IFERROR(-VALUE(LEFT(E2891,FIND("º",SUBSTITUTE(E2891,"°","º"))-1)),-1),IF(LEFT(E2891,6)="TÉRREO",0,IFERROR(VALUE(LEFT(E2891,FIND("º",SUBSTITUTE(E2891,"°","º"))-1)),""))))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IF(E2892="","",IF(ISNUMBER(SEARCH("SUBSOLO",E2892)),IFERROR(-VALUE(LEFT(E2892,FIND("º",SUBSTITUTE(E2892,"°","º"))-1)),-1),IF(LEFT(E2892,6)="TÉRREO",0,IFERROR(VALUE(LEFT(E2892,FIND("º",SUBSTITUTE(E2892,"°","º"))-1)),""))))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IF(E2893="","",IF(ISNUMBER(SEARCH("SUBSOLO",E2893)),IFERROR(-VALUE(LEFT(E2893,FIND("º",SUBSTITUTE(E2893,"°","º"))-1)),-1),IF(LEFT(E2893,6)="TÉRREO",0,IFERROR(VALUE(LEFT(E2893,FIND("º",SUBSTITUTE(E2893,"°","º"))-1)),""))))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IF(E2894="","",IF(ISNUMBER(SEARCH("SUBSOLO",E2894)),IFERROR(-VALUE(LEFT(E2894,FIND("º",SUBSTITUTE(E2894,"°","º"))-1)),-1),IF(LEFT(E2894,6)="TÉRREO",0,IFERROR(VALUE(LEFT(E2894,FIND("º",SUBSTITUTE(E2894,"°","º"))-1)),""))))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IF(E2895="","",IF(ISNUMBER(SEARCH("SUBSOLO",E2895)),IFERROR(-VALUE(LEFT(E2895,FIND("º",SUBSTITUTE(E2895,"°","º"))-1)),-1),IF(LEFT(E2895,6)="TÉRREO",0,IFERROR(VALUE(LEFT(E2895,FIND("º",SUBSTITUTE(E2895,"°","º"))-1)),""))))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IF(E2896="","",IF(ISNUMBER(SEARCH("SUBSOLO",E2896)),IFERROR(-VALUE(LEFT(E2896,FIND("º",SUBSTITUTE(E2896,"°","º"))-1)),-1),IF(LEFT(E2896,6)="TÉRREO",0,IFERROR(VALUE(LEFT(E2896,FIND("º",SUBSTITUTE(E2896,"°","º"))-1)),""))))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IF(E2897="","",IF(ISNUMBER(SEARCH("SUBSOLO",E2897)),IFERROR(-VALUE(LEFT(E2897,FIND("º",SUBSTITUTE(E2897,"°","º"))-1)),-1),IF(LEFT(E2897,6)="TÉRREO",0,IFERROR(VALUE(LEFT(E2897,FIND("º",SUBSTITUTE(E2897,"°","º"))-1)),""))))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IF(E2898="","",IF(ISNUMBER(SEARCH("SUBSOLO",E2898)),IFERROR(-VALUE(LEFT(E2898,FIND("º",SUBSTITUTE(E2898,"°","º"))-1)),-1),IF(LEFT(E2898,6)="TÉRREO",0,IFERROR(VALUE(LEFT(E2898,FIND("º",SUBSTITUTE(E2898,"°","º"))-1)),""))))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IF(E2899="","",IF(ISNUMBER(SEARCH("SUBSOLO",E2899)),IFERROR(-VALUE(LEFT(E2899,FIND("º",SUBSTITUTE(E2899,"°","º"))-1)),-1),IF(LEFT(E2899,6)="TÉRREO",0,IFERROR(VALUE(LEFT(E2899,FIND("º",SUBSTITUTE(E2899,"°","º"))-1)),""))))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IF(E2900="","",IF(ISNUMBER(SEARCH("SUBSOLO",E2900)),IFERROR(-VALUE(LEFT(E2900,FIND("º",SUBSTITUTE(E2900,"°","º"))-1)),-1),IF(LEFT(E2900,6)="TÉRREO",0,IFERROR(VALUE(LEFT(E2900,FIND("º",SUBSTITUTE(E2900,"°","º"))-1)),""))))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IF(E2901="","",IF(ISNUMBER(SEARCH("SUBSOLO",E2901)),IFERROR(-VALUE(LEFT(E2901,FIND("º",SUBSTITUTE(E2901,"°","º"))-1)),-1),IF(LEFT(E2901,6)="TÉRREO",0,IFERROR(VALUE(LEFT(E2901,FIND("º",SUBSTITUTE(E2901,"°","º"))-1)),""))))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IF(E2902="","",IF(ISNUMBER(SEARCH("SUBSOLO",E2902)),IFERROR(-VALUE(LEFT(E2902,FIND("º",SUBSTITUTE(E2902,"°","º"))-1)),-1),IF(LEFT(E2902,6)="TÉRREO",0,IFERROR(VALUE(LEFT(E2902,FIND("º",SUBSTITUTE(E2902,"°","º"))-1)),""))))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IF(E2903="","",IF(ISNUMBER(SEARCH("SUBSOLO",E2903)),IFERROR(-VALUE(LEFT(E2903,FIND("º",SUBSTITUTE(E2903,"°","º"))-1)),-1),IF(LEFT(E2903,6)="TÉRREO",0,IFERROR(VALUE(LEFT(E2903,FIND("º",SUBSTITUTE(E2903,"°","º"))-1)),""))))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IF(E2904="","",IF(ISNUMBER(SEARCH("SUBSOLO",E2904)),IFERROR(-VALUE(LEFT(E2904,FIND("º",SUBSTITUTE(E2904,"°","º"))-1)),-1),IF(LEFT(E2904,6)="TÉRREO",0,IFERROR(VALUE(LEFT(E2904,FIND("º",SUBSTITUTE(E2904,"°","º"))-1)),""))))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IF(E2905="","",IF(ISNUMBER(SEARCH("SUBSOLO",E2905)),IFERROR(-VALUE(LEFT(E2905,FIND("º",SUBSTITUTE(E2905,"°","º"))-1)),-1),IF(LEFT(E2905,6)="TÉRREO",0,IFERROR(VALUE(LEFT(E2905,FIND("º",SUBSTITUTE(E2905,"°","º"))-1)),""))))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IF(E2906="","",IF(ISNUMBER(SEARCH("SUBSOLO",E2906)),IFERROR(-VALUE(LEFT(E2906,FIND("º",SUBSTITUTE(E2906,"°","º"))-1)),-1),IF(LEFT(E2906,6)="TÉRREO",0,IFERROR(VALUE(LEFT(E2906,FIND("º",SUBSTITUTE(E2906,"°","º"))-1)),""))))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IF(E2907="","",IF(ISNUMBER(SEARCH("SUBSOLO",E2907)),IFERROR(-VALUE(LEFT(E2907,FIND("º",SUBSTITUTE(E2907,"°","º"))-1)),-1),IF(LEFT(E2907,6)="TÉRREO",0,IFERROR(VALUE(LEFT(E2907,FIND("º",SUBSTITUTE(E2907,"°","º"))-1)),""))))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IF(E2908="","",IF(ISNUMBER(SEARCH("SUBSOLO",E2908)),IFERROR(-VALUE(LEFT(E2908,FIND("º",SUBSTITUTE(E2908,"°","º"))-1)),-1),IF(LEFT(E2908,6)="TÉRREO",0,IFERROR(VALUE(LEFT(E2908,FIND("º",SUBSTITUTE(E2908,"°","º"))-1)),""))))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IF(E2909="","",IF(ISNUMBER(SEARCH("SUBSOLO",E2909)),IFERROR(-VALUE(LEFT(E2909,FIND("º",SUBSTITUTE(E2909,"°","º"))-1)),-1),IF(LEFT(E2909,6)="TÉRREO",0,IFERROR(VALUE(LEFT(E2909,FIND("º",SUBSTITUTE(E2909,"°","º"))-1)),""))))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IF(E2910="","",IF(ISNUMBER(SEARCH("SUBSOLO",E2910)),IFERROR(-VALUE(LEFT(E2910,FIND("º",SUBSTITUTE(E2910,"°","º"))-1)),-1),IF(LEFT(E2910,6)="TÉRREO",0,IFERROR(VALUE(LEFT(E2910,FIND("º",SUBSTITUTE(E2910,"°","º"))-1)),""))))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IF(E2911="","",IF(ISNUMBER(SEARCH("SUBSOLO",E2911)),IFERROR(-VALUE(LEFT(E2911,FIND("º",SUBSTITUTE(E2911,"°","º"))-1)),-1),IF(LEFT(E2911,6)="TÉRREO",0,IFERROR(VALUE(LEFT(E2911,FIND("º",SUBSTITUTE(E2911,"°","º"))-1)),""))))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IF(E2912="","",IF(ISNUMBER(SEARCH("SUBSOLO",E2912)),IFERROR(-VALUE(LEFT(E2912,FIND("º",SUBSTITUTE(E2912,"°","º"))-1)),-1),IF(LEFT(E2912,6)="TÉRREO",0,IFERROR(VALUE(LEFT(E2912,FIND("º",SUBSTITUTE(E2912,"°","º"))-1)),""))))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IF(E2913="","",IF(ISNUMBER(SEARCH("SUBSOLO",E2913)),IFERROR(-VALUE(LEFT(E2913,FIND("º",SUBSTITUTE(E2913,"°","º"))-1)),-1),IF(LEFT(E2913,6)="TÉRREO",0,IFERROR(VALUE(LEFT(E2913,FIND("º",SUBSTITUTE(E2913,"°","º"))-1)),""))))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IF(E2914="","",IF(ISNUMBER(SEARCH("SUBSOLO",E2914)),IFERROR(-VALUE(LEFT(E2914,FIND("º",SUBSTITUTE(E2914,"°","º"))-1)),-1),IF(LEFT(E2914,6)="TÉRREO",0,IFERROR(VALUE(LEFT(E2914,FIND("º",SUBSTITUTE(E2914,"°","º"))-1)),""))))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IF(E2915="","",IF(ISNUMBER(SEARCH("SUBSOLO",E2915)),IFERROR(-VALUE(LEFT(E2915,FIND("º",SUBSTITUTE(E2915,"°","º"))-1)),-1),IF(LEFT(E2915,6)="TÉRREO",0,IFERROR(VALUE(LEFT(E2915,FIND("º",SUBSTITUTE(E2915,"°","º"))-1)),""))))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IF(E2916="","",IF(ISNUMBER(SEARCH("SUBSOLO",E2916)),IFERROR(-VALUE(LEFT(E2916,FIND("º",SUBSTITUTE(E2916,"°","º"))-1)),-1),IF(LEFT(E2916,6)="TÉRREO",0,IFERROR(VALUE(LEFT(E2916,FIND("º",SUBSTITUTE(E2916,"°","º"))-1)),""))))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IF(E2917="","",IF(ISNUMBER(SEARCH("SUBSOLO",E2917)),IFERROR(-VALUE(LEFT(E2917,FIND("º",SUBSTITUTE(E2917,"°","º"))-1)),-1),IF(LEFT(E2917,6)="TÉRREO",0,IFERROR(VALUE(LEFT(E2917,FIND("º",SUBSTITUTE(E2917,"°","º"))-1)),""))))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IF(E2918="","",IF(ISNUMBER(SEARCH("SUBSOLO",E2918)),IFERROR(-VALUE(LEFT(E2918,FIND("º",SUBSTITUTE(E2918,"°","º"))-1)),-1),IF(LEFT(E2918,6)="TÉRREO",0,IFERROR(VALUE(LEFT(E2918,FIND("º",SUBSTITUTE(E2918,"°","º"))-1)),""))))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IF(E2919="","",IF(ISNUMBER(SEARCH("SUBSOLO",E2919)),IFERROR(-VALUE(LEFT(E2919,FIND("º",SUBSTITUTE(E2919,"°","º"))-1)),-1),IF(LEFT(E2919,6)="TÉRREO",0,IFERROR(VALUE(LEFT(E2919,FIND("º",SUBSTITUTE(E2919,"°","º"))-1)),""))))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IF(E2920="","",IF(ISNUMBER(SEARCH("SUBSOLO",E2920)),IFERROR(-VALUE(LEFT(E2920,FIND("º",SUBSTITUTE(E2920,"°","º"))-1)),-1),IF(LEFT(E2920,6)="TÉRREO",0,IFERROR(VALUE(LEFT(E2920,FIND("º",SUBSTITUTE(E2920,"°","º"))-1)),""))))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IF(E2921="","",IF(ISNUMBER(SEARCH("SUBSOLO",E2921)),IFERROR(-VALUE(LEFT(E2921,FIND("º",SUBSTITUTE(E2921,"°","º"))-1)),-1),IF(LEFT(E2921,6)="TÉRREO",0,IFERROR(VALUE(LEFT(E2921,FIND("º",SUBSTITUTE(E2921,"°","º"))-1)),""))))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IF(E2922="","",IF(ISNUMBER(SEARCH("SUBSOLO",E2922)),IFERROR(-VALUE(LEFT(E2922,FIND("º",SUBSTITUTE(E2922,"°","º"))-1)),-1),IF(LEFT(E2922,6)="TÉRREO",0,IFERROR(VALUE(LEFT(E2922,FIND("º",SUBSTITUTE(E2922,"°","º"))-1)),""))))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IF(E2923="","",IF(ISNUMBER(SEARCH("SUBSOLO",E2923)),IFERROR(-VALUE(LEFT(E2923,FIND("º",SUBSTITUTE(E2923,"°","º"))-1)),-1),IF(LEFT(E2923,6)="TÉRREO",0,IFERROR(VALUE(LEFT(E2923,FIND("º",SUBSTITUTE(E2923,"°","º"))-1)),""))))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IF(E2924="","",IF(ISNUMBER(SEARCH("SUBSOLO",E2924)),IFERROR(-VALUE(LEFT(E2924,FIND("º",SUBSTITUTE(E2924,"°","º"))-1)),-1),IF(LEFT(E2924,6)="TÉRREO",0,IFERROR(VALUE(LEFT(E2924,FIND("º",SUBSTITUTE(E2924,"°","º"))-1)),""))))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IF(E2925="","",IF(ISNUMBER(SEARCH("SUBSOLO",E2925)),IFERROR(-VALUE(LEFT(E2925,FIND("º",SUBSTITUTE(E2925,"°","º"))-1)),-1),IF(LEFT(E2925,6)="TÉRREO",0,IFERROR(VALUE(LEFT(E2925,FIND("º",SUBSTITUTE(E2925,"°","º"))-1)),""))))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IF(E2926="","",IF(ISNUMBER(SEARCH("SUBSOLO",E2926)),IFERROR(-VALUE(LEFT(E2926,FIND("º",SUBSTITUTE(E2926,"°","º"))-1)),-1),IF(LEFT(E2926,6)="TÉRREO",0,IFERROR(VALUE(LEFT(E2926,FIND("º",SUBSTITUTE(E2926,"°","º"))-1)),""))))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IF(E2927="","",IF(ISNUMBER(SEARCH("SUBSOLO",E2927)),IFERROR(-VALUE(LEFT(E2927,FIND("º",SUBSTITUTE(E2927,"°","º"))-1)),-1),IF(LEFT(E2927,6)="TÉRREO",0,IFERROR(VALUE(LEFT(E2927,FIND("º",SUBSTITUTE(E2927,"°","º"))-1)),""))))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IF(E2928="","",IF(ISNUMBER(SEARCH("SUBSOLO",E2928)),IFERROR(-VALUE(LEFT(E2928,FIND("º",SUBSTITUTE(E2928,"°","º"))-1)),-1),IF(LEFT(E2928,6)="TÉRREO",0,IFERROR(VALUE(LEFT(E2928,FIND("º",SUBSTITUTE(E2928,"°","º"))-1)),""))))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IF(E2929="","",IF(ISNUMBER(SEARCH("SUBSOLO",E2929)),IFERROR(-VALUE(LEFT(E2929,FIND("º",SUBSTITUTE(E2929,"°","º"))-1)),-1),IF(LEFT(E2929,6)="TÉRREO",0,IFERROR(VALUE(LEFT(E2929,FIND("º",SUBSTITUTE(E2929,"°","º"))-1)),""))))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IF(E2930="","",IF(ISNUMBER(SEARCH("SUBSOLO",E2930)),IFERROR(-VALUE(LEFT(E2930,FIND("º",SUBSTITUTE(E2930,"°","º"))-1)),-1),IF(LEFT(E2930,6)="TÉRREO",0,IFERROR(VALUE(LEFT(E2930,FIND("º",SUBSTITUTE(E2930,"°","º"))-1)),""))))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IF(E2931="","",IF(ISNUMBER(SEARCH("SUBSOLO",E2931)),IFERROR(-VALUE(LEFT(E2931,FIND("º",SUBSTITUTE(E2931,"°","º"))-1)),-1),IF(LEFT(E2931,6)="TÉRREO",0,IFERROR(VALUE(LEFT(E2931,FIND("º",SUBSTITUTE(E2931,"°","º"))-1)),""))))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IF(E2932="","",IF(ISNUMBER(SEARCH("SUBSOLO",E2932)),IFERROR(-VALUE(LEFT(E2932,FIND("º",SUBSTITUTE(E2932,"°","º"))-1)),-1),IF(LEFT(E2932,6)="TÉRREO",0,IFERROR(VALUE(LEFT(E2932,FIND("º",SUBSTITUTE(E2932,"°","º"))-1)),""))))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IF(E2933="","",IF(ISNUMBER(SEARCH("SUBSOLO",E2933)),IFERROR(-VALUE(LEFT(E2933,FIND("º",SUBSTITUTE(E2933,"°","º"))-1)),-1),IF(LEFT(E2933,6)="TÉRREO",0,IFERROR(VALUE(LEFT(E2933,FIND("º",SUBSTITUTE(E2933,"°","º"))-1)),""))))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IF(E2934="","",IF(ISNUMBER(SEARCH("SUBSOLO",E2934)),IFERROR(-VALUE(LEFT(E2934,FIND("º",SUBSTITUTE(E2934,"°","º"))-1)),-1),IF(LEFT(E2934,6)="TÉRREO",0,IFERROR(VALUE(LEFT(E2934,FIND("º",SUBSTITUTE(E2934,"°","º"))-1)),""))))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IF(E2935="","",IF(ISNUMBER(SEARCH("SUBSOLO",E2935)),IFERROR(-VALUE(LEFT(E2935,FIND("º",SUBSTITUTE(E2935,"°","º"))-1)),-1),IF(LEFT(E2935,6)="TÉRREO",0,IFERROR(VALUE(LEFT(E2935,FIND("º",SUBSTITUTE(E2935,"°","º"))-1)),""))))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IF(E2936="","",IF(ISNUMBER(SEARCH("SUBSOLO",E2936)),IFERROR(-VALUE(LEFT(E2936,FIND("º",SUBSTITUTE(E2936,"°","º"))-1)),-1),IF(LEFT(E2936,6)="TÉRREO",0,IFERROR(VALUE(LEFT(E2936,FIND("º",SUBSTITUTE(E2936,"°","º"))-1)),""))))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IF(E2937="","",IF(ISNUMBER(SEARCH("SUBSOLO",E2937)),IFERROR(-VALUE(LEFT(E2937,FIND("º",SUBSTITUTE(E2937,"°","º"))-1)),-1),IF(LEFT(E2937,6)="TÉRREO",0,IFERROR(VALUE(LEFT(E2937,FIND("º",SUBSTITUTE(E2937,"°","º"))-1)),""))))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IF(E2938="","",IF(ISNUMBER(SEARCH("SUBSOLO",E2938)),IFERROR(-VALUE(LEFT(E2938,FIND("º",SUBSTITUTE(E2938,"°","º"))-1)),-1),IF(LEFT(E2938,6)="TÉRREO",0,IFERROR(VALUE(LEFT(E2938,FIND("º",SUBSTITUTE(E2938,"°","º"))-1)),""))))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IF(E2939="","",IF(ISNUMBER(SEARCH("SUBSOLO",E2939)),IFERROR(-VALUE(LEFT(E2939,FIND("º",SUBSTITUTE(E2939,"°","º"))-1)),-1),IF(LEFT(E2939,6)="TÉRREO",0,IFERROR(VALUE(LEFT(E2939,FIND("º",SUBSTITUTE(E2939,"°","º"))-1)),""))))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IF(E2940="","",IF(ISNUMBER(SEARCH("SUBSOLO",E2940)),IFERROR(-VALUE(LEFT(E2940,FIND("º",SUBSTITUTE(E2940,"°","º"))-1)),-1),IF(LEFT(E2940,6)="TÉRREO",0,IFERROR(VALUE(LEFT(E2940,FIND("º",SUBSTITUTE(E2940,"°","º"))-1)),""))))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IF(E2941="","",IF(ISNUMBER(SEARCH("SUBSOLO",E2941)),IFERROR(-VALUE(LEFT(E2941,FIND("º",SUBSTITUTE(E2941,"°","º"))-1)),-1),IF(LEFT(E2941,6)="TÉRREO",0,IFERROR(VALUE(LEFT(E2941,FIND("º",SUBSTITUTE(E2941,"°","º"))-1)),""))))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IF(E2942="","",IF(ISNUMBER(SEARCH("SUBSOLO",E2942)),IFERROR(-VALUE(LEFT(E2942,FIND("º",SUBSTITUTE(E2942,"°","º"))-1)),-1),IF(LEFT(E2942,6)="TÉRREO",0,IFERROR(VALUE(LEFT(E2942,FIND("º",SUBSTITUTE(E2942,"°","º"))-1)),""))))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IF(E2943="","",IF(ISNUMBER(SEARCH("SUBSOLO",E2943)),IFERROR(-VALUE(LEFT(E2943,FIND("º",SUBSTITUTE(E2943,"°","º"))-1)),-1),IF(LEFT(E2943,6)="TÉRREO",0,IFERROR(VALUE(LEFT(E2943,FIND("º",SUBSTITUTE(E2943,"°","º"))-1)),""))))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IF(E2944="","",IF(ISNUMBER(SEARCH("SUBSOLO",E2944)),IFERROR(-VALUE(LEFT(E2944,FIND("º",SUBSTITUTE(E2944,"°","º"))-1)),-1),IF(LEFT(E2944,6)="TÉRREO",0,IFERROR(VALUE(LEFT(E2944,FIND("º",SUBSTITUTE(E2944,"°","º"))-1)),""))))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IF(E2945="","",IF(ISNUMBER(SEARCH("SUBSOLO",E2945)),IFERROR(-VALUE(LEFT(E2945,FIND("º",SUBSTITUTE(E2945,"°","º"))-1)),-1),IF(LEFT(E2945,6)="TÉRREO",0,IFERROR(VALUE(LEFT(E2945,FIND("º",SUBSTITUTE(E2945,"°","º"))-1)),""))))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IF(E2946="","",IF(ISNUMBER(SEARCH("SUBSOLO",E2946)),IFERROR(-VALUE(LEFT(E2946,FIND("º",SUBSTITUTE(E2946,"°","º"))-1)),-1),IF(LEFT(E2946,6)="TÉRREO",0,IFERROR(VALUE(LEFT(E2946,FIND("º",SUBSTITUTE(E2946,"°","º"))-1)),""))))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IF(E2947="","",IF(ISNUMBER(SEARCH("SUBSOLO",E2947)),IFERROR(-VALUE(LEFT(E2947,FIND("º",SUBSTITUTE(E2947,"°","º"))-1)),-1),IF(LEFT(E2947,6)="TÉRREO",0,IFERROR(VALUE(LEFT(E2947,FIND("º",SUBSTITUTE(E2947,"°","º"))-1)),""))))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IF(E2948="","",IF(ISNUMBER(SEARCH("SUBSOLO",E2948)),IFERROR(-VALUE(LEFT(E2948,FIND("º",SUBSTITUTE(E2948,"°","º"))-1)),-1),IF(LEFT(E2948,6)="TÉRREO",0,IFERROR(VALUE(LEFT(E2948,FIND("º",SUBSTITUTE(E2948,"°","º"))-1)),""))))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IF(E2949="","",IF(ISNUMBER(SEARCH("SUBSOLO",E2949)),IFERROR(-VALUE(LEFT(E2949,FIND("º",SUBSTITUTE(E2949,"°","º"))-1)),-1),IF(LEFT(E2949,6)="TÉRREO",0,IFERROR(VALUE(LEFT(E2949,FIND("º",SUBSTITUTE(E2949,"°","º"))-1)),""))))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IF(E2950="","",IF(ISNUMBER(SEARCH("SUBSOLO",E2950)),IFERROR(-VALUE(LEFT(E2950,FIND("º",SUBSTITUTE(E2950,"°","º"))-1)),-1),IF(LEFT(E2950,6)="TÉRREO",0,IFERROR(VALUE(LEFT(E2950,FIND("º",SUBSTITUTE(E2950,"°","º"))-1)),""))))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IF(E2951="","",IF(ISNUMBER(SEARCH("SUBSOLO",E2951)),IFERROR(-VALUE(LEFT(E2951,FIND("º",SUBSTITUTE(E2951,"°","º"))-1)),-1),IF(LEFT(E2951,6)="TÉRREO",0,IFERROR(VALUE(LEFT(E2951,FIND("º",SUBSTITUTE(E2951,"°","º"))-1)),""))))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IF(E2952="","",IF(ISNUMBER(SEARCH("SUBSOLO",E2952)),IFERROR(-VALUE(LEFT(E2952,FIND("º",SUBSTITUTE(E2952,"°","º"))-1)),-1),IF(LEFT(E2952,6)="TÉRREO",0,IFERROR(VALUE(LEFT(E2952,FIND("º",SUBSTITUTE(E2952,"°","º"))-1)),""))))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IF(E2953="","",IF(ISNUMBER(SEARCH("SUBSOLO",E2953)),IFERROR(-VALUE(LEFT(E2953,FIND("º",SUBSTITUTE(E2953,"°","º"))-1)),-1),IF(LEFT(E2953,6)="TÉRREO",0,IFERROR(VALUE(LEFT(E2953,FIND("º",SUBSTITUTE(E2953,"°","º"))-1)),""))))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IF(E2954="","",IF(ISNUMBER(SEARCH("SUBSOLO",E2954)),IFERROR(-VALUE(LEFT(E2954,FIND("º",SUBSTITUTE(E2954,"°","º"))-1)),-1),IF(LEFT(E2954,6)="TÉRREO",0,IFERROR(VALUE(LEFT(E2954,FIND("º",SUBSTITUTE(E2954,"°","º"))-1)),""))))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IF(E2955="","",IF(ISNUMBER(SEARCH("SUBSOLO",E2955)),IFERROR(-VALUE(LEFT(E2955,FIND("º",SUBSTITUTE(E2955,"°","º"))-1)),-1),IF(LEFT(E2955,6)="TÉRREO",0,IFERROR(VALUE(LEFT(E2955,FIND("º",SUBSTITUTE(E2955,"°","º"))-1)),""))))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IF(E2956="","",IF(ISNUMBER(SEARCH("SUBSOLO",E2956)),IFERROR(-VALUE(LEFT(E2956,FIND("º",SUBSTITUTE(E2956,"°","º"))-1)),-1),IF(LEFT(E2956,6)="TÉRREO",0,IFERROR(VALUE(LEFT(E2956,FIND("º",SUBSTITUTE(E2956,"°","º"))-1)),""))))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IF(E2957="","",IF(ISNUMBER(SEARCH("SUBSOLO",E2957)),IFERROR(-VALUE(LEFT(E2957,FIND("º",SUBSTITUTE(E2957,"°","º"))-1)),-1),IF(LEFT(E2957,6)="TÉRREO",0,IFERROR(VALUE(LEFT(E2957,FIND("º",SUBSTITUTE(E2957,"°","º"))-1)),""))))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IF(E2958="","",IF(ISNUMBER(SEARCH("SUBSOLO",E2958)),IFERROR(-VALUE(LEFT(E2958,FIND("º",SUBSTITUTE(E2958,"°","º"))-1)),-1),IF(LEFT(E2958,6)="TÉRREO",0,IFERROR(VALUE(LEFT(E2958,FIND("º",SUBSTITUTE(E2958,"°","º"))-1)),""))))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IF(E2959="","",IF(ISNUMBER(SEARCH("SUBSOLO",E2959)),IFERROR(-VALUE(LEFT(E2959,FIND("º",SUBSTITUTE(E2959,"°","º"))-1)),-1),IF(LEFT(E2959,6)="TÉRREO",0,IFERROR(VALUE(LEFT(E2959,FIND("º",SUBSTITUTE(E2959,"°","º"))-1)),""))))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IF(E2960="","",IF(ISNUMBER(SEARCH("SUBSOLO",E2960)),IFERROR(-VALUE(LEFT(E2960,FIND("º",SUBSTITUTE(E2960,"°","º"))-1)),-1),IF(LEFT(E2960,6)="TÉRREO",0,IFERROR(VALUE(LEFT(E2960,FIND("º",SUBSTITUTE(E2960,"°","º"))-1)),""))))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IF(E2961="","",IF(ISNUMBER(SEARCH("SUBSOLO",E2961)),IFERROR(-VALUE(LEFT(E2961,FIND("º",SUBSTITUTE(E2961,"°","º"))-1)),-1),IF(LEFT(E2961,6)="TÉRREO",0,IFERROR(VALUE(LEFT(E2961,FIND("º",SUBSTITUTE(E2961,"°","º"))-1)),""))))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IF(E2962="","",IF(ISNUMBER(SEARCH("SUBSOLO",E2962)),IFERROR(-VALUE(LEFT(E2962,FIND("º",SUBSTITUTE(E2962,"°","º"))-1)),-1),IF(LEFT(E2962,6)="TÉRREO",0,IFERROR(VALUE(LEFT(E2962,FIND("º",SUBSTITUTE(E2962,"°","º"))-1)),""))))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IF(E2963="","",IF(ISNUMBER(SEARCH("SUBSOLO",E2963)),IFERROR(-VALUE(LEFT(E2963,FIND("º",SUBSTITUTE(E2963,"°","º"))-1)),-1),IF(LEFT(E2963,6)="TÉRREO",0,IFERROR(VALUE(LEFT(E2963,FIND("º",SUBSTITUTE(E2963,"°","º"))-1)),""))))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IF(E2964="","",IF(ISNUMBER(SEARCH("SUBSOLO",E2964)),IFERROR(-VALUE(LEFT(E2964,FIND("º",SUBSTITUTE(E2964,"°","º"))-1)),-1),IF(LEFT(E2964,6)="TÉRREO",0,IFERROR(VALUE(LEFT(E2964,FIND("º",SUBSTITUTE(E2964,"°","º"))-1)),""))))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IF(E2965="","",IF(ISNUMBER(SEARCH("SUBSOLO",E2965)),IFERROR(-VALUE(LEFT(E2965,FIND("º",SUBSTITUTE(E2965,"°","º"))-1)),-1),IF(LEFT(E2965,6)="TÉRREO",0,IFERROR(VALUE(LEFT(E2965,FIND("º",SUBSTITUTE(E2965,"°","º"))-1)),""))))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IF(E2966="","",IF(ISNUMBER(SEARCH("SUBSOLO",E2966)),IFERROR(-VALUE(LEFT(E2966,FIND("º",SUBSTITUTE(E2966,"°","º"))-1)),-1),IF(LEFT(E2966,6)="TÉRREO",0,IFERROR(VALUE(LEFT(E2966,FIND("º",SUBSTITUTE(E2966,"°","º"))-1)),""))))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IF(E2967="","",IF(ISNUMBER(SEARCH("SUBSOLO",E2967)),IFERROR(-VALUE(LEFT(E2967,FIND("º",SUBSTITUTE(E2967,"°","º"))-1)),-1),IF(LEFT(E2967,6)="TÉRREO",0,IFERROR(VALUE(LEFT(E2967,FIND("º",SUBSTITUTE(E2967,"°","º"))-1)),""))))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IF(E2968="","",IF(ISNUMBER(SEARCH("SUBSOLO",E2968)),IFERROR(-VALUE(LEFT(E2968,FIND("º",SUBSTITUTE(E2968,"°","º"))-1)),-1),IF(LEFT(E2968,6)="TÉRREO",0,IFERROR(VALUE(LEFT(E2968,FIND("º",SUBSTITUTE(E2968,"°","º"))-1)),""))))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IF(E2969="","",IF(ISNUMBER(SEARCH("SUBSOLO",E2969)),IFERROR(-VALUE(LEFT(E2969,FIND("º",SUBSTITUTE(E2969,"°","º"))-1)),-1),IF(LEFT(E2969,6)="TÉRREO",0,IFERROR(VALUE(LEFT(E2969,FIND("º",SUBSTITUTE(E2969,"°","º"))-1)),""))))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IF(E2970="","",IF(ISNUMBER(SEARCH("SUBSOLO",E2970)),IFERROR(-VALUE(LEFT(E2970,FIND("º",SUBSTITUTE(E2970,"°","º"))-1)),-1),IF(LEFT(E2970,6)="TÉRREO",0,IFERROR(VALUE(LEFT(E2970,FIND("º",SUBSTITUTE(E2970,"°","º"))-1)),""))))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IF(E2971="","",IF(ISNUMBER(SEARCH("SUBSOLO",E2971)),IFERROR(-VALUE(LEFT(E2971,FIND("º",SUBSTITUTE(E2971,"°","º"))-1)),-1),IF(LEFT(E2971,6)="TÉRREO",0,IFERROR(VALUE(LEFT(E2971,FIND("º",SUBSTITUTE(E2971,"°","º"))-1)),""))))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IF(E2972="","",IF(ISNUMBER(SEARCH("SUBSOLO",E2972)),IFERROR(-VALUE(LEFT(E2972,FIND("º",SUBSTITUTE(E2972,"°","º"))-1)),-1),IF(LEFT(E2972,6)="TÉRREO",0,IFERROR(VALUE(LEFT(E2972,FIND("º",SUBSTITUTE(E2972,"°","º"))-1)),""))))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IF(E2973="","",IF(ISNUMBER(SEARCH("SUBSOLO",E2973)),IFERROR(-VALUE(LEFT(E2973,FIND("º",SUBSTITUTE(E2973,"°","º"))-1)),-1),IF(LEFT(E2973,6)="TÉRREO",0,IFERROR(VALUE(LEFT(E2973,FIND("º",SUBSTITUTE(E2973,"°","º"))-1)),""))))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IF(E2974="","",IF(ISNUMBER(SEARCH("SUBSOLO",E2974)),IFERROR(-VALUE(LEFT(E2974,FIND("º",SUBSTITUTE(E2974,"°","º"))-1)),-1),IF(LEFT(E2974,6)="TÉRREO",0,IFERROR(VALUE(LEFT(E2974,FIND("º",SUBSTITUTE(E2974,"°","º"))-1)),""))))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IF(E2975="","",IF(ISNUMBER(SEARCH("SUBSOLO",E2975)),IFERROR(-VALUE(LEFT(E2975,FIND("º",SUBSTITUTE(E2975,"°","º"))-1)),-1),IF(LEFT(E2975,6)="TÉRREO",0,IFERROR(VALUE(LEFT(E2975,FIND("º",SUBSTITUTE(E2975,"°","º"))-1)),""))))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IF(E2976="","",IF(ISNUMBER(SEARCH("SUBSOLO",E2976)),IFERROR(-VALUE(LEFT(E2976,FIND("º",SUBSTITUTE(E2976,"°","º"))-1)),-1),IF(LEFT(E2976,6)="TÉRREO",0,IFERROR(VALUE(LEFT(E2976,FIND("º",SUBSTITUTE(E2976,"°","º"))-1)),""))))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IF(E2977="","",IF(ISNUMBER(SEARCH("SUBSOLO",E2977)),IFERROR(-VALUE(LEFT(E2977,FIND("º",SUBSTITUTE(E2977,"°","º"))-1)),-1),IF(LEFT(E2977,6)="TÉRREO",0,IFERROR(VALUE(LEFT(E2977,FIND("º",SUBSTITUTE(E2977,"°","º"))-1)),""))))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IF(E2978="","",IF(ISNUMBER(SEARCH("SUBSOLO",E2978)),IFERROR(-VALUE(LEFT(E2978,FIND("º",SUBSTITUTE(E2978,"°","º"))-1)),-1),IF(LEFT(E2978,6)="TÉRREO",0,IFERROR(VALUE(LEFT(E2978,FIND("º",SUBSTITUTE(E2978,"°","º"))-1)),""))))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IF(E2979="","",IF(ISNUMBER(SEARCH("SUBSOLO",E2979)),IFERROR(-VALUE(LEFT(E2979,FIND("º",SUBSTITUTE(E2979,"°","º"))-1)),-1),IF(LEFT(E2979,6)="TÉRREO",0,IFERROR(VALUE(LEFT(E2979,FIND("º",SUBSTITUTE(E2979,"°","º"))-1)),""))))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IF(E2980="","",IF(ISNUMBER(SEARCH("SUBSOLO",E2980)),IFERROR(-VALUE(LEFT(E2980,FIND("º",SUBSTITUTE(E2980,"°","º"))-1)),-1),IF(LEFT(E2980,6)="TÉRREO",0,IFERROR(VALUE(LEFT(E2980,FIND("º",SUBSTITUTE(E2980,"°","º"))-1)),""))))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IF(E2981="","",IF(ISNUMBER(SEARCH("SUBSOLO",E2981)),IFERROR(-VALUE(LEFT(E2981,FIND("º",SUBSTITUTE(E2981,"°","º"))-1)),-1),IF(LEFT(E2981,6)="TÉRREO",0,IFERROR(VALUE(LEFT(E2981,FIND("º",SUBSTITUTE(E2981,"°","º"))-1)),""))))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IF(E2982="","",IF(ISNUMBER(SEARCH("SUBSOLO",E2982)),IFERROR(-VALUE(LEFT(E2982,FIND("º",SUBSTITUTE(E2982,"°","º"))-1)),-1),IF(LEFT(E2982,6)="TÉRREO",0,IFERROR(VALUE(LEFT(E2982,FIND("º",SUBSTITUTE(E2982,"°","º"))-1)),""))))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IF(E2983="","",IF(ISNUMBER(SEARCH("SUBSOLO",E2983)),IFERROR(-VALUE(LEFT(E2983,FIND("º",SUBSTITUTE(E2983,"°","º"))-1)),-1),IF(LEFT(E2983,6)="TÉRREO",0,IFERROR(VALUE(LEFT(E2983,FIND("º",SUBSTITUTE(E2983,"°","º"))-1)),""))))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IF(E2984="","",IF(ISNUMBER(SEARCH("SUBSOLO",E2984)),IFERROR(-VALUE(LEFT(E2984,FIND("º",SUBSTITUTE(E2984,"°","º"))-1)),-1),IF(LEFT(E2984,6)="TÉRREO",0,IFERROR(VALUE(LEFT(E2984,FIND("º",SUBSTITUTE(E2984,"°","º"))-1)),""))))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IF(E2985="","",IF(ISNUMBER(SEARCH("SUBSOLO",E2985)),IFERROR(-VALUE(LEFT(E2985,FIND("º",SUBSTITUTE(E2985,"°","º"))-1)),-1),IF(LEFT(E2985,6)="TÉRREO",0,IFERROR(VALUE(LEFT(E2985,FIND("º",SUBSTITUTE(E2985,"°","º"))-1)),""))))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IF(E2986="","",IF(ISNUMBER(SEARCH("SUBSOLO",E2986)),IFERROR(-VALUE(LEFT(E2986,FIND("º",SUBSTITUTE(E2986,"°","º"))-1)),-1),IF(LEFT(E2986,6)="TÉRREO",0,IFERROR(VALUE(LEFT(E2986,FIND("º",SUBSTITUTE(E2986,"°","º"))-1)),""))))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IF(E2987="","",IF(ISNUMBER(SEARCH("SUBSOLO",E2987)),IFERROR(-VALUE(LEFT(E2987,FIND("º",SUBSTITUTE(E2987,"°","º"))-1)),-1),IF(LEFT(E2987,6)="TÉRREO",0,IFERROR(VALUE(LEFT(E2987,FIND("º",SUBSTITUTE(E2987,"°","º"))-1)),""))))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IF(E2988="","",IF(ISNUMBER(SEARCH("SUBSOLO",E2988)),IFERROR(-VALUE(LEFT(E2988,FIND("º",SUBSTITUTE(E2988,"°","º"))-1)),-1),IF(LEFT(E2988,6)="TÉRREO",0,IFERROR(VALUE(LEFT(E2988,FIND("º",SUBSTITUTE(E2988,"°","º"))-1)),""))))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IF(E2989="","",IF(ISNUMBER(SEARCH("SUBSOLO",E2989)),IFERROR(-VALUE(LEFT(E2989,FIND("º",SUBSTITUTE(E2989,"°","º"))-1)),-1),IF(LEFT(E2989,6)="TÉRREO",0,IFERROR(VALUE(LEFT(E2989,FIND("º",SUBSTITUTE(E2989,"°","º"))-1)),""))))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IF(E2990="","",IF(ISNUMBER(SEARCH("SUBSOLO",E2990)),IFERROR(-VALUE(LEFT(E2990,FIND("º",SUBSTITUTE(E2990,"°","º"))-1)),-1),IF(LEFT(E2990,6)="TÉRREO",0,IFERROR(VALUE(LEFT(E2990,FIND("º",SUBSTITUTE(E2990,"°","º"))-1)),""))))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IF(E2991="","",IF(ISNUMBER(SEARCH("SUBSOLO",E2991)),IFERROR(-VALUE(LEFT(E2991,FIND("º",SUBSTITUTE(E2991,"°","º"))-1)),-1),IF(LEFT(E2991,6)="TÉRREO",0,IFERROR(VALUE(LEFT(E2991,FIND("º",SUBSTITUTE(E2991,"°","º"))-1)),""))))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IF(E2992="","",IF(ISNUMBER(SEARCH("SUBSOLO",E2992)),IFERROR(-VALUE(LEFT(E2992,FIND("º",SUBSTITUTE(E2992,"°","º"))-1)),-1),IF(LEFT(E2992,6)="TÉRREO",0,IFERROR(VALUE(LEFT(E2992,FIND("º",SUBSTITUTE(E2992,"°","º"))-1)),""))))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IF(E2993="","",IF(ISNUMBER(SEARCH("SUBSOLO",E2993)),IFERROR(-VALUE(LEFT(E2993,FIND("º",SUBSTITUTE(E2993,"°","º"))-1)),-1),IF(LEFT(E2993,6)="TÉRREO",0,IFERROR(VALUE(LEFT(E2993,FIND("º",SUBSTITUTE(E2993,"°","º"))-1)),""))))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IF(E2994="","",IF(ISNUMBER(SEARCH("SUBSOLO",E2994)),IFERROR(-VALUE(LEFT(E2994,FIND("º",SUBSTITUTE(E2994,"°","º"))-1)),-1),IF(LEFT(E2994,6)="TÉRREO",0,IFERROR(VALUE(LEFT(E2994,FIND("º",SUBSTITUTE(E2994,"°","º"))-1)),""))))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IF(E2995="","",IF(ISNUMBER(SEARCH("SUBSOLO",E2995)),IFERROR(-VALUE(LEFT(E2995,FIND("º",SUBSTITUTE(E2995,"°","º"))-1)),-1),IF(LEFT(E2995,6)="TÉRREO",0,IFERROR(VALUE(LEFT(E2995,FIND("º",SUBSTITUTE(E2995,"°","º"))-1)),""))))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IF(E2996="","",IF(ISNUMBER(SEARCH("SUBSOLO",E2996)),IFERROR(-VALUE(LEFT(E2996,FIND("º",SUBSTITUTE(E2996,"°","º"))-1)),-1),IF(LEFT(E2996,6)="TÉRREO",0,IFERROR(VALUE(LEFT(E2996,FIND("º",SUBSTITUTE(E2996,"°","º"))-1)),""))))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IF(E2997="","",IF(ISNUMBER(SEARCH("SUBSOLO",E2997)),IFERROR(-VALUE(LEFT(E2997,FIND("º",SUBSTITUTE(E2997,"°","º"))-1)),-1),IF(LEFT(E2997,6)="TÉRREO",0,IFERROR(VALUE(LEFT(E2997,FIND("º",SUBSTITUTE(E2997,"°","º"))-1)),""))))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IF(E2998="","",IF(ISNUMBER(SEARCH("SUBSOLO",E2998)),IFERROR(-VALUE(LEFT(E2998,FIND("º",SUBSTITUTE(E2998,"°","º"))-1)),-1),IF(LEFT(E2998,6)="TÉRREO",0,IFERROR(VALUE(LEFT(E2998,FIND("º",SUBSTITUTE(E2998,"°","º"))-1)),""))))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IF(E2999="","",IF(ISNUMBER(SEARCH("SUBSOLO",E2999)),IFERROR(-VALUE(LEFT(E2999,FIND("º",SUBSTITUTE(E2999,"°","º"))-1)),-1),IF(LEFT(E2999,6)="TÉRREO",0,IFERROR(VALUE(LEFT(E2999,FIND("º",SUBSTITUTE(E2999,"°","º"))-1)),""))))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IF(E3000="","",IF(ISNUMBER(SEARCH("SUBSOLO",E3000)),IFERROR(-VALUE(LEFT(E3000,FIND("º",SUBSTITUTE(E3000,"°","º"))-1)),-1),IF(LEFT(E3000,6)="TÉRREO",0,IFERROR(VALUE(LEFT(E3000,FIND("º",SUBSTITUTE(E3000,"°","º"))-1)),""))))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IF(E3001="","",IF(ISNUMBER(SEARCH("SUBSOLO",E3001)),IFERROR(-VALUE(LEFT(E3001,FIND("º",SUBSTITUTE(E3001,"°","º"))-1)),-1),IF(LEFT(E3001,6)="TÉRREO",0,IFERROR(VALUE(LEFT(E3001,FIND("º",SUBSTITUTE(E3001,"°","º"))-1)),""))))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IF(E3002="","",IF(ISNUMBER(SEARCH("SUBSOLO",E3002)),IFERROR(-VALUE(LEFT(E3002,FIND("º",SUBSTITUTE(E3002,"°","º"))-1)),-1),IF(LEFT(E3002,6)="TÉRREO",0,IFERROR(VALUE(LEFT(E3002,FIND("º",SUBSTITUTE(E3002,"°","º"))-1)),""))))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IF(E3003="","",IF(ISNUMBER(SEARCH("SUBSOLO",E3003)),IFERROR(-VALUE(LEFT(E3003,FIND("º",SUBSTITUTE(E3003,"°","º"))-1)),-1),IF(LEFT(E3003,6)="TÉRREO",0,IFERROR(VALUE(LEFT(E3003,FIND("º",SUBSTITUTE(E3003,"°","º"))-1)),""))))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IF(E3004="","",IF(ISNUMBER(SEARCH("SUBSOLO",E3004)),IFERROR(-VALUE(LEFT(E3004,FIND("º",SUBSTITUTE(E3004,"°","º"))-1)),-1),IF(LEFT(E3004,6)="TÉRREO",0,IFERROR(VALUE(LEFT(E3004,FIND("º",SUBSTITUTE(E3004,"°","º"))-1)),""))))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  <row r="3005">
      <c r="M3005" s="2">
        <f>IF(C3005="","",IFERROR(INDEX($S$5:$S$304,MATCH(C3005,$R$5:$R$304,0))&amp;"","?"))</f>
        <v/>
      </c>
      <c r="N3005" s="2">
        <f>IF(E3005="","",IF(ISNUMBER(SEARCH("SUBSOLO",E3005)),IFERROR(-VALUE(LEFT(E3005,FIND("º",SUBSTITUTE(E3005,"°","º"))-1)),-1),IF(LEFT(E3005,6)="TÉRREO",0,IFERROR(VALUE(LEFT(E3005,FIND("º",SUBSTITUTE(E3005,"°","º"))-1)),""))))</f>
        <v/>
      </c>
      <c r="O3005" s="2">
        <f>IF(OR(F3005="",G3005=""),"",IF(G3005&lt;='RETRATO 2027'!$K$5,"CONCLUÍDA",IF(F3005&lt;='RETRATO 2027'!$K$5,"EM ANDAMENTO","A INICIAR")))</f>
        <v/>
      </c>
    </row>
    <row r="3006">
      <c r="M3006" s="2">
        <f>IF(C3006="","",IFERROR(INDEX($S$5:$S$304,MATCH(C3006,$R$5:$R$304,0))&amp;"","?"))</f>
        <v/>
      </c>
      <c r="N3006" s="2">
        <f>IF(E3006="","",IF(ISNUMBER(SEARCH("SUBSOLO",E3006)),IFERROR(-VALUE(LEFT(E3006,FIND("º",SUBSTITUTE(E3006,"°","º"))-1)),-1),IF(LEFT(E3006,6)="TÉRREO",0,IFERROR(VALUE(LEFT(E3006,FIND("º",SUBSTITUTE(E3006,"°","º"))-1)),""))))</f>
        <v/>
      </c>
      <c r="O3006" s="2">
        <f>IF(OR(F3006="",G3006=""),"",IF(G3006&lt;='RETRATO 2027'!$K$5,"CONCLUÍDA",IF(F3006&lt;='RETRATO 2027'!$K$5,"EM ANDAMENTO","A INICIAR")))</f>
        <v/>
      </c>
    </row>
    <row r="3007">
      <c r="M3007" s="2">
        <f>IF(C3007="","",IFERROR(INDEX($S$5:$S$304,MATCH(C3007,$R$5:$R$304,0))&amp;"","?"))</f>
        <v/>
      </c>
      <c r="N3007" s="2">
        <f>IF(E3007="","",IF(ISNUMBER(SEARCH("SUBSOLO",E3007)),IFERROR(-VALUE(LEFT(E3007,FIND("º",SUBSTITUTE(E3007,"°","º"))-1)),-1),IF(LEFT(E3007,6)="TÉRREO",0,IFERROR(VALUE(LEFT(E3007,FIND("º",SUBSTITUTE(E3007,"°","º"))-1)),""))))</f>
        <v/>
      </c>
      <c r="O3007" s="2">
        <f>IF(OR(F3007="",G3007=""),"",IF(G3007&lt;='RETRATO 2027'!$K$5,"CONCLUÍDA",IF(F3007&lt;='RETRATO 2027'!$K$5,"EM ANDAMENTO","A INICIAR")))</f>
        <v/>
      </c>
    </row>
    <row r="3008">
      <c r="M3008" s="2">
        <f>IF(C3008="","",IFERROR(INDEX($S$5:$S$304,MATCH(C3008,$R$5:$R$304,0))&amp;"","?"))</f>
        <v/>
      </c>
      <c r="N3008" s="2">
        <f>IF(E3008="","",IF(ISNUMBER(SEARCH("SUBSOLO",E3008)),IFERROR(-VALUE(LEFT(E3008,FIND("º",SUBSTITUTE(E3008,"°","º"))-1)),-1),IF(LEFT(E3008,6)="TÉRREO",0,IFERROR(VALUE(LEFT(E3008,FIND("º",SUBSTITUTE(E3008,"°","º"))-1)),""))))</f>
        <v/>
      </c>
      <c r="O3008" s="2">
        <f>IF(OR(F3008="",G3008=""),"",IF(G3008&lt;='RETRATO 2027'!$K$5,"CONCLUÍDA",IF(F3008&lt;='RETRATO 2027'!$K$5,"EM ANDAMENTO","A INICIAR")))</f>
        <v/>
      </c>
    </row>
    <row r="3009">
      <c r="M3009" s="2">
        <f>IF(C3009="","",IFERROR(INDEX($S$5:$S$304,MATCH(C3009,$R$5:$R$304,0))&amp;"","?"))</f>
        <v/>
      </c>
      <c r="N3009" s="2">
        <f>IF(E3009="","",IF(ISNUMBER(SEARCH("SUBSOLO",E3009)),IFERROR(-VALUE(LEFT(E3009,FIND("º",SUBSTITUTE(E3009,"°","º"))-1)),-1),IF(LEFT(E3009,6)="TÉRREO",0,IFERROR(VALUE(LEFT(E3009,FIND("º",SUBSTITUTE(E3009,"°","º"))-1)),""))))</f>
        <v/>
      </c>
      <c r="O3009" s="2">
        <f>IF(OR(F3009="",G3009=""),"",IF(G3009&lt;='RETRATO 2027'!$K$5,"CONCLUÍDA",IF(F3009&lt;='RETRATO 2027'!$K$5,"EM ANDAMENTO","A INICIAR")))</f>
        <v/>
      </c>
    </row>
    <row r="3010">
      <c r="M3010" s="2">
        <f>IF(C3010="","",IFERROR(INDEX($S$5:$S$304,MATCH(C3010,$R$5:$R$304,0))&amp;"","?"))</f>
        <v/>
      </c>
      <c r="N3010" s="2">
        <f>IF(E3010="","",IF(ISNUMBER(SEARCH("SUBSOLO",E3010)),IFERROR(-VALUE(LEFT(E3010,FIND("º",SUBSTITUTE(E3010,"°","º"))-1)),-1),IF(LEFT(E3010,6)="TÉRREO",0,IFERROR(VALUE(LEFT(E3010,FIND("º",SUBSTITUTE(E3010,"°","º"))-1)),""))))</f>
        <v/>
      </c>
      <c r="O3010" s="2">
        <f>IF(OR(F3010="",G3010=""),"",IF(G3010&lt;='RETRATO 2027'!$K$5,"CONCLUÍDA",IF(F3010&lt;='RETRATO 2027'!$K$5,"EM ANDAMENTO","A INICIAR")))</f>
        <v/>
      </c>
    </row>
    <row r="3011">
      <c r="M3011" s="2">
        <f>IF(C3011="","",IFERROR(INDEX($S$5:$S$304,MATCH(C3011,$R$5:$R$304,0))&amp;"","?"))</f>
        <v/>
      </c>
      <c r="N3011" s="2">
        <f>IF(E3011="","",IF(ISNUMBER(SEARCH("SUBSOLO",E3011)),IFERROR(-VALUE(LEFT(E3011,FIND("º",SUBSTITUTE(E3011,"°","º"))-1)),-1),IF(LEFT(E3011,6)="TÉRREO",0,IFERROR(VALUE(LEFT(E3011,FIND("º",SUBSTITUTE(E3011,"°","º"))-1)),""))))</f>
        <v/>
      </c>
      <c r="O3011" s="2">
        <f>IF(OR(F3011="",G3011=""),"",IF(G3011&lt;='RETRATO 2027'!$K$5,"CONCLUÍDA",IF(F3011&lt;='RETRATO 2027'!$K$5,"EM ANDAMENTO","A INICIAR")))</f>
        <v/>
      </c>
    </row>
    <row r="3012">
      <c r="M3012" s="2">
        <f>IF(C3012="","",IFERROR(INDEX($S$5:$S$304,MATCH(C3012,$R$5:$R$304,0))&amp;"","?"))</f>
        <v/>
      </c>
      <c r="N3012" s="2">
        <f>IF(E3012="","",IF(ISNUMBER(SEARCH("SUBSOLO",E3012)),IFERROR(-VALUE(LEFT(E3012,FIND("º",SUBSTITUTE(E3012,"°","º"))-1)),-1),IF(LEFT(E3012,6)="TÉRREO",0,IFERROR(VALUE(LEFT(E3012,FIND("º",SUBSTITUTE(E3012,"°","º"))-1)),""))))</f>
        <v/>
      </c>
      <c r="O3012" s="2">
        <f>IF(OR(F3012="",G3012=""),"",IF(G3012&lt;='RETRATO 2027'!$K$5,"CONCLUÍDA",IF(F3012&lt;='RETRATO 2027'!$K$5,"EM ANDAMENTO","A INICIAR")))</f>
        <v/>
      </c>
    </row>
    <row r="3013">
      <c r="M3013" s="2">
        <f>IF(C3013="","",IFERROR(INDEX($S$5:$S$304,MATCH(C3013,$R$5:$R$304,0))&amp;"","?"))</f>
        <v/>
      </c>
      <c r="N3013" s="2">
        <f>IF(E3013="","",IF(ISNUMBER(SEARCH("SUBSOLO",E3013)),IFERROR(-VALUE(LEFT(E3013,FIND("º",SUBSTITUTE(E3013,"°","º"))-1)),-1),IF(LEFT(E3013,6)="TÉRREO",0,IFERROR(VALUE(LEFT(E3013,FIND("º",SUBSTITUTE(E3013,"°","º"))-1)),""))))</f>
        <v/>
      </c>
      <c r="O3013" s="2">
        <f>IF(OR(F3013="",G3013=""),"",IF(G3013&lt;='RETRATO 2027'!$K$5,"CONCLUÍDA",IF(F3013&lt;='RETRATO 2027'!$K$5,"EM ANDAMENTO","A INICIAR")))</f>
        <v/>
      </c>
    </row>
    <row r="3014">
      <c r="M3014" s="2">
        <f>IF(C3014="","",IFERROR(INDEX($S$5:$S$304,MATCH(C3014,$R$5:$R$304,0))&amp;"","?"))</f>
        <v/>
      </c>
      <c r="N3014" s="2">
        <f>IF(E3014="","",IF(ISNUMBER(SEARCH("SUBSOLO",E3014)),IFERROR(-VALUE(LEFT(E3014,FIND("º",SUBSTITUTE(E3014,"°","º"))-1)),-1),IF(LEFT(E3014,6)="TÉRREO",0,IFERROR(VALUE(LEFT(E3014,FIND("º",SUBSTITUTE(E3014,"°","º"))-1)),""))))</f>
        <v/>
      </c>
      <c r="O3014" s="2">
        <f>IF(OR(F3014="",G3014=""),"",IF(G3014&lt;='RETRATO 2027'!$K$5,"CONCLUÍDA",IF(F3014&lt;='RETRATO 2027'!$K$5,"EM ANDAMENTO","A INICIAR")))</f>
        <v/>
      </c>
    </row>
    <row r="3015">
      <c r="M3015" s="2">
        <f>IF(C3015="","",IFERROR(INDEX($S$5:$S$304,MATCH(C3015,$R$5:$R$304,0))&amp;"","?"))</f>
        <v/>
      </c>
      <c r="N3015" s="2">
        <f>IF(E3015="","",IF(ISNUMBER(SEARCH("SUBSOLO",E3015)),IFERROR(-VALUE(LEFT(E3015,FIND("º",SUBSTITUTE(E3015,"°","º"))-1)),-1),IF(LEFT(E3015,6)="TÉRREO",0,IFERROR(VALUE(LEFT(E3015,FIND("º",SUBSTITUTE(E3015,"°","º"))-1)),""))))</f>
        <v/>
      </c>
      <c r="O3015" s="2">
        <f>IF(OR(F3015="",G3015=""),"",IF(G3015&lt;='RETRATO 2027'!$K$5,"CONCLUÍDA",IF(F3015&lt;='RETRATO 2027'!$K$5,"EM ANDAMENTO","A INICIAR")))</f>
        <v/>
      </c>
    </row>
    <row r="3016">
      <c r="M3016" s="2">
        <f>IF(C3016="","",IFERROR(INDEX($S$5:$S$304,MATCH(C3016,$R$5:$R$304,0))&amp;"","?"))</f>
        <v/>
      </c>
      <c r="N3016" s="2">
        <f>IF(E3016="","",IF(ISNUMBER(SEARCH("SUBSOLO",E3016)),IFERROR(-VALUE(LEFT(E3016,FIND("º",SUBSTITUTE(E3016,"°","º"))-1)),-1),IF(LEFT(E3016,6)="TÉRREO",0,IFERROR(VALUE(LEFT(E3016,FIND("º",SUBSTITUTE(E3016,"°","º"))-1)),""))))</f>
        <v/>
      </c>
      <c r="O3016" s="2">
        <f>IF(OR(F3016="",G3016=""),"",IF(G3016&lt;='RETRATO 2027'!$K$5,"CONCLUÍDA",IF(F3016&lt;='RETRATO 2027'!$K$5,"EM ANDAMENTO","A INICIAR")))</f>
        <v/>
      </c>
    </row>
    <row r="3017">
      <c r="M3017" s="2">
        <f>IF(C3017="","",IFERROR(INDEX($S$5:$S$304,MATCH(C3017,$R$5:$R$304,0))&amp;"","?"))</f>
        <v/>
      </c>
      <c r="N3017" s="2">
        <f>IF(E3017="","",IF(ISNUMBER(SEARCH("SUBSOLO",E3017)),IFERROR(-VALUE(LEFT(E3017,FIND("º",SUBSTITUTE(E3017,"°","º"))-1)),-1),IF(LEFT(E3017,6)="TÉRREO",0,IFERROR(VALUE(LEFT(E3017,FIND("º",SUBSTITUTE(E3017,"°","º"))-1)),""))))</f>
        <v/>
      </c>
      <c r="O3017" s="2">
        <f>IF(OR(F3017="",G3017=""),"",IF(G3017&lt;='RETRATO 2027'!$K$5,"CONCLUÍDA",IF(F3017&lt;='RETRATO 2027'!$K$5,"EM ANDAMENTO","A INICIAR")))</f>
        <v/>
      </c>
    </row>
    <row r="3018">
      <c r="M3018" s="2">
        <f>IF(C3018="","",IFERROR(INDEX($S$5:$S$304,MATCH(C3018,$R$5:$R$304,0))&amp;"","?"))</f>
        <v/>
      </c>
      <c r="N3018" s="2">
        <f>IF(E3018="","",IF(ISNUMBER(SEARCH("SUBSOLO",E3018)),IFERROR(-VALUE(LEFT(E3018,FIND("º",SUBSTITUTE(E3018,"°","º"))-1)),-1),IF(LEFT(E3018,6)="TÉRREO",0,IFERROR(VALUE(LEFT(E3018,FIND("º",SUBSTITUTE(E3018,"°","º"))-1)),""))))</f>
        <v/>
      </c>
      <c r="O3018" s="2">
        <f>IF(OR(F3018="",G3018=""),"",IF(G3018&lt;='RETRATO 2027'!$K$5,"CONCLUÍDA",IF(F3018&lt;='RETRATO 2027'!$K$5,"EM ANDAMENTO","A INICIAR")))</f>
        <v/>
      </c>
    </row>
    <row r="3019">
      <c r="M3019" s="2">
        <f>IF(C3019="","",IFERROR(INDEX($S$5:$S$304,MATCH(C3019,$R$5:$R$304,0))&amp;"","?"))</f>
        <v/>
      </c>
      <c r="N3019" s="2">
        <f>IF(E3019="","",IF(ISNUMBER(SEARCH("SUBSOLO",E3019)),IFERROR(-VALUE(LEFT(E3019,FIND("º",SUBSTITUTE(E3019,"°","º"))-1)),-1),IF(LEFT(E3019,6)="TÉRREO",0,IFERROR(VALUE(LEFT(E3019,FIND("º",SUBSTITUTE(E3019,"°","º"))-1)),""))))</f>
        <v/>
      </c>
      <c r="O3019" s="2">
        <f>IF(OR(F3019="",G3019=""),"",IF(G3019&lt;='RETRATO 2027'!$K$5,"CONCLUÍDA",IF(F3019&lt;='RETRATO 2027'!$K$5,"EM ANDAMENTO","A INICIAR")))</f>
        <v/>
      </c>
    </row>
    <row r="3020">
      <c r="M3020" s="2">
        <f>IF(C3020="","",IFERROR(INDEX($S$5:$S$304,MATCH(C3020,$R$5:$R$304,0))&amp;"","?"))</f>
        <v/>
      </c>
      <c r="N3020" s="2">
        <f>IF(E3020="","",IF(ISNUMBER(SEARCH("SUBSOLO",E3020)),IFERROR(-VALUE(LEFT(E3020,FIND("º",SUBSTITUTE(E3020,"°","º"))-1)),-1),IF(LEFT(E3020,6)="TÉRREO",0,IFERROR(VALUE(LEFT(E3020,FIND("º",SUBSTITUTE(E3020,"°","º"))-1)),""))))</f>
        <v/>
      </c>
      <c r="O3020" s="2">
        <f>IF(OR(F3020="",G3020=""),"",IF(G3020&lt;='RETRATO 2027'!$K$5,"CONCLUÍDA",IF(F3020&lt;='RETRATO 2027'!$K$5,"EM ANDAMENTO","A INICIAR")))</f>
        <v/>
      </c>
    </row>
    <row r="3021">
      <c r="M3021" s="2">
        <f>IF(C3021="","",IFERROR(INDEX($S$5:$S$304,MATCH(C3021,$R$5:$R$304,0))&amp;"","?"))</f>
        <v/>
      </c>
      <c r="N3021" s="2">
        <f>IF(E3021="","",IF(ISNUMBER(SEARCH("SUBSOLO",E3021)),IFERROR(-VALUE(LEFT(E3021,FIND("º",SUBSTITUTE(E3021,"°","º"))-1)),-1),IF(LEFT(E3021,6)="TÉRREO",0,IFERROR(VALUE(LEFT(E3021,FIND("º",SUBSTITUTE(E3021,"°","º"))-1)),""))))</f>
        <v/>
      </c>
      <c r="O3021" s="2">
        <f>IF(OR(F3021="",G3021=""),"",IF(G3021&lt;='RETRATO 2027'!$K$5,"CONCLUÍDA",IF(F3021&lt;='RETRATO 2027'!$K$5,"EM ANDAMENTO","A INICIAR")))</f>
        <v/>
      </c>
    </row>
    <row r="3022">
      <c r="M3022" s="2">
        <f>IF(C3022="","",IFERROR(INDEX($S$5:$S$304,MATCH(C3022,$R$5:$R$304,0))&amp;"","?"))</f>
        <v/>
      </c>
      <c r="N3022" s="2">
        <f>IF(E3022="","",IF(ISNUMBER(SEARCH("SUBSOLO",E3022)),IFERROR(-VALUE(LEFT(E3022,FIND("º",SUBSTITUTE(E3022,"°","º"))-1)),-1),IF(LEFT(E3022,6)="TÉRREO",0,IFERROR(VALUE(LEFT(E3022,FIND("º",SUBSTITUTE(E3022,"°","º"))-1)),""))))</f>
        <v/>
      </c>
      <c r="O3022" s="2">
        <f>IF(OR(F3022="",G3022=""),"",IF(G3022&lt;='RETRATO 2027'!$K$5,"CONCLUÍDA",IF(F3022&lt;='RETRATO 2027'!$K$5,"EM ANDAMENTO","A INICIAR")))</f>
        <v/>
      </c>
    </row>
    <row r="3023">
      <c r="M3023" s="2">
        <f>IF(C3023="","",IFERROR(INDEX($S$5:$S$304,MATCH(C3023,$R$5:$R$304,0))&amp;"","?"))</f>
        <v/>
      </c>
      <c r="N3023" s="2">
        <f>IF(E3023="","",IF(ISNUMBER(SEARCH("SUBSOLO",E3023)),IFERROR(-VALUE(LEFT(E3023,FIND("º",SUBSTITUTE(E3023,"°","º"))-1)),-1),IF(LEFT(E3023,6)="TÉRREO",0,IFERROR(VALUE(LEFT(E3023,FIND("º",SUBSTITUTE(E3023,"°","º"))-1)),""))))</f>
        <v/>
      </c>
      <c r="O3023" s="2">
        <f>IF(OR(F3023="",G3023=""),"",IF(G3023&lt;='RETRATO 2027'!$K$5,"CONCLUÍDA",IF(F3023&lt;='RETRATO 2027'!$K$5,"EM ANDAMENTO","A INICIAR")))</f>
        <v/>
      </c>
    </row>
    <row r="3024">
      <c r="M3024" s="2">
        <f>IF(C3024="","",IFERROR(INDEX($S$5:$S$304,MATCH(C3024,$R$5:$R$304,0))&amp;"","?"))</f>
        <v/>
      </c>
      <c r="N3024" s="2">
        <f>IF(E3024="","",IF(ISNUMBER(SEARCH("SUBSOLO",E3024)),IFERROR(-VALUE(LEFT(E3024,FIND("º",SUBSTITUTE(E3024,"°","º"))-1)),-1),IF(LEFT(E3024,6)="TÉRREO",0,IFERROR(VALUE(LEFT(E3024,FIND("º",SUBSTITUTE(E3024,"°","º"))-1)),""))))</f>
        <v/>
      </c>
      <c r="O3024" s="2">
        <f>IF(OR(F3024="",G3024=""),"",IF(G3024&lt;='RETRATO 2027'!$K$5,"CONCLUÍDA",IF(F3024&lt;='RETRATO 2027'!$K$5,"EM ANDAMENTO","A INICIAR")))</f>
        <v/>
      </c>
    </row>
    <row r="3025">
      <c r="M3025" s="2">
        <f>IF(C3025="","",IFERROR(INDEX($S$5:$S$304,MATCH(C3025,$R$5:$R$304,0))&amp;"","?"))</f>
        <v/>
      </c>
      <c r="N3025" s="2">
        <f>IF(E3025="","",IF(ISNUMBER(SEARCH("SUBSOLO",E3025)),IFERROR(-VALUE(LEFT(E3025,FIND("º",SUBSTITUTE(E3025,"°","º"))-1)),-1),IF(LEFT(E3025,6)="TÉRREO",0,IFERROR(VALUE(LEFT(E3025,FIND("º",SUBSTITUTE(E3025,"°","º"))-1)),""))))</f>
        <v/>
      </c>
      <c r="O3025" s="2">
        <f>IF(OR(F3025="",G3025=""),"",IF(G3025&lt;='RETRATO 2027'!$K$5,"CONCLUÍDA",IF(F3025&lt;='RETRATO 2027'!$K$5,"EM ANDAMENTO","A INICIAR")))</f>
        <v/>
      </c>
    </row>
    <row r="3026">
      <c r="M3026" s="2">
        <f>IF(C3026="","",IFERROR(INDEX($S$5:$S$304,MATCH(C3026,$R$5:$R$304,0))&amp;"","?"))</f>
        <v/>
      </c>
      <c r="N3026" s="2">
        <f>IF(E3026="","",IF(ISNUMBER(SEARCH("SUBSOLO",E3026)),IFERROR(-VALUE(LEFT(E3026,FIND("º",SUBSTITUTE(E3026,"°","º"))-1)),-1),IF(LEFT(E3026,6)="TÉRREO",0,IFERROR(VALUE(LEFT(E3026,FIND("º",SUBSTITUTE(E3026,"°","º"))-1)),""))))</f>
        <v/>
      </c>
      <c r="O3026" s="2">
        <f>IF(OR(F3026="",G3026=""),"",IF(G3026&lt;='RETRATO 2027'!$K$5,"CONCLUÍDA",IF(F3026&lt;='RETRATO 2027'!$K$5,"EM ANDAMENTO","A INICIAR")))</f>
        <v/>
      </c>
    </row>
    <row r="3027">
      <c r="M3027" s="2">
        <f>IF(C3027="","",IFERROR(INDEX($S$5:$S$304,MATCH(C3027,$R$5:$R$304,0))&amp;"","?"))</f>
        <v/>
      </c>
      <c r="N3027" s="2">
        <f>IF(E3027="","",IF(ISNUMBER(SEARCH("SUBSOLO",E3027)),IFERROR(-VALUE(LEFT(E3027,FIND("º",SUBSTITUTE(E3027,"°","º"))-1)),-1),IF(LEFT(E3027,6)="TÉRREO",0,IFERROR(VALUE(LEFT(E3027,FIND("º",SUBSTITUTE(E3027,"°","º"))-1)),""))))</f>
        <v/>
      </c>
      <c r="O3027" s="2">
        <f>IF(OR(F3027="",G3027=""),"",IF(G3027&lt;='RETRATO 2027'!$K$5,"CONCLUÍDA",IF(F3027&lt;='RETRATO 2027'!$K$5,"EM ANDAMENTO","A INICIAR")))</f>
        <v/>
      </c>
    </row>
    <row r="3028">
      <c r="M3028" s="2">
        <f>IF(C3028="","",IFERROR(INDEX($S$5:$S$304,MATCH(C3028,$R$5:$R$304,0))&amp;"","?"))</f>
        <v/>
      </c>
      <c r="N3028" s="2">
        <f>IF(E3028="","",IF(ISNUMBER(SEARCH("SUBSOLO",E3028)),IFERROR(-VALUE(LEFT(E3028,FIND("º",SUBSTITUTE(E3028,"°","º"))-1)),-1),IF(LEFT(E3028,6)="TÉRREO",0,IFERROR(VALUE(LEFT(E3028,FIND("º",SUBSTITUTE(E3028,"°","º"))-1)),""))))</f>
        <v/>
      </c>
      <c r="O3028" s="2">
        <f>IF(OR(F3028="",G3028=""),"",IF(G3028&lt;='RETRATO 2027'!$K$5,"CONCLUÍDA",IF(F3028&lt;='RETRATO 2027'!$K$5,"EM ANDAMENTO","A INICIAR")))</f>
        <v/>
      </c>
    </row>
    <row r="3029">
      <c r="M3029" s="2">
        <f>IF(C3029="","",IFERROR(INDEX($S$5:$S$304,MATCH(C3029,$R$5:$R$304,0))&amp;"","?"))</f>
        <v/>
      </c>
      <c r="N3029" s="2">
        <f>IF(E3029="","",IF(ISNUMBER(SEARCH("SUBSOLO",E3029)),IFERROR(-VALUE(LEFT(E3029,FIND("º",SUBSTITUTE(E3029,"°","º"))-1)),-1),IF(LEFT(E3029,6)="TÉRREO",0,IFERROR(VALUE(LEFT(E3029,FIND("º",SUBSTITUTE(E3029,"°","º"))-1)),""))))</f>
        <v/>
      </c>
      <c r="O3029" s="2">
        <f>IF(OR(F3029="",G3029=""),"",IF(G3029&lt;='RETRATO 2027'!$K$5,"CONCLUÍDA",IF(F3029&lt;='RETRATO 2027'!$K$5,"EM ANDAMENTO","A INICIAR")))</f>
        <v/>
      </c>
    </row>
    <row r="3030">
      <c r="M3030" s="2">
        <f>IF(C3030="","",IFERROR(INDEX($S$5:$S$304,MATCH(C3030,$R$5:$R$304,0))&amp;"","?"))</f>
        <v/>
      </c>
      <c r="N3030" s="2">
        <f>IF(E3030="","",IF(ISNUMBER(SEARCH("SUBSOLO",E3030)),IFERROR(-VALUE(LEFT(E3030,FIND("º",SUBSTITUTE(E3030,"°","º"))-1)),-1),IF(LEFT(E3030,6)="TÉRREO",0,IFERROR(VALUE(LEFT(E3030,FIND("º",SUBSTITUTE(E3030,"°","º"))-1)),""))))</f>
        <v/>
      </c>
      <c r="O3030" s="2">
        <f>IF(OR(F3030="",G3030=""),"",IF(G3030&lt;='RETRATO 2027'!$K$5,"CONCLUÍDA",IF(F3030&lt;='RETRATO 2027'!$K$5,"EM ANDAMENTO","A INICIAR")))</f>
        <v/>
      </c>
    </row>
    <row r="3031">
      <c r="M3031" s="2">
        <f>IF(C3031="","",IFERROR(INDEX($S$5:$S$304,MATCH(C3031,$R$5:$R$304,0))&amp;"","?"))</f>
        <v/>
      </c>
      <c r="N3031" s="2">
        <f>IF(E3031="","",IF(ISNUMBER(SEARCH("SUBSOLO",E3031)),IFERROR(-VALUE(LEFT(E3031,FIND("º",SUBSTITUTE(E3031,"°","º"))-1)),-1),IF(LEFT(E3031,6)="TÉRREO",0,IFERROR(VALUE(LEFT(E3031,FIND("º",SUBSTITUTE(E3031,"°","º"))-1)),""))))</f>
        <v/>
      </c>
      <c r="O3031" s="2">
        <f>IF(OR(F3031="",G3031=""),"",IF(G3031&lt;='RETRATO 2027'!$K$5,"CONCLUÍDA",IF(F3031&lt;='RETRATO 2027'!$K$5,"EM ANDAMENTO","A INICIAR")))</f>
        <v/>
      </c>
    </row>
    <row r="3032">
      <c r="M3032" s="2">
        <f>IF(C3032="","",IFERROR(INDEX($S$5:$S$304,MATCH(C3032,$R$5:$R$304,0))&amp;"","?"))</f>
        <v/>
      </c>
      <c r="N3032" s="2">
        <f>IF(E3032="","",IF(ISNUMBER(SEARCH("SUBSOLO",E3032)),IFERROR(-VALUE(LEFT(E3032,FIND("º",SUBSTITUTE(E3032,"°","º"))-1)),-1),IF(LEFT(E3032,6)="TÉRREO",0,IFERROR(VALUE(LEFT(E3032,FIND("º",SUBSTITUTE(E3032,"°","º"))-1)),""))))</f>
        <v/>
      </c>
      <c r="O3032" s="2">
        <f>IF(OR(F3032="",G3032=""),"",IF(G3032&lt;='RETRATO 2027'!$K$5,"CONCLUÍDA",IF(F3032&lt;='RETRATO 2027'!$K$5,"EM ANDAMENTO","A INICIAR")))</f>
        <v/>
      </c>
    </row>
    <row r="3033">
      <c r="M3033" s="2">
        <f>IF(C3033="","",IFERROR(INDEX($S$5:$S$304,MATCH(C3033,$R$5:$R$304,0))&amp;"","?"))</f>
        <v/>
      </c>
      <c r="N3033" s="2">
        <f>IF(E3033="","",IF(ISNUMBER(SEARCH("SUBSOLO",E3033)),IFERROR(-VALUE(LEFT(E3033,FIND("º",SUBSTITUTE(E3033,"°","º"))-1)),-1),IF(LEFT(E3033,6)="TÉRREO",0,IFERROR(VALUE(LEFT(E3033,FIND("º",SUBSTITUTE(E3033,"°","º"))-1)),""))))</f>
        <v/>
      </c>
      <c r="O3033" s="2">
        <f>IF(OR(F3033="",G3033=""),"",IF(G3033&lt;='RETRATO 2027'!$K$5,"CONCLUÍDA",IF(F3033&lt;='RETRATO 2027'!$K$5,"EM ANDAMENTO","A INICIAR")))</f>
        <v/>
      </c>
    </row>
    <row r="3034">
      <c r="M3034" s="2">
        <f>IF(C3034="","",IFERROR(INDEX($S$5:$S$304,MATCH(C3034,$R$5:$R$304,0))&amp;"","?"))</f>
        <v/>
      </c>
      <c r="N3034" s="2">
        <f>IF(E3034="","",IF(ISNUMBER(SEARCH("SUBSOLO",E3034)),IFERROR(-VALUE(LEFT(E3034,FIND("º",SUBSTITUTE(E3034,"°","º"))-1)),-1),IF(LEFT(E3034,6)="TÉRREO",0,IFERROR(VALUE(LEFT(E3034,FIND("º",SUBSTITUTE(E3034,"°","º"))-1)),""))))</f>
        <v/>
      </c>
      <c r="O3034" s="2">
        <f>IF(OR(F3034="",G3034=""),"",IF(G3034&lt;='RETRATO 2027'!$K$5,"CONCLUÍDA",IF(F3034&lt;='RETRATO 2027'!$K$5,"EM ANDAMENTO","A INICIAR")))</f>
        <v/>
      </c>
    </row>
    <row r="3035">
      <c r="M3035" s="2">
        <f>IF(C3035="","",IFERROR(INDEX($S$5:$S$304,MATCH(C3035,$R$5:$R$304,0))&amp;"","?"))</f>
        <v/>
      </c>
      <c r="N3035" s="2">
        <f>IF(E3035="","",IF(ISNUMBER(SEARCH("SUBSOLO",E3035)),IFERROR(-VALUE(LEFT(E3035,FIND("º",SUBSTITUTE(E3035,"°","º"))-1)),-1),IF(LEFT(E3035,6)="TÉRREO",0,IFERROR(VALUE(LEFT(E3035,FIND("º",SUBSTITUTE(E3035,"°","º"))-1)),""))))</f>
        <v/>
      </c>
      <c r="O3035" s="2">
        <f>IF(OR(F3035="",G3035=""),"",IF(G3035&lt;='RETRATO 2027'!$K$5,"CONCLUÍDA",IF(F3035&lt;='RETRATO 2027'!$K$5,"EM ANDAMENTO","A INICIAR")))</f>
        <v/>
      </c>
    </row>
    <row r="3036">
      <c r="M3036" s="2">
        <f>IF(C3036="","",IFERROR(INDEX($S$5:$S$304,MATCH(C3036,$R$5:$R$304,0))&amp;"","?"))</f>
        <v/>
      </c>
      <c r="N3036" s="2">
        <f>IF(E3036="","",IF(ISNUMBER(SEARCH("SUBSOLO",E3036)),IFERROR(-VALUE(LEFT(E3036,FIND("º",SUBSTITUTE(E3036,"°","º"))-1)),-1),IF(LEFT(E3036,6)="TÉRREO",0,IFERROR(VALUE(LEFT(E3036,FIND("º",SUBSTITUTE(E3036,"°","º"))-1)),""))))</f>
        <v/>
      </c>
      <c r="O3036" s="2">
        <f>IF(OR(F3036="",G3036=""),"",IF(G3036&lt;='RETRATO 2027'!$K$5,"CONCLUÍDA",IF(F3036&lt;='RETRATO 2027'!$K$5,"EM ANDAMENTO","A INICIAR")))</f>
        <v/>
      </c>
    </row>
    <row r="3037">
      <c r="M3037" s="2">
        <f>IF(C3037="","",IFERROR(INDEX($S$5:$S$304,MATCH(C3037,$R$5:$R$304,0))&amp;"","?"))</f>
        <v/>
      </c>
      <c r="N3037" s="2">
        <f>IF(E3037="","",IF(ISNUMBER(SEARCH("SUBSOLO",E3037)),IFERROR(-VALUE(LEFT(E3037,FIND("º",SUBSTITUTE(E3037,"°","º"))-1)),-1),IF(LEFT(E3037,6)="TÉRREO",0,IFERROR(VALUE(LEFT(E3037,FIND("º",SUBSTITUTE(E3037,"°","º"))-1)),""))))</f>
        <v/>
      </c>
      <c r="O3037" s="2">
        <f>IF(OR(F3037="",G3037=""),"",IF(G3037&lt;='RETRATO 2027'!$K$5,"CONCLUÍDA",IF(F3037&lt;='RETRATO 2027'!$K$5,"EM ANDAMENTO","A INICIAR")))</f>
        <v/>
      </c>
    </row>
    <row r="3038">
      <c r="M3038" s="2">
        <f>IF(C3038="","",IFERROR(INDEX($S$5:$S$304,MATCH(C3038,$R$5:$R$304,0))&amp;"","?"))</f>
        <v/>
      </c>
      <c r="N3038" s="2">
        <f>IF(E3038="","",IF(ISNUMBER(SEARCH("SUBSOLO",E3038)),IFERROR(-VALUE(LEFT(E3038,FIND("º",SUBSTITUTE(E3038,"°","º"))-1)),-1),IF(LEFT(E3038,6)="TÉRREO",0,IFERROR(VALUE(LEFT(E3038,FIND("º",SUBSTITUTE(E3038,"°","º"))-1)),""))))</f>
        <v/>
      </c>
      <c r="O3038" s="2">
        <f>IF(OR(F3038="",G3038=""),"",IF(G3038&lt;='RETRATO 2027'!$K$5,"CONCLUÍDA",IF(F3038&lt;='RETRATO 2027'!$K$5,"EM ANDAMENTO","A INICIAR")))</f>
        <v/>
      </c>
    </row>
    <row r="3039">
      <c r="M3039" s="2">
        <f>IF(C3039="","",IFERROR(INDEX($S$5:$S$304,MATCH(C3039,$R$5:$R$304,0))&amp;"","?"))</f>
        <v/>
      </c>
      <c r="N3039" s="2">
        <f>IF(E3039="","",IF(ISNUMBER(SEARCH("SUBSOLO",E3039)),IFERROR(-VALUE(LEFT(E3039,FIND("º",SUBSTITUTE(E3039,"°","º"))-1)),-1),IF(LEFT(E3039,6)="TÉRREO",0,IFERROR(VALUE(LEFT(E3039,FIND("º",SUBSTITUTE(E3039,"°","º"))-1)),""))))</f>
        <v/>
      </c>
      <c r="O3039" s="2">
        <f>IF(OR(F3039="",G3039=""),"",IF(G3039&lt;='RETRATO 2027'!$K$5,"CONCLUÍDA",IF(F3039&lt;='RETRATO 2027'!$K$5,"EM ANDAMENTO","A INICIAR")))</f>
        <v/>
      </c>
    </row>
    <row r="3040">
      <c r="M3040" s="2">
        <f>IF(C3040="","",IFERROR(INDEX($S$5:$S$304,MATCH(C3040,$R$5:$R$304,0))&amp;"","?"))</f>
        <v/>
      </c>
      <c r="N3040" s="2">
        <f>IF(E3040="","",IF(ISNUMBER(SEARCH("SUBSOLO",E3040)),IFERROR(-VALUE(LEFT(E3040,FIND("º",SUBSTITUTE(E3040,"°","º"))-1)),-1),IF(LEFT(E3040,6)="TÉRREO",0,IFERROR(VALUE(LEFT(E3040,FIND("º",SUBSTITUTE(E3040,"°","º"))-1)),""))))</f>
        <v/>
      </c>
      <c r="O3040" s="2">
        <f>IF(OR(F3040="",G3040=""),"",IF(G3040&lt;='RETRATO 2027'!$K$5,"CONCLUÍDA",IF(F3040&lt;='RETRATO 2027'!$K$5,"EM ANDAMENTO","A INICIAR")))</f>
        <v/>
      </c>
    </row>
    <row r="3041">
      <c r="M3041" s="2">
        <f>IF(C3041="","",IFERROR(INDEX($S$5:$S$304,MATCH(C3041,$R$5:$R$304,0))&amp;"","?"))</f>
        <v/>
      </c>
      <c r="N3041" s="2">
        <f>IF(E3041="","",IF(ISNUMBER(SEARCH("SUBSOLO",E3041)),IFERROR(-VALUE(LEFT(E3041,FIND("º",SUBSTITUTE(E3041,"°","º"))-1)),-1),IF(LEFT(E3041,6)="TÉRREO",0,IFERROR(VALUE(LEFT(E3041,FIND("º",SUBSTITUTE(E3041,"°","º"))-1)),""))))</f>
        <v/>
      </c>
      <c r="O3041" s="2">
        <f>IF(OR(F3041="",G3041=""),"",IF(G3041&lt;='RETRATO 2027'!$K$5,"CONCLUÍDA",IF(F3041&lt;='RETRATO 2027'!$K$5,"EM ANDAMENTO","A INICIAR")))</f>
        <v/>
      </c>
    </row>
    <row r="3042">
      <c r="M3042" s="2">
        <f>IF(C3042="","",IFERROR(INDEX($S$5:$S$304,MATCH(C3042,$R$5:$R$304,0))&amp;"","?"))</f>
        <v/>
      </c>
      <c r="N3042" s="2">
        <f>IF(E3042="","",IF(ISNUMBER(SEARCH("SUBSOLO",E3042)),IFERROR(-VALUE(LEFT(E3042,FIND("º",SUBSTITUTE(E3042,"°","º"))-1)),-1),IF(LEFT(E3042,6)="TÉRREO",0,IFERROR(VALUE(LEFT(E3042,FIND("º",SUBSTITUTE(E3042,"°","º"))-1)),""))))</f>
        <v/>
      </c>
      <c r="O3042" s="2">
        <f>IF(OR(F3042="",G3042=""),"",IF(G3042&lt;='RETRATO 2027'!$K$5,"CONCLUÍDA",IF(F3042&lt;='RETRATO 2027'!$K$5,"EM ANDAMENTO","A INICIAR")))</f>
        <v/>
      </c>
    </row>
    <row r="3043">
      <c r="M3043" s="2">
        <f>IF(C3043="","",IFERROR(INDEX($S$5:$S$304,MATCH(C3043,$R$5:$R$304,0))&amp;"","?"))</f>
        <v/>
      </c>
      <c r="N3043" s="2">
        <f>IF(E3043="","",IF(ISNUMBER(SEARCH("SUBSOLO",E3043)),IFERROR(-VALUE(LEFT(E3043,FIND("º",SUBSTITUTE(E3043,"°","º"))-1)),-1),IF(LEFT(E3043,6)="TÉRREO",0,IFERROR(VALUE(LEFT(E3043,FIND("º",SUBSTITUTE(E3043,"°","º"))-1)),""))))</f>
        <v/>
      </c>
      <c r="O3043" s="2">
        <f>IF(OR(F3043="",G3043=""),"",IF(G3043&lt;='RETRATO 2027'!$K$5,"CONCLUÍDA",IF(F3043&lt;='RETRATO 2027'!$K$5,"EM ANDAMENTO","A INICIAR")))</f>
        <v/>
      </c>
    </row>
    <row r="3044">
      <c r="M3044" s="2">
        <f>IF(C3044="","",IFERROR(INDEX($S$5:$S$304,MATCH(C3044,$R$5:$R$304,0))&amp;"","?"))</f>
        <v/>
      </c>
      <c r="N3044" s="2">
        <f>IF(E3044="","",IF(ISNUMBER(SEARCH("SUBSOLO",E3044)),IFERROR(-VALUE(LEFT(E3044,FIND("º",SUBSTITUTE(E3044,"°","º"))-1)),-1),IF(LEFT(E3044,6)="TÉRREO",0,IFERROR(VALUE(LEFT(E3044,FIND("º",SUBSTITUTE(E3044,"°","º"))-1)),""))))</f>
        <v/>
      </c>
      <c r="O3044" s="2">
        <f>IF(OR(F3044="",G3044=""),"",IF(G3044&lt;='RETRATO 2027'!$K$5,"CONCLUÍDA",IF(F3044&lt;='RETRATO 2027'!$K$5,"EM ANDAMENTO","A INICIAR")))</f>
        <v/>
      </c>
    </row>
    <row r="3045">
      <c r="M3045" s="2">
        <f>IF(C3045="","",IFERROR(INDEX($S$5:$S$304,MATCH(C3045,$R$5:$R$304,0))&amp;"","?"))</f>
        <v/>
      </c>
      <c r="N3045" s="2">
        <f>IF(E3045="","",IF(ISNUMBER(SEARCH("SUBSOLO",E3045)),IFERROR(-VALUE(LEFT(E3045,FIND("º",SUBSTITUTE(E3045,"°","º"))-1)),-1),IF(LEFT(E3045,6)="TÉRREO",0,IFERROR(VALUE(LEFT(E3045,FIND("º",SUBSTITUTE(E3045,"°","º"))-1)),""))))</f>
        <v/>
      </c>
      <c r="O3045" s="2">
        <f>IF(OR(F3045="",G3045=""),"",IF(G3045&lt;='RETRATO 2027'!$K$5,"CONCLUÍDA",IF(F3045&lt;='RETRATO 2027'!$K$5,"EM ANDAMENTO","A INICIAR")))</f>
        <v/>
      </c>
    </row>
    <row r="3046">
      <c r="M3046" s="2">
        <f>IF(C3046="","",IFERROR(INDEX($S$5:$S$304,MATCH(C3046,$R$5:$R$304,0))&amp;"","?"))</f>
        <v/>
      </c>
      <c r="N3046" s="2">
        <f>IF(E3046="","",IF(ISNUMBER(SEARCH("SUBSOLO",E3046)),IFERROR(-VALUE(LEFT(E3046,FIND("º",SUBSTITUTE(E3046,"°","º"))-1)),-1),IF(LEFT(E3046,6)="TÉRREO",0,IFERROR(VALUE(LEFT(E3046,FIND("º",SUBSTITUTE(E3046,"°","º"))-1)),""))))</f>
        <v/>
      </c>
      <c r="O3046" s="2">
        <f>IF(OR(F3046="",G3046=""),"",IF(G3046&lt;='RETRATO 2027'!$K$5,"CONCLUÍDA",IF(F3046&lt;='RETRATO 2027'!$K$5,"EM ANDAMENTO","A INICIAR")))</f>
        <v/>
      </c>
    </row>
    <row r="3047">
      <c r="M3047" s="2">
        <f>IF(C3047="","",IFERROR(INDEX($S$5:$S$304,MATCH(C3047,$R$5:$R$304,0))&amp;"","?"))</f>
        <v/>
      </c>
      <c r="N3047" s="2">
        <f>IF(E3047="","",IF(ISNUMBER(SEARCH("SUBSOLO",E3047)),IFERROR(-VALUE(LEFT(E3047,FIND("º",SUBSTITUTE(E3047,"°","º"))-1)),-1),IF(LEFT(E3047,6)="TÉRREO",0,IFERROR(VALUE(LEFT(E3047,FIND("º",SUBSTITUTE(E3047,"°","º"))-1)),""))))</f>
        <v/>
      </c>
      <c r="O3047" s="2">
        <f>IF(OR(F3047="",G3047=""),"",IF(G3047&lt;='RETRATO 2027'!$K$5,"CONCLUÍDA",IF(F3047&lt;='RETRATO 2027'!$K$5,"EM ANDAMENTO","A INICIAR")))</f>
        <v/>
      </c>
    </row>
    <row r="3048">
      <c r="M3048" s="2">
        <f>IF(C3048="","",IFERROR(INDEX($S$5:$S$304,MATCH(C3048,$R$5:$R$304,0))&amp;"","?"))</f>
        <v/>
      </c>
      <c r="N3048" s="2">
        <f>IF(E3048="","",IF(ISNUMBER(SEARCH("SUBSOLO",E3048)),IFERROR(-VALUE(LEFT(E3048,FIND("º",SUBSTITUTE(E3048,"°","º"))-1)),-1),IF(LEFT(E3048,6)="TÉRREO",0,IFERROR(VALUE(LEFT(E3048,FIND("º",SUBSTITUTE(E3048,"°","º"))-1)),""))))</f>
        <v/>
      </c>
      <c r="O3048" s="2">
        <f>IF(OR(F3048="",G3048=""),"",IF(G3048&lt;='RETRATO 2027'!$K$5,"CONCLUÍDA",IF(F3048&lt;='RETRATO 2027'!$K$5,"EM ANDAMENTO","A INICIAR")))</f>
        <v/>
      </c>
    </row>
    <row r="3049">
      <c r="M3049" s="2">
        <f>IF(C3049="","",IFERROR(INDEX($S$5:$S$304,MATCH(C3049,$R$5:$R$304,0))&amp;"","?"))</f>
        <v/>
      </c>
      <c r="N3049" s="2">
        <f>IF(E3049="","",IF(ISNUMBER(SEARCH("SUBSOLO",E3049)),IFERROR(-VALUE(LEFT(E3049,FIND("º",SUBSTITUTE(E3049,"°","º"))-1)),-1),IF(LEFT(E3049,6)="TÉRREO",0,IFERROR(VALUE(LEFT(E3049,FIND("º",SUBSTITUTE(E3049,"°","º"))-1)),""))))</f>
        <v/>
      </c>
      <c r="O3049" s="2">
        <f>IF(OR(F3049="",G3049=""),"",IF(G3049&lt;='RETRATO 2027'!$K$5,"CONCLUÍDA",IF(F3049&lt;='RETRATO 2027'!$K$5,"EM ANDAMENTO","A INICIAR")))</f>
        <v/>
      </c>
    </row>
    <row r="3050">
      <c r="M3050" s="2">
        <f>IF(C3050="","",IFERROR(INDEX($S$5:$S$304,MATCH(C3050,$R$5:$R$304,0))&amp;"","?"))</f>
        <v/>
      </c>
      <c r="N3050" s="2">
        <f>IF(E3050="","",IF(ISNUMBER(SEARCH("SUBSOLO",E3050)),IFERROR(-VALUE(LEFT(E3050,FIND("º",SUBSTITUTE(E3050,"°","º"))-1)),-1),IF(LEFT(E3050,6)="TÉRREO",0,IFERROR(VALUE(LEFT(E3050,FIND("º",SUBSTITUTE(E3050,"°","º"))-1)),""))))</f>
        <v/>
      </c>
      <c r="O3050" s="2">
        <f>IF(OR(F3050="",G3050=""),"",IF(G3050&lt;='RETRATO 2027'!$K$5,"CONCLUÍDA",IF(F3050&lt;='RETRATO 2027'!$K$5,"EM ANDAMENTO","A INICIAR")))</f>
        <v/>
      </c>
    </row>
    <row r="3051">
      <c r="M3051" s="2">
        <f>IF(C3051="","",IFERROR(INDEX($S$5:$S$304,MATCH(C3051,$R$5:$R$304,0))&amp;"","?"))</f>
        <v/>
      </c>
      <c r="N3051" s="2">
        <f>IF(E3051="","",IF(ISNUMBER(SEARCH("SUBSOLO",E3051)),IFERROR(-VALUE(LEFT(E3051,FIND("º",SUBSTITUTE(E3051,"°","º"))-1)),-1),IF(LEFT(E3051,6)="TÉRREO",0,IFERROR(VALUE(LEFT(E3051,FIND("º",SUBSTITUTE(E3051,"°","º"))-1)),""))))</f>
        <v/>
      </c>
      <c r="O3051" s="2">
        <f>IF(OR(F3051="",G3051=""),"",IF(G3051&lt;='RETRATO 2027'!$K$5,"CONCLUÍDA",IF(F3051&lt;='RETRATO 2027'!$K$5,"EM ANDAMENTO","A INICIAR")))</f>
        <v/>
      </c>
    </row>
    <row r="3052">
      <c r="M3052" s="2">
        <f>IF(C3052="","",IFERROR(INDEX($S$5:$S$304,MATCH(C3052,$R$5:$R$304,0))&amp;"","?"))</f>
        <v/>
      </c>
      <c r="N3052" s="2">
        <f>IF(E3052="","",IF(ISNUMBER(SEARCH("SUBSOLO",E3052)),IFERROR(-VALUE(LEFT(E3052,FIND("º",SUBSTITUTE(E3052,"°","º"))-1)),-1),IF(LEFT(E3052,6)="TÉRREO",0,IFERROR(VALUE(LEFT(E3052,FIND("º",SUBSTITUTE(E3052,"°","º"))-1)),""))))</f>
        <v/>
      </c>
      <c r="O3052" s="2">
        <f>IF(OR(F3052="",G3052=""),"",IF(G3052&lt;='RETRATO 2027'!$K$5,"CONCLUÍDA",IF(F3052&lt;='RETRATO 2027'!$K$5,"EM ANDAMENTO","A INICIAR")))</f>
        <v/>
      </c>
    </row>
    <row r="3053">
      <c r="M3053" s="2">
        <f>IF(C3053="","",IFERROR(INDEX($S$5:$S$304,MATCH(C3053,$R$5:$R$304,0))&amp;"","?"))</f>
        <v/>
      </c>
      <c r="N3053" s="2">
        <f>IF(E3053="","",IF(ISNUMBER(SEARCH("SUBSOLO",E3053)),IFERROR(-VALUE(LEFT(E3053,FIND("º",SUBSTITUTE(E3053,"°","º"))-1)),-1),IF(LEFT(E3053,6)="TÉRREO",0,IFERROR(VALUE(LEFT(E3053,FIND("º",SUBSTITUTE(E3053,"°","º"))-1)),""))))</f>
        <v/>
      </c>
      <c r="O3053" s="2">
        <f>IF(OR(F3053="",G3053=""),"",IF(G3053&lt;='RETRATO 2027'!$K$5,"CONCLUÍDA",IF(F3053&lt;='RETRATO 2027'!$K$5,"EM ANDAMENTO","A INICIAR")))</f>
        <v/>
      </c>
    </row>
    <row r="3054">
      <c r="M3054" s="2">
        <f>IF(C3054="","",IFERROR(INDEX($S$5:$S$304,MATCH(C3054,$R$5:$R$304,0))&amp;"","?"))</f>
        <v/>
      </c>
      <c r="N3054" s="2">
        <f>IF(E3054="","",IF(ISNUMBER(SEARCH("SUBSOLO",E3054)),IFERROR(-VALUE(LEFT(E3054,FIND("º",SUBSTITUTE(E3054,"°","º"))-1)),-1),IF(LEFT(E3054,6)="TÉRREO",0,IFERROR(VALUE(LEFT(E3054,FIND("º",SUBSTITUTE(E3054,"°","º"))-1)),""))))</f>
        <v/>
      </c>
      <c r="O3054" s="2">
        <f>IF(OR(F3054="",G3054=""),"",IF(G3054&lt;='RETRATO 2027'!$K$5,"CONCLUÍDA",IF(F3054&lt;='RETRATO 2027'!$K$5,"EM ANDAMENTO","A INICIAR")))</f>
        <v/>
      </c>
    </row>
    <row r="3055">
      <c r="M3055" s="2">
        <f>IF(C3055="","",IFERROR(INDEX($S$5:$S$304,MATCH(C3055,$R$5:$R$304,0))&amp;"","?"))</f>
        <v/>
      </c>
      <c r="N3055" s="2">
        <f>IF(E3055="","",IF(ISNUMBER(SEARCH("SUBSOLO",E3055)),IFERROR(-VALUE(LEFT(E3055,FIND("º",SUBSTITUTE(E3055,"°","º"))-1)),-1),IF(LEFT(E3055,6)="TÉRREO",0,IFERROR(VALUE(LEFT(E3055,FIND("º",SUBSTITUTE(E3055,"°","º"))-1)),""))))</f>
        <v/>
      </c>
      <c r="O3055" s="2">
        <f>IF(OR(F3055="",G3055=""),"",IF(G3055&lt;='RETRATO 2027'!$K$5,"CONCLUÍDA",IF(F3055&lt;='RETRATO 2027'!$K$5,"EM ANDAMENTO","A INICIAR")))</f>
        <v/>
      </c>
    </row>
    <row r="3056">
      <c r="M3056" s="2">
        <f>IF(C3056="","",IFERROR(INDEX($S$5:$S$304,MATCH(C3056,$R$5:$R$304,0))&amp;"","?"))</f>
        <v/>
      </c>
      <c r="N3056" s="2">
        <f>IF(E3056="","",IF(ISNUMBER(SEARCH("SUBSOLO",E3056)),IFERROR(-VALUE(LEFT(E3056,FIND("º",SUBSTITUTE(E3056,"°","º"))-1)),-1),IF(LEFT(E3056,6)="TÉRREO",0,IFERROR(VALUE(LEFT(E3056,FIND("º",SUBSTITUTE(E3056,"°","º"))-1)),""))))</f>
        <v/>
      </c>
      <c r="O3056" s="2">
        <f>IF(OR(F3056="",G3056=""),"",IF(G3056&lt;='RETRATO 2027'!$K$5,"CONCLUÍDA",IF(F3056&lt;='RETRATO 2027'!$K$5,"EM ANDAMENTO","A INICIAR")))</f>
        <v/>
      </c>
    </row>
    <row r="3057">
      <c r="M3057" s="2">
        <f>IF(C3057="","",IFERROR(INDEX($S$5:$S$304,MATCH(C3057,$R$5:$R$304,0))&amp;"","?"))</f>
        <v/>
      </c>
      <c r="N3057" s="2">
        <f>IF(E3057="","",IF(ISNUMBER(SEARCH("SUBSOLO",E3057)),IFERROR(-VALUE(LEFT(E3057,FIND("º",SUBSTITUTE(E3057,"°","º"))-1)),-1),IF(LEFT(E3057,6)="TÉRREO",0,IFERROR(VALUE(LEFT(E3057,FIND("º",SUBSTITUTE(E3057,"°","º"))-1)),""))))</f>
        <v/>
      </c>
      <c r="O3057" s="2">
        <f>IF(OR(F3057="",G3057=""),"",IF(G3057&lt;='RETRATO 2027'!$K$5,"CONCLUÍDA",IF(F3057&lt;='RETRATO 2027'!$K$5,"EM ANDAMENTO","A INICIAR")))</f>
        <v/>
      </c>
    </row>
    <row r="3058">
      <c r="M3058" s="2">
        <f>IF(C3058="","",IFERROR(INDEX($S$5:$S$304,MATCH(C3058,$R$5:$R$304,0))&amp;"","?"))</f>
        <v/>
      </c>
      <c r="N3058" s="2">
        <f>IF(E3058="","",IF(ISNUMBER(SEARCH("SUBSOLO",E3058)),IFERROR(-VALUE(LEFT(E3058,FIND("º",SUBSTITUTE(E3058,"°","º"))-1)),-1),IF(LEFT(E3058,6)="TÉRREO",0,IFERROR(VALUE(LEFT(E3058,FIND("º",SUBSTITUTE(E3058,"°","º"))-1)),""))))</f>
        <v/>
      </c>
      <c r="O3058" s="2">
        <f>IF(OR(F3058="",G3058=""),"",IF(G3058&lt;='RETRATO 2027'!$K$5,"CONCLUÍDA",IF(F3058&lt;='RETRATO 2027'!$K$5,"EM ANDAMENTO","A INICIAR")))</f>
        <v/>
      </c>
    </row>
    <row r="3059">
      <c r="M3059" s="2">
        <f>IF(C3059="","",IFERROR(INDEX($S$5:$S$304,MATCH(C3059,$R$5:$R$304,0))&amp;"","?"))</f>
        <v/>
      </c>
      <c r="N3059" s="2">
        <f>IF(E3059="","",IF(ISNUMBER(SEARCH("SUBSOLO",E3059)),IFERROR(-VALUE(LEFT(E3059,FIND("º",SUBSTITUTE(E3059,"°","º"))-1)),-1),IF(LEFT(E3059,6)="TÉRREO",0,IFERROR(VALUE(LEFT(E3059,FIND("º",SUBSTITUTE(E3059,"°","º"))-1)),""))))</f>
        <v/>
      </c>
      <c r="O3059" s="2">
        <f>IF(OR(F3059="",G3059=""),"",IF(G3059&lt;='RETRATO 2027'!$K$5,"CONCLUÍDA",IF(F3059&lt;='RETRATO 2027'!$K$5,"EM ANDAMENTO","A INICIAR")))</f>
        <v/>
      </c>
    </row>
    <row r="3060">
      <c r="M3060" s="2">
        <f>IF(C3060="","",IFERROR(INDEX($S$5:$S$304,MATCH(C3060,$R$5:$R$304,0))&amp;"","?"))</f>
        <v/>
      </c>
      <c r="N3060" s="2">
        <f>IF(E3060="","",IF(ISNUMBER(SEARCH("SUBSOLO",E3060)),IFERROR(-VALUE(LEFT(E3060,FIND("º",SUBSTITUTE(E3060,"°","º"))-1)),-1),IF(LEFT(E3060,6)="TÉRREO",0,IFERROR(VALUE(LEFT(E3060,FIND("º",SUBSTITUTE(E3060,"°","º"))-1)),""))))</f>
        <v/>
      </c>
      <c r="O3060" s="2">
        <f>IF(OR(F3060="",G3060=""),"",IF(G3060&lt;='RETRATO 2027'!$K$5,"CONCLUÍDA",IF(F3060&lt;='RETRATO 2027'!$K$5,"EM ANDAMENTO","A INICIAR")))</f>
        <v/>
      </c>
    </row>
    <row r="3061">
      <c r="M3061" s="2">
        <f>IF(C3061="","",IFERROR(INDEX($S$5:$S$304,MATCH(C3061,$R$5:$R$304,0))&amp;"","?"))</f>
        <v/>
      </c>
      <c r="N3061" s="2">
        <f>IF(E3061="","",IF(ISNUMBER(SEARCH("SUBSOLO",E3061)),IFERROR(-VALUE(LEFT(E3061,FIND("º",SUBSTITUTE(E3061,"°","º"))-1)),-1),IF(LEFT(E3061,6)="TÉRREO",0,IFERROR(VALUE(LEFT(E3061,FIND("º",SUBSTITUTE(E3061,"°","º"))-1)),""))))</f>
        <v/>
      </c>
      <c r="O3061" s="2">
        <f>IF(OR(F3061="",G3061=""),"",IF(G3061&lt;='RETRATO 2027'!$K$5,"CONCLUÍDA",IF(F3061&lt;='RETRATO 2027'!$K$5,"EM ANDAMENTO","A INICIAR")))</f>
        <v/>
      </c>
    </row>
    <row r="3062">
      <c r="M3062" s="2">
        <f>IF(C3062="","",IFERROR(INDEX($S$5:$S$304,MATCH(C3062,$R$5:$R$304,0))&amp;"","?"))</f>
        <v/>
      </c>
      <c r="N3062" s="2">
        <f>IF(E3062="","",IF(ISNUMBER(SEARCH("SUBSOLO",E3062)),IFERROR(-VALUE(LEFT(E3062,FIND("º",SUBSTITUTE(E3062,"°","º"))-1)),-1),IF(LEFT(E3062,6)="TÉRREO",0,IFERROR(VALUE(LEFT(E3062,FIND("º",SUBSTITUTE(E3062,"°","º"))-1)),""))))</f>
        <v/>
      </c>
      <c r="O3062" s="2">
        <f>IF(OR(F3062="",G3062=""),"",IF(G3062&lt;='RETRATO 2027'!$K$5,"CONCLUÍDA",IF(F3062&lt;='RETRATO 2027'!$K$5,"EM ANDAMENTO","A INICIAR")))</f>
        <v/>
      </c>
    </row>
    <row r="3063">
      <c r="M3063" s="2">
        <f>IF(C3063="","",IFERROR(INDEX($S$5:$S$304,MATCH(C3063,$R$5:$R$304,0))&amp;"","?"))</f>
        <v/>
      </c>
      <c r="N3063" s="2">
        <f>IF(E3063="","",IF(ISNUMBER(SEARCH("SUBSOLO",E3063)),IFERROR(-VALUE(LEFT(E3063,FIND("º",SUBSTITUTE(E3063,"°","º"))-1)),-1),IF(LEFT(E3063,6)="TÉRREO",0,IFERROR(VALUE(LEFT(E3063,FIND("º",SUBSTITUTE(E3063,"°","º"))-1)),""))))</f>
        <v/>
      </c>
      <c r="O3063" s="2">
        <f>IF(OR(F3063="",G3063=""),"",IF(G3063&lt;='RETRATO 2027'!$K$5,"CONCLUÍDA",IF(F3063&lt;='RETRATO 2027'!$K$5,"EM ANDAMENTO","A INICIAR")))</f>
        <v/>
      </c>
    </row>
    <row r="3064">
      <c r="M3064" s="2">
        <f>IF(C3064="","",IFERROR(INDEX($S$5:$S$304,MATCH(C3064,$R$5:$R$304,0))&amp;"","?"))</f>
        <v/>
      </c>
      <c r="N3064" s="2">
        <f>IF(E3064="","",IF(ISNUMBER(SEARCH("SUBSOLO",E3064)),IFERROR(-VALUE(LEFT(E3064,FIND("º",SUBSTITUTE(E3064,"°","º"))-1)),-1),IF(LEFT(E3064,6)="TÉRREO",0,IFERROR(VALUE(LEFT(E3064,FIND("º",SUBSTITUTE(E3064,"°","º"))-1)),""))))</f>
        <v/>
      </c>
      <c r="O3064" s="2">
        <f>IF(OR(F3064="",G3064=""),"",IF(G3064&lt;='RETRATO 2027'!$K$5,"CONCLUÍDA",IF(F3064&lt;='RETRATO 2027'!$K$5,"EM ANDAMENTO","A INICIAR")))</f>
        <v/>
      </c>
    </row>
    <row r="3065">
      <c r="M3065" s="2">
        <f>IF(C3065="","",IFERROR(INDEX($S$5:$S$304,MATCH(C3065,$R$5:$R$304,0))&amp;"","?"))</f>
        <v/>
      </c>
      <c r="N3065" s="2">
        <f>IF(E3065="","",IF(ISNUMBER(SEARCH("SUBSOLO",E3065)),IFERROR(-VALUE(LEFT(E3065,FIND("º",SUBSTITUTE(E3065,"°","º"))-1)),-1),IF(LEFT(E3065,6)="TÉRREO",0,IFERROR(VALUE(LEFT(E3065,FIND("º",SUBSTITUTE(E3065,"°","º"))-1)),""))))</f>
        <v/>
      </c>
      <c r="O3065" s="2">
        <f>IF(OR(F3065="",G3065=""),"",IF(G3065&lt;='RETRATO 2027'!$K$5,"CONCLUÍDA",IF(F3065&lt;='RETRATO 2027'!$K$5,"EM ANDAMENTO","A INICIAR")))</f>
        <v/>
      </c>
    </row>
    <row r="3066">
      <c r="M3066" s="2">
        <f>IF(C3066="","",IFERROR(INDEX($S$5:$S$304,MATCH(C3066,$R$5:$R$304,0))&amp;"","?"))</f>
        <v/>
      </c>
      <c r="N3066" s="2">
        <f>IF(E3066="","",IF(ISNUMBER(SEARCH("SUBSOLO",E3066)),IFERROR(-VALUE(LEFT(E3066,FIND("º",SUBSTITUTE(E3066,"°","º"))-1)),-1),IF(LEFT(E3066,6)="TÉRREO",0,IFERROR(VALUE(LEFT(E3066,FIND("º",SUBSTITUTE(E3066,"°","º"))-1)),""))))</f>
        <v/>
      </c>
      <c r="O3066" s="2">
        <f>IF(OR(F3066="",G3066=""),"",IF(G3066&lt;='RETRATO 2027'!$K$5,"CONCLUÍDA",IF(F3066&lt;='RETRATO 2027'!$K$5,"EM ANDAMENTO","A INICIAR")))</f>
        <v/>
      </c>
    </row>
    <row r="3067">
      <c r="M3067" s="2">
        <f>IF(C3067="","",IFERROR(INDEX($S$5:$S$304,MATCH(C3067,$R$5:$R$304,0))&amp;"","?"))</f>
        <v/>
      </c>
      <c r="N3067" s="2">
        <f>IF(E3067="","",IF(ISNUMBER(SEARCH("SUBSOLO",E3067)),IFERROR(-VALUE(LEFT(E3067,FIND("º",SUBSTITUTE(E3067,"°","º"))-1)),-1),IF(LEFT(E3067,6)="TÉRREO",0,IFERROR(VALUE(LEFT(E3067,FIND("º",SUBSTITUTE(E3067,"°","º"))-1)),""))))</f>
        <v/>
      </c>
      <c r="O3067" s="2">
        <f>IF(OR(F3067="",G3067=""),"",IF(G3067&lt;='RETRATO 2027'!$K$5,"CONCLUÍDA",IF(F3067&lt;='RETRATO 2027'!$K$5,"EM ANDAMENTO","A INICIAR")))</f>
        <v/>
      </c>
    </row>
    <row r="3068">
      <c r="M3068" s="2">
        <f>IF(C3068="","",IFERROR(INDEX($S$5:$S$304,MATCH(C3068,$R$5:$R$304,0))&amp;"","?"))</f>
        <v/>
      </c>
      <c r="N3068" s="2">
        <f>IF(E3068="","",IF(ISNUMBER(SEARCH("SUBSOLO",E3068)),IFERROR(-VALUE(LEFT(E3068,FIND("º",SUBSTITUTE(E3068,"°","º"))-1)),-1),IF(LEFT(E3068,6)="TÉRREO",0,IFERROR(VALUE(LEFT(E3068,FIND("º",SUBSTITUTE(E3068,"°","º"))-1)),""))))</f>
        <v/>
      </c>
      <c r="O3068" s="2">
        <f>IF(OR(F3068="",G3068=""),"",IF(G3068&lt;='RETRATO 2027'!$K$5,"CONCLUÍDA",IF(F3068&lt;='RETRATO 2027'!$K$5,"EM ANDAMENTO","A INICIAR")))</f>
        <v/>
      </c>
    </row>
    <row r="3069">
      <c r="M3069" s="2">
        <f>IF(C3069="","",IFERROR(INDEX($S$5:$S$304,MATCH(C3069,$R$5:$R$304,0))&amp;"","?"))</f>
        <v/>
      </c>
      <c r="N3069" s="2">
        <f>IF(E3069="","",IF(ISNUMBER(SEARCH("SUBSOLO",E3069)),IFERROR(-VALUE(LEFT(E3069,FIND("º",SUBSTITUTE(E3069,"°","º"))-1)),-1),IF(LEFT(E3069,6)="TÉRREO",0,IFERROR(VALUE(LEFT(E3069,FIND("º",SUBSTITUTE(E3069,"°","º"))-1)),""))))</f>
        <v/>
      </c>
      <c r="O3069" s="2">
        <f>IF(OR(F3069="",G3069=""),"",IF(G3069&lt;='RETRATO 2027'!$K$5,"CONCLUÍDA",IF(F3069&lt;='RETRATO 2027'!$K$5,"EM ANDAMENTO","A INICIAR")))</f>
        <v/>
      </c>
    </row>
    <row r="3070">
      <c r="M3070" s="2">
        <f>IF(C3070="","",IFERROR(INDEX($S$5:$S$304,MATCH(C3070,$R$5:$R$304,0))&amp;"","?"))</f>
        <v/>
      </c>
      <c r="N3070" s="2">
        <f>IF(E3070="","",IF(ISNUMBER(SEARCH("SUBSOLO",E3070)),IFERROR(-VALUE(LEFT(E3070,FIND("º",SUBSTITUTE(E3070,"°","º"))-1)),-1),IF(LEFT(E3070,6)="TÉRREO",0,IFERROR(VALUE(LEFT(E3070,FIND("º",SUBSTITUTE(E3070,"°","º"))-1)),""))))</f>
        <v/>
      </c>
      <c r="O3070" s="2">
        <f>IF(OR(F3070="",G3070=""),"",IF(G3070&lt;='RETRATO 2027'!$K$5,"CONCLUÍDA",IF(F3070&lt;='RETRATO 2027'!$K$5,"EM ANDAMENTO","A INICIAR")))</f>
        <v/>
      </c>
    </row>
    <row r="3071">
      <c r="M3071" s="2">
        <f>IF(C3071="","",IFERROR(INDEX($S$5:$S$304,MATCH(C3071,$R$5:$R$304,0))&amp;"","?"))</f>
        <v/>
      </c>
      <c r="N3071" s="2">
        <f>IF(E3071="","",IF(ISNUMBER(SEARCH("SUBSOLO",E3071)),IFERROR(-VALUE(LEFT(E3071,FIND("º",SUBSTITUTE(E3071,"°","º"))-1)),-1),IF(LEFT(E3071,6)="TÉRREO",0,IFERROR(VALUE(LEFT(E3071,FIND("º",SUBSTITUTE(E3071,"°","º"))-1)),""))))</f>
        <v/>
      </c>
      <c r="O3071" s="2">
        <f>IF(OR(F3071="",G3071=""),"",IF(G3071&lt;='RETRATO 2027'!$K$5,"CONCLUÍDA",IF(F3071&lt;='RETRATO 2027'!$K$5,"EM ANDAMENTO","A INICIAR")))</f>
        <v/>
      </c>
    </row>
    <row r="3072">
      <c r="M3072" s="2">
        <f>IF(C3072="","",IFERROR(INDEX($S$5:$S$304,MATCH(C3072,$R$5:$R$304,0))&amp;"","?"))</f>
        <v/>
      </c>
      <c r="N3072" s="2">
        <f>IF(E3072="","",IF(ISNUMBER(SEARCH("SUBSOLO",E3072)),IFERROR(-VALUE(LEFT(E3072,FIND("º",SUBSTITUTE(E3072,"°","º"))-1)),-1),IF(LEFT(E3072,6)="TÉRREO",0,IFERROR(VALUE(LEFT(E3072,FIND("º",SUBSTITUTE(E3072,"°","º"))-1)),""))))</f>
        <v/>
      </c>
      <c r="O3072" s="2">
        <f>IF(OR(F3072="",G3072=""),"",IF(G3072&lt;='RETRATO 2027'!$K$5,"CONCLUÍDA",IF(F3072&lt;='RETRATO 2027'!$K$5,"EM ANDAMENTO","A INICIAR")))</f>
        <v/>
      </c>
    </row>
    <row r="3073">
      <c r="M3073" s="2">
        <f>IF(C3073="","",IFERROR(INDEX($S$5:$S$304,MATCH(C3073,$R$5:$R$304,0))&amp;"","?"))</f>
        <v/>
      </c>
      <c r="N3073" s="2">
        <f>IF(E3073="","",IF(ISNUMBER(SEARCH("SUBSOLO",E3073)),IFERROR(-VALUE(LEFT(E3073,FIND("º",SUBSTITUTE(E3073,"°","º"))-1)),-1),IF(LEFT(E3073,6)="TÉRREO",0,IFERROR(VALUE(LEFT(E3073,FIND("º",SUBSTITUTE(E3073,"°","º"))-1)),""))))</f>
        <v/>
      </c>
      <c r="O3073" s="2">
        <f>IF(OR(F3073="",G3073=""),"",IF(G3073&lt;='RETRATO 2027'!$K$5,"CONCLUÍDA",IF(F3073&lt;='RETRATO 2027'!$K$5,"EM ANDAMENTO","A INICIAR")))</f>
        <v/>
      </c>
    </row>
    <row r="3074">
      <c r="M3074" s="2">
        <f>IF(C3074="","",IFERROR(INDEX($S$5:$S$304,MATCH(C3074,$R$5:$R$304,0))&amp;"","?"))</f>
        <v/>
      </c>
      <c r="N3074" s="2">
        <f>IF(E3074="","",IF(ISNUMBER(SEARCH("SUBSOLO",E3074)),IFERROR(-VALUE(LEFT(E3074,FIND("º",SUBSTITUTE(E3074,"°","º"))-1)),-1),IF(LEFT(E3074,6)="TÉRREO",0,IFERROR(VALUE(LEFT(E3074,FIND("º",SUBSTITUTE(E3074,"°","º"))-1)),""))))</f>
        <v/>
      </c>
      <c r="O3074" s="2">
        <f>IF(OR(F3074="",G3074=""),"",IF(G3074&lt;='RETRATO 2027'!$K$5,"CONCLUÍDA",IF(F3074&lt;='RETRATO 2027'!$K$5,"EM ANDAMENTO","A INICIAR")))</f>
        <v/>
      </c>
    </row>
    <row r="3075">
      <c r="M3075" s="2">
        <f>IF(C3075="","",IFERROR(INDEX($S$5:$S$304,MATCH(C3075,$R$5:$R$304,0))&amp;"","?"))</f>
        <v/>
      </c>
      <c r="N3075" s="2">
        <f>IF(E3075="","",IF(ISNUMBER(SEARCH("SUBSOLO",E3075)),IFERROR(-VALUE(LEFT(E3075,FIND("º",SUBSTITUTE(E3075,"°","º"))-1)),-1),IF(LEFT(E3075,6)="TÉRREO",0,IFERROR(VALUE(LEFT(E3075,FIND("º",SUBSTITUTE(E3075,"°","º"))-1)),""))))</f>
        <v/>
      </c>
      <c r="O3075" s="2">
        <f>IF(OR(F3075="",G3075=""),"",IF(G3075&lt;='RETRATO 2027'!$K$5,"CONCLUÍDA",IF(F3075&lt;='RETRATO 2027'!$K$5,"EM ANDAMENTO","A INICIAR")))</f>
        <v/>
      </c>
    </row>
    <row r="3076">
      <c r="M3076" s="2">
        <f>IF(C3076="","",IFERROR(INDEX($S$5:$S$304,MATCH(C3076,$R$5:$R$304,0))&amp;"","?"))</f>
        <v/>
      </c>
      <c r="N3076" s="2">
        <f>IF(E3076="","",IF(ISNUMBER(SEARCH("SUBSOLO",E3076)),IFERROR(-VALUE(LEFT(E3076,FIND("º",SUBSTITUTE(E3076,"°","º"))-1)),-1),IF(LEFT(E3076,6)="TÉRREO",0,IFERROR(VALUE(LEFT(E3076,FIND("º",SUBSTITUTE(E3076,"°","º"))-1)),""))))</f>
        <v/>
      </c>
      <c r="O3076" s="2">
        <f>IF(OR(F3076="",G3076=""),"",IF(G3076&lt;='RETRATO 2027'!$K$5,"CONCLUÍDA",IF(F3076&lt;='RETRATO 2027'!$K$5,"EM ANDAMENTO","A INICIAR")))</f>
        <v/>
      </c>
    </row>
    <row r="3077">
      <c r="M3077" s="2">
        <f>IF(C3077="","",IFERROR(INDEX($S$5:$S$304,MATCH(C3077,$R$5:$R$304,0))&amp;"","?"))</f>
        <v/>
      </c>
      <c r="N3077" s="2">
        <f>IF(E3077="","",IF(ISNUMBER(SEARCH("SUBSOLO",E3077)),IFERROR(-VALUE(LEFT(E3077,FIND("º",SUBSTITUTE(E3077,"°","º"))-1)),-1),IF(LEFT(E3077,6)="TÉRREO",0,IFERROR(VALUE(LEFT(E3077,FIND("º",SUBSTITUTE(E3077,"°","º"))-1)),""))))</f>
        <v/>
      </c>
      <c r="O3077" s="2">
        <f>IF(OR(F3077="",G3077=""),"",IF(G3077&lt;='RETRATO 2027'!$K$5,"CONCLUÍDA",IF(F3077&lt;='RETRATO 2027'!$K$5,"EM ANDAMENTO","A INICIAR")))</f>
        <v/>
      </c>
    </row>
    <row r="3078">
      <c r="M3078" s="2">
        <f>IF(C3078="","",IFERROR(INDEX($S$5:$S$304,MATCH(C3078,$R$5:$R$304,0))&amp;"","?"))</f>
        <v/>
      </c>
      <c r="N3078" s="2">
        <f>IF(E3078="","",IF(ISNUMBER(SEARCH("SUBSOLO",E3078)),IFERROR(-VALUE(LEFT(E3078,FIND("º",SUBSTITUTE(E3078,"°","º"))-1)),-1),IF(LEFT(E3078,6)="TÉRREO",0,IFERROR(VALUE(LEFT(E3078,FIND("º",SUBSTITUTE(E3078,"°","º"))-1)),""))))</f>
        <v/>
      </c>
      <c r="O3078" s="2">
        <f>IF(OR(F3078="",G3078=""),"",IF(G3078&lt;='RETRATO 2027'!$K$5,"CONCLUÍDA",IF(F3078&lt;='RETRATO 2027'!$K$5,"EM ANDAMENTO","A INICIAR")))</f>
        <v/>
      </c>
    </row>
    <row r="3079">
      <c r="M3079" s="2">
        <f>IF(C3079="","",IFERROR(INDEX($S$5:$S$304,MATCH(C3079,$R$5:$R$304,0))&amp;"","?"))</f>
        <v/>
      </c>
      <c r="N3079" s="2">
        <f>IF(E3079="","",IF(ISNUMBER(SEARCH("SUBSOLO",E3079)),IFERROR(-VALUE(LEFT(E3079,FIND("º",SUBSTITUTE(E3079,"°","º"))-1)),-1),IF(LEFT(E3079,6)="TÉRREO",0,IFERROR(VALUE(LEFT(E3079,FIND("º",SUBSTITUTE(E3079,"°","º"))-1)),""))))</f>
        <v/>
      </c>
      <c r="O3079" s="2">
        <f>IF(OR(F3079="",G3079=""),"",IF(G3079&lt;='RETRATO 2027'!$K$5,"CONCLUÍDA",IF(F3079&lt;='RETRATO 2027'!$K$5,"EM ANDAMENTO","A INICIAR")))</f>
        <v/>
      </c>
    </row>
    <row r="3080">
      <c r="M3080" s="2">
        <f>IF(C3080="","",IFERROR(INDEX($S$5:$S$304,MATCH(C3080,$R$5:$R$304,0))&amp;"","?"))</f>
        <v/>
      </c>
      <c r="N3080" s="2">
        <f>IF(E3080="","",IF(ISNUMBER(SEARCH("SUBSOLO",E3080)),IFERROR(-VALUE(LEFT(E3080,FIND("º",SUBSTITUTE(E3080,"°","º"))-1)),-1),IF(LEFT(E3080,6)="TÉRREO",0,IFERROR(VALUE(LEFT(E3080,FIND("º",SUBSTITUTE(E3080,"°","º"))-1)),""))))</f>
        <v/>
      </c>
      <c r="O3080" s="2">
        <f>IF(OR(F3080="",G3080=""),"",IF(G3080&lt;='RETRATO 2027'!$K$5,"CONCLUÍDA",IF(F3080&lt;='RETRATO 2027'!$K$5,"EM ANDAMENTO","A INICIAR")))</f>
        <v/>
      </c>
    </row>
    <row r="3081">
      <c r="M3081" s="2">
        <f>IF(C3081="","",IFERROR(INDEX($S$5:$S$304,MATCH(C3081,$R$5:$R$304,0))&amp;"","?"))</f>
        <v/>
      </c>
      <c r="N3081" s="2">
        <f>IF(E3081="","",IF(ISNUMBER(SEARCH("SUBSOLO",E3081)),IFERROR(-VALUE(LEFT(E3081,FIND("º",SUBSTITUTE(E3081,"°","º"))-1)),-1),IF(LEFT(E3081,6)="TÉRREO",0,IFERROR(VALUE(LEFT(E3081,FIND("º",SUBSTITUTE(E3081,"°","º"))-1)),""))))</f>
        <v/>
      </c>
      <c r="O3081" s="2">
        <f>IF(OR(F3081="",G3081=""),"",IF(G3081&lt;='RETRATO 2027'!$K$5,"CONCLUÍDA",IF(F3081&lt;='RETRATO 2027'!$K$5,"EM ANDAMENTO","A INICIAR")))</f>
        <v/>
      </c>
    </row>
    <row r="3082">
      <c r="M3082" s="2">
        <f>IF(C3082="","",IFERROR(INDEX($S$5:$S$304,MATCH(C3082,$R$5:$R$304,0))&amp;"","?"))</f>
        <v/>
      </c>
      <c r="N3082" s="2">
        <f>IF(E3082="","",IF(ISNUMBER(SEARCH("SUBSOLO",E3082)),IFERROR(-VALUE(LEFT(E3082,FIND("º",SUBSTITUTE(E3082,"°","º"))-1)),-1),IF(LEFT(E3082,6)="TÉRREO",0,IFERROR(VALUE(LEFT(E3082,FIND("º",SUBSTITUTE(E3082,"°","º"))-1)),""))))</f>
        <v/>
      </c>
      <c r="O3082" s="2">
        <f>IF(OR(F3082="",G3082=""),"",IF(G3082&lt;='RETRATO 2027'!$K$5,"CONCLUÍDA",IF(F3082&lt;='RETRATO 2027'!$K$5,"EM ANDAMENTO","A INICIAR")))</f>
        <v/>
      </c>
    </row>
    <row r="3083">
      <c r="M3083" s="2">
        <f>IF(C3083="","",IFERROR(INDEX($S$5:$S$304,MATCH(C3083,$R$5:$R$304,0))&amp;"","?"))</f>
        <v/>
      </c>
      <c r="N3083" s="2">
        <f>IF(E3083="","",IF(ISNUMBER(SEARCH("SUBSOLO",E3083)),IFERROR(-VALUE(LEFT(E3083,FIND("º",SUBSTITUTE(E3083,"°","º"))-1)),-1),IF(LEFT(E3083,6)="TÉRREO",0,IFERROR(VALUE(LEFT(E3083,FIND("º",SUBSTITUTE(E3083,"°","º"))-1)),""))))</f>
        <v/>
      </c>
      <c r="O3083" s="2">
        <f>IF(OR(F3083="",G3083=""),"",IF(G3083&lt;='RETRATO 2027'!$K$5,"CONCLUÍDA",IF(F3083&lt;='RETRATO 2027'!$K$5,"EM ANDAMENTO","A INICIAR")))</f>
        <v/>
      </c>
    </row>
    <row r="3084">
      <c r="M3084" s="2">
        <f>IF(C3084="","",IFERROR(INDEX($S$5:$S$304,MATCH(C3084,$R$5:$R$304,0))&amp;"","?"))</f>
        <v/>
      </c>
      <c r="N3084" s="2">
        <f>IF(E3084="","",IF(ISNUMBER(SEARCH("SUBSOLO",E3084)),IFERROR(-VALUE(LEFT(E3084,FIND("º",SUBSTITUTE(E3084,"°","º"))-1)),-1),IF(LEFT(E3084,6)="TÉRREO",0,IFERROR(VALUE(LEFT(E3084,FIND("º",SUBSTITUTE(E3084,"°","º"))-1)),""))))</f>
        <v/>
      </c>
      <c r="O3084" s="2">
        <f>IF(OR(F3084="",G3084=""),"",IF(G3084&lt;='RETRATO 2027'!$K$5,"CONCLUÍDA",IF(F3084&lt;='RETRATO 2027'!$K$5,"EM ANDAMENTO","A INICIAR")))</f>
        <v/>
      </c>
    </row>
    <row r="3085">
      <c r="M3085" s="2">
        <f>IF(C3085="","",IFERROR(INDEX($S$5:$S$304,MATCH(C3085,$R$5:$R$304,0))&amp;"","?"))</f>
        <v/>
      </c>
      <c r="N3085" s="2">
        <f>IF(E3085="","",IF(ISNUMBER(SEARCH("SUBSOLO",E3085)),IFERROR(-VALUE(LEFT(E3085,FIND("º",SUBSTITUTE(E3085,"°","º"))-1)),-1),IF(LEFT(E3085,6)="TÉRREO",0,IFERROR(VALUE(LEFT(E3085,FIND("º",SUBSTITUTE(E3085,"°","º"))-1)),""))))</f>
        <v/>
      </c>
      <c r="O3085" s="2">
        <f>IF(OR(F3085="",G3085=""),"",IF(G3085&lt;='RETRATO 2027'!$K$5,"CONCLUÍDA",IF(F3085&lt;='RETRATO 2027'!$K$5,"EM ANDAMENTO","A INICIAR")))</f>
        <v/>
      </c>
    </row>
    <row r="3086">
      <c r="M3086" s="2">
        <f>IF(C3086="","",IFERROR(INDEX($S$5:$S$304,MATCH(C3086,$R$5:$R$304,0))&amp;"","?"))</f>
        <v/>
      </c>
      <c r="N3086" s="2">
        <f>IF(E3086="","",IF(ISNUMBER(SEARCH("SUBSOLO",E3086)),IFERROR(-VALUE(LEFT(E3086,FIND("º",SUBSTITUTE(E3086,"°","º"))-1)),-1),IF(LEFT(E3086,6)="TÉRREO",0,IFERROR(VALUE(LEFT(E3086,FIND("º",SUBSTITUTE(E3086,"°","º"))-1)),""))))</f>
        <v/>
      </c>
      <c r="O3086" s="2">
        <f>IF(OR(F3086="",G3086=""),"",IF(G3086&lt;='RETRATO 2027'!$K$5,"CONCLUÍDA",IF(F3086&lt;='RETRATO 2027'!$K$5,"EM ANDAMENTO","A INICIAR")))</f>
        <v/>
      </c>
    </row>
    <row r="3087">
      <c r="M3087" s="2">
        <f>IF(C3087="","",IFERROR(INDEX($S$5:$S$304,MATCH(C3087,$R$5:$R$304,0))&amp;"","?"))</f>
        <v/>
      </c>
      <c r="N3087" s="2">
        <f>IF(E3087="","",IF(ISNUMBER(SEARCH("SUBSOLO",E3087)),IFERROR(-VALUE(LEFT(E3087,FIND("º",SUBSTITUTE(E3087,"°","º"))-1)),-1),IF(LEFT(E3087,6)="TÉRREO",0,IFERROR(VALUE(LEFT(E3087,FIND("º",SUBSTITUTE(E3087,"°","º"))-1)),""))))</f>
        <v/>
      </c>
      <c r="O3087" s="2">
        <f>IF(OR(F3087="",G3087=""),"",IF(G3087&lt;='RETRATO 2027'!$K$5,"CONCLUÍDA",IF(F3087&lt;='RETRATO 2027'!$K$5,"EM ANDAMENTO","A INICIAR")))</f>
        <v/>
      </c>
    </row>
    <row r="3088">
      <c r="M3088" s="2">
        <f>IF(C3088="","",IFERROR(INDEX($S$5:$S$304,MATCH(C3088,$R$5:$R$304,0))&amp;"","?"))</f>
        <v/>
      </c>
      <c r="N3088" s="2">
        <f>IF(E3088="","",IF(ISNUMBER(SEARCH("SUBSOLO",E3088)),IFERROR(-VALUE(LEFT(E3088,FIND("º",SUBSTITUTE(E3088,"°","º"))-1)),-1),IF(LEFT(E3088,6)="TÉRREO",0,IFERROR(VALUE(LEFT(E3088,FIND("º",SUBSTITUTE(E3088,"°","º"))-1)),""))))</f>
        <v/>
      </c>
      <c r="O3088" s="2">
        <f>IF(OR(F3088="",G3088=""),"",IF(G3088&lt;='RETRATO 2027'!$K$5,"CONCLUÍDA",IF(F3088&lt;='RETRATO 2027'!$K$5,"EM ANDAMENTO","A INICIAR")))</f>
        <v/>
      </c>
    </row>
    <row r="3089">
      <c r="M3089" s="2">
        <f>IF(C3089="","",IFERROR(INDEX($S$5:$S$304,MATCH(C3089,$R$5:$R$304,0))&amp;"","?"))</f>
        <v/>
      </c>
      <c r="N3089" s="2">
        <f>IF(E3089="","",IF(ISNUMBER(SEARCH("SUBSOLO",E3089)),IFERROR(-VALUE(LEFT(E3089,FIND("º",SUBSTITUTE(E3089,"°","º"))-1)),-1),IF(LEFT(E3089,6)="TÉRREO",0,IFERROR(VALUE(LEFT(E3089,FIND("º",SUBSTITUTE(E3089,"°","º"))-1)),""))))</f>
        <v/>
      </c>
      <c r="O3089" s="2">
        <f>IF(OR(F3089="",G3089=""),"",IF(G3089&lt;='RETRATO 2027'!$K$5,"CONCLUÍDA",IF(F3089&lt;='RETRATO 2027'!$K$5,"EM ANDAMENTO","A INICIAR")))</f>
        <v/>
      </c>
    </row>
    <row r="3090">
      <c r="M3090" s="2">
        <f>IF(C3090="","",IFERROR(INDEX($S$5:$S$304,MATCH(C3090,$R$5:$R$304,0))&amp;"","?"))</f>
        <v/>
      </c>
      <c r="N3090" s="2">
        <f>IF(E3090="","",IF(ISNUMBER(SEARCH("SUBSOLO",E3090)),IFERROR(-VALUE(LEFT(E3090,FIND("º",SUBSTITUTE(E3090,"°","º"))-1)),-1),IF(LEFT(E3090,6)="TÉRREO",0,IFERROR(VALUE(LEFT(E3090,FIND("º",SUBSTITUTE(E3090,"°","º"))-1)),""))))</f>
        <v/>
      </c>
      <c r="O3090" s="2">
        <f>IF(OR(F3090="",G3090=""),"",IF(G3090&lt;='RETRATO 2027'!$K$5,"CONCLUÍDA",IF(F3090&lt;='RETRATO 2027'!$K$5,"EM ANDAMENTO","A INICIAR")))</f>
        <v/>
      </c>
    </row>
    <row r="3091">
      <c r="M3091" s="2">
        <f>IF(C3091="","",IFERROR(INDEX($S$5:$S$304,MATCH(C3091,$R$5:$R$304,0))&amp;"","?"))</f>
        <v/>
      </c>
      <c r="N3091" s="2">
        <f>IF(E3091="","",IF(ISNUMBER(SEARCH("SUBSOLO",E3091)),IFERROR(-VALUE(LEFT(E3091,FIND("º",SUBSTITUTE(E3091,"°","º"))-1)),-1),IF(LEFT(E3091,6)="TÉRREO",0,IFERROR(VALUE(LEFT(E3091,FIND("º",SUBSTITUTE(E3091,"°","º"))-1)),""))))</f>
        <v/>
      </c>
      <c r="O3091" s="2">
        <f>IF(OR(F3091="",G3091=""),"",IF(G3091&lt;='RETRATO 2027'!$K$5,"CONCLUÍDA",IF(F3091&lt;='RETRATO 2027'!$K$5,"EM ANDAMENTO","A INICIAR")))</f>
        <v/>
      </c>
    </row>
    <row r="3092">
      <c r="M3092" s="2">
        <f>IF(C3092="","",IFERROR(INDEX($S$5:$S$304,MATCH(C3092,$R$5:$R$304,0))&amp;"","?"))</f>
        <v/>
      </c>
      <c r="N3092" s="2">
        <f>IF(E3092="","",IF(ISNUMBER(SEARCH("SUBSOLO",E3092)),IFERROR(-VALUE(LEFT(E3092,FIND("º",SUBSTITUTE(E3092,"°","º"))-1)),-1),IF(LEFT(E3092,6)="TÉRREO",0,IFERROR(VALUE(LEFT(E3092,FIND("º",SUBSTITUTE(E3092,"°","º"))-1)),""))))</f>
        <v/>
      </c>
      <c r="O3092" s="2">
        <f>IF(OR(F3092="",G3092=""),"",IF(G3092&lt;='RETRATO 2027'!$K$5,"CONCLUÍDA",IF(F3092&lt;='RETRATO 2027'!$K$5,"EM ANDAMENTO","A INICIAR")))</f>
        <v/>
      </c>
    </row>
    <row r="3093">
      <c r="M3093" s="2">
        <f>IF(C3093="","",IFERROR(INDEX($S$5:$S$304,MATCH(C3093,$R$5:$R$304,0))&amp;"","?"))</f>
        <v/>
      </c>
      <c r="N3093" s="2">
        <f>IF(E3093="","",IF(ISNUMBER(SEARCH("SUBSOLO",E3093)),IFERROR(-VALUE(LEFT(E3093,FIND("º",SUBSTITUTE(E3093,"°","º"))-1)),-1),IF(LEFT(E3093,6)="TÉRREO",0,IFERROR(VALUE(LEFT(E3093,FIND("º",SUBSTITUTE(E3093,"°","º"))-1)),""))))</f>
        <v/>
      </c>
      <c r="O3093" s="2">
        <f>IF(OR(F3093="",G3093=""),"",IF(G3093&lt;='RETRATO 2027'!$K$5,"CONCLUÍDA",IF(F3093&lt;='RETRATO 2027'!$K$5,"EM ANDAMENTO","A INICIAR")))</f>
        <v/>
      </c>
    </row>
    <row r="3094">
      <c r="M3094" s="2">
        <f>IF(C3094="","",IFERROR(INDEX($S$5:$S$304,MATCH(C3094,$R$5:$R$304,0))&amp;"","?"))</f>
        <v/>
      </c>
      <c r="N3094" s="2">
        <f>IF(E3094="","",IF(ISNUMBER(SEARCH("SUBSOLO",E3094)),IFERROR(-VALUE(LEFT(E3094,FIND("º",SUBSTITUTE(E3094,"°","º"))-1)),-1),IF(LEFT(E3094,6)="TÉRREO",0,IFERROR(VALUE(LEFT(E3094,FIND("º",SUBSTITUTE(E3094,"°","º"))-1)),""))))</f>
        <v/>
      </c>
      <c r="O3094" s="2">
        <f>IF(OR(F3094="",G3094=""),"",IF(G3094&lt;='RETRATO 2027'!$K$5,"CONCLUÍDA",IF(F3094&lt;='RETRATO 2027'!$K$5,"EM ANDAMENTO","A INICIAR")))</f>
        <v/>
      </c>
    </row>
    <row r="3095">
      <c r="M3095" s="2">
        <f>IF(C3095="","",IFERROR(INDEX($S$5:$S$304,MATCH(C3095,$R$5:$R$304,0))&amp;"","?"))</f>
        <v/>
      </c>
      <c r="N3095" s="2">
        <f>IF(E3095="","",IF(ISNUMBER(SEARCH("SUBSOLO",E3095)),IFERROR(-VALUE(LEFT(E3095,FIND("º",SUBSTITUTE(E3095,"°","º"))-1)),-1),IF(LEFT(E3095,6)="TÉRREO",0,IFERROR(VALUE(LEFT(E3095,FIND("º",SUBSTITUTE(E3095,"°","º"))-1)),""))))</f>
        <v/>
      </c>
      <c r="O3095" s="2">
        <f>IF(OR(F3095="",G3095=""),"",IF(G3095&lt;='RETRATO 2027'!$K$5,"CONCLUÍDA",IF(F3095&lt;='RETRATO 2027'!$K$5,"EM ANDAMENTO","A INICIAR")))</f>
        <v/>
      </c>
    </row>
    <row r="3096">
      <c r="M3096" s="2">
        <f>IF(C3096="","",IFERROR(INDEX($S$5:$S$304,MATCH(C3096,$R$5:$R$304,0))&amp;"","?"))</f>
        <v/>
      </c>
      <c r="N3096" s="2">
        <f>IF(E3096="","",IF(ISNUMBER(SEARCH("SUBSOLO",E3096)),IFERROR(-VALUE(LEFT(E3096,FIND("º",SUBSTITUTE(E3096,"°","º"))-1)),-1),IF(LEFT(E3096,6)="TÉRREO",0,IFERROR(VALUE(LEFT(E3096,FIND("º",SUBSTITUTE(E3096,"°","º"))-1)),""))))</f>
        <v/>
      </c>
      <c r="O3096" s="2">
        <f>IF(OR(F3096="",G3096=""),"",IF(G3096&lt;='RETRATO 2027'!$K$5,"CONCLUÍDA",IF(F3096&lt;='RETRATO 2027'!$K$5,"EM ANDAMENTO","A INICIAR")))</f>
        <v/>
      </c>
    </row>
    <row r="3097">
      <c r="M3097" s="2">
        <f>IF(C3097="","",IFERROR(INDEX($S$5:$S$304,MATCH(C3097,$R$5:$R$304,0))&amp;"","?"))</f>
        <v/>
      </c>
      <c r="N3097" s="2">
        <f>IF(E3097="","",IF(ISNUMBER(SEARCH("SUBSOLO",E3097)),IFERROR(-VALUE(LEFT(E3097,FIND("º",SUBSTITUTE(E3097,"°","º"))-1)),-1),IF(LEFT(E3097,6)="TÉRREO",0,IFERROR(VALUE(LEFT(E3097,FIND("º",SUBSTITUTE(E3097,"°","º"))-1)),""))))</f>
        <v/>
      </c>
      <c r="O3097" s="2">
        <f>IF(OR(F3097="",G3097=""),"",IF(G3097&lt;='RETRATO 2027'!$K$5,"CONCLUÍDA",IF(F3097&lt;='RETRATO 2027'!$K$5,"EM ANDAMENTO","A INICIAR")))</f>
        <v/>
      </c>
    </row>
    <row r="3098">
      <c r="M3098" s="2">
        <f>IF(C3098="","",IFERROR(INDEX($S$5:$S$304,MATCH(C3098,$R$5:$R$304,0))&amp;"","?"))</f>
        <v/>
      </c>
      <c r="N3098" s="2">
        <f>IF(E3098="","",IF(ISNUMBER(SEARCH("SUBSOLO",E3098)),IFERROR(-VALUE(LEFT(E3098,FIND("º",SUBSTITUTE(E3098,"°","º"))-1)),-1),IF(LEFT(E3098,6)="TÉRREO",0,IFERROR(VALUE(LEFT(E3098,FIND("º",SUBSTITUTE(E3098,"°","º"))-1)),""))))</f>
        <v/>
      </c>
      <c r="O3098" s="2">
        <f>IF(OR(F3098="",G3098=""),"",IF(G3098&lt;='RETRATO 2027'!$K$5,"CONCLUÍDA",IF(F3098&lt;='RETRATO 2027'!$K$5,"EM ANDAMENTO","A INICIAR")))</f>
        <v/>
      </c>
    </row>
    <row r="3099">
      <c r="M3099" s="2">
        <f>IF(C3099="","",IFERROR(INDEX($S$5:$S$304,MATCH(C3099,$R$5:$R$304,0))&amp;"","?"))</f>
        <v/>
      </c>
      <c r="N3099" s="2">
        <f>IF(E3099="","",IF(ISNUMBER(SEARCH("SUBSOLO",E3099)),IFERROR(-VALUE(LEFT(E3099,FIND("º",SUBSTITUTE(E3099,"°","º"))-1)),-1),IF(LEFT(E3099,6)="TÉRREO",0,IFERROR(VALUE(LEFT(E3099,FIND("º",SUBSTITUTE(E3099,"°","º"))-1)),""))))</f>
        <v/>
      </c>
      <c r="O3099" s="2">
        <f>IF(OR(F3099="",G3099=""),"",IF(G3099&lt;='RETRATO 2027'!$K$5,"CONCLUÍDA",IF(F3099&lt;='RETRATO 2027'!$K$5,"EM ANDAMENTO","A INICIAR")))</f>
        <v/>
      </c>
    </row>
    <row r="3100">
      <c r="M3100" s="2">
        <f>IF(C3100="","",IFERROR(INDEX($S$5:$S$304,MATCH(C3100,$R$5:$R$304,0))&amp;"","?"))</f>
        <v/>
      </c>
      <c r="N3100" s="2">
        <f>IF(E3100="","",IF(ISNUMBER(SEARCH("SUBSOLO",E3100)),IFERROR(-VALUE(LEFT(E3100,FIND("º",SUBSTITUTE(E3100,"°","º"))-1)),-1),IF(LEFT(E3100,6)="TÉRREO",0,IFERROR(VALUE(LEFT(E3100,FIND("º",SUBSTITUTE(E3100,"°","º"))-1)),""))))</f>
        <v/>
      </c>
      <c r="O3100" s="2">
        <f>IF(OR(F3100="",G3100=""),"",IF(G3100&lt;='RETRATO 2027'!$K$5,"CONCLUÍDA",IF(F3100&lt;='RETRATO 2027'!$K$5,"EM ANDAMENTO","A INICIAR")))</f>
        <v/>
      </c>
    </row>
    <row r="3101">
      <c r="M3101" s="2">
        <f>IF(C3101="","",IFERROR(INDEX($S$5:$S$304,MATCH(C3101,$R$5:$R$304,0))&amp;"","?"))</f>
        <v/>
      </c>
      <c r="N3101" s="2">
        <f>IF(E3101="","",IF(ISNUMBER(SEARCH("SUBSOLO",E3101)),IFERROR(-VALUE(LEFT(E3101,FIND("º",SUBSTITUTE(E3101,"°","º"))-1)),-1),IF(LEFT(E3101,6)="TÉRREO",0,IFERROR(VALUE(LEFT(E3101,FIND("º",SUBSTITUTE(E3101,"°","º"))-1)),""))))</f>
        <v/>
      </c>
      <c r="O3101" s="2">
        <f>IF(OR(F3101="",G3101=""),"",IF(G3101&lt;='RETRATO 2027'!$K$5,"CONCLUÍDA",IF(F3101&lt;='RETRATO 2027'!$K$5,"EM ANDAMENTO","A INICIAR")))</f>
        <v/>
      </c>
    </row>
    <row r="3102">
      <c r="M3102" s="2">
        <f>IF(C3102="","",IFERROR(INDEX($S$5:$S$304,MATCH(C3102,$R$5:$R$304,0))&amp;"","?"))</f>
        <v/>
      </c>
      <c r="N3102" s="2">
        <f>IF(E3102="","",IF(ISNUMBER(SEARCH("SUBSOLO",E3102)),IFERROR(-VALUE(LEFT(E3102,FIND("º",SUBSTITUTE(E3102,"°","º"))-1)),-1),IF(LEFT(E3102,6)="TÉRREO",0,IFERROR(VALUE(LEFT(E3102,FIND("º",SUBSTITUTE(E3102,"°","º"))-1)),""))))</f>
        <v/>
      </c>
      <c r="O3102" s="2">
        <f>IF(OR(F3102="",G3102=""),"",IF(G3102&lt;='RETRATO 2027'!$K$5,"CONCLUÍDA",IF(F3102&lt;='RETRATO 2027'!$K$5,"EM ANDAMENTO","A INICIAR")))</f>
        <v/>
      </c>
    </row>
    <row r="3103">
      <c r="M3103" s="2">
        <f>IF(C3103="","",IFERROR(INDEX($S$5:$S$304,MATCH(C3103,$R$5:$R$304,0))&amp;"","?"))</f>
        <v/>
      </c>
      <c r="N3103" s="2">
        <f>IF(E3103="","",IF(ISNUMBER(SEARCH("SUBSOLO",E3103)),IFERROR(-VALUE(LEFT(E3103,FIND("º",SUBSTITUTE(E3103,"°","º"))-1)),-1),IF(LEFT(E3103,6)="TÉRREO",0,IFERROR(VALUE(LEFT(E3103,FIND("º",SUBSTITUTE(E3103,"°","º"))-1)),""))))</f>
        <v/>
      </c>
      <c r="O3103" s="2">
        <f>IF(OR(F3103="",G3103=""),"",IF(G3103&lt;='RETRATO 2027'!$K$5,"CONCLUÍDA",IF(F3103&lt;='RETRATO 2027'!$K$5,"EM ANDAMENTO","A INICIAR")))</f>
        <v/>
      </c>
    </row>
    <row r="3104">
      <c r="M3104" s="2">
        <f>IF(C3104="","",IFERROR(INDEX($S$5:$S$304,MATCH(C3104,$R$5:$R$304,0))&amp;"","?"))</f>
        <v/>
      </c>
      <c r="N3104" s="2">
        <f>IF(E3104="","",IF(ISNUMBER(SEARCH("SUBSOLO",E3104)),IFERROR(-VALUE(LEFT(E3104,FIND("º",SUBSTITUTE(E3104,"°","º"))-1)),-1),IF(LEFT(E3104,6)="TÉRREO",0,IFERROR(VALUE(LEFT(E3104,FIND("º",SUBSTITUTE(E3104,"°","º"))-1)),""))))</f>
        <v/>
      </c>
      <c r="O3104" s="2">
        <f>IF(OR(F3104="",G3104=""),"",IF(G3104&lt;='RETRATO 2027'!$K$5,"CONCLUÍDA",IF(F3104&lt;='RETRATO 2027'!$K$5,"EM ANDAMENTO","A INICIAR")))</f>
        <v/>
      </c>
    </row>
    <row r="3105">
      <c r="M3105" s="2">
        <f>IF(C3105="","",IFERROR(INDEX($S$5:$S$304,MATCH(C3105,$R$5:$R$304,0))&amp;"","?"))</f>
        <v/>
      </c>
      <c r="N3105" s="2">
        <f>IF(E3105="","",IF(ISNUMBER(SEARCH("SUBSOLO",E3105)),IFERROR(-VALUE(LEFT(E3105,FIND("º",SUBSTITUTE(E3105,"°","º"))-1)),-1),IF(LEFT(E3105,6)="TÉRREO",0,IFERROR(VALUE(LEFT(E3105,FIND("º",SUBSTITUTE(E3105,"°","º"))-1)),""))))</f>
        <v/>
      </c>
      <c r="O3105" s="2">
        <f>IF(OR(F3105="",G3105=""),"",IF(G3105&lt;='RETRATO 2027'!$K$5,"CONCLUÍDA",IF(F3105&lt;='RETRATO 2027'!$K$5,"EM ANDAMENTO","A INICIAR")))</f>
        <v/>
      </c>
    </row>
    <row r="3106">
      <c r="M3106" s="2">
        <f>IF(C3106="","",IFERROR(INDEX($S$5:$S$304,MATCH(C3106,$R$5:$R$304,0))&amp;"","?"))</f>
        <v/>
      </c>
      <c r="N3106" s="2">
        <f>IF(E3106="","",IF(ISNUMBER(SEARCH("SUBSOLO",E3106)),IFERROR(-VALUE(LEFT(E3106,FIND("º",SUBSTITUTE(E3106,"°","º"))-1)),-1),IF(LEFT(E3106,6)="TÉRREO",0,IFERROR(VALUE(LEFT(E3106,FIND("º",SUBSTITUTE(E3106,"°","º"))-1)),""))))</f>
        <v/>
      </c>
      <c r="O3106" s="2">
        <f>IF(OR(F3106="",G3106=""),"",IF(G3106&lt;='RETRATO 2027'!$K$5,"CONCLUÍDA",IF(F3106&lt;='RETRATO 2027'!$K$5,"EM ANDAMENTO","A INICIAR")))</f>
        <v/>
      </c>
    </row>
    <row r="3107">
      <c r="M3107" s="2">
        <f>IF(C3107="","",IFERROR(INDEX($S$5:$S$304,MATCH(C3107,$R$5:$R$304,0))&amp;"","?"))</f>
        <v/>
      </c>
      <c r="N3107" s="2">
        <f>IF(E3107="","",IF(ISNUMBER(SEARCH("SUBSOLO",E3107)),IFERROR(-VALUE(LEFT(E3107,FIND("º",SUBSTITUTE(E3107,"°","º"))-1)),-1),IF(LEFT(E3107,6)="TÉRREO",0,IFERROR(VALUE(LEFT(E3107,FIND("º",SUBSTITUTE(E3107,"°","º"))-1)),""))))</f>
        <v/>
      </c>
      <c r="O3107" s="2">
        <f>IF(OR(F3107="",G3107=""),"",IF(G3107&lt;='RETRATO 2027'!$K$5,"CONCLUÍDA",IF(F3107&lt;='RETRATO 2027'!$K$5,"EM ANDAMENTO","A INICIAR")))</f>
        <v/>
      </c>
    </row>
    <row r="3108">
      <c r="M3108" s="2">
        <f>IF(C3108="","",IFERROR(INDEX($S$5:$S$304,MATCH(C3108,$R$5:$R$304,0))&amp;"","?"))</f>
        <v/>
      </c>
      <c r="N3108" s="2">
        <f>IF(E3108="","",IF(ISNUMBER(SEARCH("SUBSOLO",E3108)),IFERROR(-VALUE(LEFT(E3108,FIND("º",SUBSTITUTE(E3108,"°","º"))-1)),-1),IF(LEFT(E3108,6)="TÉRREO",0,IFERROR(VALUE(LEFT(E3108,FIND("º",SUBSTITUTE(E3108,"°","º"))-1)),""))))</f>
        <v/>
      </c>
      <c r="O3108" s="2">
        <f>IF(OR(F3108="",G3108=""),"",IF(G3108&lt;='RETRATO 2027'!$K$5,"CONCLUÍDA",IF(F3108&lt;='RETRATO 2027'!$K$5,"EM ANDAMENTO","A INICIAR")))</f>
        <v/>
      </c>
    </row>
    <row r="3109">
      <c r="M3109" s="2">
        <f>IF(C3109="","",IFERROR(INDEX($S$5:$S$304,MATCH(C3109,$R$5:$R$304,0))&amp;"","?"))</f>
        <v/>
      </c>
      <c r="N3109" s="2">
        <f>IF(E3109="","",IF(ISNUMBER(SEARCH("SUBSOLO",E3109)),IFERROR(-VALUE(LEFT(E3109,FIND("º",SUBSTITUTE(E3109,"°","º"))-1)),-1),IF(LEFT(E3109,6)="TÉRREO",0,IFERROR(VALUE(LEFT(E3109,FIND("º",SUBSTITUTE(E3109,"°","º"))-1)),""))))</f>
        <v/>
      </c>
      <c r="O3109" s="2">
        <f>IF(OR(F3109="",G3109=""),"",IF(G3109&lt;='RETRATO 2027'!$K$5,"CONCLUÍDA",IF(F3109&lt;='RETRATO 2027'!$K$5,"EM ANDAMENTO","A INICIAR")))</f>
        <v/>
      </c>
    </row>
    <row r="3110">
      <c r="M3110" s="2">
        <f>IF(C3110="","",IFERROR(INDEX($S$5:$S$304,MATCH(C3110,$R$5:$R$304,0))&amp;"","?"))</f>
        <v/>
      </c>
      <c r="N3110" s="2">
        <f>IF(E3110="","",IF(ISNUMBER(SEARCH("SUBSOLO",E3110)),IFERROR(-VALUE(LEFT(E3110,FIND("º",SUBSTITUTE(E3110,"°","º"))-1)),-1),IF(LEFT(E3110,6)="TÉRREO",0,IFERROR(VALUE(LEFT(E3110,FIND("º",SUBSTITUTE(E3110,"°","º"))-1)),""))))</f>
        <v/>
      </c>
      <c r="O3110" s="2">
        <f>IF(OR(F3110="",G3110=""),"",IF(G3110&lt;='RETRATO 2027'!$K$5,"CONCLUÍDA",IF(F3110&lt;='RETRATO 2027'!$K$5,"EM ANDAMENTO","A INICIAR")))</f>
        <v/>
      </c>
    </row>
    <row r="3111">
      <c r="M3111" s="2">
        <f>IF(C3111="","",IFERROR(INDEX($S$5:$S$304,MATCH(C3111,$R$5:$R$304,0))&amp;"","?"))</f>
        <v/>
      </c>
      <c r="N3111" s="2">
        <f>IF(E3111="","",IF(ISNUMBER(SEARCH("SUBSOLO",E3111)),IFERROR(-VALUE(LEFT(E3111,FIND("º",SUBSTITUTE(E3111,"°","º"))-1)),-1),IF(LEFT(E3111,6)="TÉRREO",0,IFERROR(VALUE(LEFT(E3111,FIND("º",SUBSTITUTE(E3111,"°","º"))-1)),""))))</f>
        <v/>
      </c>
      <c r="O3111" s="2">
        <f>IF(OR(F3111="",G3111=""),"",IF(G3111&lt;='RETRATO 2027'!$K$5,"CONCLUÍDA",IF(F3111&lt;='RETRATO 2027'!$K$5,"EM ANDAMENTO","A INICIAR")))</f>
        <v/>
      </c>
    </row>
    <row r="3112">
      <c r="M3112" s="2">
        <f>IF(C3112="","",IFERROR(INDEX($S$5:$S$304,MATCH(C3112,$R$5:$R$304,0))&amp;"","?"))</f>
        <v/>
      </c>
      <c r="N3112" s="2">
        <f>IF(E3112="","",IF(ISNUMBER(SEARCH("SUBSOLO",E3112)),IFERROR(-VALUE(LEFT(E3112,FIND("º",SUBSTITUTE(E3112,"°","º"))-1)),-1),IF(LEFT(E3112,6)="TÉRREO",0,IFERROR(VALUE(LEFT(E3112,FIND("º",SUBSTITUTE(E3112,"°","º"))-1)),""))))</f>
        <v/>
      </c>
      <c r="O3112" s="2">
        <f>IF(OR(F3112="",G3112=""),"",IF(G3112&lt;='RETRATO 2027'!$K$5,"CONCLUÍDA",IF(F3112&lt;='RETRATO 2027'!$K$5,"EM ANDAMENTO","A INICIAR")))</f>
        <v/>
      </c>
    </row>
    <row r="3113">
      <c r="M3113" s="2">
        <f>IF(C3113="","",IFERROR(INDEX($S$5:$S$304,MATCH(C3113,$R$5:$R$304,0))&amp;"","?"))</f>
        <v/>
      </c>
      <c r="N3113" s="2">
        <f>IF(E3113="","",IF(ISNUMBER(SEARCH("SUBSOLO",E3113)),IFERROR(-VALUE(LEFT(E3113,FIND("º",SUBSTITUTE(E3113,"°","º"))-1)),-1),IF(LEFT(E3113,6)="TÉRREO",0,IFERROR(VALUE(LEFT(E3113,FIND("º",SUBSTITUTE(E3113,"°","º"))-1)),""))))</f>
        <v/>
      </c>
      <c r="O3113" s="2">
        <f>IF(OR(F3113="",G3113=""),"",IF(G3113&lt;='RETRATO 2027'!$K$5,"CONCLUÍDA",IF(F3113&lt;='RETRATO 2027'!$K$5,"EM ANDAMENTO","A INICIAR")))</f>
        <v/>
      </c>
    </row>
    <row r="3114">
      <c r="M3114" s="2">
        <f>IF(C3114="","",IFERROR(INDEX($S$5:$S$304,MATCH(C3114,$R$5:$R$304,0))&amp;"","?"))</f>
        <v/>
      </c>
      <c r="N3114" s="2">
        <f>IF(E3114="","",IF(ISNUMBER(SEARCH("SUBSOLO",E3114)),IFERROR(-VALUE(LEFT(E3114,FIND("º",SUBSTITUTE(E3114,"°","º"))-1)),-1),IF(LEFT(E3114,6)="TÉRREO",0,IFERROR(VALUE(LEFT(E3114,FIND("º",SUBSTITUTE(E3114,"°","º"))-1)),""))))</f>
        <v/>
      </c>
      <c r="O3114" s="2">
        <f>IF(OR(F3114="",G3114=""),"",IF(G3114&lt;='RETRATO 2027'!$K$5,"CONCLUÍDA",IF(F3114&lt;='RETRATO 2027'!$K$5,"EM ANDAMENTO","A INICIAR")))</f>
        <v/>
      </c>
    </row>
    <row r="3115">
      <c r="M3115" s="2">
        <f>IF(C3115="","",IFERROR(INDEX($S$5:$S$304,MATCH(C3115,$R$5:$R$304,0))&amp;"","?"))</f>
        <v/>
      </c>
      <c r="N3115" s="2">
        <f>IF(E3115="","",IF(ISNUMBER(SEARCH("SUBSOLO",E3115)),IFERROR(-VALUE(LEFT(E3115,FIND("º",SUBSTITUTE(E3115,"°","º"))-1)),-1),IF(LEFT(E3115,6)="TÉRREO",0,IFERROR(VALUE(LEFT(E3115,FIND("º",SUBSTITUTE(E3115,"°","º"))-1)),""))))</f>
        <v/>
      </c>
      <c r="O3115" s="2">
        <f>IF(OR(F3115="",G3115=""),"",IF(G3115&lt;='RETRATO 2027'!$K$5,"CONCLUÍDA",IF(F3115&lt;='RETRATO 2027'!$K$5,"EM ANDAMENTO","A INICIAR")))</f>
        <v/>
      </c>
    </row>
    <row r="3116">
      <c r="M3116" s="2">
        <f>IF(C3116="","",IFERROR(INDEX($S$5:$S$304,MATCH(C3116,$R$5:$R$304,0))&amp;"","?"))</f>
        <v/>
      </c>
      <c r="N3116" s="2">
        <f>IF(E3116="","",IF(ISNUMBER(SEARCH("SUBSOLO",E3116)),IFERROR(-VALUE(LEFT(E3116,FIND("º",SUBSTITUTE(E3116,"°","º"))-1)),-1),IF(LEFT(E3116,6)="TÉRREO",0,IFERROR(VALUE(LEFT(E3116,FIND("º",SUBSTITUTE(E3116,"°","º"))-1)),""))))</f>
        <v/>
      </c>
      <c r="O3116" s="2">
        <f>IF(OR(F3116="",G3116=""),"",IF(G3116&lt;='RETRATO 2027'!$K$5,"CONCLUÍDA",IF(F3116&lt;='RETRATO 2027'!$K$5,"EM ANDAMENTO","A INICIAR")))</f>
        <v/>
      </c>
    </row>
    <row r="3117">
      <c r="M3117" s="2">
        <f>IF(C3117="","",IFERROR(INDEX($S$5:$S$304,MATCH(C3117,$R$5:$R$304,0))&amp;"","?"))</f>
        <v/>
      </c>
      <c r="N3117" s="2">
        <f>IF(E3117="","",IF(ISNUMBER(SEARCH("SUBSOLO",E3117)),IFERROR(-VALUE(LEFT(E3117,FIND("º",SUBSTITUTE(E3117,"°","º"))-1)),-1),IF(LEFT(E3117,6)="TÉRREO",0,IFERROR(VALUE(LEFT(E3117,FIND("º",SUBSTITUTE(E3117,"°","º"))-1)),""))))</f>
        <v/>
      </c>
      <c r="O3117" s="2">
        <f>IF(OR(F3117="",G3117=""),"",IF(G3117&lt;='RETRATO 2027'!$K$5,"CONCLUÍDA",IF(F3117&lt;='RETRATO 2027'!$K$5,"EM ANDAMENTO","A INICIAR")))</f>
        <v/>
      </c>
    </row>
    <row r="3118">
      <c r="M3118" s="2">
        <f>IF(C3118="","",IFERROR(INDEX($S$5:$S$304,MATCH(C3118,$R$5:$R$304,0))&amp;"","?"))</f>
        <v/>
      </c>
      <c r="N3118" s="2">
        <f>IF(E3118="","",IF(ISNUMBER(SEARCH("SUBSOLO",E3118)),IFERROR(-VALUE(LEFT(E3118,FIND("º",SUBSTITUTE(E3118,"°","º"))-1)),-1),IF(LEFT(E3118,6)="TÉRREO",0,IFERROR(VALUE(LEFT(E3118,FIND("º",SUBSTITUTE(E3118,"°","º"))-1)),""))))</f>
        <v/>
      </c>
      <c r="O3118" s="2">
        <f>IF(OR(F3118="",G3118=""),"",IF(G3118&lt;='RETRATO 2027'!$K$5,"CONCLUÍDA",IF(F3118&lt;='RETRATO 2027'!$K$5,"EM ANDAMENTO","A INICIAR")))</f>
        <v/>
      </c>
    </row>
    <row r="3119">
      <c r="M3119" s="2">
        <f>IF(C3119="","",IFERROR(INDEX($S$5:$S$304,MATCH(C3119,$R$5:$R$304,0))&amp;"","?"))</f>
        <v/>
      </c>
      <c r="N3119" s="2">
        <f>IF(E3119="","",IF(ISNUMBER(SEARCH("SUBSOLO",E3119)),IFERROR(-VALUE(LEFT(E3119,FIND("º",SUBSTITUTE(E3119,"°","º"))-1)),-1),IF(LEFT(E3119,6)="TÉRREO",0,IFERROR(VALUE(LEFT(E3119,FIND("º",SUBSTITUTE(E3119,"°","º"))-1)),""))))</f>
        <v/>
      </c>
      <c r="O3119" s="2">
        <f>IF(OR(F3119="",G3119=""),"",IF(G3119&lt;='RETRATO 2027'!$K$5,"CONCLUÍDA",IF(F3119&lt;='RETRATO 2027'!$K$5,"EM ANDAMENTO","A INICIAR")))</f>
        <v/>
      </c>
    </row>
    <row r="3120">
      <c r="M3120" s="2">
        <f>IF(C3120="","",IFERROR(INDEX($S$5:$S$304,MATCH(C3120,$R$5:$R$304,0))&amp;"","?"))</f>
        <v/>
      </c>
      <c r="N3120" s="2">
        <f>IF(E3120="","",IF(ISNUMBER(SEARCH("SUBSOLO",E3120)),IFERROR(-VALUE(LEFT(E3120,FIND("º",SUBSTITUTE(E3120,"°","º"))-1)),-1),IF(LEFT(E3120,6)="TÉRREO",0,IFERROR(VALUE(LEFT(E3120,FIND("º",SUBSTITUTE(E3120,"°","º"))-1)),""))))</f>
        <v/>
      </c>
      <c r="O3120" s="2">
        <f>IF(OR(F3120="",G3120=""),"",IF(G3120&lt;='RETRATO 2027'!$K$5,"CONCLUÍDA",IF(F3120&lt;='RETRATO 2027'!$K$5,"EM ANDAMENTO","A INICIAR")))</f>
        <v/>
      </c>
    </row>
    <row r="3121">
      <c r="M3121" s="2">
        <f>IF(C3121="","",IFERROR(INDEX($S$5:$S$304,MATCH(C3121,$R$5:$R$304,0))&amp;"","?"))</f>
        <v/>
      </c>
      <c r="N3121" s="2">
        <f>IF(E3121="","",IF(ISNUMBER(SEARCH("SUBSOLO",E3121)),IFERROR(-VALUE(LEFT(E3121,FIND("º",SUBSTITUTE(E3121,"°","º"))-1)),-1),IF(LEFT(E3121,6)="TÉRREO",0,IFERROR(VALUE(LEFT(E3121,FIND("º",SUBSTITUTE(E3121,"°","º"))-1)),""))))</f>
        <v/>
      </c>
      <c r="O3121" s="2">
        <f>IF(OR(F3121="",G3121=""),"",IF(G3121&lt;='RETRATO 2027'!$K$5,"CONCLUÍDA",IF(F3121&lt;='RETRATO 2027'!$K$5,"EM ANDAMENTO","A INICIAR")))</f>
        <v/>
      </c>
    </row>
    <row r="3122">
      <c r="M3122" s="2">
        <f>IF(C3122="","",IFERROR(INDEX($S$5:$S$304,MATCH(C3122,$R$5:$R$304,0))&amp;"","?"))</f>
        <v/>
      </c>
      <c r="N3122" s="2">
        <f>IF(E3122="","",IF(ISNUMBER(SEARCH("SUBSOLO",E3122)),IFERROR(-VALUE(LEFT(E3122,FIND("º",SUBSTITUTE(E3122,"°","º"))-1)),-1),IF(LEFT(E3122,6)="TÉRREO",0,IFERROR(VALUE(LEFT(E3122,FIND("º",SUBSTITUTE(E3122,"°","º"))-1)),""))))</f>
        <v/>
      </c>
      <c r="O3122" s="2">
        <f>IF(OR(F3122="",G3122=""),"",IF(G3122&lt;='RETRATO 2027'!$K$5,"CONCLUÍDA",IF(F3122&lt;='RETRATO 2027'!$K$5,"EM ANDAMENTO","A INICIAR")))</f>
        <v/>
      </c>
    </row>
    <row r="3123">
      <c r="M3123" s="2">
        <f>IF(C3123="","",IFERROR(INDEX($S$5:$S$304,MATCH(C3123,$R$5:$R$304,0))&amp;"","?"))</f>
        <v/>
      </c>
      <c r="N3123" s="2">
        <f>IF(E3123="","",IF(ISNUMBER(SEARCH("SUBSOLO",E3123)),IFERROR(-VALUE(LEFT(E3123,FIND("º",SUBSTITUTE(E3123,"°","º"))-1)),-1),IF(LEFT(E3123,6)="TÉRREO",0,IFERROR(VALUE(LEFT(E3123,FIND("º",SUBSTITUTE(E3123,"°","º"))-1)),""))))</f>
        <v/>
      </c>
      <c r="O3123" s="2">
        <f>IF(OR(F3123="",G3123=""),"",IF(G3123&lt;='RETRATO 2027'!$K$5,"CONCLUÍDA",IF(F3123&lt;='RETRATO 2027'!$K$5,"EM ANDAMENTO","A INICIAR")))</f>
        <v/>
      </c>
    </row>
    <row r="3124">
      <c r="M3124" s="2">
        <f>IF(C3124="","",IFERROR(INDEX($S$5:$S$304,MATCH(C3124,$R$5:$R$304,0))&amp;"","?"))</f>
        <v/>
      </c>
      <c r="N3124" s="2">
        <f>IF(E3124="","",IF(ISNUMBER(SEARCH("SUBSOLO",E3124)),IFERROR(-VALUE(LEFT(E3124,FIND("º",SUBSTITUTE(E3124,"°","º"))-1)),-1),IF(LEFT(E3124,6)="TÉRREO",0,IFERROR(VALUE(LEFT(E3124,FIND("º",SUBSTITUTE(E3124,"°","º"))-1)),""))))</f>
        <v/>
      </c>
      <c r="O3124" s="2">
        <f>IF(OR(F3124="",G3124=""),"",IF(G3124&lt;='RETRATO 2027'!$K$5,"CONCLUÍDA",IF(F3124&lt;='RETRATO 2027'!$K$5,"EM ANDAMENTO","A INICIAR")))</f>
        <v/>
      </c>
    </row>
    <row r="3125">
      <c r="M3125" s="2">
        <f>IF(C3125="","",IFERROR(INDEX($S$5:$S$304,MATCH(C3125,$R$5:$R$304,0))&amp;"","?"))</f>
        <v/>
      </c>
      <c r="N3125" s="2">
        <f>IF(E3125="","",IF(ISNUMBER(SEARCH("SUBSOLO",E3125)),IFERROR(-VALUE(LEFT(E3125,FIND("º",SUBSTITUTE(E3125,"°","º"))-1)),-1),IF(LEFT(E3125,6)="TÉRREO",0,IFERROR(VALUE(LEFT(E3125,FIND("º",SUBSTITUTE(E3125,"°","º"))-1)),""))))</f>
        <v/>
      </c>
      <c r="O3125" s="2">
        <f>IF(OR(F3125="",G3125=""),"",IF(G3125&lt;='RETRATO 2027'!$K$5,"CONCLUÍDA",IF(F3125&lt;='RETRATO 2027'!$K$5,"EM ANDAMENTO","A INICIAR")))</f>
        <v/>
      </c>
    </row>
    <row r="3126">
      <c r="M3126" s="2">
        <f>IF(C3126="","",IFERROR(INDEX($S$5:$S$304,MATCH(C3126,$R$5:$R$304,0))&amp;"","?"))</f>
        <v/>
      </c>
      <c r="N3126" s="2">
        <f>IF(E3126="","",IF(ISNUMBER(SEARCH("SUBSOLO",E3126)),IFERROR(-VALUE(LEFT(E3126,FIND("º",SUBSTITUTE(E3126,"°","º"))-1)),-1),IF(LEFT(E3126,6)="TÉRREO",0,IFERROR(VALUE(LEFT(E3126,FIND("º",SUBSTITUTE(E3126,"°","º"))-1)),""))))</f>
        <v/>
      </c>
      <c r="O3126" s="2">
        <f>IF(OR(F3126="",G3126=""),"",IF(G3126&lt;='RETRATO 2027'!$K$5,"CONCLUÍDA",IF(F3126&lt;='RETRATO 2027'!$K$5,"EM ANDAMENTO","A INICIAR")))</f>
        <v/>
      </c>
    </row>
    <row r="3127">
      <c r="M3127" s="2">
        <f>IF(C3127="","",IFERROR(INDEX($S$5:$S$304,MATCH(C3127,$R$5:$R$304,0))&amp;"","?"))</f>
        <v/>
      </c>
      <c r="N3127" s="2">
        <f>IF(E3127="","",IF(ISNUMBER(SEARCH("SUBSOLO",E3127)),IFERROR(-VALUE(LEFT(E3127,FIND("º",SUBSTITUTE(E3127,"°","º"))-1)),-1),IF(LEFT(E3127,6)="TÉRREO",0,IFERROR(VALUE(LEFT(E3127,FIND("º",SUBSTITUTE(E3127,"°","º"))-1)),""))))</f>
        <v/>
      </c>
      <c r="O3127" s="2">
        <f>IF(OR(F3127="",G3127=""),"",IF(G3127&lt;='RETRATO 2027'!$K$5,"CONCLUÍDA",IF(F3127&lt;='RETRATO 2027'!$K$5,"EM ANDAMENTO","A INICIAR")))</f>
        <v/>
      </c>
    </row>
    <row r="3128">
      <c r="M3128" s="2">
        <f>IF(C3128="","",IFERROR(INDEX($S$5:$S$304,MATCH(C3128,$R$5:$R$304,0))&amp;"","?"))</f>
        <v/>
      </c>
      <c r="N3128" s="2">
        <f>IF(E3128="","",IF(ISNUMBER(SEARCH("SUBSOLO",E3128)),IFERROR(-VALUE(LEFT(E3128,FIND("º",SUBSTITUTE(E3128,"°","º"))-1)),-1),IF(LEFT(E3128,6)="TÉRREO",0,IFERROR(VALUE(LEFT(E3128,FIND("º",SUBSTITUTE(E3128,"°","º"))-1)),""))))</f>
        <v/>
      </c>
      <c r="O3128" s="2">
        <f>IF(OR(F3128="",G3128=""),"",IF(G3128&lt;='RETRATO 2027'!$K$5,"CONCLUÍDA",IF(F3128&lt;='RETRATO 2027'!$K$5,"EM ANDAMENTO","A INICIAR")))</f>
        <v/>
      </c>
    </row>
    <row r="3129">
      <c r="M3129" s="2">
        <f>IF(C3129="","",IFERROR(INDEX($S$5:$S$304,MATCH(C3129,$R$5:$R$304,0))&amp;"","?"))</f>
        <v/>
      </c>
      <c r="N3129" s="2">
        <f>IF(E3129="","",IF(ISNUMBER(SEARCH("SUBSOLO",E3129)),IFERROR(-VALUE(LEFT(E3129,FIND("º",SUBSTITUTE(E3129,"°","º"))-1)),-1),IF(LEFT(E3129,6)="TÉRREO",0,IFERROR(VALUE(LEFT(E3129,FIND("º",SUBSTITUTE(E3129,"°","º"))-1)),""))))</f>
        <v/>
      </c>
      <c r="O3129" s="2">
        <f>IF(OR(F3129="",G3129=""),"",IF(G3129&lt;='RETRATO 2027'!$K$5,"CONCLUÍDA",IF(F3129&lt;='RETRATO 2027'!$K$5,"EM ANDAMENTO","A INICIAR")))</f>
        <v/>
      </c>
    </row>
    <row r="3130">
      <c r="M3130" s="2">
        <f>IF(C3130="","",IFERROR(INDEX($S$5:$S$304,MATCH(C3130,$R$5:$R$304,0))&amp;"","?"))</f>
        <v/>
      </c>
      <c r="N3130" s="2">
        <f>IF(E3130="","",IF(ISNUMBER(SEARCH("SUBSOLO",E3130)),IFERROR(-VALUE(LEFT(E3130,FIND("º",SUBSTITUTE(E3130,"°","º"))-1)),-1),IF(LEFT(E3130,6)="TÉRREO",0,IFERROR(VALUE(LEFT(E3130,FIND("º",SUBSTITUTE(E3130,"°","º"))-1)),""))))</f>
        <v/>
      </c>
      <c r="O3130" s="2">
        <f>IF(OR(F3130="",G3130=""),"",IF(G3130&lt;='RETRATO 2027'!$K$5,"CONCLUÍDA",IF(F3130&lt;='RETRATO 2027'!$K$5,"EM ANDAMENTO","A INICIAR")))</f>
        <v/>
      </c>
    </row>
    <row r="3131">
      <c r="M3131" s="2">
        <f>IF(C3131="","",IFERROR(INDEX($S$5:$S$304,MATCH(C3131,$R$5:$R$304,0))&amp;"","?"))</f>
        <v/>
      </c>
      <c r="N3131" s="2">
        <f>IF(E3131="","",IF(ISNUMBER(SEARCH("SUBSOLO",E3131)),IFERROR(-VALUE(LEFT(E3131,FIND("º",SUBSTITUTE(E3131,"°","º"))-1)),-1),IF(LEFT(E3131,6)="TÉRREO",0,IFERROR(VALUE(LEFT(E3131,FIND("º",SUBSTITUTE(E3131,"°","º"))-1)),""))))</f>
        <v/>
      </c>
      <c r="O3131" s="2">
        <f>IF(OR(F3131="",G3131=""),"",IF(G3131&lt;='RETRATO 2027'!$K$5,"CONCLUÍDA",IF(F3131&lt;='RETRATO 2027'!$K$5,"EM ANDAMENTO","A INICIAR")))</f>
        <v/>
      </c>
    </row>
    <row r="3132">
      <c r="M3132" s="2">
        <f>IF(C3132="","",IFERROR(INDEX($S$5:$S$304,MATCH(C3132,$R$5:$R$304,0))&amp;"","?"))</f>
        <v/>
      </c>
      <c r="N3132" s="2">
        <f>IF(E3132="","",IF(ISNUMBER(SEARCH("SUBSOLO",E3132)),IFERROR(-VALUE(LEFT(E3132,FIND("º",SUBSTITUTE(E3132,"°","º"))-1)),-1),IF(LEFT(E3132,6)="TÉRREO",0,IFERROR(VALUE(LEFT(E3132,FIND("º",SUBSTITUTE(E3132,"°","º"))-1)),""))))</f>
        <v/>
      </c>
      <c r="O3132" s="2">
        <f>IF(OR(F3132="",G3132=""),"",IF(G3132&lt;='RETRATO 2027'!$K$5,"CONCLUÍDA",IF(F3132&lt;='RETRATO 2027'!$K$5,"EM ANDAMENTO","A INICIAR")))</f>
        <v/>
      </c>
    </row>
    <row r="3133">
      <c r="M3133" s="2">
        <f>IF(C3133="","",IFERROR(INDEX($S$5:$S$304,MATCH(C3133,$R$5:$R$304,0))&amp;"","?"))</f>
        <v/>
      </c>
      <c r="N3133" s="2">
        <f>IF(E3133="","",IF(ISNUMBER(SEARCH("SUBSOLO",E3133)),IFERROR(-VALUE(LEFT(E3133,FIND("º",SUBSTITUTE(E3133,"°","º"))-1)),-1),IF(LEFT(E3133,6)="TÉRREO",0,IFERROR(VALUE(LEFT(E3133,FIND("º",SUBSTITUTE(E3133,"°","º"))-1)),""))))</f>
        <v/>
      </c>
      <c r="O3133" s="2">
        <f>IF(OR(F3133="",G3133=""),"",IF(G3133&lt;='RETRATO 2027'!$K$5,"CONCLUÍDA",IF(F3133&lt;='RETRATO 2027'!$K$5,"EM ANDAMENTO","A INICIAR")))</f>
        <v/>
      </c>
    </row>
    <row r="3134">
      <c r="M3134" s="2">
        <f>IF(C3134="","",IFERROR(INDEX($S$5:$S$304,MATCH(C3134,$R$5:$R$304,0))&amp;"","?"))</f>
        <v/>
      </c>
      <c r="N3134" s="2">
        <f>IF(E3134="","",IF(ISNUMBER(SEARCH("SUBSOLO",E3134)),IFERROR(-VALUE(LEFT(E3134,FIND("º",SUBSTITUTE(E3134,"°","º"))-1)),-1),IF(LEFT(E3134,6)="TÉRREO",0,IFERROR(VALUE(LEFT(E3134,FIND("º",SUBSTITUTE(E3134,"°","º"))-1)),""))))</f>
        <v/>
      </c>
      <c r="O3134" s="2">
        <f>IF(OR(F3134="",G3134=""),"",IF(G3134&lt;='RETRATO 2027'!$K$5,"CONCLUÍDA",IF(F3134&lt;='RETRATO 2027'!$K$5,"EM ANDAMENTO","A INICIAR")))</f>
        <v/>
      </c>
    </row>
    <row r="3135">
      <c r="M3135" s="2">
        <f>IF(C3135="","",IFERROR(INDEX($S$5:$S$304,MATCH(C3135,$R$5:$R$304,0))&amp;"","?"))</f>
        <v/>
      </c>
      <c r="N3135" s="2">
        <f>IF(E3135="","",IF(ISNUMBER(SEARCH("SUBSOLO",E3135)),IFERROR(-VALUE(LEFT(E3135,FIND("º",SUBSTITUTE(E3135,"°","º"))-1)),-1),IF(LEFT(E3135,6)="TÉRREO",0,IFERROR(VALUE(LEFT(E3135,FIND("º",SUBSTITUTE(E3135,"°","º"))-1)),""))))</f>
        <v/>
      </c>
      <c r="O3135" s="2">
        <f>IF(OR(F3135="",G3135=""),"",IF(G3135&lt;='RETRATO 2027'!$K$5,"CONCLUÍDA",IF(F3135&lt;='RETRATO 2027'!$K$5,"EM ANDAMENTO","A INICIAR")))</f>
        <v/>
      </c>
    </row>
    <row r="3136">
      <c r="M3136" s="2">
        <f>IF(C3136="","",IFERROR(INDEX($S$5:$S$304,MATCH(C3136,$R$5:$R$304,0))&amp;"","?"))</f>
        <v/>
      </c>
      <c r="N3136" s="2">
        <f>IF(E3136="","",IF(ISNUMBER(SEARCH("SUBSOLO",E3136)),IFERROR(-VALUE(LEFT(E3136,FIND("º",SUBSTITUTE(E3136,"°","º"))-1)),-1),IF(LEFT(E3136,6)="TÉRREO",0,IFERROR(VALUE(LEFT(E3136,FIND("º",SUBSTITUTE(E3136,"°","º"))-1)),""))))</f>
        <v/>
      </c>
      <c r="O3136" s="2">
        <f>IF(OR(F3136="",G3136=""),"",IF(G3136&lt;='RETRATO 2027'!$K$5,"CONCLUÍDA",IF(F3136&lt;='RETRATO 2027'!$K$5,"EM ANDAMENTO","A INICIAR")))</f>
        <v/>
      </c>
    </row>
    <row r="3137">
      <c r="M3137" s="2">
        <f>IF(C3137="","",IFERROR(INDEX($S$5:$S$304,MATCH(C3137,$R$5:$R$304,0))&amp;"","?"))</f>
        <v/>
      </c>
      <c r="N3137" s="2">
        <f>IF(E3137="","",IF(ISNUMBER(SEARCH("SUBSOLO",E3137)),IFERROR(-VALUE(LEFT(E3137,FIND("º",SUBSTITUTE(E3137,"°","º"))-1)),-1),IF(LEFT(E3137,6)="TÉRREO",0,IFERROR(VALUE(LEFT(E3137,FIND("º",SUBSTITUTE(E3137,"°","º"))-1)),""))))</f>
        <v/>
      </c>
      <c r="O3137" s="2">
        <f>IF(OR(F3137="",G3137=""),"",IF(G3137&lt;='RETRATO 2027'!$K$5,"CONCLUÍDA",IF(F3137&lt;='RETRATO 2027'!$K$5,"EM ANDAMENTO","A INICIAR")))</f>
        <v/>
      </c>
    </row>
    <row r="3138">
      <c r="M3138" s="2">
        <f>IF(C3138="","",IFERROR(INDEX($S$5:$S$304,MATCH(C3138,$R$5:$R$304,0))&amp;"","?"))</f>
        <v/>
      </c>
      <c r="N3138" s="2">
        <f>IF(E3138="","",IF(ISNUMBER(SEARCH("SUBSOLO",E3138)),IFERROR(-VALUE(LEFT(E3138,FIND("º",SUBSTITUTE(E3138,"°","º"))-1)),-1),IF(LEFT(E3138,6)="TÉRREO",0,IFERROR(VALUE(LEFT(E3138,FIND("º",SUBSTITUTE(E3138,"°","º"))-1)),""))))</f>
        <v/>
      </c>
      <c r="O3138" s="2">
        <f>IF(OR(F3138="",G3138=""),"",IF(G3138&lt;='RETRATO 2027'!$K$5,"CONCLUÍDA",IF(F3138&lt;='RETRATO 2027'!$K$5,"EM ANDAMENTO","A INICIAR")))</f>
        <v/>
      </c>
    </row>
    <row r="3139">
      <c r="M3139" s="2">
        <f>IF(C3139="","",IFERROR(INDEX($S$5:$S$304,MATCH(C3139,$R$5:$R$304,0))&amp;"","?"))</f>
        <v/>
      </c>
      <c r="N3139" s="2">
        <f>IF(E3139="","",IF(ISNUMBER(SEARCH("SUBSOLO",E3139)),IFERROR(-VALUE(LEFT(E3139,FIND("º",SUBSTITUTE(E3139,"°","º"))-1)),-1),IF(LEFT(E3139,6)="TÉRREO",0,IFERROR(VALUE(LEFT(E3139,FIND("º",SUBSTITUTE(E3139,"°","º"))-1)),""))))</f>
        <v/>
      </c>
      <c r="O3139" s="2">
        <f>IF(OR(F3139="",G3139=""),"",IF(G3139&lt;='RETRATO 2027'!$K$5,"CONCLUÍDA",IF(F3139&lt;='RETRATO 2027'!$K$5,"EM ANDAMENTO","A INICIAR")))</f>
        <v/>
      </c>
    </row>
    <row r="3140">
      <c r="M3140" s="2">
        <f>IF(C3140="","",IFERROR(INDEX($S$5:$S$304,MATCH(C3140,$R$5:$R$304,0))&amp;"","?"))</f>
        <v/>
      </c>
      <c r="N3140" s="2">
        <f>IF(E3140="","",IF(ISNUMBER(SEARCH("SUBSOLO",E3140)),IFERROR(-VALUE(LEFT(E3140,FIND("º",SUBSTITUTE(E3140,"°","º"))-1)),-1),IF(LEFT(E3140,6)="TÉRREO",0,IFERROR(VALUE(LEFT(E3140,FIND("º",SUBSTITUTE(E3140,"°","º"))-1)),""))))</f>
        <v/>
      </c>
      <c r="O3140" s="2">
        <f>IF(OR(F3140="",G3140=""),"",IF(G3140&lt;='RETRATO 2027'!$K$5,"CONCLUÍDA",IF(F3140&lt;='RETRATO 2027'!$K$5,"EM ANDAMENTO","A INICIAR")))</f>
        <v/>
      </c>
    </row>
    <row r="3141">
      <c r="M3141" s="2">
        <f>IF(C3141="","",IFERROR(INDEX($S$5:$S$304,MATCH(C3141,$R$5:$R$304,0))&amp;"","?"))</f>
        <v/>
      </c>
      <c r="N3141" s="2">
        <f>IF(E3141="","",IF(ISNUMBER(SEARCH("SUBSOLO",E3141)),IFERROR(-VALUE(LEFT(E3141,FIND("º",SUBSTITUTE(E3141,"°","º"))-1)),-1),IF(LEFT(E3141,6)="TÉRREO",0,IFERROR(VALUE(LEFT(E3141,FIND("º",SUBSTITUTE(E3141,"°","º"))-1)),""))))</f>
        <v/>
      </c>
      <c r="O3141" s="2">
        <f>IF(OR(F3141="",G3141=""),"",IF(G3141&lt;='RETRATO 2027'!$K$5,"CONCLUÍDA",IF(F3141&lt;='RETRATO 2027'!$K$5,"EM ANDAMENTO","A INICIAR")))</f>
        <v/>
      </c>
    </row>
    <row r="3142">
      <c r="M3142" s="2">
        <f>IF(C3142="","",IFERROR(INDEX($S$5:$S$304,MATCH(C3142,$R$5:$R$304,0))&amp;"","?"))</f>
        <v/>
      </c>
      <c r="N3142" s="2">
        <f>IF(E3142="","",IF(ISNUMBER(SEARCH("SUBSOLO",E3142)),IFERROR(-VALUE(LEFT(E3142,FIND("º",SUBSTITUTE(E3142,"°","º"))-1)),-1),IF(LEFT(E3142,6)="TÉRREO",0,IFERROR(VALUE(LEFT(E3142,FIND("º",SUBSTITUTE(E3142,"°","º"))-1)),""))))</f>
        <v/>
      </c>
      <c r="O3142" s="2">
        <f>IF(OR(F3142="",G3142=""),"",IF(G3142&lt;='RETRATO 2027'!$K$5,"CONCLUÍDA",IF(F3142&lt;='RETRATO 2027'!$K$5,"EM ANDAMENTO","A INICIAR")))</f>
        <v/>
      </c>
    </row>
    <row r="3143">
      <c r="M3143" s="2">
        <f>IF(C3143="","",IFERROR(INDEX($S$5:$S$304,MATCH(C3143,$R$5:$R$304,0))&amp;"","?"))</f>
        <v/>
      </c>
      <c r="N3143" s="2">
        <f>IF(E3143="","",IF(ISNUMBER(SEARCH("SUBSOLO",E3143)),IFERROR(-VALUE(LEFT(E3143,FIND("º",SUBSTITUTE(E3143,"°","º"))-1)),-1),IF(LEFT(E3143,6)="TÉRREO",0,IFERROR(VALUE(LEFT(E3143,FIND("º",SUBSTITUTE(E3143,"°","º"))-1)),""))))</f>
        <v/>
      </c>
      <c r="O3143" s="2">
        <f>IF(OR(F3143="",G3143=""),"",IF(G3143&lt;='RETRATO 2027'!$K$5,"CONCLUÍDA",IF(F3143&lt;='RETRATO 2027'!$K$5,"EM ANDAMENTO","A INICIAR")))</f>
        <v/>
      </c>
    </row>
    <row r="3144">
      <c r="M3144" s="2">
        <f>IF(C3144="","",IFERROR(INDEX($S$5:$S$304,MATCH(C3144,$R$5:$R$304,0))&amp;"","?"))</f>
        <v/>
      </c>
      <c r="N3144" s="2">
        <f>IF(E3144="","",IF(ISNUMBER(SEARCH("SUBSOLO",E3144)),IFERROR(-VALUE(LEFT(E3144,FIND("º",SUBSTITUTE(E3144,"°","º"))-1)),-1),IF(LEFT(E3144,6)="TÉRREO",0,IFERROR(VALUE(LEFT(E3144,FIND("º",SUBSTITUTE(E3144,"°","º"))-1)),""))))</f>
        <v/>
      </c>
      <c r="O3144" s="2">
        <f>IF(OR(F3144="",G3144=""),"",IF(G3144&lt;='RETRATO 2027'!$K$5,"CONCLUÍDA",IF(F3144&lt;='RETRATO 2027'!$K$5,"EM ANDAMENTO","A INICIAR")))</f>
        <v/>
      </c>
    </row>
    <row r="3145">
      <c r="M3145" s="2">
        <f>IF(C3145="","",IFERROR(INDEX($S$5:$S$304,MATCH(C3145,$R$5:$R$304,0))&amp;"","?"))</f>
        <v/>
      </c>
      <c r="N3145" s="2">
        <f>IF(E3145="","",IF(ISNUMBER(SEARCH("SUBSOLO",E3145)),IFERROR(-VALUE(LEFT(E3145,FIND("º",SUBSTITUTE(E3145,"°","º"))-1)),-1),IF(LEFT(E3145,6)="TÉRREO",0,IFERROR(VALUE(LEFT(E3145,FIND("º",SUBSTITUTE(E3145,"°","º"))-1)),""))))</f>
        <v/>
      </c>
      <c r="O3145" s="2">
        <f>IF(OR(F3145="",G3145=""),"",IF(G3145&lt;='RETRATO 2027'!$K$5,"CONCLUÍDA",IF(F3145&lt;='RETRATO 2027'!$K$5,"EM ANDAMENTO","A INICIAR")))</f>
        <v/>
      </c>
    </row>
    <row r="3146">
      <c r="M3146" s="2">
        <f>IF(C3146="","",IFERROR(INDEX($S$5:$S$304,MATCH(C3146,$R$5:$R$304,0))&amp;"","?"))</f>
        <v/>
      </c>
      <c r="N3146" s="2">
        <f>IF(E3146="","",IF(ISNUMBER(SEARCH("SUBSOLO",E3146)),IFERROR(-VALUE(LEFT(E3146,FIND("º",SUBSTITUTE(E3146,"°","º"))-1)),-1),IF(LEFT(E3146,6)="TÉRREO",0,IFERROR(VALUE(LEFT(E3146,FIND("º",SUBSTITUTE(E3146,"°","º"))-1)),""))))</f>
        <v/>
      </c>
      <c r="O3146" s="2">
        <f>IF(OR(F3146="",G3146=""),"",IF(G3146&lt;='RETRATO 2027'!$K$5,"CONCLUÍDA",IF(F3146&lt;='RETRATO 2027'!$K$5,"EM ANDAMENTO","A INICIAR")))</f>
        <v/>
      </c>
    </row>
    <row r="3147">
      <c r="M3147" s="2">
        <f>IF(C3147="","",IFERROR(INDEX($S$5:$S$304,MATCH(C3147,$R$5:$R$304,0))&amp;"","?"))</f>
        <v/>
      </c>
      <c r="N3147" s="2">
        <f>IF(E3147="","",IF(ISNUMBER(SEARCH("SUBSOLO",E3147)),IFERROR(-VALUE(LEFT(E3147,FIND("º",SUBSTITUTE(E3147,"°","º"))-1)),-1),IF(LEFT(E3147,6)="TÉRREO",0,IFERROR(VALUE(LEFT(E3147,FIND("º",SUBSTITUTE(E3147,"°","º"))-1)),""))))</f>
        <v/>
      </c>
      <c r="O3147" s="2">
        <f>IF(OR(F3147="",G3147=""),"",IF(G3147&lt;='RETRATO 2027'!$K$5,"CONCLUÍDA",IF(F3147&lt;='RETRATO 2027'!$K$5,"EM ANDAMENTO","A INICIAR")))</f>
        <v/>
      </c>
    </row>
    <row r="3148">
      <c r="M3148" s="2">
        <f>IF(C3148="","",IFERROR(INDEX($S$5:$S$304,MATCH(C3148,$R$5:$R$304,0))&amp;"","?"))</f>
        <v/>
      </c>
      <c r="N3148" s="2">
        <f>IF(E3148="","",IF(ISNUMBER(SEARCH("SUBSOLO",E3148)),IFERROR(-VALUE(LEFT(E3148,FIND("º",SUBSTITUTE(E3148,"°","º"))-1)),-1),IF(LEFT(E3148,6)="TÉRREO",0,IFERROR(VALUE(LEFT(E3148,FIND("º",SUBSTITUTE(E3148,"°","º"))-1)),""))))</f>
        <v/>
      </c>
      <c r="O3148" s="2">
        <f>IF(OR(F3148="",G3148=""),"",IF(G3148&lt;='RETRATO 2027'!$K$5,"CONCLUÍDA",IF(F3148&lt;='RETRATO 2027'!$K$5,"EM ANDAMENTO","A INICIAR")))</f>
        <v/>
      </c>
    </row>
    <row r="3149">
      <c r="M3149" s="2">
        <f>IF(C3149="","",IFERROR(INDEX($S$5:$S$304,MATCH(C3149,$R$5:$R$304,0))&amp;"","?"))</f>
        <v/>
      </c>
      <c r="N3149" s="2">
        <f>IF(E3149="","",IF(ISNUMBER(SEARCH("SUBSOLO",E3149)),IFERROR(-VALUE(LEFT(E3149,FIND("º",SUBSTITUTE(E3149,"°","º"))-1)),-1),IF(LEFT(E3149,6)="TÉRREO",0,IFERROR(VALUE(LEFT(E3149,FIND("º",SUBSTITUTE(E3149,"°","º"))-1)),""))))</f>
        <v/>
      </c>
      <c r="O3149" s="2">
        <f>IF(OR(F3149="",G3149=""),"",IF(G3149&lt;='RETRATO 2027'!$K$5,"CONCLUÍDA",IF(F3149&lt;='RETRATO 2027'!$K$5,"EM ANDAMENTO","A INICIAR")))</f>
        <v/>
      </c>
    </row>
    <row r="3150">
      <c r="M3150" s="2">
        <f>IF(C3150="","",IFERROR(INDEX($S$5:$S$304,MATCH(C3150,$R$5:$R$304,0))&amp;"","?"))</f>
        <v/>
      </c>
      <c r="N3150" s="2">
        <f>IF(E3150="","",IF(ISNUMBER(SEARCH("SUBSOLO",E3150)),IFERROR(-VALUE(LEFT(E3150,FIND("º",SUBSTITUTE(E3150,"°","º"))-1)),-1),IF(LEFT(E3150,6)="TÉRREO",0,IFERROR(VALUE(LEFT(E3150,FIND("º",SUBSTITUTE(E3150,"°","º"))-1)),""))))</f>
        <v/>
      </c>
      <c r="O3150" s="2">
        <f>IF(OR(F3150="",G3150=""),"",IF(G3150&lt;='RETRATO 2027'!$K$5,"CONCLUÍDA",IF(F3150&lt;='RETRATO 2027'!$K$5,"EM ANDAMENTO","A INICIAR")))</f>
        <v/>
      </c>
    </row>
    <row r="3151">
      <c r="M3151" s="2">
        <f>IF(C3151="","",IFERROR(INDEX($S$5:$S$304,MATCH(C3151,$R$5:$R$304,0))&amp;"","?"))</f>
        <v/>
      </c>
      <c r="N3151" s="2">
        <f>IF(E3151="","",IF(ISNUMBER(SEARCH("SUBSOLO",E3151)),IFERROR(-VALUE(LEFT(E3151,FIND("º",SUBSTITUTE(E3151,"°","º"))-1)),-1),IF(LEFT(E3151,6)="TÉRREO",0,IFERROR(VALUE(LEFT(E3151,FIND("º",SUBSTITUTE(E3151,"°","º"))-1)),""))))</f>
        <v/>
      </c>
      <c r="O3151" s="2">
        <f>IF(OR(F3151="",G3151=""),"",IF(G3151&lt;='RETRATO 2027'!$K$5,"CONCLUÍDA",IF(F3151&lt;='RETRATO 2027'!$K$5,"EM ANDAMENTO","A INICIAR")))</f>
        <v/>
      </c>
    </row>
    <row r="3152">
      <c r="M3152" s="2">
        <f>IF(C3152="","",IFERROR(INDEX($S$5:$S$304,MATCH(C3152,$R$5:$R$304,0))&amp;"","?"))</f>
        <v/>
      </c>
      <c r="N3152" s="2">
        <f>IF(E3152="","",IF(ISNUMBER(SEARCH("SUBSOLO",E3152)),IFERROR(-VALUE(LEFT(E3152,FIND("º",SUBSTITUTE(E3152,"°","º"))-1)),-1),IF(LEFT(E3152,6)="TÉRREO",0,IFERROR(VALUE(LEFT(E3152,FIND("º",SUBSTITUTE(E3152,"°","º"))-1)),""))))</f>
        <v/>
      </c>
      <c r="O3152" s="2">
        <f>IF(OR(F3152="",G3152=""),"",IF(G3152&lt;='RETRATO 2027'!$K$5,"CONCLUÍDA",IF(F3152&lt;='RETRATO 2027'!$K$5,"EM ANDAMENTO","A INICIAR")))</f>
        <v/>
      </c>
    </row>
    <row r="3153">
      <c r="M3153" s="2">
        <f>IF(C3153="","",IFERROR(INDEX($S$5:$S$304,MATCH(C3153,$R$5:$R$304,0))&amp;"","?"))</f>
        <v/>
      </c>
      <c r="N3153" s="2">
        <f>IF(E3153="","",IF(ISNUMBER(SEARCH("SUBSOLO",E3153)),IFERROR(-VALUE(LEFT(E3153,FIND("º",SUBSTITUTE(E3153,"°","º"))-1)),-1),IF(LEFT(E3153,6)="TÉRREO",0,IFERROR(VALUE(LEFT(E3153,FIND("º",SUBSTITUTE(E3153,"°","º"))-1)),""))))</f>
        <v/>
      </c>
      <c r="O3153" s="2">
        <f>IF(OR(F3153="",G3153=""),"",IF(G3153&lt;='RETRATO 2027'!$K$5,"CONCLUÍDA",IF(F3153&lt;='RETRATO 2027'!$K$5,"EM ANDAMENTO","A INICIAR")))</f>
        <v/>
      </c>
    </row>
    <row r="3154">
      <c r="M3154" s="2">
        <f>IF(C3154="","",IFERROR(INDEX($S$5:$S$304,MATCH(C3154,$R$5:$R$304,0))&amp;"","?"))</f>
        <v/>
      </c>
      <c r="N3154" s="2">
        <f>IF(E3154="","",IF(ISNUMBER(SEARCH("SUBSOLO",E3154)),IFERROR(-VALUE(LEFT(E3154,FIND("º",SUBSTITUTE(E3154,"°","º"))-1)),-1),IF(LEFT(E3154,6)="TÉRREO",0,IFERROR(VALUE(LEFT(E3154,FIND("º",SUBSTITUTE(E3154,"°","º"))-1)),""))))</f>
        <v/>
      </c>
      <c r="O3154" s="2">
        <f>IF(OR(F3154="",G3154=""),"",IF(G3154&lt;='RETRATO 2027'!$K$5,"CONCLUÍDA",IF(F3154&lt;='RETRATO 2027'!$K$5,"EM ANDAMENTO","A INICIAR")))</f>
        <v/>
      </c>
    </row>
    <row r="3155">
      <c r="M3155" s="2">
        <f>IF(C3155="","",IFERROR(INDEX($S$5:$S$304,MATCH(C3155,$R$5:$R$304,0))&amp;"","?"))</f>
        <v/>
      </c>
      <c r="N3155" s="2">
        <f>IF(E3155="","",IF(ISNUMBER(SEARCH("SUBSOLO",E3155)),IFERROR(-VALUE(LEFT(E3155,FIND("º",SUBSTITUTE(E3155,"°","º"))-1)),-1),IF(LEFT(E3155,6)="TÉRREO",0,IFERROR(VALUE(LEFT(E3155,FIND("º",SUBSTITUTE(E3155,"°","º"))-1)),""))))</f>
        <v/>
      </c>
      <c r="O3155" s="2">
        <f>IF(OR(F3155="",G3155=""),"",IF(G3155&lt;='RETRATO 2027'!$K$5,"CONCLUÍDA",IF(F3155&lt;='RETRATO 2027'!$K$5,"EM ANDAMENTO","A INICIAR")))</f>
        <v/>
      </c>
    </row>
    <row r="3156">
      <c r="M3156" s="2">
        <f>IF(C3156="","",IFERROR(INDEX($S$5:$S$304,MATCH(C3156,$R$5:$R$304,0))&amp;"","?"))</f>
        <v/>
      </c>
      <c r="N3156" s="2">
        <f>IF(E3156="","",IF(ISNUMBER(SEARCH("SUBSOLO",E3156)),IFERROR(-VALUE(LEFT(E3156,FIND("º",SUBSTITUTE(E3156,"°","º"))-1)),-1),IF(LEFT(E3156,6)="TÉRREO",0,IFERROR(VALUE(LEFT(E3156,FIND("º",SUBSTITUTE(E3156,"°","º"))-1)),""))))</f>
        <v/>
      </c>
      <c r="O3156" s="2">
        <f>IF(OR(F3156="",G3156=""),"",IF(G3156&lt;='RETRATO 2027'!$K$5,"CONCLUÍDA",IF(F3156&lt;='RETRATO 2027'!$K$5,"EM ANDAMENTO","A INICIAR")))</f>
        <v/>
      </c>
    </row>
    <row r="3157">
      <c r="M3157" s="2">
        <f>IF(C3157="","",IFERROR(INDEX($S$5:$S$304,MATCH(C3157,$R$5:$R$304,0))&amp;"","?"))</f>
        <v/>
      </c>
      <c r="N3157" s="2">
        <f>IF(E3157="","",IF(ISNUMBER(SEARCH("SUBSOLO",E3157)),IFERROR(-VALUE(LEFT(E3157,FIND("º",SUBSTITUTE(E3157,"°","º"))-1)),-1),IF(LEFT(E3157,6)="TÉRREO",0,IFERROR(VALUE(LEFT(E3157,FIND("º",SUBSTITUTE(E3157,"°","º"))-1)),""))))</f>
        <v/>
      </c>
      <c r="O3157" s="2">
        <f>IF(OR(F3157="",G3157=""),"",IF(G3157&lt;='RETRATO 2027'!$K$5,"CONCLUÍDA",IF(F3157&lt;='RETRATO 2027'!$K$5,"EM ANDAMENTO","A INICIAR")))</f>
        <v/>
      </c>
    </row>
    <row r="3158">
      <c r="M3158" s="2">
        <f>IF(C3158="","",IFERROR(INDEX($S$5:$S$304,MATCH(C3158,$R$5:$R$304,0))&amp;"","?"))</f>
        <v/>
      </c>
      <c r="N3158" s="2">
        <f>IF(E3158="","",IF(ISNUMBER(SEARCH("SUBSOLO",E3158)),IFERROR(-VALUE(LEFT(E3158,FIND("º",SUBSTITUTE(E3158,"°","º"))-1)),-1),IF(LEFT(E3158,6)="TÉRREO",0,IFERROR(VALUE(LEFT(E3158,FIND("º",SUBSTITUTE(E3158,"°","º"))-1)),""))))</f>
        <v/>
      </c>
      <c r="O3158" s="2">
        <f>IF(OR(F3158="",G3158=""),"",IF(G3158&lt;='RETRATO 2027'!$K$5,"CONCLUÍDA",IF(F3158&lt;='RETRATO 2027'!$K$5,"EM ANDAMENTO","A INICIAR")))</f>
        <v/>
      </c>
    </row>
    <row r="3159">
      <c r="M3159" s="2">
        <f>IF(C3159="","",IFERROR(INDEX($S$5:$S$304,MATCH(C3159,$R$5:$R$304,0))&amp;"","?"))</f>
        <v/>
      </c>
      <c r="N3159" s="2">
        <f>IF(E3159="","",IF(ISNUMBER(SEARCH("SUBSOLO",E3159)),IFERROR(-VALUE(LEFT(E3159,FIND("º",SUBSTITUTE(E3159,"°","º"))-1)),-1),IF(LEFT(E3159,6)="TÉRREO",0,IFERROR(VALUE(LEFT(E3159,FIND("º",SUBSTITUTE(E3159,"°","º"))-1)),""))))</f>
        <v/>
      </c>
      <c r="O3159" s="2">
        <f>IF(OR(F3159="",G3159=""),"",IF(G3159&lt;='RETRATO 2027'!$K$5,"CONCLUÍDA",IF(F3159&lt;='RETRATO 2027'!$K$5,"EM ANDAMENTO","A INICIAR")))</f>
        <v/>
      </c>
    </row>
    <row r="3160">
      <c r="M3160" s="2">
        <f>IF(C3160="","",IFERROR(INDEX($S$5:$S$304,MATCH(C3160,$R$5:$R$304,0))&amp;"","?"))</f>
        <v/>
      </c>
      <c r="N3160" s="2">
        <f>IF(E3160="","",IF(ISNUMBER(SEARCH("SUBSOLO",E3160)),IFERROR(-VALUE(LEFT(E3160,FIND("º",SUBSTITUTE(E3160,"°","º"))-1)),-1),IF(LEFT(E3160,6)="TÉRREO",0,IFERROR(VALUE(LEFT(E3160,FIND("º",SUBSTITUTE(E3160,"°","º"))-1)),""))))</f>
        <v/>
      </c>
      <c r="O3160" s="2">
        <f>IF(OR(F3160="",G3160=""),"",IF(G3160&lt;='RETRATO 2027'!$K$5,"CONCLUÍDA",IF(F3160&lt;='RETRATO 2027'!$K$5,"EM ANDAMENTO","A INICIAR")))</f>
        <v/>
      </c>
    </row>
    <row r="3161">
      <c r="M3161" s="2">
        <f>IF(C3161="","",IFERROR(INDEX($S$5:$S$304,MATCH(C3161,$R$5:$R$304,0))&amp;"","?"))</f>
        <v/>
      </c>
      <c r="N3161" s="2">
        <f>IF(E3161="","",IF(ISNUMBER(SEARCH("SUBSOLO",E3161)),IFERROR(-VALUE(LEFT(E3161,FIND("º",SUBSTITUTE(E3161,"°","º"))-1)),-1),IF(LEFT(E3161,6)="TÉRREO",0,IFERROR(VALUE(LEFT(E3161,FIND("º",SUBSTITUTE(E3161,"°","º"))-1)),""))))</f>
        <v/>
      </c>
      <c r="O3161" s="2">
        <f>IF(OR(F3161="",G3161=""),"",IF(G3161&lt;='RETRATO 2027'!$K$5,"CONCLUÍDA",IF(F3161&lt;='RETRATO 2027'!$K$5,"EM ANDAMENTO","A INICIAR")))</f>
        <v/>
      </c>
    </row>
    <row r="3162">
      <c r="M3162" s="2">
        <f>IF(C3162="","",IFERROR(INDEX($S$5:$S$304,MATCH(C3162,$R$5:$R$304,0))&amp;"","?"))</f>
        <v/>
      </c>
      <c r="N3162" s="2">
        <f>IF(E3162="","",IF(ISNUMBER(SEARCH("SUBSOLO",E3162)),IFERROR(-VALUE(LEFT(E3162,FIND("º",SUBSTITUTE(E3162,"°","º"))-1)),-1),IF(LEFT(E3162,6)="TÉRREO",0,IFERROR(VALUE(LEFT(E3162,FIND("º",SUBSTITUTE(E3162,"°","º"))-1)),""))))</f>
        <v/>
      </c>
      <c r="O3162" s="2">
        <f>IF(OR(F3162="",G3162=""),"",IF(G3162&lt;='RETRATO 2027'!$K$5,"CONCLUÍDA",IF(F3162&lt;='RETRATO 2027'!$K$5,"EM ANDAMENTO","A INICIAR")))</f>
        <v/>
      </c>
    </row>
    <row r="3163">
      <c r="M3163" s="2">
        <f>IF(C3163="","",IFERROR(INDEX($S$5:$S$304,MATCH(C3163,$R$5:$R$304,0))&amp;"","?"))</f>
        <v/>
      </c>
      <c r="N3163" s="2">
        <f>IF(E3163="","",IF(ISNUMBER(SEARCH("SUBSOLO",E3163)),IFERROR(-VALUE(LEFT(E3163,FIND("º",SUBSTITUTE(E3163,"°","º"))-1)),-1),IF(LEFT(E3163,6)="TÉRREO",0,IFERROR(VALUE(LEFT(E3163,FIND("º",SUBSTITUTE(E3163,"°","º"))-1)),""))))</f>
        <v/>
      </c>
      <c r="O3163" s="2">
        <f>IF(OR(F3163="",G3163=""),"",IF(G3163&lt;='RETRATO 2027'!$K$5,"CONCLUÍDA",IF(F3163&lt;='RETRATO 2027'!$K$5,"EM ANDAMENTO","A INICIAR")))</f>
        <v/>
      </c>
    </row>
    <row r="3164">
      <c r="M3164" s="2">
        <f>IF(C3164="","",IFERROR(INDEX($S$5:$S$304,MATCH(C3164,$R$5:$R$304,0))&amp;"","?"))</f>
        <v/>
      </c>
      <c r="N3164" s="2">
        <f>IF(E3164="","",IF(ISNUMBER(SEARCH("SUBSOLO",E3164)),IFERROR(-VALUE(LEFT(E3164,FIND("º",SUBSTITUTE(E3164,"°","º"))-1)),-1),IF(LEFT(E3164,6)="TÉRREO",0,IFERROR(VALUE(LEFT(E3164,FIND("º",SUBSTITUTE(E3164,"°","º"))-1)),""))))</f>
        <v/>
      </c>
      <c r="O3164" s="2">
        <f>IF(OR(F3164="",G3164=""),"",IF(G3164&lt;='RETRATO 2027'!$K$5,"CONCLUÍDA",IF(F3164&lt;='RETRATO 2027'!$K$5,"EM ANDAMENTO","A INICIAR")))</f>
        <v/>
      </c>
    </row>
    <row r="3165">
      <c r="M3165" s="2">
        <f>IF(C3165="","",IFERROR(INDEX($S$5:$S$304,MATCH(C3165,$R$5:$R$304,0))&amp;"","?"))</f>
        <v/>
      </c>
      <c r="N3165" s="2">
        <f>IF(E3165="","",IF(ISNUMBER(SEARCH("SUBSOLO",E3165)),IFERROR(-VALUE(LEFT(E3165,FIND("º",SUBSTITUTE(E3165,"°","º"))-1)),-1),IF(LEFT(E3165,6)="TÉRREO",0,IFERROR(VALUE(LEFT(E3165,FIND("º",SUBSTITUTE(E3165,"°","º"))-1)),""))))</f>
        <v/>
      </c>
      <c r="O3165" s="2">
        <f>IF(OR(F3165="",G3165=""),"",IF(G3165&lt;='RETRATO 2027'!$K$5,"CONCLUÍDA",IF(F3165&lt;='RETRATO 2027'!$K$5,"EM ANDAMENTO","A INICIAR")))</f>
        <v/>
      </c>
    </row>
    <row r="3166">
      <c r="M3166" s="2">
        <f>IF(C3166="","",IFERROR(INDEX($S$5:$S$304,MATCH(C3166,$R$5:$R$304,0))&amp;"","?"))</f>
        <v/>
      </c>
      <c r="N3166" s="2">
        <f>IF(E3166="","",IF(ISNUMBER(SEARCH("SUBSOLO",E3166)),IFERROR(-VALUE(LEFT(E3166,FIND("º",SUBSTITUTE(E3166,"°","º"))-1)),-1),IF(LEFT(E3166,6)="TÉRREO",0,IFERROR(VALUE(LEFT(E3166,FIND("º",SUBSTITUTE(E3166,"°","º"))-1)),""))))</f>
        <v/>
      </c>
      <c r="O3166" s="2">
        <f>IF(OR(F3166="",G3166=""),"",IF(G3166&lt;='RETRATO 2027'!$K$5,"CONCLUÍDA",IF(F3166&lt;='RETRATO 2027'!$K$5,"EM ANDAMENTO","A INICIAR")))</f>
        <v/>
      </c>
    </row>
    <row r="3167">
      <c r="M3167" s="2">
        <f>IF(C3167="","",IFERROR(INDEX($S$5:$S$304,MATCH(C3167,$R$5:$R$304,0))&amp;"","?"))</f>
        <v/>
      </c>
      <c r="N3167" s="2">
        <f>IF(E3167="","",IF(ISNUMBER(SEARCH("SUBSOLO",E3167)),IFERROR(-VALUE(LEFT(E3167,FIND("º",SUBSTITUTE(E3167,"°","º"))-1)),-1),IF(LEFT(E3167,6)="TÉRREO",0,IFERROR(VALUE(LEFT(E3167,FIND("º",SUBSTITUTE(E3167,"°","º"))-1)),""))))</f>
        <v/>
      </c>
      <c r="O3167" s="2">
        <f>IF(OR(F3167="",G3167=""),"",IF(G3167&lt;='RETRATO 2027'!$K$5,"CONCLUÍDA",IF(F3167&lt;='RETRATO 2027'!$K$5,"EM ANDAMENTO","A INICIAR")))</f>
        <v/>
      </c>
    </row>
    <row r="3168">
      <c r="M3168" s="2">
        <f>IF(C3168="","",IFERROR(INDEX($S$5:$S$304,MATCH(C3168,$R$5:$R$304,0))&amp;"","?"))</f>
        <v/>
      </c>
      <c r="N3168" s="2">
        <f>IF(E3168="","",IF(ISNUMBER(SEARCH("SUBSOLO",E3168)),IFERROR(-VALUE(LEFT(E3168,FIND("º",SUBSTITUTE(E3168,"°","º"))-1)),-1),IF(LEFT(E3168,6)="TÉRREO",0,IFERROR(VALUE(LEFT(E3168,FIND("º",SUBSTITUTE(E3168,"°","º"))-1)),""))))</f>
        <v/>
      </c>
      <c r="O3168" s="2">
        <f>IF(OR(F3168="",G3168=""),"",IF(G3168&lt;='RETRATO 2027'!$K$5,"CONCLUÍDA",IF(F3168&lt;='RETRATO 2027'!$K$5,"EM ANDAMENTO","A INICIAR")))</f>
        <v/>
      </c>
    </row>
    <row r="3169">
      <c r="M3169" s="2">
        <f>IF(C3169="","",IFERROR(INDEX($S$5:$S$304,MATCH(C3169,$R$5:$R$304,0))&amp;"","?"))</f>
        <v/>
      </c>
      <c r="N3169" s="2">
        <f>IF(E3169="","",IF(ISNUMBER(SEARCH("SUBSOLO",E3169)),IFERROR(-VALUE(LEFT(E3169,FIND("º",SUBSTITUTE(E3169,"°","º"))-1)),-1),IF(LEFT(E3169,6)="TÉRREO",0,IFERROR(VALUE(LEFT(E3169,FIND("º",SUBSTITUTE(E3169,"°","º"))-1)),""))))</f>
        <v/>
      </c>
      <c r="O3169" s="2">
        <f>IF(OR(F3169="",G3169=""),"",IF(G3169&lt;='RETRATO 2027'!$K$5,"CONCLUÍDA",IF(F3169&lt;='RETRATO 2027'!$K$5,"EM ANDAMENTO","A INICIAR")))</f>
        <v/>
      </c>
    </row>
    <row r="3170">
      <c r="M3170" s="2">
        <f>IF(C3170="","",IFERROR(INDEX($S$5:$S$304,MATCH(C3170,$R$5:$R$304,0))&amp;"","?"))</f>
        <v/>
      </c>
      <c r="N3170" s="2">
        <f>IF(E3170="","",IF(ISNUMBER(SEARCH("SUBSOLO",E3170)),IFERROR(-VALUE(LEFT(E3170,FIND("º",SUBSTITUTE(E3170,"°","º"))-1)),-1),IF(LEFT(E3170,6)="TÉRREO",0,IFERROR(VALUE(LEFT(E3170,FIND("º",SUBSTITUTE(E3170,"°","º"))-1)),""))))</f>
        <v/>
      </c>
      <c r="O3170" s="2">
        <f>IF(OR(F3170="",G3170=""),"",IF(G3170&lt;='RETRATO 2027'!$K$5,"CONCLUÍDA",IF(F3170&lt;='RETRATO 2027'!$K$5,"EM ANDAMENTO","A INICIAR")))</f>
        <v/>
      </c>
    </row>
    <row r="3171">
      <c r="M3171" s="2">
        <f>IF(C3171="","",IFERROR(INDEX($S$5:$S$304,MATCH(C3171,$R$5:$R$304,0))&amp;"","?"))</f>
        <v/>
      </c>
      <c r="N3171" s="2">
        <f>IF(E3171="","",IF(ISNUMBER(SEARCH("SUBSOLO",E3171)),IFERROR(-VALUE(LEFT(E3171,FIND("º",SUBSTITUTE(E3171,"°","º"))-1)),-1),IF(LEFT(E3171,6)="TÉRREO",0,IFERROR(VALUE(LEFT(E3171,FIND("º",SUBSTITUTE(E3171,"°","º"))-1)),""))))</f>
        <v/>
      </c>
      <c r="O3171" s="2">
        <f>IF(OR(F3171="",G3171=""),"",IF(G3171&lt;='RETRATO 2027'!$K$5,"CONCLUÍDA",IF(F3171&lt;='RETRATO 2027'!$K$5,"EM ANDAMENTO","A INICIAR")))</f>
        <v/>
      </c>
    </row>
    <row r="3172">
      <c r="M3172" s="2">
        <f>IF(C3172="","",IFERROR(INDEX($S$5:$S$304,MATCH(C3172,$R$5:$R$304,0))&amp;"","?"))</f>
        <v/>
      </c>
      <c r="N3172" s="2">
        <f>IF(E3172="","",IF(ISNUMBER(SEARCH("SUBSOLO",E3172)),IFERROR(-VALUE(LEFT(E3172,FIND("º",SUBSTITUTE(E3172,"°","º"))-1)),-1),IF(LEFT(E3172,6)="TÉRREO",0,IFERROR(VALUE(LEFT(E3172,FIND("º",SUBSTITUTE(E3172,"°","º"))-1)),""))))</f>
        <v/>
      </c>
      <c r="O3172" s="2">
        <f>IF(OR(F3172="",G3172=""),"",IF(G3172&lt;='RETRATO 2027'!$K$5,"CONCLUÍDA",IF(F3172&lt;='RETRATO 2027'!$K$5,"EM ANDAMENTO","A INICIAR")))</f>
        <v/>
      </c>
    </row>
    <row r="3173">
      <c r="M3173" s="2">
        <f>IF(C3173="","",IFERROR(INDEX($S$5:$S$304,MATCH(C3173,$R$5:$R$304,0))&amp;"","?"))</f>
        <v/>
      </c>
      <c r="N3173" s="2">
        <f>IF(E3173="","",IF(ISNUMBER(SEARCH("SUBSOLO",E3173)),IFERROR(-VALUE(LEFT(E3173,FIND("º",SUBSTITUTE(E3173,"°","º"))-1)),-1),IF(LEFT(E3173,6)="TÉRREO",0,IFERROR(VALUE(LEFT(E3173,FIND("º",SUBSTITUTE(E3173,"°","º"))-1)),""))))</f>
        <v/>
      </c>
      <c r="O3173" s="2">
        <f>IF(OR(F3173="",G3173=""),"",IF(G3173&lt;='RETRATO 2027'!$K$5,"CONCLUÍDA",IF(F3173&lt;='RETRATO 2027'!$K$5,"EM ANDAMENTO","A INICIAR")))</f>
        <v/>
      </c>
    </row>
    <row r="3174">
      <c r="M3174" s="2">
        <f>IF(C3174="","",IFERROR(INDEX($S$5:$S$304,MATCH(C3174,$R$5:$R$304,0))&amp;"","?"))</f>
        <v/>
      </c>
      <c r="N3174" s="2">
        <f>IF(E3174="","",IF(ISNUMBER(SEARCH("SUBSOLO",E3174)),IFERROR(-VALUE(LEFT(E3174,FIND("º",SUBSTITUTE(E3174,"°","º"))-1)),-1),IF(LEFT(E3174,6)="TÉRREO",0,IFERROR(VALUE(LEFT(E3174,FIND("º",SUBSTITUTE(E3174,"°","º"))-1)),""))))</f>
        <v/>
      </c>
      <c r="O3174" s="2">
        <f>IF(OR(F3174="",G3174=""),"",IF(G3174&lt;='RETRATO 2027'!$K$5,"CONCLUÍDA",IF(F3174&lt;='RETRATO 2027'!$K$5,"EM ANDAMENTO","A INICIAR")))</f>
        <v/>
      </c>
    </row>
    <row r="3175">
      <c r="M3175" s="2">
        <f>IF(C3175="","",IFERROR(INDEX($S$5:$S$304,MATCH(C3175,$R$5:$R$304,0))&amp;"","?"))</f>
        <v/>
      </c>
      <c r="N3175" s="2">
        <f>IF(E3175="","",IF(ISNUMBER(SEARCH("SUBSOLO",E3175)),IFERROR(-VALUE(LEFT(E3175,FIND("º",SUBSTITUTE(E3175,"°","º"))-1)),-1),IF(LEFT(E3175,6)="TÉRREO",0,IFERROR(VALUE(LEFT(E3175,FIND("º",SUBSTITUTE(E3175,"°","º"))-1)),""))))</f>
        <v/>
      </c>
      <c r="O3175" s="2">
        <f>IF(OR(F3175="",G3175=""),"",IF(G3175&lt;='RETRATO 2027'!$K$5,"CONCLUÍDA",IF(F3175&lt;='RETRATO 2027'!$K$5,"EM ANDAMENTO","A INICIAR")))</f>
        <v/>
      </c>
    </row>
    <row r="3176">
      <c r="M3176" s="2">
        <f>IF(C3176="","",IFERROR(INDEX($S$5:$S$304,MATCH(C3176,$R$5:$R$304,0))&amp;"","?"))</f>
        <v/>
      </c>
      <c r="N3176" s="2">
        <f>IF(E3176="","",IF(ISNUMBER(SEARCH("SUBSOLO",E3176)),IFERROR(-VALUE(LEFT(E3176,FIND("º",SUBSTITUTE(E3176,"°","º"))-1)),-1),IF(LEFT(E3176,6)="TÉRREO",0,IFERROR(VALUE(LEFT(E3176,FIND("º",SUBSTITUTE(E3176,"°","º"))-1)),""))))</f>
        <v/>
      </c>
      <c r="O3176" s="2">
        <f>IF(OR(F3176="",G3176=""),"",IF(G3176&lt;='RETRATO 2027'!$K$5,"CONCLUÍDA",IF(F3176&lt;='RETRATO 2027'!$K$5,"EM ANDAMENTO","A INICIAR")))</f>
        <v/>
      </c>
    </row>
    <row r="3177">
      <c r="M3177" s="2">
        <f>IF(C3177="","",IFERROR(INDEX($S$5:$S$304,MATCH(C3177,$R$5:$R$304,0))&amp;"","?"))</f>
        <v/>
      </c>
      <c r="N3177" s="2">
        <f>IF(E3177="","",IF(ISNUMBER(SEARCH("SUBSOLO",E3177)),IFERROR(-VALUE(LEFT(E3177,FIND("º",SUBSTITUTE(E3177,"°","º"))-1)),-1),IF(LEFT(E3177,6)="TÉRREO",0,IFERROR(VALUE(LEFT(E3177,FIND("º",SUBSTITUTE(E3177,"°","º"))-1)),""))))</f>
        <v/>
      </c>
      <c r="O3177" s="2">
        <f>IF(OR(F3177="",G3177=""),"",IF(G3177&lt;='RETRATO 2027'!$K$5,"CONCLUÍDA",IF(F3177&lt;='RETRATO 2027'!$K$5,"EM ANDAMENTO","A INICIAR")))</f>
        <v/>
      </c>
    </row>
    <row r="3178">
      <c r="M3178" s="2">
        <f>IF(C3178="","",IFERROR(INDEX($S$5:$S$304,MATCH(C3178,$R$5:$R$304,0))&amp;"","?"))</f>
        <v/>
      </c>
      <c r="N3178" s="2">
        <f>IF(E3178="","",IF(ISNUMBER(SEARCH("SUBSOLO",E3178)),IFERROR(-VALUE(LEFT(E3178,FIND("º",SUBSTITUTE(E3178,"°","º"))-1)),-1),IF(LEFT(E3178,6)="TÉRREO",0,IFERROR(VALUE(LEFT(E3178,FIND("º",SUBSTITUTE(E3178,"°","º"))-1)),""))))</f>
        <v/>
      </c>
      <c r="O3178" s="2">
        <f>IF(OR(F3178="",G3178=""),"",IF(G3178&lt;='RETRATO 2027'!$K$5,"CONCLUÍDA",IF(F3178&lt;='RETRATO 2027'!$K$5,"EM ANDAMENTO","A INICIAR")))</f>
        <v/>
      </c>
    </row>
    <row r="3179">
      <c r="M3179" s="2">
        <f>IF(C3179="","",IFERROR(INDEX($S$5:$S$304,MATCH(C3179,$R$5:$R$304,0))&amp;"","?"))</f>
        <v/>
      </c>
      <c r="N3179" s="2">
        <f>IF(E3179="","",IF(ISNUMBER(SEARCH("SUBSOLO",E3179)),IFERROR(-VALUE(LEFT(E3179,FIND("º",SUBSTITUTE(E3179,"°","º"))-1)),-1),IF(LEFT(E3179,6)="TÉRREO",0,IFERROR(VALUE(LEFT(E3179,FIND("º",SUBSTITUTE(E3179,"°","º"))-1)),""))))</f>
        <v/>
      </c>
      <c r="O3179" s="2">
        <f>IF(OR(F3179="",G3179=""),"",IF(G3179&lt;='RETRATO 2027'!$K$5,"CONCLUÍDA",IF(F3179&lt;='RETRATO 2027'!$K$5,"EM ANDAMENTO","A INICIAR")))</f>
        <v/>
      </c>
    </row>
    <row r="3180">
      <c r="M3180" s="2">
        <f>IF(C3180="","",IFERROR(INDEX($S$5:$S$304,MATCH(C3180,$R$5:$R$304,0))&amp;"","?"))</f>
        <v/>
      </c>
      <c r="N3180" s="2">
        <f>IF(E3180="","",IF(ISNUMBER(SEARCH("SUBSOLO",E3180)),IFERROR(-VALUE(LEFT(E3180,FIND("º",SUBSTITUTE(E3180,"°","º"))-1)),-1),IF(LEFT(E3180,6)="TÉRREO",0,IFERROR(VALUE(LEFT(E3180,FIND("º",SUBSTITUTE(E3180,"°","º"))-1)),""))))</f>
        <v/>
      </c>
      <c r="O3180" s="2">
        <f>IF(OR(F3180="",G3180=""),"",IF(G3180&lt;='RETRATO 2027'!$K$5,"CONCLUÍDA",IF(F3180&lt;='RETRATO 2027'!$K$5,"EM ANDAMENTO","A INICIAR")))</f>
        <v/>
      </c>
    </row>
    <row r="3181">
      <c r="M3181" s="2">
        <f>IF(C3181="","",IFERROR(INDEX($S$5:$S$304,MATCH(C3181,$R$5:$R$304,0))&amp;"","?"))</f>
        <v/>
      </c>
      <c r="N3181" s="2">
        <f>IF(E3181="","",IF(ISNUMBER(SEARCH("SUBSOLO",E3181)),IFERROR(-VALUE(LEFT(E3181,FIND("º",SUBSTITUTE(E3181,"°","º"))-1)),-1),IF(LEFT(E3181,6)="TÉRREO",0,IFERROR(VALUE(LEFT(E3181,FIND("º",SUBSTITUTE(E3181,"°","º"))-1)),""))))</f>
        <v/>
      </c>
      <c r="O3181" s="2">
        <f>IF(OR(F3181="",G3181=""),"",IF(G3181&lt;='RETRATO 2027'!$K$5,"CONCLUÍDA",IF(F3181&lt;='RETRATO 2027'!$K$5,"EM ANDAMENTO","A INICIAR")))</f>
        <v/>
      </c>
    </row>
    <row r="3182">
      <c r="M3182" s="2">
        <f>IF(C3182="","",IFERROR(INDEX($S$5:$S$304,MATCH(C3182,$R$5:$R$304,0))&amp;"","?"))</f>
        <v/>
      </c>
      <c r="N3182" s="2">
        <f>IF(E3182="","",IF(ISNUMBER(SEARCH("SUBSOLO",E3182)),IFERROR(-VALUE(LEFT(E3182,FIND("º",SUBSTITUTE(E3182,"°","º"))-1)),-1),IF(LEFT(E3182,6)="TÉRREO",0,IFERROR(VALUE(LEFT(E3182,FIND("º",SUBSTITUTE(E3182,"°","º"))-1)),""))))</f>
        <v/>
      </c>
      <c r="O3182" s="2">
        <f>IF(OR(F3182="",G3182=""),"",IF(G3182&lt;='RETRATO 2027'!$K$5,"CONCLUÍDA",IF(F3182&lt;='RETRATO 2027'!$K$5,"EM ANDAMENTO","A INICIAR")))</f>
        <v/>
      </c>
    </row>
    <row r="3183">
      <c r="M3183" s="2">
        <f>IF(C3183="","",IFERROR(INDEX($S$5:$S$304,MATCH(C3183,$R$5:$R$304,0))&amp;"","?"))</f>
        <v/>
      </c>
      <c r="N3183" s="2">
        <f>IF(E3183="","",IF(ISNUMBER(SEARCH("SUBSOLO",E3183)),IFERROR(-VALUE(LEFT(E3183,FIND("º",SUBSTITUTE(E3183,"°","º"))-1)),-1),IF(LEFT(E3183,6)="TÉRREO",0,IFERROR(VALUE(LEFT(E3183,FIND("º",SUBSTITUTE(E3183,"°","º"))-1)),""))))</f>
        <v/>
      </c>
      <c r="O3183" s="2">
        <f>IF(OR(F3183="",G3183=""),"",IF(G3183&lt;='RETRATO 2027'!$K$5,"CONCLUÍDA",IF(F3183&lt;='RETRATO 2027'!$K$5,"EM ANDAMENTO","A INICIAR")))</f>
        <v/>
      </c>
    </row>
    <row r="3184">
      <c r="M3184" s="2">
        <f>IF(C3184="","",IFERROR(INDEX($S$5:$S$304,MATCH(C3184,$R$5:$R$304,0))&amp;"","?"))</f>
        <v/>
      </c>
      <c r="N3184" s="2">
        <f>IF(E3184="","",IF(ISNUMBER(SEARCH("SUBSOLO",E3184)),IFERROR(-VALUE(LEFT(E3184,FIND("º",SUBSTITUTE(E3184,"°","º"))-1)),-1),IF(LEFT(E3184,6)="TÉRREO",0,IFERROR(VALUE(LEFT(E3184,FIND("º",SUBSTITUTE(E3184,"°","º"))-1)),""))))</f>
        <v/>
      </c>
      <c r="O3184" s="2">
        <f>IF(OR(F3184="",G3184=""),"",IF(G3184&lt;='RETRATO 2027'!$K$5,"CONCLUÍDA",IF(F3184&lt;='RETRATO 2027'!$K$5,"EM ANDAMENTO","A INICIAR")))</f>
        <v/>
      </c>
    </row>
    <row r="3185">
      <c r="M3185" s="2">
        <f>IF(C3185="","",IFERROR(INDEX($S$5:$S$304,MATCH(C3185,$R$5:$R$304,0))&amp;"","?"))</f>
        <v/>
      </c>
      <c r="N3185" s="2">
        <f>IF(E3185="","",IF(ISNUMBER(SEARCH("SUBSOLO",E3185)),IFERROR(-VALUE(LEFT(E3185,FIND("º",SUBSTITUTE(E3185,"°","º"))-1)),-1),IF(LEFT(E3185,6)="TÉRREO",0,IFERROR(VALUE(LEFT(E3185,FIND("º",SUBSTITUTE(E3185,"°","º"))-1)),""))))</f>
        <v/>
      </c>
      <c r="O3185" s="2">
        <f>IF(OR(F3185="",G3185=""),"",IF(G3185&lt;='RETRATO 2027'!$K$5,"CONCLUÍDA",IF(F3185&lt;='RETRATO 2027'!$K$5,"EM ANDAMENTO","A INICIAR")))</f>
        <v/>
      </c>
    </row>
    <row r="3186">
      <c r="M3186" s="2">
        <f>IF(C3186="","",IFERROR(INDEX($S$5:$S$304,MATCH(C3186,$R$5:$R$304,0))&amp;"","?"))</f>
        <v/>
      </c>
      <c r="N3186" s="2">
        <f>IF(E3186="","",IF(ISNUMBER(SEARCH("SUBSOLO",E3186)),IFERROR(-VALUE(LEFT(E3186,FIND("º",SUBSTITUTE(E3186,"°","º"))-1)),-1),IF(LEFT(E3186,6)="TÉRREO",0,IFERROR(VALUE(LEFT(E3186,FIND("º",SUBSTITUTE(E3186,"°","º"))-1)),""))))</f>
        <v/>
      </c>
      <c r="O3186" s="2">
        <f>IF(OR(F3186="",G3186=""),"",IF(G3186&lt;='RETRATO 2027'!$K$5,"CONCLUÍDA",IF(F3186&lt;='RETRATO 2027'!$K$5,"EM ANDAMENTO","A INICIAR")))</f>
        <v/>
      </c>
    </row>
    <row r="3187">
      <c r="M3187" s="2">
        <f>IF(C3187="","",IFERROR(INDEX($S$5:$S$304,MATCH(C3187,$R$5:$R$304,0))&amp;"","?"))</f>
        <v/>
      </c>
      <c r="N3187" s="2">
        <f>IF(E3187="","",IF(ISNUMBER(SEARCH("SUBSOLO",E3187)),IFERROR(-VALUE(LEFT(E3187,FIND("º",SUBSTITUTE(E3187,"°","º"))-1)),-1),IF(LEFT(E3187,6)="TÉRREO",0,IFERROR(VALUE(LEFT(E3187,FIND("º",SUBSTITUTE(E3187,"°","º"))-1)),""))))</f>
        <v/>
      </c>
      <c r="O3187" s="2">
        <f>IF(OR(F3187="",G3187=""),"",IF(G3187&lt;='RETRATO 2027'!$K$5,"CONCLUÍDA",IF(F3187&lt;='RETRATO 2027'!$K$5,"EM ANDAMENTO","A INICIAR")))</f>
        <v/>
      </c>
    </row>
    <row r="3188">
      <c r="M3188" s="2">
        <f>IF(C3188="","",IFERROR(INDEX($S$5:$S$304,MATCH(C3188,$R$5:$R$304,0))&amp;"","?"))</f>
        <v/>
      </c>
      <c r="N3188" s="2">
        <f>IF(E3188="","",IF(ISNUMBER(SEARCH("SUBSOLO",E3188)),IFERROR(-VALUE(LEFT(E3188,FIND("º",SUBSTITUTE(E3188,"°","º"))-1)),-1),IF(LEFT(E3188,6)="TÉRREO",0,IFERROR(VALUE(LEFT(E3188,FIND("º",SUBSTITUTE(E3188,"°","º"))-1)),""))))</f>
        <v/>
      </c>
      <c r="O3188" s="2">
        <f>IF(OR(F3188="",G3188=""),"",IF(G3188&lt;='RETRATO 2027'!$K$5,"CONCLUÍDA",IF(F3188&lt;='RETRATO 2027'!$K$5,"EM ANDAMENTO","A INICIAR")))</f>
        <v/>
      </c>
    </row>
    <row r="3189">
      <c r="M3189" s="2">
        <f>IF(C3189="","",IFERROR(INDEX($S$5:$S$304,MATCH(C3189,$R$5:$R$304,0))&amp;"","?"))</f>
        <v/>
      </c>
      <c r="N3189" s="2">
        <f>IF(E3189="","",IF(ISNUMBER(SEARCH("SUBSOLO",E3189)),IFERROR(-VALUE(LEFT(E3189,FIND("º",SUBSTITUTE(E3189,"°","º"))-1)),-1),IF(LEFT(E3189,6)="TÉRREO",0,IFERROR(VALUE(LEFT(E3189,FIND("º",SUBSTITUTE(E3189,"°","º"))-1)),""))))</f>
        <v/>
      </c>
      <c r="O3189" s="2">
        <f>IF(OR(F3189="",G3189=""),"",IF(G3189&lt;='RETRATO 2027'!$K$5,"CONCLUÍDA",IF(F3189&lt;='RETRATO 2027'!$K$5,"EM ANDAMENTO","A INICIAR")))</f>
        <v/>
      </c>
    </row>
    <row r="3190">
      <c r="M3190" s="2">
        <f>IF(C3190="","",IFERROR(INDEX($S$5:$S$304,MATCH(C3190,$R$5:$R$304,0))&amp;"","?"))</f>
        <v/>
      </c>
      <c r="N3190" s="2">
        <f>IF(E3190="","",IF(ISNUMBER(SEARCH("SUBSOLO",E3190)),IFERROR(-VALUE(LEFT(E3190,FIND("º",SUBSTITUTE(E3190,"°","º"))-1)),-1),IF(LEFT(E3190,6)="TÉRREO",0,IFERROR(VALUE(LEFT(E3190,FIND("º",SUBSTITUTE(E3190,"°","º"))-1)),""))))</f>
        <v/>
      </c>
      <c r="O3190" s="2">
        <f>IF(OR(F3190="",G3190=""),"",IF(G3190&lt;='RETRATO 2027'!$K$5,"CONCLUÍDA",IF(F3190&lt;='RETRATO 2027'!$K$5,"EM ANDAMENTO","A INICIAR")))</f>
        <v/>
      </c>
    </row>
    <row r="3191">
      <c r="M3191" s="2">
        <f>IF(C3191="","",IFERROR(INDEX($S$5:$S$304,MATCH(C3191,$R$5:$R$304,0))&amp;"","?"))</f>
        <v/>
      </c>
      <c r="N3191" s="2">
        <f>IF(E3191="","",IF(ISNUMBER(SEARCH("SUBSOLO",E3191)),IFERROR(-VALUE(LEFT(E3191,FIND("º",SUBSTITUTE(E3191,"°","º"))-1)),-1),IF(LEFT(E3191,6)="TÉRREO",0,IFERROR(VALUE(LEFT(E3191,FIND("º",SUBSTITUTE(E3191,"°","º"))-1)),""))))</f>
        <v/>
      </c>
      <c r="O3191" s="2">
        <f>IF(OR(F3191="",G3191=""),"",IF(G3191&lt;='RETRATO 2027'!$K$5,"CONCLUÍDA",IF(F3191&lt;='RETRATO 2027'!$K$5,"EM ANDAMENTO","A INICIAR")))</f>
        <v/>
      </c>
    </row>
    <row r="3192">
      <c r="M3192" s="2">
        <f>IF(C3192="","",IFERROR(INDEX($S$5:$S$304,MATCH(C3192,$R$5:$R$304,0))&amp;"","?"))</f>
        <v/>
      </c>
      <c r="N3192" s="2">
        <f>IF(E3192="","",IF(ISNUMBER(SEARCH("SUBSOLO",E3192)),IFERROR(-VALUE(LEFT(E3192,FIND("º",SUBSTITUTE(E3192,"°","º"))-1)),-1),IF(LEFT(E3192,6)="TÉRREO",0,IFERROR(VALUE(LEFT(E3192,FIND("º",SUBSTITUTE(E3192,"°","º"))-1)),""))))</f>
        <v/>
      </c>
      <c r="O3192" s="2">
        <f>IF(OR(F3192="",G3192=""),"",IF(G3192&lt;='RETRATO 2027'!$K$5,"CONCLUÍDA",IF(F3192&lt;='RETRATO 2027'!$K$5,"EM ANDAMENTO","A INICIAR")))</f>
        <v/>
      </c>
    </row>
    <row r="3193">
      <c r="M3193" s="2">
        <f>IF(C3193="","",IFERROR(INDEX($S$5:$S$304,MATCH(C3193,$R$5:$R$304,0))&amp;"","?"))</f>
        <v/>
      </c>
      <c r="N3193" s="2">
        <f>IF(E3193="","",IF(ISNUMBER(SEARCH("SUBSOLO",E3193)),IFERROR(-VALUE(LEFT(E3193,FIND("º",SUBSTITUTE(E3193,"°","º"))-1)),-1),IF(LEFT(E3193,6)="TÉRREO",0,IFERROR(VALUE(LEFT(E3193,FIND("º",SUBSTITUTE(E3193,"°","º"))-1)),""))))</f>
        <v/>
      </c>
      <c r="O3193" s="2">
        <f>IF(OR(F3193="",G3193=""),"",IF(G3193&lt;='RETRATO 2027'!$K$5,"CONCLUÍDA",IF(F3193&lt;='RETRATO 2027'!$K$5,"EM ANDAMENTO","A INICIAR")))</f>
        <v/>
      </c>
    </row>
    <row r="3194">
      <c r="M3194" s="2">
        <f>IF(C3194="","",IFERROR(INDEX($S$5:$S$304,MATCH(C3194,$R$5:$R$304,0))&amp;"","?"))</f>
        <v/>
      </c>
      <c r="N3194" s="2">
        <f>IF(E3194="","",IF(ISNUMBER(SEARCH("SUBSOLO",E3194)),IFERROR(-VALUE(LEFT(E3194,FIND("º",SUBSTITUTE(E3194,"°","º"))-1)),-1),IF(LEFT(E3194,6)="TÉRREO",0,IFERROR(VALUE(LEFT(E3194,FIND("º",SUBSTITUTE(E3194,"°","º"))-1)),""))))</f>
        <v/>
      </c>
      <c r="O3194" s="2">
        <f>IF(OR(F3194="",G3194=""),"",IF(G3194&lt;='RETRATO 2027'!$K$5,"CONCLUÍDA",IF(F3194&lt;='RETRATO 2027'!$K$5,"EM ANDAMENTO","A INICIAR")))</f>
        <v/>
      </c>
    </row>
    <row r="3195">
      <c r="M3195" s="2">
        <f>IF(C3195="","",IFERROR(INDEX($S$5:$S$304,MATCH(C3195,$R$5:$R$304,0))&amp;"","?"))</f>
        <v/>
      </c>
      <c r="N3195" s="2">
        <f>IF(E3195="","",IF(ISNUMBER(SEARCH("SUBSOLO",E3195)),IFERROR(-VALUE(LEFT(E3195,FIND("º",SUBSTITUTE(E3195,"°","º"))-1)),-1),IF(LEFT(E3195,6)="TÉRREO",0,IFERROR(VALUE(LEFT(E3195,FIND("º",SUBSTITUTE(E3195,"°","º"))-1)),""))))</f>
        <v/>
      </c>
      <c r="O3195" s="2">
        <f>IF(OR(F3195="",G3195=""),"",IF(G3195&lt;='RETRATO 2027'!$K$5,"CONCLUÍDA",IF(F3195&lt;='RETRATO 2027'!$K$5,"EM ANDAMENTO","A INICIAR")))</f>
        <v/>
      </c>
    </row>
    <row r="3196">
      <c r="M3196" s="2">
        <f>IF(C3196="","",IFERROR(INDEX($S$5:$S$304,MATCH(C3196,$R$5:$R$304,0))&amp;"","?"))</f>
        <v/>
      </c>
      <c r="N3196" s="2">
        <f>IF(E3196="","",IF(ISNUMBER(SEARCH("SUBSOLO",E3196)),IFERROR(-VALUE(LEFT(E3196,FIND("º",SUBSTITUTE(E3196,"°","º"))-1)),-1),IF(LEFT(E3196,6)="TÉRREO",0,IFERROR(VALUE(LEFT(E3196,FIND("º",SUBSTITUTE(E3196,"°","º"))-1)),""))))</f>
        <v/>
      </c>
      <c r="O3196" s="2">
        <f>IF(OR(F3196="",G3196=""),"",IF(G3196&lt;='RETRATO 2027'!$K$5,"CONCLUÍDA",IF(F3196&lt;='RETRATO 2027'!$K$5,"EM ANDAMENTO","A INICIAR")))</f>
        <v/>
      </c>
    </row>
    <row r="3197">
      <c r="M3197" s="2">
        <f>IF(C3197="","",IFERROR(INDEX($S$5:$S$304,MATCH(C3197,$R$5:$R$304,0))&amp;"","?"))</f>
        <v/>
      </c>
      <c r="N3197" s="2">
        <f>IF(E3197="","",IF(ISNUMBER(SEARCH("SUBSOLO",E3197)),IFERROR(-VALUE(LEFT(E3197,FIND("º",SUBSTITUTE(E3197,"°","º"))-1)),-1),IF(LEFT(E3197,6)="TÉRREO",0,IFERROR(VALUE(LEFT(E3197,FIND("º",SUBSTITUTE(E3197,"°","º"))-1)),""))))</f>
        <v/>
      </c>
      <c r="O3197" s="2">
        <f>IF(OR(F3197="",G3197=""),"",IF(G3197&lt;='RETRATO 2027'!$K$5,"CONCLUÍDA",IF(F3197&lt;='RETRATO 2027'!$K$5,"EM ANDAMENTO","A INICIAR")))</f>
        <v/>
      </c>
    </row>
    <row r="3198">
      <c r="M3198" s="2">
        <f>IF(C3198="","",IFERROR(INDEX($S$5:$S$304,MATCH(C3198,$R$5:$R$304,0))&amp;"","?"))</f>
        <v/>
      </c>
      <c r="N3198" s="2">
        <f>IF(E3198="","",IF(ISNUMBER(SEARCH("SUBSOLO",E3198)),IFERROR(-VALUE(LEFT(E3198,FIND("º",SUBSTITUTE(E3198,"°","º"))-1)),-1),IF(LEFT(E3198,6)="TÉRREO",0,IFERROR(VALUE(LEFT(E3198,FIND("º",SUBSTITUTE(E3198,"°","º"))-1)),""))))</f>
        <v/>
      </c>
      <c r="O3198" s="2">
        <f>IF(OR(F3198="",G3198=""),"",IF(G3198&lt;='RETRATO 2027'!$K$5,"CONCLUÍDA",IF(F3198&lt;='RETRATO 2027'!$K$5,"EM ANDAMENTO","A INICIAR")))</f>
        <v/>
      </c>
    </row>
    <row r="3199">
      <c r="M3199" s="2">
        <f>IF(C3199="","",IFERROR(INDEX($S$5:$S$304,MATCH(C3199,$R$5:$R$304,0))&amp;"","?"))</f>
        <v/>
      </c>
      <c r="N3199" s="2">
        <f>IF(E3199="","",IF(ISNUMBER(SEARCH("SUBSOLO",E3199)),IFERROR(-VALUE(LEFT(E3199,FIND("º",SUBSTITUTE(E3199,"°","º"))-1)),-1),IF(LEFT(E3199,6)="TÉRREO",0,IFERROR(VALUE(LEFT(E3199,FIND("º",SUBSTITUTE(E3199,"°","º"))-1)),""))))</f>
        <v/>
      </c>
      <c r="O3199" s="2">
        <f>IF(OR(F3199="",G3199=""),"",IF(G3199&lt;='RETRATO 2027'!$K$5,"CONCLUÍDA",IF(F3199&lt;='RETRATO 2027'!$K$5,"EM ANDAMENTO","A INICIAR")))</f>
        <v/>
      </c>
    </row>
    <row r="3200">
      <c r="M3200" s="2">
        <f>IF(C3200="","",IFERROR(INDEX($S$5:$S$304,MATCH(C3200,$R$5:$R$304,0))&amp;"","?"))</f>
        <v/>
      </c>
      <c r="N3200" s="2">
        <f>IF(E3200="","",IF(ISNUMBER(SEARCH("SUBSOLO",E3200)),IFERROR(-VALUE(LEFT(E3200,FIND("º",SUBSTITUTE(E3200,"°","º"))-1)),-1),IF(LEFT(E3200,6)="TÉRREO",0,IFERROR(VALUE(LEFT(E3200,FIND("º",SUBSTITUTE(E3200,"°","º"))-1)),""))))</f>
        <v/>
      </c>
      <c r="O3200" s="2">
        <f>IF(OR(F3200="",G3200=""),"",IF(G3200&lt;='RETRATO 2027'!$K$5,"CONCLUÍDA",IF(F3200&lt;='RETRATO 2027'!$K$5,"EM ANDAMENTO","A INICIAR")))</f>
        <v/>
      </c>
    </row>
    <row r="3201">
      <c r="M3201" s="2">
        <f>IF(C3201="","",IFERROR(INDEX($S$5:$S$304,MATCH(C3201,$R$5:$R$304,0))&amp;"","?"))</f>
        <v/>
      </c>
      <c r="N3201" s="2">
        <f>IF(E3201="","",IF(ISNUMBER(SEARCH("SUBSOLO",E3201)),IFERROR(-VALUE(LEFT(E3201,FIND("º",SUBSTITUTE(E3201,"°","º"))-1)),-1),IF(LEFT(E3201,6)="TÉRREO",0,IFERROR(VALUE(LEFT(E3201,FIND("º",SUBSTITUTE(E3201,"°","º"))-1)),""))))</f>
        <v/>
      </c>
      <c r="O3201" s="2">
        <f>IF(OR(F3201="",G3201=""),"",IF(G3201&lt;='RETRATO 2027'!$K$5,"CONCLUÍDA",IF(F3201&lt;='RETRATO 2027'!$K$5,"EM ANDAMENTO","A INICIAR")))</f>
        <v/>
      </c>
    </row>
    <row r="3202">
      <c r="M3202" s="2">
        <f>IF(C3202="","",IFERROR(INDEX($S$5:$S$304,MATCH(C3202,$R$5:$R$304,0))&amp;"","?"))</f>
        <v/>
      </c>
      <c r="N3202" s="2">
        <f>IF(E3202="","",IF(ISNUMBER(SEARCH("SUBSOLO",E3202)),IFERROR(-VALUE(LEFT(E3202,FIND("º",SUBSTITUTE(E3202,"°","º"))-1)),-1),IF(LEFT(E3202,6)="TÉRREO",0,IFERROR(VALUE(LEFT(E3202,FIND("º",SUBSTITUTE(E3202,"°","º"))-1)),""))))</f>
        <v/>
      </c>
      <c r="O3202" s="2">
        <f>IF(OR(F3202="",G3202=""),"",IF(G3202&lt;='RETRATO 2027'!$K$5,"CONCLUÍDA",IF(F3202&lt;='RETRATO 2027'!$K$5,"EM ANDAMENTO","A INICIAR")))</f>
        <v/>
      </c>
    </row>
    <row r="3203">
      <c r="M3203" s="2">
        <f>IF(C3203="","",IFERROR(INDEX($S$5:$S$304,MATCH(C3203,$R$5:$R$304,0))&amp;"","?"))</f>
        <v/>
      </c>
      <c r="N3203" s="2">
        <f>IF(E3203="","",IF(ISNUMBER(SEARCH("SUBSOLO",E3203)),IFERROR(-VALUE(LEFT(E3203,FIND("º",SUBSTITUTE(E3203,"°","º"))-1)),-1),IF(LEFT(E3203,6)="TÉRREO",0,IFERROR(VALUE(LEFT(E3203,FIND("º",SUBSTITUTE(E3203,"°","º"))-1)),""))))</f>
        <v/>
      </c>
      <c r="O3203" s="2">
        <f>IF(OR(F3203="",G3203=""),"",IF(G3203&lt;='RETRATO 2027'!$K$5,"CONCLUÍDA",IF(F3203&lt;='RETRATO 2027'!$K$5,"EM ANDAMENTO","A INICIAR")))</f>
        <v/>
      </c>
    </row>
    <row r="3204">
      <c r="M3204" s="2">
        <f>IF(C3204="","",IFERROR(INDEX($S$5:$S$304,MATCH(C3204,$R$5:$R$304,0))&amp;"","?"))</f>
        <v/>
      </c>
      <c r="N3204" s="2">
        <f>IF(E3204="","",IF(ISNUMBER(SEARCH("SUBSOLO",E3204)),IFERROR(-VALUE(LEFT(E3204,FIND("º",SUBSTITUTE(E3204,"°","º"))-1)),-1),IF(LEFT(E3204,6)="TÉRREO",0,IFERROR(VALUE(LEFT(E3204,FIND("º",SUBSTITUTE(E3204,"°","º"))-1)),""))))</f>
        <v/>
      </c>
      <c r="O3204" s="2">
        <f>IF(OR(F3204="",G3204=""),"",IF(G3204&lt;='RETRATO 2027'!$K$5,"CONCLUÍDA",IF(F3204&lt;='RETRATO 2027'!$K$5,"EM ANDAMENTO","A INICIAR")))</f>
        <v/>
      </c>
    </row>
    <row r="3205">
      <c r="M3205" s="2">
        <f>IF(C3205="","",IFERROR(INDEX($S$5:$S$304,MATCH(C3205,$R$5:$R$304,0))&amp;"","?"))</f>
        <v/>
      </c>
      <c r="N3205" s="2">
        <f>IF(E3205="","",IF(ISNUMBER(SEARCH("SUBSOLO",E3205)),IFERROR(-VALUE(LEFT(E3205,FIND("º",SUBSTITUTE(E3205,"°","º"))-1)),-1),IF(LEFT(E3205,6)="TÉRREO",0,IFERROR(VALUE(LEFT(E3205,FIND("º",SUBSTITUTE(E3205,"°","º"))-1)),""))))</f>
        <v/>
      </c>
      <c r="O3205" s="2">
        <f>IF(OR(F3205="",G3205=""),"",IF(G3205&lt;='RETRATO 2027'!$K$5,"CONCLUÍDA",IF(F3205&lt;='RETRATO 2027'!$K$5,"EM ANDAMENTO","A INICIAR")))</f>
        <v/>
      </c>
    </row>
    <row r="3206">
      <c r="M3206" s="2">
        <f>IF(C3206="","",IFERROR(INDEX($S$5:$S$304,MATCH(C3206,$R$5:$R$304,0))&amp;"","?"))</f>
        <v/>
      </c>
      <c r="N3206" s="2">
        <f>IF(E3206="","",IF(ISNUMBER(SEARCH("SUBSOLO",E3206)),IFERROR(-VALUE(LEFT(E3206,FIND("º",SUBSTITUTE(E3206,"°","º"))-1)),-1),IF(LEFT(E3206,6)="TÉRREO",0,IFERROR(VALUE(LEFT(E3206,FIND("º",SUBSTITUTE(E3206,"°","º"))-1)),""))))</f>
        <v/>
      </c>
      <c r="O3206" s="2">
        <f>IF(OR(F3206="",G3206=""),"",IF(G3206&lt;='RETRATO 2027'!$K$5,"CONCLUÍDA",IF(F3206&lt;='RETRATO 2027'!$K$5,"EM ANDAMENTO","A INICIAR")))</f>
        <v/>
      </c>
    </row>
    <row r="3207">
      <c r="M3207" s="2">
        <f>IF(C3207="","",IFERROR(INDEX($S$5:$S$304,MATCH(C3207,$R$5:$R$304,0))&amp;"","?"))</f>
        <v/>
      </c>
      <c r="N3207" s="2">
        <f>IF(E3207="","",IF(ISNUMBER(SEARCH("SUBSOLO",E3207)),IFERROR(-VALUE(LEFT(E3207,FIND("º",SUBSTITUTE(E3207,"°","º"))-1)),-1),IF(LEFT(E3207,6)="TÉRREO",0,IFERROR(VALUE(LEFT(E3207,FIND("º",SUBSTITUTE(E3207,"°","º"))-1)),""))))</f>
        <v/>
      </c>
      <c r="O3207" s="2">
        <f>IF(OR(F3207="",G3207=""),"",IF(G3207&lt;='RETRATO 2027'!$K$5,"CONCLUÍDA",IF(F3207&lt;='RETRATO 2027'!$K$5,"EM ANDAMENTO","A INICIAR")))</f>
        <v/>
      </c>
    </row>
    <row r="3208">
      <c r="M3208" s="2">
        <f>IF(C3208="","",IFERROR(INDEX($S$5:$S$304,MATCH(C3208,$R$5:$R$304,0))&amp;"","?"))</f>
        <v/>
      </c>
      <c r="N3208" s="2">
        <f>IF(E3208="","",IF(ISNUMBER(SEARCH("SUBSOLO",E3208)),IFERROR(-VALUE(LEFT(E3208,FIND("º",SUBSTITUTE(E3208,"°","º"))-1)),-1),IF(LEFT(E3208,6)="TÉRREO",0,IFERROR(VALUE(LEFT(E3208,FIND("º",SUBSTITUTE(E3208,"°","º"))-1)),""))))</f>
        <v/>
      </c>
      <c r="O3208" s="2">
        <f>IF(OR(F3208="",G3208=""),"",IF(G3208&lt;='RETRATO 2027'!$K$5,"CONCLUÍDA",IF(F3208&lt;='RETRATO 2027'!$K$5,"EM ANDAMENTO","A INICIAR")))</f>
        <v/>
      </c>
    </row>
    <row r="3209">
      <c r="M3209" s="2">
        <f>IF(C3209="","",IFERROR(INDEX($S$5:$S$304,MATCH(C3209,$R$5:$R$304,0))&amp;"","?"))</f>
        <v/>
      </c>
      <c r="N3209" s="2">
        <f>IF(E3209="","",IF(ISNUMBER(SEARCH("SUBSOLO",E3209)),IFERROR(-VALUE(LEFT(E3209,FIND("º",SUBSTITUTE(E3209,"°","º"))-1)),-1),IF(LEFT(E3209,6)="TÉRREO",0,IFERROR(VALUE(LEFT(E3209,FIND("º",SUBSTITUTE(E3209,"°","º"))-1)),""))))</f>
        <v/>
      </c>
      <c r="O3209" s="2">
        <f>IF(OR(F3209="",G3209=""),"",IF(G3209&lt;='RETRATO 2027'!$K$5,"CONCLUÍDA",IF(F3209&lt;='RETRATO 2027'!$K$5,"EM ANDAMENTO","A INICIAR")))</f>
        <v/>
      </c>
    </row>
    <row r="3210">
      <c r="M3210" s="2">
        <f>IF(C3210="","",IFERROR(INDEX($S$5:$S$304,MATCH(C3210,$R$5:$R$304,0))&amp;"","?"))</f>
        <v/>
      </c>
      <c r="N3210" s="2">
        <f>IF(E3210="","",IF(ISNUMBER(SEARCH("SUBSOLO",E3210)),IFERROR(-VALUE(LEFT(E3210,FIND("º",SUBSTITUTE(E3210,"°","º"))-1)),-1),IF(LEFT(E3210,6)="TÉRREO",0,IFERROR(VALUE(LEFT(E3210,FIND("º",SUBSTITUTE(E3210,"°","º"))-1)),""))))</f>
        <v/>
      </c>
      <c r="O3210" s="2">
        <f>IF(OR(F3210="",G3210=""),"",IF(G3210&lt;='RETRATO 2027'!$K$5,"CONCLUÍDA",IF(F3210&lt;='RETRATO 2027'!$K$5,"EM ANDAMENTO","A INICIAR")))</f>
        <v/>
      </c>
    </row>
    <row r="3211">
      <c r="M3211" s="2">
        <f>IF(C3211="","",IFERROR(INDEX($S$5:$S$304,MATCH(C3211,$R$5:$R$304,0))&amp;"","?"))</f>
        <v/>
      </c>
      <c r="N3211" s="2">
        <f>IF(E3211="","",IF(ISNUMBER(SEARCH("SUBSOLO",E3211)),IFERROR(-VALUE(LEFT(E3211,FIND("º",SUBSTITUTE(E3211,"°","º"))-1)),-1),IF(LEFT(E3211,6)="TÉRREO",0,IFERROR(VALUE(LEFT(E3211,FIND("º",SUBSTITUTE(E3211,"°","º"))-1)),""))))</f>
        <v/>
      </c>
      <c r="O3211" s="2">
        <f>IF(OR(F3211="",G3211=""),"",IF(G3211&lt;='RETRATO 2027'!$K$5,"CONCLUÍDA",IF(F3211&lt;='RETRATO 2027'!$K$5,"EM ANDAMENTO","A INICIAR")))</f>
        <v/>
      </c>
    </row>
    <row r="3212">
      <c r="M3212" s="2">
        <f>IF(C3212="","",IFERROR(INDEX($S$5:$S$304,MATCH(C3212,$R$5:$R$304,0))&amp;"","?"))</f>
        <v/>
      </c>
      <c r="N3212" s="2">
        <f>IF(E3212="","",IF(ISNUMBER(SEARCH("SUBSOLO",E3212)),IFERROR(-VALUE(LEFT(E3212,FIND("º",SUBSTITUTE(E3212,"°","º"))-1)),-1),IF(LEFT(E3212,6)="TÉRREO",0,IFERROR(VALUE(LEFT(E3212,FIND("º",SUBSTITUTE(E3212,"°","º"))-1)),""))))</f>
        <v/>
      </c>
      <c r="O3212" s="2">
        <f>IF(OR(F3212="",G3212=""),"",IF(G3212&lt;='RETRATO 2027'!$K$5,"CONCLUÍDA",IF(F3212&lt;='RETRATO 2027'!$K$5,"EM ANDAMENTO","A INICIAR")))</f>
        <v/>
      </c>
    </row>
    <row r="3213">
      <c r="M3213" s="2">
        <f>IF(C3213="","",IFERROR(INDEX($S$5:$S$304,MATCH(C3213,$R$5:$R$304,0))&amp;"","?"))</f>
        <v/>
      </c>
      <c r="N3213" s="2">
        <f>IF(E3213="","",IF(ISNUMBER(SEARCH("SUBSOLO",E3213)),IFERROR(-VALUE(LEFT(E3213,FIND("º",SUBSTITUTE(E3213,"°","º"))-1)),-1),IF(LEFT(E3213,6)="TÉRREO",0,IFERROR(VALUE(LEFT(E3213,FIND("º",SUBSTITUTE(E3213,"°","º"))-1)),""))))</f>
        <v/>
      </c>
      <c r="O3213" s="2">
        <f>IF(OR(F3213="",G3213=""),"",IF(G3213&lt;='RETRATO 2027'!$K$5,"CONCLUÍDA",IF(F3213&lt;='RETRATO 2027'!$K$5,"EM ANDAMENTO","A INICIAR")))</f>
        <v/>
      </c>
    </row>
    <row r="3214">
      <c r="M3214" s="2">
        <f>IF(C3214="","",IFERROR(INDEX($S$5:$S$304,MATCH(C3214,$R$5:$R$304,0))&amp;"","?"))</f>
        <v/>
      </c>
      <c r="N3214" s="2">
        <f>IF(E3214="","",IF(ISNUMBER(SEARCH("SUBSOLO",E3214)),IFERROR(-VALUE(LEFT(E3214,FIND("º",SUBSTITUTE(E3214,"°","º"))-1)),-1),IF(LEFT(E3214,6)="TÉRREO",0,IFERROR(VALUE(LEFT(E3214,FIND("º",SUBSTITUTE(E3214,"°","º"))-1)),""))))</f>
        <v/>
      </c>
      <c r="O3214" s="2">
        <f>IF(OR(F3214="",G3214=""),"",IF(G3214&lt;='RETRATO 2027'!$K$5,"CONCLUÍDA",IF(F3214&lt;='RETRATO 2027'!$K$5,"EM ANDAMENTO","A INICIAR")))</f>
        <v/>
      </c>
    </row>
    <row r="3215">
      <c r="M3215" s="2">
        <f>IF(C3215="","",IFERROR(INDEX($S$5:$S$304,MATCH(C3215,$R$5:$R$304,0))&amp;"","?"))</f>
        <v/>
      </c>
      <c r="N3215" s="2">
        <f>IF(E3215="","",IF(ISNUMBER(SEARCH("SUBSOLO",E3215)),IFERROR(-VALUE(LEFT(E3215,FIND("º",SUBSTITUTE(E3215,"°","º"))-1)),-1),IF(LEFT(E3215,6)="TÉRREO",0,IFERROR(VALUE(LEFT(E3215,FIND("º",SUBSTITUTE(E3215,"°","º"))-1)),""))))</f>
        <v/>
      </c>
      <c r="O3215" s="2">
        <f>IF(OR(F3215="",G3215=""),"",IF(G3215&lt;='RETRATO 2027'!$K$5,"CONCLUÍDA",IF(F3215&lt;='RETRATO 2027'!$K$5,"EM ANDAMENTO","A INICIAR")))</f>
        <v/>
      </c>
    </row>
    <row r="3216">
      <c r="M3216" s="2">
        <f>IF(C3216="","",IFERROR(INDEX($S$5:$S$304,MATCH(C3216,$R$5:$R$304,0))&amp;"","?"))</f>
        <v/>
      </c>
      <c r="N3216" s="2">
        <f>IF(E3216="","",IF(ISNUMBER(SEARCH("SUBSOLO",E3216)),IFERROR(-VALUE(LEFT(E3216,FIND("º",SUBSTITUTE(E3216,"°","º"))-1)),-1),IF(LEFT(E3216,6)="TÉRREO",0,IFERROR(VALUE(LEFT(E3216,FIND("º",SUBSTITUTE(E3216,"°","º"))-1)),""))))</f>
        <v/>
      </c>
      <c r="O3216" s="2">
        <f>IF(OR(F3216="",G3216=""),"",IF(G3216&lt;='RETRATO 2027'!$K$5,"CONCLUÍDA",IF(F3216&lt;='RETRATO 2027'!$K$5,"EM ANDAMENTO","A INICIAR")))</f>
        <v/>
      </c>
    </row>
    <row r="3217">
      <c r="M3217" s="2">
        <f>IF(C3217="","",IFERROR(INDEX($S$5:$S$304,MATCH(C3217,$R$5:$R$304,0))&amp;"","?"))</f>
        <v/>
      </c>
      <c r="N3217" s="2">
        <f>IF(E3217="","",IF(ISNUMBER(SEARCH("SUBSOLO",E3217)),IFERROR(-VALUE(LEFT(E3217,FIND("º",SUBSTITUTE(E3217,"°","º"))-1)),-1),IF(LEFT(E3217,6)="TÉRREO",0,IFERROR(VALUE(LEFT(E3217,FIND("º",SUBSTITUTE(E3217,"°","º"))-1)),""))))</f>
        <v/>
      </c>
      <c r="O3217" s="2">
        <f>IF(OR(F3217="",G3217=""),"",IF(G3217&lt;='RETRATO 2027'!$K$5,"CONCLUÍDA",IF(F3217&lt;='RETRATO 2027'!$K$5,"EM ANDAMENTO","A INICIAR")))</f>
        <v/>
      </c>
    </row>
    <row r="3218">
      <c r="M3218" s="2">
        <f>IF(C3218="","",IFERROR(INDEX($S$5:$S$304,MATCH(C3218,$R$5:$R$304,0))&amp;"","?"))</f>
        <v/>
      </c>
      <c r="N3218" s="2">
        <f>IF(E3218="","",IF(ISNUMBER(SEARCH("SUBSOLO",E3218)),IFERROR(-VALUE(LEFT(E3218,FIND("º",SUBSTITUTE(E3218,"°","º"))-1)),-1),IF(LEFT(E3218,6)="TÉRREO",0,IFERROR(VALUE(LEFT(E3218,FIND("º",SUBSTITUTE(E3218,"°","º"))-1)),""))))</f>
        <v/>
      </c>
      <c r="O3218" s="2">
        <f>IF(OR(F3218="",G3218=""),"",IF(G3218&lt;='RETRATO 2027'!$K$5,"CONCLUÍDA",IF(F3218&lt;='RETRATO 2027'!$K$5,"EM ANDAMENTO","A INICIAR")))</f>
        <v/>
      </c>
    </row>
    <row r="3219">
      <c r="M3219" s="2">
        <f>IF(C3219="","",IFERROR(INDEX($S$5:$S$304,MATCH(C3219,$R$5:$R$304,0))&amp;"","?"))</f>
        <v/>
      </c>
      <c r="N3219" s="2">
        <f>IF(E3219="","",IF(ISNUMBER(SEARCH("SUBSOLO",E3219)),IFERROR(-VALUE(LEFT(E3219,FIND("º",SUBSTITUTE(E3219,"°","º"))-1)),-1),IF(LEFT(E3219,6)="TÉRREO",0,IFERROR(VALUE(LEFT(E3219,FIND("º",SUBSTITUTE(E3219,"°","º"))-1)),""))))</f>
        <v/>
      </c>
      <c r="O3219" s="2">
        <f>IF(OR(F3219="",G3219=""),"",IF(G3219&lt;='RETRATO 2027'!$K$5,"CONCLUÍDA",IF(F3219&lt;='RETRATO 2027'!$K$5,"EM ANDAMENTO","A INICIAR")))</f>
        <v/>
      </c>
    </row>
    <row r="3220">
      <c r="M3220" s="2">
        <f>IF(C3220="","",IFERROR(INDEX($S$5:$S$304,MATCH(C3220,$R$5:$R$304,0))&amp;"","?"))</f>
        <v/>
      </c>
      <c r="N3220" s="2">
        <f>IF(E3220="","",IF(ISNUMBER(SEARCH("SUBSOLO",E3220)),IFERROR(-VALUE(LEFT(E3220,FIND("º",SUBSTITUTE(E3220,"°","º"))-1)),-1),IF(LEFT(E3220,6)="TÉRREO",0,IFERROR(VALUE(LEFT(E3220,FIND("º",SUBSTITUTE(E3220,"°","º"))-1)),""))))</f>
        <v/>
      </c>
      <c r="O3220" s="2">
        <f>IF(OR(F3220="",G3220=""),"",IF(G3220&lt;='RETRATO 2027'!$K$5,"CONCLUÍDA",IF(F3220&lt;='RETRATO 2027'!$K$5,"EM ANDAMENTO","A INICIAR")))</f>
        <v/>
      </c>
    </row>
    <row r="3221">
      <c r="M3221" s="2">
        <f>IF(C3221="","",IFERROR(INDEX($S$5:$S$304,MATCH(C3221,$R$5:$R$304,0))&amp;"","?"))</f>
        <v/>
      </c>
      <c r="N3221" s="2">
        <f>IF(E3221="","",IF(ISNUMBER(SEARCH("SUBSOLO",E3221)),IFERROR(-VALUE(LEFT(E3221,FIND("º",SUBSTITUTE(E3221,"°","º"))-1)),-1),IF(LEFT(E3221,6)="TÉRREO",0,IFERROR(VALUE(LEFT(E3221,FIND("º",SUBSTITUTE(E3221,"°","º"))-1)),""))))</f>
        <v/>
      </c>
      <c r="O3221" s="2">
        <f>IF(OR(F3221="",G3221=""),"",IF(G3221&lt;='RETRATO 2027'!$K$5,"CONCLUÍDA",IF(F3221&lt;='RETRATO 2027'!$K$5,"EM ANDAMENTO","A INICIAR")))</f>
        <v/>
      </c>
    </row>
    <row r="3222">
      <c r="M3222" s="2">
        <f>IF(C3222="","",IFERROR(INDEX($S$5:$S$304,MATCH(C3222,$R$5:$R$304,0))&amp;"","?"))</f>
        <v/>
      </c>
      <c r="N3222" s="2">
        <f>IF(E3222="","",IF(ISNUMBER(SEARCH("SUBSOLO",E3222)),IFERROR(-VALUE(LEFT(E3222,FIND("º",SUBSTITUTE(E3222,"°","º"))-1)),-1),IF(LEFT(E3222,6)="TÉRREO",0,IFERROR(VALUE(LEFT(E3222,FIND("º",SUBSTITUTE(E3222,"°","º"))-1)),""))))</f>
        <v/>
      </c>
      <c r="O3222" s="2">
        <f>IF(OR(F3222="",G3222=""),"",IF(G3222&lt;='RETRATO 2027'!$K$5,"CONCLUÍDA",IF(F3222&lt;='RETRATO 2027'!$K$5,"EM ANDAMENTO","A INICIAR")))</f>
        <v/>
      </c>
    </row>
    <row r="3223">
      <c r="M3223" s="2">
        <f>IF(C3223="","",IFERROR(INDEX($S$5:$S$304,MATCH(C3223,$R$5:$R$304,0))&amp;"","?"))</f>
        <v/>
      </c>
      <c r="N3223" s="2">
        <f>IF(E3223="","",IF(ISNUMBER(SEARCH("SUBSOLO",E3223)),IFERROR(-VALUE(LEFT(E3223,FIND("º",SUBSTITUTE(E3223,"°","º"))-1)),-1),IF(LEFT(E3223,6)="TÉRREO",0,IFERROR(VALUE(LEFT(E3223,FIND("º",SUBSTITUTE(E3223,"°","º"))-1)),""))))</f>
        <v/>
      </c>
      <c r="O3223" s="2">
        <f>IF(OR(F3223="",G3223=""),"",IF(G3223&lt;='RETRATO 2027'!$K$5,"CONCLUÍDA",IF(F3223&lt;='RETRATO 2027'!$K$5,"EM ANDAMENTO","A INICIAR")))</f>
        <v/>
      </c>
    </row>
    <row r="3224">
      <c r="M3224" s="2">
        <f>IF(C3224="","",IFERROR(INDEX($S$5:$S$304,MATCH(C3224,$R$5:$R$304,0))&amp;"","?"))</f>
        <v/>
      </c>
      <c r="N3224" s="2">
        <f>IF(E3224="","",IF(ISNUMBER(SEARCH("SUBSOLO",E3224)),IFERROR(-VALUE(LEFT(E3224,FIND("º",SUBSTITUTE(E3224,"°","º"))-1)),-1),IF(LEFT(E3224,6)="TÉRREO",0,IFERROR(VALUE(LEFT(E3224,FIND("º",SUBSTITUTE(E3224,"°","º"))-1)),""))))</f>
        <v/>
      </c>
      <c r="O3224" s="2">
        <f>IF(OR(F3224="",G3224=""),"",IF(G3224&lt;='RETRATO 2027'!$K$5,"CONCLUÍDA",IF(F3224&lt;='RETRATO 2027'!$K$5,"EM ANDAMENTO","A INICIAR")))</f>
        <v/>
      </c>
    </row>
    <row r="3225">
      <c r="M3225" s="2">
        <f>IF(C3225="","",IFERROR(INDEX($S$5:$S$304,MATCH(C3225,$R$5:$R$304,0))&amp;"","?"))</f>
        <v/>
      </c>
      <c r="N3225" s="2">
        <f>IF(E3225="","",IF(ISNUMBER(SEARCH("SUBSOLO",E3225)),IFERROR(-VALUE(LEFT(E3225,FIND("º",SUBSTITUTE(E3225,"°","º"))-1)),-1),IF(LEFT(E3225,6)="TÉRREO",0,IFERROR(VALUE(LEFT(E3225,FIND("º",SUBSTITUTE(E3225,"°","º"))-1)),""))))</f>
        <v/>
      </c>
      <c r="O3225" s="2">
        <f>IF(OR(F3225="",G3225=""),"",IF(G3225&lt;='RETRATO 2027'!$K$5,"CONCLUÍDA",IF(F3225&lt;='RETRATO 2027'!$K$5,"EM ANDAMENTO","A INICIAR")))</f>
        <v/>
      </c>
    </row>
    <row r="3226">
      <c r="M3226" s="2">
        <f>IF(C3226="","",IFERROR(INDEX($S$5:$S$304,MATCH(C3226,$R$5:$R$304,0))&amp;"","?"))</f>
        <v/>
      </c>
      <c r="N3226" s="2">
        <f>IF(E3226="","",IF(ISNUMBER(SEARCH("SUBSOLO",E3226)),IFERROR(-VALUE(LEFT(E3226,FIND("º",SUBSTITUTE(E3226,"°","º"))-1)),-1),IF(LEFT(E3226,6)="TÉRREO",0,IFERROR(VALUE(LEFT(E3226,FIND("º",SUBSTITUTE(E3226,"°","º"))-1)),""))))</f>
        <v/>
      </c>
      <c r="O3226" s="2">
        <f>IF(OR(F3226="",G3226=""),"",IF(G3226&lt;='RETRATO 2027'!$K$5,"CONCLUÍDA",IF(F3226&lt;='RETRATO 2027'!$K$5,"EM ANDAMENTO","A INICIAR")))</f>
        <v/>
      </c>
    </row>
    <row r="3227">
      <c r="M3227" s="2">
        <f>IF(C3227="","",IFERROR(INDEX($S$5:$S$304,MATCH(C3227,$R$5:$R$304,0))&amp;"","?"))</f>
        <v/>
      </c>
      <c r="N3227" s="2">
        <f>IF(E3227="","",IF(ISNUMBER(SEARCH("SUBSOLO",E3227)),IFERROR(-VALUE(LEFT(E3227,FIND("º",SUBSTITUTE(E3227,"°","º"))-1)),-1),IF(LEFT(E3227,6)="TÉRREO",0,IFERROR(VALUE(LEFT(E3227,FIND("º",SUBSTITUTE(E3227,"°","º"))-1)),""))))</f>
        <v/>
      </c>
      <c r="O3227" s="2">
        <f>IF(OR(F3227="",G3227=""),"",IF(G3227&lt;='RETRATO 2027'!$K$5,"CONCLUÍDA",IF(F3227&lt;='RETRATO 2027'!$K$5,"EM ANDAMENTO","A INICIAR")))</f>
        <v/>
      </c>
    </row>
    <row r="3228">
      <c r="M3228" s="2">
        <f>IF(C3228="","",IFERROR(INDEX($S$5:$S$304,MATCH(C3228,$R$5:$R$304,0))&amp;"","?"))</f>
        <v/>
      </c>
      <c r="N3228" s="2">
        <f>IF(E3228="","",IF(ISNUMBER(SEARCH("SUBSOLO",E3228)),IFERROR(-VALUE(LEFT(E3228,FIND("º",SUBSTITUTE(E3228,"°","º"))-1)),-1),IF(LEFT(E3228,6)="TÉRREO",0,IFERROR(VALUE(LEFT(E3228,FIND("º",SUBSTITUTE(E3228,"°","º"))-1)),""))))</f>
        <v/>
      </c>
      <c r="O3228" s="2">
        <f>IF(OR(F3228="",G3228=""),"",IF(G3228&lt;='RETRATO 2027'!$K$5,"CONCLUÍDA",IF(F3228&lt;='RETRATO 2027'!$K$5,"EM ANDAMENTO","A INICIAR")))</f>
        <v/>
      </c>
    </row>
    <row r="3229">
      <c r="M3229" s="2">
        <f>IF(C3229="","",IFERROR(INDEX($S$5:$S$304,MATCH(C3229,$R$5:$R$304,0))&amp;"","?"))</f>
        <v/>
      </c>
      <c r="N3229" s="2">
        <f>IF(E3229="","",IF(ISNUMBER(SEARCH("SUBSOLO",E3229)),IFERROR(-VALUE(LEFT(E3229,FIND("º",SUBSTITUTE(E3229,"°","º"))-1)),-1),IF(LEFT(E3229,6)="TÉRREO",0,IFERROR(VALUE(LEFT(E3229,FIND("º",SUBSTITUTE(E3229,"°","º"))-1)),""))))</f>
        <v/>
      </c>
      <c r="O3229" s="2">
        <f>IF(OR(F3229="",G3229=""),"",IF(G3229&lt;='RETRATO 2027'!$K$5,"CONCLUÍDA",IF(F3229&lt;='RETRATO 2027'!$K$5,"EM ANDAMENTO","A INICIAR")))</f>
        <v/>
      </c>
    </row>
    <row r="3230">
      <c r="M3230" s="2">
        <f>IF(C3230="","",IFERROR(INDEX($S$5:$S$304,MATCH(C3230,$R$5:$R$304,0))&amp;"","?"))</f>
        <v/>
      </c>
      <c r="N3230" s="2">
        <f>IF(E3230="","",IF(ISNUMBER(SEARCH("SUBSOLO",E3230)),IFERROR(-VALUE(LEFT(E3230,FIND("º",SUBSTITUTE(E3230,"°","º"))-1)),-1),IF(LEFT(E3230,6)="TÉRREO",0,IFERROR(VALUE(LEFT(E3230,FIND("º",SUBSTITUTE(E3230,"°","º"))-1)),""))))</f>
        <v/>
      </c>
      <c r="O3230" s="2">
        <f>IF(OR(F3230="",G3230=""),"",IF(G3230&lt;='RETRATO 2027'!$K$5,"CONCLUÍDA",IF(F3230&lt;='RETRATO 2027'!$K$5,"EM ANDAMENTO","A INICIAR")))</f>
        <v/>
      </c>
    </row>
    <row r="3231">
      <c r="M3231" s="2">
        <f>IF(C3231="","",IFERROR(INDEX($S$5:$S$304,MATCH(C3231,$R$5:$R$304,0))&amp;"","?"))</f>
        <v/>
      </c>
      <c r="N3231" s="2">
        <f>IF(E3231="","",IF(ISNUMBER(SEARCH("SUBSOLO",E3231)),IFERROR(-VALUE(LEFT(E3231,FIND("º",SUBSTITUTE(E3231,"°","º"))-1)),-1),IF(LEFT(E3231,6)="TÉRREO",0,IFERROR(VALUE(LEFT(E3231,FIND("º",SUBSTITUTE(E3231,"°","º"))-1)),""))))</f>
        <v/>
      </c>
      <c r="O3231" s="2">
        <f>IF(OR(F3231="",G3231=""),"",IF(G3231&lt;='RETRATO 2027'!$K$5,"CONCLUÍDA",IF(F3231&lt;='RETRATO 2027'!$K$5,"EM ANDAMENTO","A INICIAR")))</f>
        <v/>
      </c>
    </row>
    <row r="3232">
      <c r="M3232" s="2">
        <f>IF(C3232="","",IFERROR(INDEX($S$5:$S$304,MATCH(C3232,$R$5:$R$304,0))&amp;"","?"))</f>
        <v/>
      </c>
      <c r="N3232" s="2">
        <f>IF(E3232="","",IF(ISNUMBER(SEARCH("SUBSOLO",E3232)),IFERROR(-VALUE(LEFT(E3232,FIND("º",SUBSTITUTE(E3232,"°","º"))-1)),-1),IF(LEFT(E3232,6)="TÉRREO",0,IFERROR(VALUE(LEFT(E3232,FIND("º",SUBSTITUTE(E3232,"°","º"))-1)),""))))</f>
        <v/>
      </c>
      <c r="O3232" s="2">
        <f>IF(OR(F3232="",G3232=""),"",IF(G3232&lt;='RETRATO 2027'!$K$5,"CONCLUÍDA",IF(F3232&lt;='RETRATO 2027'!$K$5,"EM ANDAMENTO","A INICIAR")))</f>
        <v/>
      </c>
    </row>
    <row r="3233">
      <c r="M3233" s="2">
        <f>IF(C3233="","",IFERROR(INDEX($S$5:$S$304,MATCH(C3233,$R$5:$R$304,0))&amp;"","?"))</f>
        <v/>
      </c>
      <c r="N3233" s="2">
        <f>IF(E3233="","",IF(ISNUMBER(SEARCH("SUBSOLO",E3233)),IFERROR(-VALUE(LEFT(E3233,FIND("º",SUBSTITUTE(E3233,"°","º"))-1)),-1),IF(LEFT(E3233,6)="TÉRREO",0,IFERROR(VALUE(LEFT(E3233,FIND("º",SUBSTITUTE(E3233,"°","º"))-1)),""))))</f>
        <v/>
      </c>
      <c r="O3233" s="2">
        <f>IF(OR(F3233="",G3233=""),"",IF(G3233&lt;='RETRATO 2027'!$K$5,"CONCLUÍDA",IF(F3233&lt;='RETRATO 2027'!$K$5,"EM ANDAMENTO","A INICIAR")))</f>
        <v/>
      </c>
    </row>
    <row r="3234">
      <c r="M3234" s="2">
        <f>IF(C3234="","",IFERROR(INDEX($S$5:$S$304,MATCH(C3234,$R$5:$R$304,0))&amp;"","?"))</f>
        <v/>
      </c>
      <c r="N3234" s="2">
        <f>IF(E3234="","",IF(ISNUMBER(SEARCH("SUBSOLO",E3234)),IFERROR(-VALUE(LEFT(E3234,FIND("º",SUBSTITUTE(E3234,"°","º"))-1)),-1),IF(LEFT(E3234,6)="TÉRREO",0,IFERROR(VALUE(LEFT(E3234,FIND("º",SUBSTITUTE(E3234,"°","º"))-1)),""))))</f>
        <v/>
      </c>
      <c r="O3234" s="2">
        <f>IF(OR(F3234="",G3234=""),"",IF(G3234&lt;='RETRATO 2027'!$K$5,"CONCLUÍDA",IF(F3234&lt;='RETRATO 2027'!$K$5,"EM ANDAMENTO","A INICIAR")))</f>
        <v/>
      </c>
    </row>
    <row r="3235">
      <c r="M3235" s="2">
        <f>IF(C3235="","",IFERROR(INDEX($S$5:$S$304,MATCH(C3235,$R$5:$R$304,0))&amp;"","?"))</f>
        <v/>
      </c>
      <c r="N3235" s="2">
        <f>IF(E3235="","",IF(ISNUMBER(SEARCH("SUBSOLO",E3235)),IFERROR(-VALUE(LEFT(E3235,FIND("º",SUBSTITUTE(E3235,"°","º"))-1)),-1),IF(LEFT(E3235,6)="TÉRREO",0,IFERROR(VALUE(LEFT(E3235,FIND("º",SUBSTITUTE(E3235,"°","º"))-1)),""))))</f>
        <v/>
      </c>
      <c r="O3235" s="2">
        <f>IF(OR(F3235="",G3235=""),"",IF(G3235&lt;='RETRATO 2027'!$K$5,"CONCLUÍDA",IF(F3235&lt;='RETRATO 2027'!$K$5,"EM ANDAMENTO","A INICIAR")))</f>
        <v/>
      </c>
    </row>
    <row r="3236">
      <c r="M3236" s="2">
        <f>IF(C3236="","",IFERROR(INDEX($S$5:$S$304,MATCH(C3236,$R$5:$R$304,0))&amp;"","?"))</f>
        <v/>
      </c>
      <c r="N3236" s="2">
        <f>IF(E3236="","",IF(ISNUMBER(SEARCH("SUBSOLO",E3236)),IFERROR(-VALUE(LEFT(E3236,FIND("º",SUBSTITUTE(E3236,"°","º"))-1)),-1),IF(LEFT(E3236,6)="TÉRREO",0,IFERROR(VALUE(LEFT(E3236,FIND("º",SUBSTITUTE(E3236,"°","º"))-1)),""))))</f>
        <v/>
      </c>
      <c r="O3236" s="2">
        <f>IF(OR(F3236="",G3236=""),"",IF(G3236&lt;='RETRATO 2027'!$K$5,"CONCLUÍDA",IF(F3236&lt;='RETRATO 2027'!$K$5,"EM ANDAMENTO","A INICIAR")))</f>
        <v/>
      </c>
    </row>
    <row r="3237">
      <c r="M3237" s="2">
        <f>IF(C3237="","",IFERROR(INDEX($S$5:$S$304,MATCH(C3237,$R$5:$R$304,0))&amp;"","?"))</f>
        <v/>
      </c>
      <c r="N3237" s="2">
        <f>IF(E3237="","",IF(ISNUMBER(SEARCH("SUBSOLO",E3237)),IFERROR(-VALUE(LEFT(E3237,FIND("º",SUBSTITUTE(E3237,"°","º"))-1)),-1),IF(LEFT(E3237,6)="TÉRREO",0,IFERROR(VALUE(LEFT(E3237,FIND("º",SUBSTITUTE(E3237,"°","º"))-1)),""))))</f>
        <v/>
      </c>
      <c r="O3237" s="2">
        <f>IF(OR(F3237="",G3237=""),"",IF(G3237&lt;='RETRATO 2027'!$K$5,"CONCLUÍDA",IF(F3237&lt;='RETRATO 2027'!$K$5,"EM ANDAMENTO","A INICIAR")))</f>
        <v/>
      </c>
    </row>
    <row r="3238">
      <c r="M3238" s="2">
        <f>IF(C3238="","",IFERROR(INDEX($S$5:$S$304,MATCH(C3238,$R$5:$R$304,0))&amp;"","?"))</f>
        <v/>
      </c>
      <c r="N3238" s="2">
        <f>IF(E3238="","",IF(ISNUMBER(SEARCH("SUBSOLO",E3238)),IFERROR(-VALUE(LEFT(E3238,FIND("º",SUBSTITUTE(E3238,"°","º"))-1)),-1),IF(LEFT(E3238,6)="TÉRREO",0,IFERROR(VALUE(LEFT(E3238,FIND("º",SUBSTITUTE(E3238,"°","º"))-1)),""))))</f>
        <v/>
      </c>
      <c r="O3238" s="2">
        <f>IF(OR(F3238="",G3238=""),"",IF(G3238&lt;='RETRATO 2027'!$K$5,"CONCLUÍDA",IF(F3238&lt;='RETRATO 2027'!$K$5,"EM ANDAMENTO","A INICIAR")))</f>
        <v/>
      </c>
    </row>
    <row r="3239">
      <c r="M3239" s="2">
        <f>IF(C3239="","",IFERROR(INDEX($S$5:$S$304,MATCH(C3239,$R$5:$R$304,0))&amp;"","?"))</f>
        <v/>
      </c>
      <c r="N3239" s="2">
        <f>IF(E3239="","",IF(ISNUMBER(SEARCH("SUBSOLO",E3239)),IFERROR(-VALUE(LEFT(E3239,FIND("º",SUBSTITUTE(E3239,"°","º"))-1)),-1),IF(LEFT(E3239,6)="TÉRREO",0,IFERROR(VALUE(LEFT(E3239,FIND("º",SUBSTITUTE(E3239,"°","º"))-1)),""))))</f>
        <v/>
      </c>
      <c r="O3239" s="2">
        <f>IF(OR(F3239="",G3239=""),"",IF(G3239&lt;='RETRATO 2027'!$K$5,"CONCLUÍDA",IF(F3239&lt;='RETRATO 2027'!$K$5,"EM ANDAMENTO","A INICIAR")))</f>
        <v/>
      </c>
    </row>
    <row r="3240">
      <c r="M3240" s="2">
        <f>IF(C3240="","",IFERROR(INDEX($S$5:$S$304,MATCH(C3240,$R$5:$R$304,0))&amp;"","?"))</f>
        <v/>
      </c>
      <c r="N3240" s="2">
        <f>IF(E3240="","",IF(ISNUMBER(SEARCH("SUBSOLO",E3240)),IFERROR(-VALUE(LEFT(E3240,FIND("º",SUBSTITUTE(E3240,"°","º"))-1)),-1),IF(LEFT(E3240,6)="TÉRREO",0,IFERROR(VALUE(LEFT(E3240,FIND("º",SUBSTITUTE(E3240,"°","º"))-1)),""))))</f>
        <v/>
      </c>
      <c r="O3240" s="2">
        <f>IF(OR(F3240="",G3240=""),"",IF(G3240&lt;='RETRATO 2027'!$K$5,"CONCLUÍDA",IF(F3240&lt;='RETRATO 2027'!$K$5,"EM ANDAMENTO","A INICIAR")))</f>
        <v/>
      </c>
    </row>
    <row r="3241">
      <c r="M3241" s="2">
        <f>IF(C3241="","",IFERROR(INDEX($S$5:$S$304,MATCH(C3241,$R$5:$R$304,0))&amp;"","?"))</f>
        <v/>
      </c>
      <c r="N3241" s="2">
        <f>IF(E3241="","",IF(ISNUMBER(SEARCH("SUBSOLO",E3241)),IFERROR(-VALUE(LEFT(E3241,FIND("º",SUBSTITUTE(E3241,"°","º"))-1)),-1),IF(LEFT(E3241,6)="TÉRREO",0,IFERROR(VALUE(LEFT(E3241,FIND("º",SUBSTITUTE(E3241,"°","º"))-1)),""))))</f>
        <v/>
      </c>
      <c r="O3241" s="2">
        <f>IF(OR(F3241="",G3241=""),"",IF(G3241&lt;='RETRATO 2027'!$K$5,"CONCLUÍDA",IF(F3241&lt;='RETRATO 2027'!$K$5,"EM ANDAMENTO","A INICIAR")))</f>
        <v/>
      </c>
    </row>
    <row r="3242">
      <c r="M3242" s="2">
        <f>IF(C3242="","",IFERROR(INDEX($S$5:$S$304,MATCH(C3242,$R$5:$R$304,0))&amp;"","?"))</f>
        <v/>
      </c>
      <c r="N3242" s="2">
        <f>IF(E3242="","",IF(ISNUMBER(SEARCH("SUBSOLO",E3242)),IFERROR(-VALUE(LEFT(E3242,FIND("º",SUBSTITUTE(E3242,"°","º"))-1)),-1),IF(LEFT(E3242,6)="TÉRREO",0,IFERROR(VALUE(LEFT(E3242,FIND("º",SUBSTITUTE(E3242,"°","º"))-1)),""))))</f>
        <v/>
      </c>
      <c r="O3242" s="2">
        <f>IF(OR(F3242="",G3242=""),"",IF(G3242&lt;='RETRATO 2027'!$K$5,"CONCLUÍDA",IF(F3242&lt;='RETRATO 2027'!$K$5,"EM ANDAMENTO","A INICIAR")))</f>
        <v/>
      </c>
    </row>
    <row r="3243">
      <c r="M3243" s="2">
        <f>IF(C3243="","",IFERROR(INDEX($S$5:$S$304,MATCH(C3243,$R$5:$R$304,0))&amp;"","?"))</f>
        <v/>
      </c>
      <c r="N3243" s="2">
        <f>IF(E3243="","",IF(ISNUMBER(SEARCH("SUBSOLO",E3243)),IFERROR(-VALUE(LEFT(E3243,FIND("º",SUBSTITUTE(E3243,"°","º"))-1)),-1),IF(LEFT(E3243,6)="TÉRREO",0,IFERROR(VALUE(LEFT(E3243,FIND("º",SUBSTITUTE(E3243,"°","º"))-1)),""))))</f>
        <v/>
      </c>
      <c r="O3243" s="2">
        <f>IF(OR(F3243="",G3243=""),"",IF(G3243&lt;='RETRATO 2027'!$K$5,"CONCLUÍDA",IF(F3243&lt;='RETRATO 2027'!$K$5,"EM ANDAMENTO","A INICIAR")))</f>
        <v/>
      </c>
    </row>
    <row r="3244">
      <c r="M3244" s="2">
        <f>IF(C3244="","",IFERROR(INDEX($S$5:$S$304,MATCH(C3244,$R$5:$R$304,0))&amp;"","?"))</f>
        <v/>
      </c>
      <c r="N3244" s="2">
        <f>IF(E3244="","",IF(ISNUMBER(SEARCH("SUBSOLO",E3244)),IFERROR(-VALUE(LEFT(E3244,FIND("º",SUBSTITUTE(E3244,"°","º"))-1)),-1),IF(LEFT(E3244,6)="TÉRREO",0,IFERROR(VALUE(LEFT(E3244,FIND("º",SUBSTITUTE(E3244,"°","º"))-1)),""))))</f>
        <v/>
      </c>
      <c r="O3244" s="2">
        <f>IF(OR(F3244="",G3244=""),"",IF(G3244&lt;='RETRATO 2027'!$K$5,"CONCLUÍDA",IF(F3244&lt;='RETRATO 2027'!$K$5,"EM ANDAMENTO","A INICIAR")))</f>
        <v/>
      </c>
    </row>
    <row r="3245">
      <c r="M3245" s="2">
        <f>IF(C3245="","",IFERROR(INDEX($S$5:$S$304,MATCH(C3245,$R$5:$R$304,0))&amp;"","?"))</f>
        <v/>
      </c>
      <c r="N3245" s="2">
        <f>IF(E3245="","",IF(ISNUMBER(SEARCH("SUBSOLO",E3245)),IFERROR(-VALUE(LEFT(E3245,FIND("º",SUBSTITUTE(E3245,"°","º"))-1)),-1),IF(LEFT(E3245,6)="TÉRREO",0,IFERROR(VALUE(LEFT(E3245,FIND("º",SUBSTITUTE(E3245,"°","º"))-1)),""))))</f>
        <v/>
      </c>
      <c r="O3245" s="2">
        <f>IF(OR(F3245="",G3245=""),"",IF(G3245&lt;='RETRATO 2027'!$K$5,"CONCLUÍDA",IF(F3245&lt;='RETRATO 2027'!$K$5,"EM ANDAMENTO","A INICIAR")))</f>
        <v/>
      </c>
    </row>
    <row r="3246">
      <c r="M3246" s="2">
        <f>IF(C3246="","",IFERROR(INDEX($S$5:$S$304,MATCH(C3246,$R$5:$R$304,0))&amp;"","?"))</f>
        <v/>
      </c>
      <c r="N3246" s="2">
        <f>IF(E3246="","",IF(ISNUMBER(SEARCH("SUBSOLO",E3246)),IFERROR(-VALUE(LEFT(E3246,FIND("º",SUBSTITUTE(E3246,"°","º"))-1)),-1),IF(LEFT(E3246,6)="TÉRREO",0,IFERROR(VALUE(LEFT(E3246,FIND("º",SUBSTITUTE(E3246,"°","º"))-1)),""))))</f>
        <v/>
      </c>
      <c r="O3246" s="2">
        <f>IF(OR(F3246="",G3246=""),"",IF(G3246&lt;='RETRATO 2027'!$K$5,"CONCLUÍDA",IF(F3246&lt;='RETRATO 2027'!$K$5,"EM ANDAMENTO","A INICIAR")))</f>
        <v/>
      </c>
    </row>
    <row r="3247">
      <c r="M3247" s="2">
        <f>IF(C3247="","",IFERROR(INDEX($S$5:$S$304,MATCH(C3247,$R$5:$R$304,0))&amp;"","?"))</f>
        <v/>
      </c>
      <c r="N3247" s="2">
        <f>IF(E3247="","",IF(ISNUMBER(SEARCH("SUBSOLO",E3247)),IFERROR(-VALUE(LEFT(E3247,FIND("º",SUBSTITUTE(E3247,"°","º"))-1)),-1),IF(LEFT(E3247,6)="TÉRREO",0,IFERROR(VALUE(LEFT(E3247,FIND("º",SUBSTITUTE(E3247,"°","º"))-1)),""))))</f>
        <v/>
      </c>
      <c r="O3247" s="2">
        <f>IF(OR(F3247="",G3247=""),"",IF(G3247&lt;='RETRATO 2027'!$K$5,"CONCLUÍDA",IF(F3247&lt;='RETRATO 2027'!$K$5,"EM ANDAMENTO","A INICIAR")))</f>
        <v/>
      </c>
    </row>
    <row r="3248">
      <c r="M3248" s="2">
        <f>IF(C3248="","",IFERROR(INDEX($S$5:$S$304,MATCH(C3248,$R$5:$R$304,0))&amp;"","?"))</f>
        <v/>
      </c>
      <c r="N3248" s="2">
        <f>IF(E3248="","",IF(ISNUMBER(SEARCH("SUBSOLO",E3248)),IFERROR(-VALUE(LEFT(E3248,FIND("º",SUBSTITUTE(E3248,"°","º"))-1)),-1),IF(LEFT(E3248,6)="TÉRREO",0,IFERROR(VALUE(LEFT(E3248,FIND("º",SUBSTITUTE(E3248,"°","º"))-1)),""))))</f>
        <v/>
      </c>
      <c r="O3248" s="2">
        <f>IF(OR(F3248="",G3248=""),"",IF(G3248&lt;='RETRATO 2027'!$K$5,"CONCLUÍDA",IF(F3248&lt;='RETRATO 2027'!$K$5,"EM ANDAMENTO","A INICIAR")))</f>
        <v/>
      </c>
    </row>
    <row r="3249">
      <c r="M3249" s="2">
        <f>IF(C3249="","",IFERROR(INDEX($S$5:$S$304,MATCH(C3249,$R$5:$R$304,0))&amp;"","?"))</f>
        <v/>
      </c>
      <c r="N3249" s="2">
        <f>IF(E3249="","",IF(ISNUMBER(SEARCH("SUBSOLO",E3249)),IFERROR(-VALUE(LEFT(E3249,FIND("º",SUBSTITUTE(E3249,"°","º"))-1)),-1),IF(LEFT(E3249,6)="TÉRREO",0,IFERROR(VALUE(LEFT(E3249,FIND("º",SUBSTITUTE(E3249,"°","º"))-1)),""))))</f>
        <v/>
      </c>
      <c r="O3249" s="2">
        <f>IF(OR(F3249="",G3249=""),"",IF(G3249&lt;='RETRATO 2027'!$K$5,"CONCLUÍDA",IF(F3249&lt;='RETRATO 2027'!$K$5,"EM ANDAMENTO","A INICIAR")))</f>
        <v/>
      </c>
    </row>
    <row r="3250">
      <c r="M3250" s="2">
        <f>IF(C3250="","",IFERROR(INDEX($S$5:$S$304,MATCH(C3250,$R$5:$R$304,0))&amp;"","?"))</f>
        <v/>
      </c>
      <c r="N3250" s="2">
        <f>IF(E3250="","",IF(ISNUMBER(SEARCH("SUBSOLO",E3250)),IFERROR(-VALUE(LEFT(E3250,FIND("º",SUBSTITUTE(E3250,"°","º"))-1)),-1),IF(LEFT(E3250,6)="TÉRREO",0,IFERROR(VALUE(LEFT(E3250,FIND("º",SUBSTITUTE(E3250,"°","º"))-1)),""))))</f>
        <v/>
      </c>
      <c r="O3250" s="2">
        <f>IF(OR(F3250="",G3250=""),"",IF(G3250&lt;='RETRATO 2027'!$K$5,"CONCLUÍDA",IF(F3250&lt;='RETRATO 2027'!$K$5,"EM ANDAMENTO","A INICIAR")))</f>
        <v/>
      </c>
    </row>
    <row r="3251">
      <c r="M3251" s="2">
        <f>IF(C3251="","",IFERROR(INDEX($S$5:$S$304,MATCH(C3251,$R$5:$R$304,0))&amp;"","?"))</f>
        <v/>
      </c>
      <c r="N3251" s="2">
        <f>IF(E3251="","",IF(ISNUMBER(SEARCH("SUBSOLO",E3251)),IFERROR(-VALUE(LEFT(E3251,FIND("º",SUBSTITUTE(E3251,"°","º"))-1)),-1),IF(LEFT(E3251,6)="TÉRREO",0,IFERROR(VALUE(LEFT(E3251,FIND("º",SUBSTITUTE(E3251,"°","º"))-1)),""))))</f>
        <v/>
      </c>
      <c r="O3251" s="2">
        <f>IF(OR(F3251="",G3251=""),"",IF(G3251&lt;='RETRATO 2027'!$K$5,"CONCLUÍDA",IF(F3251&lt;='RETRATO 2027'!$K$5,"EM ANDAMENTO","A INICIAR")))</f>
        <v/>
      </c>
    </row>
    <row r="3252">
      <c r="M3252" s="2">
        <f>IF(C3252="","",IFERROR(INDEX($S$5:$S$304,MATCH(C3252,$R$5:$R$304,0))&amp;"","?"))</f>
        <v/>
      </c>
      <c r="N3252" s="2">
        <f>IF(E3252="","",IF(ISNUMBER(SEARCH("SUBSOLO",E3252)),IFERROR(-VALUE(LEFT(E3252,FIND("º",SUBSTITUTE(E3252,"°","º"))-1)),-1),IF(LEFT(E3252,6)="TÉRREO",0,IFERROR(VALUE(LEFT(E3252,FIND("º",SUBSTITUTE(E3252,"°","º"))-1)),""))))</f>
        <v/>
      </c>
      <c r="O3252" s="2">
        <f>IF(OR(F3252="",G3252=""),"",IF(G3252&lt;='RETRATO 2027'!$K$5,"CONCLUÍDA",IF(F3252&lt;='RETRATO 2027'!$K$5,"EM ANDAMENTO","A INICIAR")))</f>
        <v/>
      </c>
    </row>
    <row r="3253">
      <c r="M3253" s="2">
        <f>IF(C3253="","",IFERROR(INDEX($S$5:$S$304,MATCH(C3253,$R$5:$R$304,0))&amp;"","?"))</f>
        <v/>
      </c>
      <c r="N3253" s="2">
        <f>IF(E3253="","",IF(ISNUMBER(SEARCH("SUBSOLO",E3253)),IFERROR(-VALUE(LEFT(E3253,FIND("º",SUBSTITUTE(E3253,"°","º"))-1)),-1),IF(LEFT(E3253,6)="TÉRREO",0,IFERROR(VALUE(LEFT(E3253,FIND("º",SUBSTITUTE(E3253,"°","º"))-1)),""))))</f>
        <v/>
      </c>
      <c r="O3253" s="2">
        <f>IF(OR(F3253="",G3253=""),"",IF(G3253&lt;='RETRATO 2027'!$K$5,"CONCLUÍDA",IF(F3253&lt;='RETRATO 2027'!$K$5,"EM ANDAMENTO","A INICIAR")))</f>
        <v/>
      </c>
    </row>
    <row r="3254">
      <c r="M3254" s="2">
        <f>IF(C3254="","",IFERROR(INDEX($S$5:$S$304,MATCH(C3254,$R$5:$R$304,0))&amp;"","?"))</f>
        <v/>
      </c>
      <c r="N3254" s="2">
        <f>IF(E3254="","",IF(ISNUMBER(SEARCH("SUBSOLO",E3254)),IFERROR(-VALUE(LEFT(E3254,FIND("º",SUBSTITUTE(E3254,"°","º"))-1)),-1),IF(LEFT(E3254,6)="TÉRREO",0,IFERROR(VALUE(LEFT(E3254,FIND("º",SUBSTITUTE(E3254,"°","º"))-1)),""))))</f>
        <v/>
      </c>
      <c r="O3254" s="2">
        <f>IF(OR(F3254="",G3254=""),"",IF(G3254&lt;='RETRATO 2027'!$K$5,"CONCLUÍDA",IF(F3254&lt;='RETRATO 2027'!$K$5,"EM ANDAMENTO","A INICIAR")))</f>
        <v/>
      </c>
    </row>
    <row r="3255">
      <c r="M3255" s="2">
        <f>IF(C3255="","",IFERROR(INDEX($S$5:$S$304,MATCH(C3255,$R$5:$R$304,0))&amp;"","?"))</f>
        <v/>
      </c>
      <c r="N3255" s="2">
        <f>IF(E3255="","",IF(ISNUMBER(SEARCH("SUBSOLO",E3255)),IFERROR(-VALUE(LEFT(E3255,FIND("º",SUBSTITUTE(E3255,"°","º"))-1)),-1),IF(LEFT(E3255,6)="TÉRREO",0,IFERROR(VALUE(LEFT(E3255,FIND("º",SUBSTITUTE(E3255,"°","º"))-1)),""))))</f>
        <v/>
      </c>
      <c r="O3255" s="2">
        <f>IF(OR(F3255="",G3255=""),"",IF(G3255&lt;='RETRATO 2027'!$K$5,"CONCLUÍDA",IF(F3255&lt;='RETRATO 2027'!$K$5,"EM ANDAMENTO","A INICIAR")))</f>
        <v/>
      </c>
    </row>
    <row r="3256">
      <c r="M3256" s="2">
        <f>IF(C3256="","",IFERROR(INDEX($S$5:$S$304,MATCH(C3256,$R$5:$R$304,0))&amp;"","?"))</f>
        <v/>
      </c>
      <c r="N3256" s="2">
        <f>IF(E3256="","",IF(ISNUMBER(SEARCH("SUBSOLO",E3256)),IFERROR(-VALUE(LEFT(E3256,FIND("º",SUBSTITUTE(E3256,"°","º"))-1)),-1),IF(LEFT(E3256,6)="TÉRREO",0,IFERROR(VALUE(LEFT(E3256,FIND("º",SUBSTITUTE(E3256,"°","º"))-1)),""))))</f>
        <v/>
      </c>
      <c r="O3256" s="2">
        <f>IF(OR(F3256="",G3256=""),"",IF(G3256&lt;='RETRATO 2027'!$K$5,"CONCLUÍDA",IF(F3256&lt;='RETRATO 2027'!$K$5,"EM ANDAMENTO","A INICIAR")))</f>
        <v/>
      </c>
    </row>
    <row r="3257">
      <c r="M3257" s="2">
        <f>IF(C3257="","",IFERROR(INDEX($S$5:$S$304,MATCH(C3257,$R$5:$R$304,0))&amp;"","?"))</f>
        <v/>
      </c>
      <c r="N3257" s="2">
        <f>IF(E3257="","",IF(ISNUMBER(SEARCH("SUBSOLO",E3257)),IFERROR(-VALUE(LEFT(E3257,FIND("º",SUBSTITUTE(E3257,"°","º"))-1)),-1),IF(LEFT(E3257,6)="TÉRREO",0,IFERROR(VALUE(LEFT(E3257,FIND("º",SUBSTITUTE(E3257,"°","º"))-1)),""))))</f>
        <v/>
      </c>
      <c r="O3257" s="2">
        <f>IF(OR(F3257="",G3257=""),"",IF(G3257&lt;='RETRATO 2027'!$K$5,"CONCLUÍDA",IF(F3257&lt;='RETRATO 2027'!$K$5,"EM ANDAMENTO","A INICIAR")))</f>
        <v/>
      </c>
    </row>
    <row r="3258">
      <c r="M3258" s="2">
        <f>IF(C3258="","",IFERROR(INDEX($S$5:$S$304,MATCH(C3258,$R$5:$R$304,0))&amp;"","?"))</f>
        <v/>
      </c>
      <c r="N3258" s="2">
        <f>IF(E3258="","",IF(ISNUMBER(SEARCH("SUBSOLO",E3258)),IFERROR(-VALUE(LEFT(E3258,FIND("º",SUBSTITUTE(E3258,"°","º"))-1)),-1),IF(LEFT(E3258,6)="TÉRREO",0,IFERROR(VALUE(LEFT(E3258,FIND("º",SUBSTITUTE(E3258,"°","º"))-1)),""))))</f>
        <v/>
      </c>
      <c r="O3258" s="2">
        <f>IF(OR(F3258="",G3258=""),"",IF(G3258&lt;='RETRATO 2027'!$K$5,"CONCLUÍDA",IF(F3258&lt;='RETRATO 2027'!$K$5,"EM ANDAMENTO","A INICIAR")))</f>
        <v/>
      </c>
    </row>
    <row r="3259">
      <c r="M3259" s="2">
        <f>IF(C3259="","",IFERROR(INDEX($S$5:$S$304,MATCH(C3259,$R$5:$R$304,0))&amp;"","?"))</f>
        <v/>
      </c>
      <c r="N3259" s="2">
        <f>IF(E3259="","",IF(ISNUMBER(SEARCH("SUBSOLO",E3259)),IFERROR(-VALUE(LEFT(E3259,FIND("º",SUBSTITUTE(E3259,"°","º"))-1)),-1),IF(LEFT(E3259,6)="TÉRREO",0,IFERROR(VALUE(LEFT(E3259,FIND("º",SUBSTITUTE(E3259,"°","º"))-1)),""))))</f>
        <v/>
      </c>
      <c r="O3259" s="2">
        <f>IF(OR(F3259="",G3259=""),"",IF(G3259&lt;='RETRATO 2027'!$K$5,"CONCLUÍDA",IF(F3259&lt;='RETRATO 2027'!$K$5,"EM ANDAMENTO","A INICIAR")))</f>
        <v/>
      </c>
    </row>
    <row r="3260">
      <c r="M3260" s="2">
        <f>IF(C3260="","",IFERROR(INDEX($S$5:$S$304,MATCH(C3260,$R$5:$R$304,0))&amp;"","?"))</f>
        <v/>
      </c>
      <c r="N3260" s="2">
        <f>IF(E3260="","",IF(ISNUMBER(SEARCH("SUBSOLO",E3260)),IFERROR(-VALUE(LEFT(E3260,FIND("º",SUBSTITUTE(E3260,"°","º"))-1)),-1),IF(LEFT(E3260,6)="TÉRREO",0,IFERROR(VALUE(LEFT(E3260,FIND("º",SUBSTITUTE(E3260,"°","º"))-1)),""))))</f>
        <v/>
      </c>
      <c r="O3260" s="2">
        <f>IF(OR(F3260="",G3260=""),"",IF(G3260&lt;='RETRATO 2027'!$K$5,"CONCLUÍDA",IF(F3260&lt;='RETRATO 2027'!$K$5,"EM ANDAMENTO","A INICIAR")))</f>
        <v/>
      </c>
    </row>
    <row r="3261">
      <c r="M3261" s="2">
        <f>IF(C3261="","",IFERROR(INDEX($S$5:$S$304,MATCH(C3261,$R$5:$R$304,0))&amp;"","?"))</f>
        <v/>
      </c>
      <c r="N3261" s="2">
        <f>IF(E3261="","",IF(ISNUMBER(SEARCH("SUBSOLO",E3261)),IFERROR(-VALUE(LEFT(E3261,FIND("º",SUBSTITUTE(E3261,"°","º"))-1)),-1),IF(LEFT(E3261,6)="TÉRREO",0,IFERROR(VALUE(LEFT(E3261,FIND("º",SUBSTITUTE(E3261,"°","º"))-1)),""))))</f>
        <v/>
      </c>
      <c r="O3261" s="2">
        <f>IF(OR(F3261="",G3261=""),"",IF(G3261&lt;='RETRATO 2027'!$K$5,"CONCLUÍDA",IF(F3261&lt;='RETRATO 2027'!$K$5,"EM ANDAMENTO","A INICIAR")))</f>
        <v/>
      </c>
    </row>
    <row r="3262">
      <c r="M3262" s="2">
        <f>IF(C3262="","",IFERROR(INDEX($S$5:$S$304,MATCH(C3262,$R$5:$R$304,0))&amp;"","?"))</f>
        <v/>
      </c>
      <c r="N3262" s="2">
        <f>IF(E3262="","",IF(ISNUMBER(SEARCH("SUBSOLO",E3262)),IFERROR(-VALUE(LEFT(E3262,FIND("º",SUBSTITUTE(E3262,"°","º"))-1)),-1),IF(LEFT(E3262,6)="TÉRREO",0,IFERROR(VALUE(LEFT(E3262,FIND("º",SUBSTITUTE(E3262,"°","º"))-1)),""))))</f>
        <v/>
      </c>
      <c r="O3262" s="2">
        <f>IF(OR(F3262="",G3262=""),"",IF(G3262&lt;='RETRATO 2027'!$K$5,"CONCLUÍDA",IF(F3262&lt;='RETRATO 2027'!$K$5,"EM ANDAMENTO","A INICIAR")))</f>
        <v/>
      </c>
    </row>
    <row r="3263">
      <c r="M3263" s="2">
        <f>IF(C3263="","",IFERROR(INDEX($S$5:$S$304,MATCH(C3263,$R$5:$R$304,0))&amp;"","?"))</f>
        <v/>
      </c>
      <c r="N3263" s="2">
        <f>IF(E3263="","",IF(ISNUMBER(SEARCH("SUBSOLO",E3263)),IFERROR(-VALUE(LEFT(E3263,FIND("º",SUBSTITUTE(E3263,"°","º"))-1)),-1),IF(LEFT(E3263,6)="TÉRREO",0,IFERROR(VALUE(LEFT(E3263,FIND("º",SUBSTITUTE(E3263,"°","º"))-1)),""))))</f>
        <v/>
      </c>
      <c r="O3263" s="2">
        <f>IF(OR(F3263="",G3263=""),"",IF(G3263&lt;='RETRATO 2027'!$K$5,"CONCLUÍDA",IF(F3263&lt;='RETRATO 2027'!$K$5,"EM ANDAMENTO","A INICIAR")))</f>
        <v/>
      </c>
    </row>
    <row r="3264">
      <c r="M3264" s="2">
        <f>IF(C3264="","",IFERROR(INDEX($S$5:$S$304,MATCH(C3264,$R$5:$R$304,0))&amp;"","?"))</f>
        <v/>
      </c>
      <c r="N3264" s="2">
        <f>IF(E3264="","",IF(ISNUMBER(SEARCH("SUBSOLO",E3264)),IFERROR(-VALUE(LEFT(E3264,FIND("º",SUBSTITUTE(E3264,"°","º"))-1)),-1),IF(LEFT(E3264,6)="TÉRREO",0,IFERROR(VALUE(LEFT(E3264,FIND("º",SUBSTITUTE(E3264,"°","º"))-1)),""))))</f>
        <v/>
      </c>
      <c r="O3264" s="2">
        <f>IF(OR(F3264="",G3264=""),"",IF(G3264&lt;='RETRATO 2027'!$K$5,"CONCLUÍDA",IF(F3264&lt;='RETRATO 2027'!$K$5,"EM ANDAMENTO","A INICIAR")))</f>
        <v/>
      </c>
    </row>
    <row r="3265">
      <c r="M3265" s="2">
        <f>IF(C3265="","",IFERROR(INDEX($S$5:$S$304,MATCH(C3265,$R$5:$R$304,0))&amp;"","?"))</f>
        <v/>
      </c>
      <c r="N3265" s="2">
        <f>IF(E3265="","",IF(ISNUMBER(SEARCH("SUBSOLO",E3265)),IFERROR(-VALUE(LEFT(E3265,FIND("º",SUBSTITUTE(E3265,"°","º"))-1)),-1),IF(LEFT(E3265,6)="TÉRREO",0,IFERROR(VALUE(LEFT(E3265,FIND("º",SUBSTITUTE(E3265,"°","º"))-1)),""))))</f>
        <v/>
      </c>
      <c r="O3265" s="2">
        <f>IF(OR(F3265="",G3265=""),"",IF(G3265&lt;='RETRATO 2027'!$K$5,"CONCLUÍDA",IF(F3265&lt;='RETRATO 2027'!$K$5,"EM ANDAMENTO","A INICIAR")))</f>
        <v/>
      </c>
    </row>
    <row r="3266">
      <c r="M3266" s="2">
        <f>IF(C3266="","",IFERROR(INDEX($S$5:$S$304,MATCH(C3266,$R$5:$R$304,0))&amp;"","?"))</f>
        <v/>
      </c>
      <c r="N3266" s="2">
        <f>IF(E3266="","",IF(ISNUMBER(SEARCH("SUBSOLO",E3266)),IFERROR(-VALUE(LEFT(E3266,FIND("º",SUBSTITUTE(E3266,"°","º"))-1)),-1),IF(LEFT(E3266,6)="TÉRREO",0,IFERROR(VALUE(LEFT(E3266,FIND("º",SUBSTITUTE(E3266,"°","º"))-1)),""))))</f>
        <v/>
      </c>
      <c r="O3266" s="2">
        <f>IF(OR(F3266="",G3266=""),"",IF(G3266&lt;='RETRATO 2027'!$K$5,"CONCLUÍDA",IF(F3266&lt;='RETRATO 2027'!$K$5,"EM ANDAMENTO","A INICIAR")))</f>
        <v/>
      </c>
    </row>
    <row r="3267">
      <c r="M3267" s="2">
        <f>IF(C3267="","",IFERROR(INDEX($S$5:$S$304,MATCH(C3267,$R$5:$R$304,0))&amp;"","?"))</f>
        <v/>
      </c>
      <c r="N3267" s="2">
        <f>IF(E3267="","",IF(ISNUMBER(SEARCH("SUBSOLO",E3267)),IFERROR(-VALUE(LEFT(E3267,FIND("º",SUBSTITUTE(E3267,"°","º"))-1)),-1),IF(LEFT(E3267,6)="TÉRREO",0,IFERROR(VALUE(LEFT(E3267,FIND("º",SUBSTITUTE(E3267,"°","º"))-1)),""))))</f>
        <v/>
      </c>
      <c r="O3267" s="2">
        <f>IF(OR(F3267="",G3267=""),"",IF(G3267&lt;='RETRATO 2027'!$K$5,"CONCLUÍDA",IF(F3267&lt;='RETRATO 2027'!$K$5,"EM ANDAMENTO","A INICIAR")))</f>
        <v/>
      </c>
    </row>
    <row r="3268">
      <c r="M3268" s="2">
        <f>IF(C3268="","",IFERROR(INDEX($S$5:$S$304,MATCH(C3268,$R$5:$R$304,0))&amp;"","?"))</f>
        <v/>
      </c>
      <c r="N3268" s="2">
        <f>IF(E3268="","",IF(ISNUMBER(SEARCH("SUBSOLO",E3268)),IFERROR(-VALUE(LEFT(E3268,FIND("º",SUBSTITUTE(E3268,"°","º"))-1)),-1),IF(LEFT(E3268,6)="TÉRREO",0,IFERROR(VALUE(LEFT(E3268,FIND("º",SUBSTITUTE(E3268,"°","º"))-1)),""))))</f>
        <v/>
      </c>
      <c r="O3268" s="2">
        <f>IF(OR(F3268="",G3268=""),"",IF(G3268&lt;='RETRATO 2027'!$K$5,"CONCLUÍDA",IF(F3268&lt;='RETRATO 2027'!$K$5,"EM ANDAMENTO","A INICIAR")))</f>
        <v/>
      </c>
    </row>
    <row r="3269">
      <c r="M3269" s="2">
        <f>IF(C3269="","",IFERROR(INDEX($S$5:$S$304,MATCH(C3269,$R$5:$R$304,0))&amp;"","?"))</f>
        <v/>
      </c>
      <c r="N3269" s="2">
        <f>IF(E3269="","",IF(ISNUMBER(SEARCH("SUBSOLO",E3269)),IFERROR(-VALUE(LEFT(E3269,FIND("º",SUBSTITUTE(E3269,"°","º"))-1)),-1),IF(LEFT(E3269,6)="TÉRREO",0,IFERROR(VALUE(LEFT(E3269,FIND("º",SUBSTITUTE(E3269,"°","º"))-1)),""))))</f>
        <v/>
      </c>
      <c r="O3269" s="2">
        <f>IF(OR(F3269="",G3269=""),"",IF(G3269&lt;='RETRATO 2027'!$K$5,"CONCLUÍDA",IF(F3269&lt;='RETRATO 2027'!$K$5,"EM ANDAMENTO","A INICIAR")))</f>
        <v/>
      </c>
    </row>
    <row r="3270">
      <c r="M3270" s="2">
        <f>IF(C3270="","",IFERROR(INDEX($S$5:$S$304,MATCH(C3270,$R$5:$R$304,0))&amp;"","?"))</f>
        <v/>
      </c>
      <c r="N3270" s="2">
        <f>IF(E3270="","",IF(ISNUMBER(SEARCH("SUBSOLO",E3270)),IFERROR(-VALUE(LEFT(E3270,FIND("º",SUBSTITUTE(E3270,"°","º"))-1)),-1),IF(LEFT(E3270,6)="TÉRREO",0,IFERROR(VALUE(LEFT(E3270,FIND("º",SUBSTITUTE(E3270,"°","º"))-1)),""))))</f>
        <v/>
      </c>
      <c r="O3270" s="2">
        <f>IF(OR(F3270="",G3270=""),"",IF(G3270&lt;='RETRATO 2027'!$K$5,"CONCLUÍDA",IF(F3270&lt;='RETRATO 2027'!$K$5,"EM ANDAMENTO","A INICIAR")))</f>
        <v/>
      </c>
    </row>
    <row r="3271">
      <c r="M3271" s="2">
        <f>IF(C3271="","",IFERROR(INDEX($S$5:$S$304,MATCH(C3271,$R$5:$R$304,0))&amp;"","?"))</f>
        <v/>
      </c>
      <c r="N3271" s="2">
        <f>IF(E3271="","",IF(ISNUMBER(SEARCH("SUBSOLO",E3271)),IFERROR(-VALUE(LEFT(E3271,FIND("º",SUBSTITUTE(E3271,"°","º"))-1)),-1),IF(LEFT(E3271,6)="TÉRREO",0,IFERROR(VALUE(LEFT(E3271,FIND("º",SUBSTITUTE(E3271,"°","º"))-1)),""))))</f>
        <v/>
      </c>
      <c r="O3271" s="2">
        <f>IF(OR(F3271="",G3271=""),"",IF(G3271&lt;='RETRATO 2027'!$K$5,"CONCLUÍDA",IF(F3271&lt;='RETRATO 2027'!$K$5,"EM ANDAMENTO","A INICIAR")))</f>
        <v/>
      </c>
    </row>
    <row r="3272">
      <c r="M3272" s="2">
        <f>IF(C3272="","",IFERROR(INDEX($S$5:$S$304,MATCH(C3272,$R$5:$R$304,0))&amp;"","?"))</f>
        <v/>
      </c>
      <c r="N3272" s="2">
        <f>IF(E3272="","",IF(ISNUMBER(SEARCH("SUBSOLO",E3272)),IFERROR(-VALUE(LEFT(E3272,FIND("º",SUBSTITUTE(E3272,"°","º"))-1)),-1),IF(LEFT(E3272,6)="TÉRREO",0,IFERROR(VALUE(LEFT(E3272,FIND("º",SUBSTITUTE(E3272,"°","º"))-1)),""))))</f>
        <v/>
      </c>
      <c r="O3272" s="2">
        <f>IF(OR(F3272="",G3272=""),"",IF(G3272&lt;='RETRATO 2027'!$K$5,"CONCLUÍDA",IF(F3272&lt;='RETRATO 2027'!$K$5,"EM ANDAMENTO","A INICIAR")))</f>
        <v/>
      </c>
    </row>
    <row r="3273">
      <c r="M3273" s="2">
        <f>IF(C3273="","",IFERROR(INDEX($S$5:$S$304,MATCH(C3273,$R$5:$R$304,0))&amp;"","?"))</f>
        <v/>
      </c>
      <c r="N3273" s="2">
        <f>IF(E3273="","",IF(ISNUMBER(SEARCH("SUBSOLO",E3273)),IFERROR(-VALUE(LEFT(E3273,FIND("º",SUBSTITUTE(E3273,"°","º"))-1)),-1),IF(LEFT(E3273,6)="TÉRREO",0,IFERROR(VALUE(LEFT(E3273,FIND("º",SUBSTITUTE(E3273,"°","º"))-1)),""))))</f>
        <v/>
      </c>
      <c r="O3273" s="2">
        <f>IF(OR(F3273="",G3273=""),"",IF(G3273&lt;='RETRATO 2027'!$K$5,"CONCLUÍDA",IF(F3273&lt;='RETRATO 2027'!$K$5,"EM ANDAMENTO","A INICIAR")))</f>
        <v/>
      </c>
    </row>
    <row r="3274">
      <c r="M3274" s="2">
        <f>IF(C3274="","",IFERROR(INDEX($S$5:$S$304,MATCH(C3274,$R$5:$R$304,0))&amp;"","?"))</f>
        <v/>
      </c>
      <c r="N3274" s="2">
        <f>IF(E3274="","",IF(ISNUMBER(SEARCH("SUBSOLO",E3274)),IFERROR(-VALUE(LEFT(E3274,FIND("º",SUBSTITUTE(E3274,"°","º"))-1)),-1),IF(LEFT(E3274,6)="TÉRREO",0,IFERROR(VALUE(LEFT(E3274,FIND("º",SUBSTITUTE(E3274,"°","º"))-1)),""))))</f>
        <v/>
      </c>
      <c r="O3274" s="2">
        <f>IF(OR(F3274="",G3274=""),"",IF(G3274&lt;='RETRATO 2027'!$K$5,"CONCLUÍDA",IF(F3274&lt;='RETRATO 2027'!$K$5,"EM ANDAMENTO","A INICIAR")))</f>
        <v/>
      </c>
    </row>
    <row r="3275">
      <c r="M3275" s="2">
        <f>IF(C3275="","",IFERROR(INDEX($S$5:$S$304,MATCH(C3275,$R$5:$R$304,0))&amp;"","?"))</f>
        <v/>
      </c>
      <c r="N3275" s="2">
        <f>IF(E3275="","",IF(ISNUMBER(SEARCH("SUBSOLO",E3275)),IFERROR(-VALUE(LEFT(E3275,FIND("º",SUBSTITUTE(E3275,"°","º"))-1)),-1),IF(LEFT(E3275,6)="TÉRREO",0,IFERROR(VALUE(LEFT(E3275,FIND("º",SUBSTITUTE(E3275,"°","º"))-1)),""))))</f>
        <v/>
      </c>
      <c r="O3275" s="2">
        <f>IF(OR(F3275="",G3275=""),"",IF(G3275&lt;='RETRATO 2027'!$K$5,"CONCLUÍDA",IF(F3275&lt;='RETRATO 2027'!$K$5,"EM ANDAMENTO","A INICIAR")))</f>
        <v/>
      </c>
    </row>
    <row r="3276">
      <c r="M3276" s="2">
        <f>IF(C3276="","",IFERROR(INDEX($S$5:$S$304,MATCH(C3276,$R$5:$R$304,0))&amp;"","?"))</f>
        <v/>
      </c>
      <c r="N3276" s="2">
        <f>IF(E3276="","",IF(ISNUMBER(SEARCH("SUBSOLO",E3276)),IFERROR(-VALUE(LEFT(E3276,FIND("º",SUBSTITUTE(E3276,"°","º"))-1)),-1),IF(LEFT(E3276,6)="TÉRREO",0,IFERROR(VALUE(LEFT(E3276,FIND("º",SUBSTITUTE(E3276,"°","º"))-1)),""))))</f>
        <v/>
      </c>
      <c r="O3276" s="2">
        <f>IF(OR(F3276="",G3276=""),"",IF(G3276&lt;='RETRATO 2027'!$K$5,"CONCLUÍDA",IF(F3276&lt;='RETRATO 2027'!$K$5,"EM ANDAMENTO","A INICIAR")))</f>
        <v/>
      </c>
    </row>
    <row r="3277">
      <c r="M3277" s="2">
        <f>IF(C3277="","",IFERROR(INDEX($S$5:$S$304,MATCH(C3277,$R$5:$R$304,0))&amp;"","?"))</f>
        <v/>
      </c>
      <c r="N3277" s="2">
        <f>IF(E3277="","",IF(ISNUMBER(SEARCH("SUBSOLO",E3277)),IFERROR(-VALUE(LEFT(E3277,FIND("º",SUBSTITUTE(E3277,"°","º"))-1)),-1),IF(LEFT(E3277,6)="TÉRREO",0,IFERROR(VALUE(LEFT(E3277,FIND("º",SUBSTITUTE(E3277,"°","º"))-1)),""))))</f>
        <v/>
      </c>
      <c r="O3277" s="2">
        <f>IF(OR(F3277="",G3277=""),"",IF(G3277&lt;='RETRATO 2027'!$K$5,"CONCLUÍDA",IF(F3277&lt;='RETRATO 2027'!$K$5,"EM ANDAMENTO","A INICIAR")))</f>
        <v/>
      </c>
    </row>
    <row r="3278">
      <c r="M3278" s="2">
        <f>IF(C3278="","",IFERROR(INDEX($S$5:$S$304,MATCH(C3278,$R$5:$R$304,0))&amp;"","?"))</f>
        <v/>
      </c>
      <c r="N3278" s="2">
        <f>IF(E3278="","",IF(ISNUMBER(SEARCH("SUBSOLO",E3278)),IFERROR(-VALUE(LEFT(E3278,FIND("º",SUBSTITUTE(E3278,"°","º"))-1)),-1),IF(LEFT(E3278,6)="TÉRREO",0,IFERROR(VALUE(LEFT(E3278,FIND("º",SUBSTITUTE(E3278,"°","º"))-1)),""))))</f>
        <v/>
      </c>
      <c r="O3278" s="2">
        <f>IF(OR(F3278="",G3278=""),"",IF(G3278&lt;='RETRATO 2027'!$K$5,"CONCLUÍDA",IF(F3278&lt;='RETRATO 2027'!$K$5,"EM ANDAMENTO","A INICIAR")))</f>
        <v/>
      </c>
    </row>
    <row r="3279">
      <c r="M3279" s="2">
        <f>IF(C3279="","",IFERROR(INDEX($S$5:$S$304,MATCH(C3279,$R$5:$R$304,0))&amp;"","?"))</f>
        <v/>
      </c>
      <c r="N3279" s="2">
        <f>IF(E3279="","",IF(ISNUMBER(SEARCH("SUBSOLO",E3279)),IFERROR(-VALUE(LEFT(E3279,FIND("º",SUBSTITUTE(E3279,"°","º"))-1)),-1),IF(LEFT(E3279,6)="TÉRREO",0,IFERROR(VALUE(LEFT(E3279,FIND("º",SUBSTITUTE(E3279,"°","º"))-1)),""))))</f>
        <v/>
      </c>
      <c r="O3279" s="2">
        <f>IF(OR(F3279="",G3279=""),"",IF(G3279&lt;='RETRATO 2027'!$K$5,"CONCLUÍDA",IF(F3279&lt;='RETRATO 2027'!$K$5,"EM ANDAMENTO","A INICIAR")))</f>
        <v/>
      </c>
    </row>
    <row r="3280">
      <c r="M3280" s="2">
        <f>IF(C3280="","",IFERROR(INDEX($S$5:$S$304,MATCH(C3280,$R$5:$R$304,0))&amp;"","?"))</f>
        <v/>
      </c>
      <c r="N3280" s="2">
        <f>IF(E3280="","",IF(ISNUMBER(SEARCH("SUBSOLO",E3280)),IFERROR(-VALUE(LEFT(E3280,FIND("º",SUBSTITUTE(E3280,"°","º"))-1)),-1),IF(LEFT(E3280,6)="TÉRREO",0,IFERROR(VALUE(LEFT(E3280,FIND("º",SUBSTITUTE(E3280,"°","º"))-1)),""))))</f>
        <v/>
      </c>
      <c r="O3280" s="2">
        <f>IF(OR(F3280="",G3280=""),"",IF(G3280&lt;='RETRATO 2027'!$K$5,"CONCLUÍDA",IF(F3280&lt;='RETRATO 2027'!$K$5,"EM ANDAMENTO","A INICIAR")))</f>
        <v/>
      </c>
    </row>
    <row r="3281">
      <c r="M3281" s="2">
        <f>IF(C3281="","",IFERROR(INDEX($S$5:$S$304,MATCH(C3281,$R$5:$R$304,0))&amp;"","?"))</f>
        <v/>
      </c>
      <c r="N3281" s="2">
        <f>IF(E3281="","",IF(ISNUMBER(SEARCH("SUBSOLO",E3281)),IFERROR(-VALUE(LEFT(E3281,FIND("º",SUBSTITUTE(E3281,"°","º"))-1)),-1),IF(LEFT(E3281,6)="TÉRREO",0,IFERROR(VALUE(LEFT(E3281,FIND("º",SUBSTITUTE(E3281,"°","º"))-1)),""))))</f>
        <v/>
      </c>
      <c r="O3281" s="2">
        <f>IF(OR(F3281="",G3281=""),"",IF(G3281&lt;='RETRATO 2027'!$K$5,"CONCLUÍDA",IF(F3281&lt;='RETRATO 2027'!$K$5,"EM ANDAMENTO","A INICIAR")))</f>
        <v/>
      </c>
    </row>
    <row r="3282">
      <c r="M3282" s="2">
        <f>IF(C3282="","",IFERROR(INDEX($S$5:$S$304,MATCH(C3282,$R$5:$R$304,0))&amp;"","?"))</f>
        <v/>
      </c>
      <c r="N3282" s="2">
        <f>IF(E3282="","",IF(ISNUMBER(SEARCH("SUBSOLO",E3282)),IFERROR(-VALUE(LEFT(E3282,FIND("º",SUBSTITUTE(E3282,"°","º"))-1)),-1),IF(LEFT(E3282,6)="TÉRREO",0,IFERROR(VALUE(LEFT(E3282,FIND("º",SUBSTITUTE(E3282,"°","º"))-1)),""))))</f>
        <v/>
      </c>
      <c r="O3282" s="2">
        <f>IF(OR(F3282="",G3282=""),"",IF(G3282&lt;='RETRATO 2027'!$K$5,"CONCLUÍDA",IF(F3282&lt;='RETRATO 2027'!$K$5,"EM ANDAMENTO","A INICIAR")))</f>
        <v/>
      </c>
    </row>
    <row r="3283">
      <c r="M3283" s="2">
        <f>IF(C3283="","",IFERROR(INDEX($S$5:$S$304,MATCH(C3283,$R$5:$R$304,0))&amp;"","?"))</f>
        <v/>
      </c>
      <c r="N3283" s="2">
        <f>IF(E3283="","",IF(ISNUMBER(SEARCH("SUBSOLO",E3283)),IFERROR(-VALUE(LEFT(E3283,FIND("º",SUBSTITUTE(E3283,"°","º"))-1)),-1),IF(LEFT(E3283,6)="TÉRREO",0,IFERROR(VALUE(LEFT(E3283,FIND("º",SUBSTITUTE(E3283,"°","º"))-1)),""))))</f>
        <v/>
      </c>
      <c r="O3283" s="2">
        <f>IF(OR(F3283="",G3283=""),"",IF(G3283&lt;='RETRATO 2027'!$K$5,"CONCLUÍDA",IF(F3283&lt;='RETRATO 2027'!$K$5,"EM ANDAMENTO","A INICIAR")))</f>
        <v/>
      </c>
    </row>
    <row r="3284">
      <c r="M3284" s="2">
        <f>IF(C3284="","",IFERROR(INDEX($S$5:$S$304,MATCH(C3284,$R$5:$R$304,0))&amp;"","?"))</f>
        <v/>
      </c>
      <c r="N3284" s="2">
        <f>IF(E3284="","",IF(ISNUMBER(SEARCH("SUBSOLO",E3284)),IFERROR(-VALUE(LEFT(E3284,FIND("º",SUBSTITUTE(E3284,"°","º"))-1)),-1),IF(LEFT(E3284,6)="TÉRREO",0,IFERROR(VALUE(LEFT(E3284,FIND("º",SUBSTITUTE(E3284,"°","º"))-1)),""))))</f>
        <v/>
      </c>
      <c r="O3284" s="2">
        <f>IF(OR(F3284="",G3284=""),"",IF(G3284&lt;='RETRATO 2027'!$K$5,"CONCLUÍDA",IF(F3284&lt;='RETRATO 2027'!$K$5,"EM ANDAMENTO","A INICIAR")))</f>
        <v/>
      </c>
    </row>
    <row r="3285">
      <c r="M3285" s="2">
        <f>IF(C3285="","",IFERROR(INDEX($S$5:$S$304,MATCH(C3285,$R$5:$R$304,0))&amp;"","?"))</f>
        <v/>
      </c>
      <c r="N3285" s="2">
        <f>IF(E3285="","",IF(ISNUMBER(SEARCH("SUBSOLO",E3285)),IFERROR(-VALUE(LEFT(E3285,FIND("º",SUBSTITUTE(E3285,"°","º"))-1)),-1),IF(LEFT(E3285,6)="TÉRREO",0,IFERROR(VALUE(LEFT(E3285,FIND("º",SUBSTITUTE(E3285,"°","º"))-1)),""))))</f>
        <v/>
      </c>
      <c r="O3285" s="2">
        <f>IF(OR(F3285="",G3285=""),"",IF(G3285&lt;='RETRATO 2027'!$K$5,"CONCLUÍDA",IF(F3285&lt;='RETRATO 2027'!$K$5,"EM ANDAMENTO","A INICIAR")))</f>
        <v/>
      </c>
    </row>
    <row r="3286">
      <c r="M3286" s="2">
        <f>IF(C3286="","",IFERROR(INDEX($S$5:$S$304,MATCH(C3286,$R$5:$R$304,0))&amp;"","?"))</f>
        <v/>
      </c>
      <c r="N3286" s="2">
        <f>IF(E3286="","",IF(ISNUMBER(SEARCH("SUBSOLO",E3286)),IFERROR(-VALUE(LEFT(E3286,FIND("º",SUBSTITUTE(E3286,"°","º"))-1)),-1),IF(LEFT(E3286,6)="TÉRREO",0,IFERROR(VALUE(LEFT(E3286,FIND("º",SUBSTITUTE(E3286,"°","º"))-1)),""))))</f>
        <v/>
      </c>
      <c r="O3286" s="2">
        <f>IF(OR(F3286="",G3286=""),"",IF(G3286&lt;='RETRATO 2027'!$K$5,"CONCLUÍDA",IF(F3286&lt;='RETRATO 2027'!$K$5,"EM ANDAMENTO","A INICIAR")))</f>
        <v/>
      </c>
    </row>
    <row r="3287">
      <c r="M3287" s="2">
        <f>IF(C3287="","",IFERROR(INDEX($S$5:$S$304,MATCH(C3287,$R$5:$R$304,0))&amp;"","?"))</f>
        <v/>
      </c>
      <c r="N3287" s="2">
        <f>IF(E3287="","",IF(ISNUMBER(SEARCH("SUBSOLO",E3287)),IFERROR(-VALUE(LEFT(E3287,FIND("º",SUBSTITUTE(E3287,"°","º"))-1)),-1),IF(LEFT(E3287,6)="TÉRREO",0,IFERROR(VALUE(LEFT(E3287,FIND("º",SUBSTITUTE(E3287,"°","º"))-1)),""))))</f>
        <v/>
      </c>
      <c r="O3287" s="2">
        <f>IF(OR(F3287="",G3287=""),"",IF(G3287&lt;='RETRATO 2027'!$K$5,"CONCLUÍDA",IF(F3287&lt;='RETRATO 2027'!$K$5,"EM ANDAMENTO","A INICIAR")))</f>
        <v/>
      </c>
    </row>
    <row r="3288">
      <c r="M3288" s="2">
        <f>IF(C3288="","",IFERROR(INDEX($S$5:$S$304,MATCH(C3288,$R$5:$R$304,0))&amp;"","?"))</f>
        <v/>
      </c>
      <c r="N3288" s="2">
        <f>IF(E3288="","",IF(ISNUMBER(SEARCH("SUBSOLO",E3288)),IFERROR(-VALUE(LEFT(E3288,FIND("º",SUBSTITUTE(E3288,"°","º"))-1)),-1),IF(LEFT(E3288,6)="TÉRREO",0,IFERROR(VALUE(LEFT(E3288,FIND("º",SUBSTITUTE(E3288,"°","º"))-1)),""))))</f>
        <v/>
      </c>
      <c r="O3288" s="2">
        <f>IF(OR(F3288="",G3288=""),"",IF(G3288&lt;='RETRATO 2027'!$K$5,"CONCLUÍDA",IF(F3288&lt;='RETRATO 2027'!$K$5,"EM ANDAMENTO","A INICIAR")))</f>
        <v/>
      </c>
    </row>
    <row r="3289">
      <c r="M3289" s="2">
        <f>IF(C3289="","",IFERROR(INDEX($S$5:$S$304,MATCH(C3289,$R$5:$R$304,0))&amp;"","?"))</f>
        <v/>
      </c>
      <c r="N3289" s="2">
        <f>IF(E3289="","",IF(ISNUMBER(SEARCH("SUBSOLO",E3289)),IFERROR(-VALUE(LEFT(E3289,FIND("º",SUBSTITUTE(E3289,"°","º"))-1)),-1),IF(LEFT(E3289,6)="TÉRREO",0,IFERROR(VALUE(LEFT(E3289,FIND("º",SUBSTITUTE(E3289,"°","º"))-1)),""))))</f>
        <v/>
      </c>
      <c r="O3289" s="2">
        <f>IF(OR(F3289="",G3289=""),"",IF(G3289&lt;='RETRATO 2027'!$K$5,"CONCLUÍDA",IF(F3289&lt;='RETRATO 2027'!$K$5,"EM ANDAMENTO","A INICIAR")))</f>
        <v/>
      </c>
    </row>
    <row r="3290">
      <c r="M3290" s="2">
        <f>IF(C3290="","",IFERROR(INDEX($S$5:$S$304,MATCH(C3290,$R$5:$R$304,0))&amp;"","?"))</f>
        <v/>
      </c>
      <c r="N3290" s="2">
        <f>IF(E3290="","",IF(ISNUMBER(SEARCH("SUBSOLO",E3290)),IFERROR(-VALUE(LEFT(E3290,FIND("º",SUBSTITUTE(E3290,"°","º"))-1)),-1),IF(LEFT(E3290,6)="TÉRREO",0,IFERROR(VALUE(LEFT(E3290,FIND("º",SUBSTITUTE(E3290,"°","º"))-1)),""))))</f>
        <v/>
      </c>
      <c r="O3290" s="2">
        <f>IF(OR(F3290="",G3290=""),"",IF(G3290&lt;='RETRATO 2027'!$K$5,"CONCLUÍDA",IF(F3290&lt;='RETRATO 2027'!$K$5,"EM ANDAMENTO","A INICIAR")))</f>
        <v/>
      </c>
    </row>
    <row r="3291">
      <c r="M3291" s="2">
        <f>IF(C3291="","",IFERROR(INDEX($S$5:$S$304,MATCH(C3291,$R$5:$R$304,0))&amp;"","?"))</f>
        <v/>
      </c>
      <c r="N3291" s="2">
        <f>IF(E3291="","",IF(ISNUMBER(SEARCH("SUBSOLO",E3291)),IFERROR(-VALUE(LEFT(E3291,FIND("º",SUBSTITUTE(E3291,"°","º"))-1)),-1),IF(LEFT(E3291,6)="TÉRREO",0,IFERROR(VALUE(LEFT(E3291,FIND("º",SUBSTITUTE(E3291,"°","º"))-1)),""))))</f>
        <v/>
      </c>
      <c r="O3291" s="2">
        <f>IF(OR(F3291="",G3291=""),"",IF(G3291&lt;='RETRATO 2027'!$K$5,"CONCLUÍDA",IF(F3291&lt;='RETRATO 2027'!$K$5,"EM ANDAMENTO","A INICIAR")))</f>
        <v/>
      </c>
    </row>
    <row r="3292">
      <c r="M3292" s="2">
        <f>IF(C3292="","",IFERROR(INDEX($S$5:$S$304,MATCH(C3292,$R$5:$R$304,0))&amp;"","?"))</f>
        <v/>
      </c>
      <c r="N3292" s="2">
        <f>IF(E3292="","",IF(ISNUMBER(SEARCH("SUBSOLO",E3292)),IFERROR(-VALUE(LEFT(E3292,FIND("º",SUBSTITUTE(E3292,"°","º"))-1)),-1),IF(LEFT(E3292,6)="TÉRREO",0,IFERROR(VALUE(LEFT(E3292,FIND("º",SUBSTITUTE(E3292,"°","º"))-1)),""))))</f>
        <v/>
      </c>
      <c r="O3292" s="2">
        <f>IF(OR(F3292="",G3292=""),"",IF(G3292&lt;='RETRATO 2027'!$K$5,"CONCLUÍDA",IF(F3292&lt;='RETRATO 2027'!$K$5,"EM ANDAMENTO","A INICIAR")))</f>
        <v/>
      </c>
    </row>
    <row r="3293">
      <c r="M3293" s="2">
        <f>IF(C3293="","",IFERROR(INDEX($S$5:$S$304,MATCH(C3293,$R$5:$R$304,0))&amp;"","?"))</f>
        <v/>
      </c>
      <c r="N3293" s="2">
        <f>IF(E3293="","",IF(ISNUMBER(SEARCH("SUBSOLO",E3293)),IFERROR(-VALUE(LEFT(E3293,FIND("º",SUBSTITUTE(E3293,"°","º"))-1)),-1),IF(LEFT(E3293,6)="TÉRREO",0,IFERROR(VALUE(LEFT(E3293,FIND("º",SUBSTITUTE(E3293,"°","º"))-1)),""))))</f>
        <v/>
      </c>
      <c r="O3293" s="2">
        <f>IF(OR(F3293="",G3293=""),"",IF(G3293&lt;='RETRATO 2027'!$K$5,"CONCLUÍDA",IF(F3293&lt;='RETRATO 2027'!$K$5,"EM ANDAMENTO","A INICIAR")))</f>
        <v/>
      </c>
    </row>
    <row r="3294">
      <c r="M3294" s="2">
        <f>IF(C3294="","",IFERROR(INDEX($S$5:$S$304,MATCH(C3294,$R$5:$R$304,0))&amp;"","?"))</f>
        <v/>
      </c>
      <c r="N3294" s="2">
        <f>IF(E3294="","",IF(ISNUMBER(SEARCH("SUBSOLO",E3294)),IFERROR(-VALUE(LEFT(E3294,FIND("º",SUBSTITUTE(E3294,"°","º"))-1)),-1),IF(LEFT(E3294,6)="TÉRREO",0,IFERROR(VALUE(LEFT(E3294,FIND("º",SUBSTITUTE(E3294,"°","º"))-1)),""))))</f>
        <v/>
      </c>
      <c r="O3294" s="2">
        <f>IF(OR(F3294="",G3294=""),"",IF(G3294&lt;='RETRATO 2027'!$K$5,"CONCLUÍDA",IF(F3294&lt;='RETRATO 2027'!$K$5,"EM ANDAMENTO","A INICIAR")))</f>
        <v/>
      </c>
    </row>
    <row r="3295">
      <c r="M3295" s="2">
        <f>IF(C3295="","",IFERROR(INDEX($S$5:$S$304,MATCH(C3295,$R$5:$R$304,0))&amp;"","?"))</f>
        <v/>
      </c>
      <c r="N3295" s="2">
        <f>IF(E3295="","",IF(ISNUMBER(SEARCH("SUBSOLO",E3295)),IFERROR(-VALUE(LEFT(E3295,FIND("º",SUBSTITUTE(E3295,"°","º"))-1)),-1),IF(LEFT(E3295,6)="TÉRREO",0,IFERROR(VALUE(LEFT(E3295,FIND("º",SUBSTITUTE(E3295,"°","º"))-1)),""))))</f>
        <v/>
      </c>
      <c r="O3295" s="2">
        <f>IF(OR(F3295="",G3295=""),"",IF(G3295&lt;='RETRATO 2027'!$K$5,"CONCLUÍDA",IF(F3295&lt;='RETRATO 2027'!$K$5,"EM ANDAMENTO","A INICIAR")))</f>
        <v/>
      </c>
    </row>
    <row r="3296">
      <c r="M3296" s="2">
        <f>IF(C3296="","",IFERROR(INDEX($S$5:$S$304,MATCH(C3296,$R$5:$R$304,0))&amp;"","?"))</f>
        <v/>
      </c>
      <c r="N3296" s="2">
        <f>IF(E3296="","",IF(ISNUMBER(SEARCH("SUBSOLO",E3296)),IFERROR(-VALUE(LEFT(E3296,FIND("º",SUBSTITUTE(E3296,"°","º"))-1)),-1),IF(LEFT(E3296,6)="TÉRREO",0,IFERROR(VALUE(LEFT(E3296,FIND("º",SUBSTITUTE(E3296,"°","º"))-1)),""))))</f>
        <v/>
      </c>
      <c r="O3296" s="2">
        <f>IF(OR(F3296="",G3296=""),"",IF(G3296&lt;='RETRATO 2027'!$K$5,"CONCLUÍDA",IF(F3296&lt;='RETRATO 2027'!$K$5,"EM ANDAMENTO","A INICIAR")))</f>
        <v/>
      </c>
    </row>
    <row r="3297">
      <c r="M3297" s="2">
        <f>IF(C3297="","",IFERROR(INDEX($S$5:$S$304,MATCH(C3297,$R$5:$R$304,0))&amp;"","?"))</f>
        <v/>
      </c>
      <c r="N3297" s="2">
        <f>IF(E3297="","",IF(ISNUMBER(SEARCH("SUBSOLO",E3297)),IFERROR(-VALUE(LEFT(E3297,FIND("º",SUBSTITUTE(E3297,"°","º"))-1)),-1),IF(LEFT(E3297,6)="TÉRREO",0,IFERROR(VALUE(LEFT(E3297,FIND("º",SUBSTITUTE(E3297,"°","º"))-1)),""))))</f>
        <v/>
      </c>
      <c r="O3297" s="2">
        <f>IF(OR(F3297="",G3297=""),"",IF(G3297&lt;='RETRATO 2027'!$K$5,"CONCLUÍDA",IF(F3297&lt;='RETRATO 2027'!$K$5,"EM ANDAMENTO","A INICIAR")))</f>
        <v/>
      </c>
    </row>
    <row r="3298">
      <c r="M3298" s="2">
        <f>IF(C3298="","",IFERROR(INDEX($S$5:$S$304,MATCH(C3298,$R$5:$R$304,0))&amp;"","?"))</f>
        <v/>
      </c>
      <c r="N3298" s="2">
        <f>IF(E3298="","",IF(ISNUMBER(SEARCH("SUBSOLO",E3298)),IFERROR(-VALUE(LEFT(E3298,FIND("º",SUBSTITUTE(E3298,"°","º"))-1)),-1),IF(LEFT(E3298,6)="TÉRREO",0,IFERROR(VALUE(LEFT(E3298,FIND("º",SUBSTITUTE(E3298,"°","º"))-1)),""))))</f>
        <v/>
      </c>
      <c r="O3298" s="2">
        <f>IF(OR(F3298="",G3298=""),"",IF(G3298&lt;='RETRATO 2027'!$K$5,"CONCLUÍDA",IF(F3298&lt;='RETRATO 2027'!$K$5,"EM ANDAMENTO","A INICIAR")))</f>
        <v/>
      </c>
    </row>
    <row r="3299">
      <c r="M3299" s="2">
        <f>IF(C3299="","",IFERROR(INDEX($S$5:$S$304,MATCH(C3299,$R$5:$R$304,0))&amp;"","?"))</f>
        <v/>
      </c>
      <c r="N3299" s="2">
        <f>IF(E3299="","",IF(ISNUMBER(SEARCH("SUBSOLO",E3299)),IFERROR(-VALUE(LEFT(E3299,FIND("º",SUBSTITUTE(E3299,"°","º"))-1)),-1),IF(LEFT(E3299,6)="TÉRREO",0,IFERROR(VALUE(LEFT(E3299,FIND("º",SUBSTITUTE(E3299,"°","º"))-1)),""))))</f>
        <v/>
      </c>
      <c r="O3299" s="2">
        <f>IF(OR(F3299="",G3299=""),"",IF(G3299&lt;='RETRATO 2027'!$K$5,"CONCLUÍDA",IF(F3299&lt;='RETRATO 2027'!$K$5,"EM ANDAMENTO","A INICIAR")))</f>
        <v/>
      </c>
    </row>
    <row r="3300">
      <c r="M3300" s="2">
        <f>IF(C3300="","",IFERROR(INDEX($S$5:$S$304,MATCH(C3300,$R$5:$R$304,0))&amp;"","?"))</f>
        <v/>
      </c>
      <c r="N3300" s="2">
        <f>IF(E3300="","",IF(ISNUMBER(SEARCH("SUBSOLO",E3300)),IFERROR(-VALUE(LEFT(E3300,FIND("º",SUBSTITUTE(E3300,"°","º"))-1)),-1),IF(LEFT(E3300,6)="TÉRREO",0,IFERROR(VALUE(LEFT(E3300,FIND("º",SUBSTITUTE(E3300,"°","º"))-1)),""))))</f>
        <v/>
      </c>
      <c r="O3300" s="2">
        <f>IF(OR(F3300="",G3300=""),"",IF(G3300&lt;='RETRATO 2027'!$K$5,"CONCLUÍDA",IF(F3300&lt;='RETRATO 2027'!$K$5,"EM ANDAMENTO","A INICIAR")))</f>
        <v/>
      </c>
    </row>
    <row r="3301">
      <c r="M3301" s="2">
        <f>IF(C3301="","",IFERROR(INDEX($S$5:$S$304,MATCH(C3301,$R$5:$R$304,0))&amp;"","?"))</f>
        <v/>
      </c>
      <c r="N3301" s="2">
        <f>IF(E3301="","",IF(ISNUMBER(SEARCH("SUBSOLO",E3301)),IFERROR(-VALUE(LEFT(E3301,FIND("º",SUBSTITUTE(E3301,"°","º"))-1)),-1),IF(LEFT(E3301,6)="TÉRREO",0,IFERROR(VALUE(LEFT(E3301,FIND("º",SUBSTITUTE(E3301,"°","º"))-1)),""))))</f>
        <v/>
      </c>
      <c r="O3301" s="2">
        <f>IF(OR(F3301="",G3301=""),"",IF(G3301&lt;='RETRATO 2027'!$K$5,"CONCLUÍDA",IF(F3301&lt;='RETRATO 2027'!$K$5,"EM ANDAMENTO","A INICIAR")))</f>
        <v/>
      </c>
    </row>
    <row r="3302">
      <c r="M3302" s="2">
        <f>IF(C3302="","",IFERROR(INDEX($S$5:$S$304,MATCH(C3302,$R$5:$R$304,0))&amp;"","?"))</f>
        <v/>
      </c>
      <c r="N3302" s="2">
        <f>IF(E3302="","",IF(ISNUMBER(SEARCH("SUBSOLO",E3302)),IFERROR(-VALUE(LEFT(E3302,FIND("º",SUBSTITUTE(E3302,"°","º"))-1)),-1),IF(LEFT(E3302,6)="TÉRREO",0,IFERROR(VALUE(LEFT(E3302,FIND("º",SUBSTITUTE(E3302,"°","º"))-1)),""))))</f>
        <v/>
      </c>
      <c r="O3302" s="2">
        <f>IF(OR(F3302="",G3302=""),"",IF(G3302&lt;='RETRATO 2027'!$K$5,"CONCLUÍDA",IF(F3302&lt;='RETRATO 2027'!$K$5,"EM ANDAMENTO","A INICIAR")))</f>
        <v/>
      </c>
    </row>
    <row r="3303">
      <c r="M3303" s="2">
        <f>IF(C3303="","",IFERROR(INDEX($S$5:$S$304,MATCH(C3303,$R$5:$R$304,0))&amp;"","?"))</f>
        <v/>
      </c>
      <c r="N3303" s="2">
        <f>IF(E3303="","",IF(ISNUMBER(SEARCH("SUBSOLO",E3303)),IFERROR(-VALUE(LEFT(E3303,FIND("º",SUBSTITUTE(E3303,"°","º"))-1)),-1),IF(LEFT(E3303,6)="TÉRREO",0,IFERROR(VALUE(LEFT(E3303,FIND("º",SUBSTITUTE(E3303,"°","º"))-1)),""))))</f>
        <v/>
      </c>
      <c r="O3303" s="2">
        <f>IF(OR(F3303="",G3303=""),"",IF(G3303&lt;='RETRATO 2027'!$K$5,"CONCLUÍDA",IF(F3303&lt;='RETRATO 2027'!$K$5,"EM ANDAMENTO","A INICIAR")))</f>
        <v/>
      </c>
    </row>
    <row r="3304">
      <c r="M3304" s="2">
        <f>IF(C3304="","",IFERROR(INDEX($S$5:$S$304,MATCH(C3304,$R$5:$R$304,0))&amp;"","?"))</f>
        <v/>
      </c>
      <c r="N3304" s="2">
        <f>IF(E3304="","",IF(ISNUMBER(SEARCH("SUBSOLO",E3304)),IFERROR(-VALUE(LEFT(E3304,FIND("º",SUBSTITUTE(E3304,"°","º"))-1)),-1),IF(LEFT(E3304,6)="TÉRREO",0,IFERROR(VALUE(LEFT(E3304,FIND("º",SUBSTITUTE(E3304,"°","º"))-1)),""))))</f>
        <v/>
      </c>
      <c r="O3304" s="2">
        <f>IF(OR(F3304="",G3304=""),"",IF(G3304&lt;='RETRATO 2027'!$K$5,"CONCLUÍDA",IF(F3304&lt;='RETRATO 2027'!$K$5,"EM ANDAMENTO","A INICIAR")))</f>
        <v/>
      </c>
    </row>
    <row r="3305">
      <c r="M3305" s="2">
        <f>IF(C3305="","",IFERROR(INDEX($S$5:$S$304,MATCH(C3305,$R$5:$R$304,0))&amp;"","?"))</f>
        <v/>
      </c>
      <c r="N3305" s="2">
        <f>IF(E3305="","",IF(ISNUMBER(SEARCH("SUBSOLO",E3305)),IFERROR(-VALUE(LEFT(E3305,FIND("º",SUBSTITUTE(E3305,"°","º"))-1)),-1),IF(LEFT(E3305,6)="TÉRREO",0,IFERROR(VALUE(LEFT(E3305,FIND("º",SUBSTITUTE(E3305,"°","º"))-1)),""))))</f>
        <v/>
      </c>
      <c r="O3305" s="2">
        <f>IF(OR(F3305="",G3305=""),"",IF(G3305&lt;='RETRATO 2027'!$K$5,"CONCLUÍDA",IF(F3305&lt;='RETRATO 2027'!$K$5,"EM ANDAMENTO","A INICIAR")))</f>
        <v/>
      </c>
    </row>
    <row r="3306">
      <c r="M3306" s="2">
        <f>IF(C3306="","",IFERROR(INDEX($S$5:$S$304,MATCH(C3306,$R$5:$R$304,0))&amp;"","?"))</f>
        <v/>
      </c>
      <c r="N3306" s="2">
        <f>IF(E3306="","",IF(ISNUMBER(SEARCH("SUBSOLO",E3306)),IFERROR(-VALUE(LEFT(E3306,FIND("º",SUBSTITUTE(E3306,"°","º"))-1)),-1),IF(LEFT(E3306,6)="TÉRREO",0,IFERROR(VALUE(LEFT(E3306,FIND("º",SUBSTITUTE(E3306,"°","º"))-1)),""))))</f>
        <v/>
      </c>
      <c r="O3306" s="2">
        <f>IF(OR(F3306="",G3306=""),"",IF(G3306&lt;='RETRATO 2027'!$K$5,"CONCLUÍDA",IF(F3306&lt;='RETRATO 2027'!$K$5,"EM ANDAMENTO","A INICIAR")))</f>
        <v/>
      </c>
    </row>
    <row r="3307">
      <c r="M3307" s="2">
        <f>IF(C3307="","",IFERROR(INDEX($S$5:$S$304,MATCH(C3307,$R$5:$R$304,0))&amp;"","?"))</f>
        <v/>
      </c>
      <c r="N3307" s="2">
        <f>IF(E3307="","",IF(ISNUMBER(SEARCH("SUBSOLO",E3307)),IFERROR(-VALUE(LEFT(E3307,FIND("º",SUBSTITUTE(E3307,"°","º"))-1)),-1),IF(LEFT(E3307,6)="TÉRREO",0,IFERROR(VALUE(LEFT(E3307,FIND("º",SUBSTITUTE(E3307,"°","º"))-1)),""))))</f>
        <v/>
      </c>
      <c r="O3307" s="2">
        <f>IF(OR(F3307="",G3307=""),"",IF(G3307&lt;='RETRATO 2027'!$K$5,"CONCLUÍDA",IF(F3307&lt;='RETRATO 2027'!$K$5,"EM ANDAMENTO","A INICIAR")))</f>
        <v/>
      </c>
    </row>
    <row r="3308">
      <c r="M3308" s="2">
        <f>IF(C3308="","",IFERROR(INDEX($S$5:$S$304,MATCH(C3308,$R$5:$R$304,0))&amp;"","?"))</f>
        <v/>
      </c>
      <c r="N3308" s="2">
        <f>IF(E3308="","",IF(ISNUMBER(SEARCH("SUBSOLO",E3308)),IFERROR(-VALUE(LEFT(E3308,FIND("º",SUBSTITUTE(E3308,"°","º"))-1)),-1),IF(LEFT(E3308,6)="TÉRREO",0,IFERROR(VALUE(LEFT(E3308,FIND("º",SUBSTITUTE(E3308,"°","º"))-1)),""))))</f>
        <v/>
      </c>
      <c r="O3308" s="2">
        <f>IF(OR(F3308="",G3308=""),"",IF(G3308&lt;='RETRATO 2027'!$K$5,"CONCLUÍDA",IF(F3308&lt;='RETRATO 2027'!$K$5,"EM ANDAMENTO","A INICIAR")))</f>
        <v/>
      </c>
    </row>
    <row r="3309">
      <c r="M3309" s="2">
        <f>IF(C3309="","",IFERROR(INDEX($S$5:$S$304,MATCH(C3309,$R$5:$R$304,0))&amp;"","?"))</f>
        <v/>
      </c>
      <c r="N3309" s="2">
        <f>IF(E3309="","",IF(ISNUMBER(SEARCH("SUBSOLO",E3309)),IFERROR(-VALUE(LEFT(E3309,FIND("º",SUBSTITUTE(E3309,"°","º"))-1)),-1),IF(LEFT(E3309,6)="TÉRREO",0,IFERROR(VALUE(LEFT(E3309,FIND("º",SUBSTITUTE(E3309,"°","º"))-1)),""))))</f>
        <v/>
      </c>
      <c r="O3309" s="2">
        <f>IF(OR(F3309="",G3309=""),"",IF(G3309&lt;='RETRATO 2027'!$K$5,"CONCLUÍDA",IF(F3309&lt;='RETRATO 2027'!$K$5,"EM ANDAMENTO","A INICIAR")))</f>
        <v/>
      </c>
    </row>
    <row r="3310">
      <c r="M3310" s="2">
        <f>IF(C3310="","",IFERROR(INDEX($S$5:$S$304,MATCH(C3310,$R$5:$R$304,0))&amp;"","?"))</f>
        <v/>
      </c>
      <c r="N3310" s="2">
        <f>IF(E3310="","",IF(ISNUMBER(SEARCH("SUBSOLO",E3310)),IFERROR(-VALUE(LEFT(E3310,FIND("º",SUBSTITUTE(E3310,"°","º"))-1)),-1),IF(LEFT(E3310,6)="TÉRREO",0,IFERROR(VALUE(LEFT(E3310,FIND("º",SUBSTITUTE(E3310,"°","º"))-1)),""))))</f>
        <v/>
      </c>
      <c r="O3310" s="2">
        <f>IF(OR(F3310="",G3310=""),"",IF(G3310&lt;='RETRATO 2027'!$K$5,"CONCLUÍDA",IF(F3310&lt;='RETRATO 2027'!$K$5,"EM ANDAMENTO","A INICIAR")))</f>
        <v/>
      </c>
    </row>
    <row r="3311">
      <c r="M3311" s="2">
        <f>IF(C3311="","",IFERROR(INDEX($S$5:$S$304,MATCH(C3311,$R$5:$R$304,0))&amp;"","?"))</f>
        <v/>
      </c>
      <c r="N3311" s="2">
        <f>IF(E3311="","",IF(ISNUMBER(SEARCH("SUBSOLO",E3311)),IFERROR(-VALUE(LEFT(E3311,FIND("º",SUBSTITUTE(E3311,"°","º"))-1)),-1),IF(LEFT(E3311,6)="TÉRREO",0,IFERROR(VALUE(LEFT(E3311,FIND("º",SUBSTITUTE(E3311,"°","º"))-1)),""))))</f>
        <v/>
      </c>
      <c r="O3311" s="2">
        <f>IF(OR(F3311="",G3311=""),"",IF(G3311&lt;='RETRATO 2027'!$K$5,"CONCLUÍDA",IF(F3311&lt;='RETRATO 2027'!$K$5,"EM ANDAMENTO","A INICIAR")))</f>
        <v/>
      </c>
    </row>
    <row r="3312">
      <c r="M3312" s="2">
        <f>IF(C3312="","",IFERROR(INDEX($S$5:$S$304,MATCH(C3312,$R$5:$R$304,0))&amp;"","?"))</f>
        <v/>
      </c>
      <c r="N3312" s="2">
        <f>IF(E3312="","",IF(ISNUMBER(SEARCH("SUBSOLO",E3312)),IFERROR(-VALUE(LEFT(E3312,FIND("º",SUBSTITUTE(E3312,"°","º"))-1)),-1),IF(LEFT(E3312,6)="TÉRREO",0,IFERROR(VALUE(LEFT(E3312,FIND("º",SUBSTITUTE(E3312,"°","º"))-1)),""))))</f>
        <v/>
      </c>
      <c r="O3312" s="2">
        <f>IF(OR(F3312="",G3312=""),"",IF(G3312&lt;='RETRATO 2027'!$K$5,"CONCLUÍDA",IF(F3312&lt;='RETRATO 2027'!$K$5,"EM ANDAMENTO","A INICIAR")))</f>
        <v/>
      </c>
    </row>
    <row r="3313">
      <c r="M3313" s="2">
        <f>IF(C3313="","",IFERROR(INDEX($S$5:$S$304,MATCH(C3313,$R$5:$R$304,0))&amp;"","?"))</f>
        <v/>
      </c>
      <c r="N3313" s="2">
        <f>IF(E3313="","",IF(ISNUMBER(SEARCH("SUBSOLO",E3313)),IFERROR(-VALUE(LEFT(E3313,FIND("º",SUBSTITUTE(E3313,"°","º"))-1)),-1),IF(LEFT(E3313,6)="TÉRREO",0,IFERROR(VALUE(LEFT(E3313,FIND("º",SUBSTITUTE(E3313,"°","º"))-1)),""))))</f>
        <v/>
      </c>
      <c r="O3313" s="2">
        <f>IF(OR(F3313="",G3313=""),"",IF(G3313&lt;='RETRATO 2027'!$K$5,"CONCLUÍDA",IF(F3313&lt;='RETRATO 2027'!$K$5,"EM ANDAMENTO","A INICIAR")))</f>
        <v/>
      </c>
    </row>
    <row r="3314">
      <c r="M3314" s="2">
        <f>IF(C3314="","",IFERROR(INDEX($S$5:$S$304,MATCH(C3314,$R$5:$R$304,0))&amp;"","?"))</f>
        <v/>
      </c>
      <c r="N3314" s="2">
        <f>IF(E3314="","",IF(ISNUMBER(SEARCH("SUBSOLO",E3314)),IFERROR(-VALUE(LEFT(E3314,FIND("º",SUBSTITUTE(E3314,"°","º"))-1)),-1),IF(LEFT(E3314,6)="TÉRREO",0,IFERROR(VALUE(LEFT(E3314,FIND("º",SUBSTITUTE(E3314,"°","º"))-1)),""))))</f>
        <v/>
      </c>
      <c r="O3314" s="2">
        <f>IF(OR(F3314="",G3314=""),"",IF(G3314&lt;='RETRATO 2027'!$K$5,"CONCLUÍDA",IF(F3314&lt;='RETRATO 2027'!$K$5,"EM ANDAMENTO","A INICIAR")))</f>
        <v/>
      </c>
    </row>
    <row r="3315">
      <c r="M3315" s="2">
        <f>IF(C3315="","",IFERROR(INDEX($S$5:$S$304,MATCH(C3315,$R$5:$R$304,0))&amp;"","?"))</f>
        <v/>
      </c>
      <c r="N3315" s="2">
        <f>IF(E3315="","",IF(ISNUMBER(SEARCH("SUBSOLO",E3315)),IFERROR(-VALUE(LEFT(E3315,FIND("º",SUBSTITUTE(E3315,"°","º"))-1)),-1),IF(LEFT(E3315,6)="TÉRREO",0,IFERROR(VALUE(LEFT(E3315,FIND("º",SUBSTITUTE(E3315,"°","º"))-1)),""))))</f>
        <v/>
      </c>
      <c r="O3315" s="2">
        <f>IF(OR(F3315="",G3315=""),"",IF(G3315&lt;='RETRATO 2027'!$K$5,"CONCLUÍDA",IF(F3315&lt;='RETRATO 2027'!$K$5,"EM ANDAMENTO","A INICIAR")))</f>
        <v/>
      </c>
    </row>
    <row r="3316">
      <c r="M3316" s="2">
        <f>IF(C3316="","",IFERROR(INDEX($S$5:$S$304,MATCH(C3316,$R$5:$R$304,0))&amp;"","?"))</f>
        <v/>
      </c>
      <c r="N3316" s="2">
        <f>IF(E3316="","",IF(ISNUMBER(SEARCH("SUBSOLO",E3316)),IFERROR(-VALUE(LEFT(E3316,FIND("º",SUBSTITUTE(E3316,"°","º"))-1)),-1),IF(LEFT(E3316,6)="TÉRREO",0,IFERROR(VALUE(LEFT(E3316,FIND("º",SUBSTITUTE(E3316,"°","º"))-1)),""))))</f>
        <v/>
      </c>
      <c r="O3316" s="2">
        <f>IF(OR(F3316="",G3316=""),"",IF(G3316&lt;='RETRATO 2027'!$K$5,"CONCLUÍDA",IF(F3316&lt;='RETRATO 2027'!$K$5,"EM ANDAMENTO","A INICIAR")))</f>
        <v/>
      </c>
    </row>
    <row r="3317">
      <c r="M3317" s="2">
        <f>IF(C3317="","",IFERROR(INDEX($S$5:$S$304,MATCH(C3317,$R$5:$R$304,0))&amp;"","?"))</f>
        <v/>
      </c>
      <c r="N3317" s="2">
        <f>IF(E3317="","",IF(ISNUMBER(SEARCH("SUBSOLO",E3317)),IFERROR(-VALUE(LEFT(E3317,FIND("º",SUBSTITUTE(E3317,"°","º"))-1)),-1),IF(LEFT(E3317,6)="TÉRREO",0,IFERROR(VALUE(LEFT(E3317,FIND("º",SUBSTITUTE(E3317,"°","º"))-1)),""))))</f>
        <v/>
      </c>
      <c r="O3317" s="2">
        <f>IF(OR(F3317="",G3317=""),"",IF(G3317&lt;='RETRATO 2027'!$K$5,"CONCLUÍDA",IF(F3317&lt;='RETRATO 2027'!$K$5,"EM ANDAMENTO","A INICIAR")))</f>
        <v/>
      </c>
    </row>
    <row r="3318">
      <c r="M3318" s="2">
        <f>IF(C3318="","",IFERROR(INDEX($S$5:$S$304,MATCH(C3318,$R$5:$R$304,0))&amp;"","?"))</f>
        <v/>
      </c>
      <c r="N3318" s="2">
        <f>IF(E3318="","",IF(ISNUMBER(SEARCH("SUBSOLO",E3318)),IFERROR(-VALUE(LEFT(E3318,FIND("º",SUBSTITUTE(E3318,"°","º"))-1)),-1),IF(LEFT(E3318,6)="TÉRREO",0,IFERROR(VALUE(LEFT(E3318,FIND("º",SUBSTITUTE(E3318,"°","º"))-1)),""))))</f>
        <v/>
      </c>
      <c r="O3318" s="2">
        <f>IF(OR(F3318="",G3318=""),"",IF(G3318&lt;='RETRATO 2027'!$K$5,"CONCLUÍDA",IF(F3318&lt;='RETRATO 2027'!$K$5,"EM ANDAMENTO","A INICIAR")))</f>
        <v/>
      </c>
    </row>
    <row r="3319">
      <c r="M3319" s="2">
        <f>IF(C3319="","",IFERROR(INDEX($S$5:$S$304,MATCH(C3319,$R$5:$R$304,0))&amp;"","?"))</f>
        <v/>
      </c>
      <c r="N3319" s="2">
        <f>IF(E3319="","",IF(ISNUMBER(SEARCH("SUBSOLO",E3319)),IFERROR(-VALUE(LEFT(E3319,FIND("º",SUBSTITUTE(E3319,"°","º"))-1)),-1),IF(LEFT(E3319,6)="TÉRREO",0,IFERROR(VALUE(LEFT(E3319,FIND("º",SUBSTITUTE(E3319,"°","º"))-1)),""))))</f>
        <v/>
      </c>
      <c r="O3319" s="2">
        <f>IF(OR(F3319="",G3319=""),"",IF(G3319&lt;='RETRATO 2027'!$K$5,"CONCLUÍDA",IF(F3319&lt;='RETRATO 2027'!$K$5,"EM ANDAMENTO","A INICIAR")))</f>
        <v/>
      </c>
    </row>
    <row r="3320">
      <c r="M3320" s="2">
        <f>IF(C3320="","",IFERROR(INDEX($S$5:$S$304,MATCH(C3320,$R$5:$R$304,0))&amp;"","?"))</f>
        <v/>
      </c>
      <c r="N3320" s="2">
        <f>IF(E3320="","",IF(ISNUMBER(SEARCH("SUBSOLO",E3320)),IFERROR(-VALUE(LEFT(E3320,FIND("º",SUBSTITUTE(E3320,"°","º"))-1)),-1),IF(LEFT(E3320,6)="TÉRREO",0,IFERROR(VALUE(LEFT(E3320,FIND("º",SUBSTITUTE(E3320,"°","º"))-1)),""))))</f>
        <v/>
      </c>
      <c r="O3320" s="2">
        <f>IF(OR(F3320="",G3320=""),"",IF(G3320&lt;='RETRATO 2027'!$K$5,"CONCLUÍDA",IF(F3320&lt;='RETRATO 2027'!$K$5,"EM ANDAMENTO","A INICIAR")))</f>
        <v/>
      </c>
    </row>
    <row r="3321">
      <c r="M3321" s="2">
        <f>IF(C3321="","",IFERROR(INDEX($S$5:$S$304,MATCH(C3321,$R$5:$R$304,0))&amp;"","?"))</f>
        <v/>
      </c>
      <c r="N3321" s="2">
        <f>IF(E3321="","",IF(ISNUMBER(SEARCH("SUBSOLO",E3321)),IFERROR(-VALUE(LEFT(E3321,FIND("º",SUBSTITUTE(E3321,"°","º"))-1)),-1),IF(LEFT(E3321,6)="TÉRREO",0,IFERROR(VALUE(LEFT(E3321,FIND("º",SUBSTITUTE(E3321,"°","º"))-1)),""))))</f>
        <v/>
      </c>
      <c r="O3321" s="2">
        <f>IF(OR(F3321="",G3321=""),"",IF(G3321&lt;='RETRATO 2027'!$K$5,"CONCLUÍDA",IF(F3321&lt;='RETRATO 2027'!$K$5,"EM ANDAMENTO","A INICIAR")))</f>
        <v/>
      </c>
    </row>
    <row r="3322">
      <c r="M3322" s="2">
        <f>IF(C3322="","",IFERROR(INDEX($S$5:$S$304,MATCH(C3322,$R$5:$R$304,0))&amp;"","?"))</f>
        <v/>
      </c>
      <c r="N3322" s="2">
        <f>IF(E3322="","",IF(ISNUMBER(SEARCH("SUBSOLO",E3322)),IFERROR(-VALUE(LEFT(E3322,FIND("º",SUBSTITUTE(E3322,"°","º"))-1)),-1),IF(LEFT(E3322,6)="TÉRREO",0,IFERROR(VALUE(LEFT(E3322,FIND("º",SUBSTITUTE(E3322,"°","º"))-1)),""))))</f>
        <v/>
      </c>
      <c r="O3322" s="2">
        <f>IF(OR(F3322="",G3322=""),"",IF(G3322&lt;='RETRATO 2027'!$K$5,"CONCLUÍDA",IF(F3322&lt;='RETRATO 2027'!$K$5,"EM ANDAMENTO","A INICIAR")))</f>
        <v/>
      </c>
    </row>
    <row r="3323">
      <c r="M3323" s="2">
        <f>IF(C3323="","",IFERROR(INDEX($S$5:$S$304,MATCH(C3323,$R$5:$R$304,0))&amp;"","?"))</f>
        <v/>
      </c>
      <c r="N3323" s="2">
        <f>IF(E3323="","",IF(ISNUMBER(SEARCH("SUBSOLO",E3323)),IFERROR(-VALUE(LEFT(E3323,FIND("º",SUBSTITUTE(E3323,"°","º"))-1)),-1),IF(LEFT(E3323,6)="TÉRREO",0,IFERROR(VALUE(LEFT(E3323,FIND("º",SUBSTITUTE(E3323,"°","º"))-1)),""))))</f>
        <v/>
      </c>
      <c r="O3323" s="2">
        <f>IF(OR(F3323="",G3323=""),"",IF(G3323&lt;='RETRATO 2027'!$K$5,"CONCLUÍDA",IF(F3323&lt;='RETRATO 2027'!$K$5,"EM ANDAMENTO","A INICIAR")))</f>
        <v/>
      </c>
    </row>
    <row r="3324">
      <c r="M3324" s="2">
        <f>IF(C3324="","",IFERROR(INDEX($S$5:$S$304,MATCH(C3324,$R$5:$R$304,0))&amp;"","?"))</f>
        <v/>
      </c>
      <c r="N3324" s="2">
        <f>IF(E3324="","",IF(ISNUMBER(SEARCH("SUBSOLO",E3324)),IFERROR(-VALUE(LEFT(E3324,FIND("º",SUBSTITUTE(E3324,"°","º"))-1)),-1),IF(LEFT(E3324,6)="TÉRREO",0,IFERROR(VALUE(LEFT(E3324,FIND("º",SUBSTITUTE(E3324,"°","º"))-1)),""))))</f>
        <v/>
      </c>
      <c r="O3324" s="2">
        <f>IF(OR(F3324="",G3324=""),"",IF(G3324&lt;='RETRATO 2027'!$K$5,"CONCLUÍDA",IF(F3324&lt;='RETRATO 2027'!$K$5,"EM ANDAMENTO","A INICIAR")))</f>
        <v/>
      </c>
    </row>
    <row r="3325">
      <c r="M3325" s="2">
        <f>IF(C3325="","",IFERROR(INDEX($S$5:$S$304,MATCH(C3325,$R$5:$R$304,0))&amp;"","?"))</f>
        <v/>
      </c>
      <c r="N3325" s="2">
        <f>IF(E3325="","",IF(ISNUMBER(SEARCH("SUBSOLO",E3325)),IFERROR(-VALUE(LEFT(E3325,FIND("º",SUBSTITUTE(E3325,"°","º"))-1)),-1),IF(LEFT(E3325,6)="TÉRREO",0,IFERROR(VALUE(LEFT(E3325,FIND("º",SUBSTITUTE(E3325,"°","º"))-1)),""))))</f>
        <v/>
      </c>
      <c r="O3325" s="2">
        <f>IF(OR(F3325="",G3325=""),"",IF(G3325&lt;='RETRATO 2027'!$K$5,"CONCLUÍDA",IF(F3325&lt;='RETRATO 2027'!$K$5,"EM ANDAMENTO","A INICIAR")))</f>
        <v/>
      </c>
    </row>
    <row r="3326">
      <c r="M3326" s="2">
        <f>IF(C3326="","",IFERROR(INDEX($S$5:$S$304,MATCH(C3326,$R$5:$R$304,0))&amp;"","?"))</f>
        <v/>
      </c>
      <c r="N3326" s="2">
        <f>IF(E3326="","",IF(ISNUMBER(SEARCH("SUBSOLO",E3326)),IFERROR(-VALUE(LEFT(E3326,FIND("º",SUBSTITUTE(E3326,"°","º"))-1)),-1),IF(LEFT(E3326,6)="TÉRREO",0,IFERROR(VALUE(LEFT(E3326,FIND("º",SUBSTITUTE(E3326,"°","º"))-1)),""))))</f>
        <v/>
      </c>
      <c r="O3326" s="2">
        <f>IF(OR(F3326="",G3326=""),"",IF(G3326&lt;='RETRATO 2027'!$K$5,"CONCLUÍDA",IF(F3326&lt;='RETRATO 2027'!$K$5,"EM ANDAMENTO","A INICIAR")))</f>
        <v/>
      </c>
    </row>
    <row r="3327">
      <c r="M3327" s="2">
        <f>IF(C3327="","",IFERROR(INDEX($S$5:$S$304,MATCH(C3327,$R$5:$R$304,0))&amp;"","?"))</f>
        <v/>
      </c>
      <c r="N3327" s="2">
        <f>IF(E3327="","",IF(ISNUMBER(SEARCH("SUBSOLO",E3327)),IFERROR(-VALUE(LEFT(E3327,FIND("º",SUBSTITUTE(E3327,"°","º"))-1)),-1),IF(LEFT(E3327,6)="TÉRREO",0,IFERROR(VALUE(LEFT(E3327,FIND("º",SUBSTITUTE(E3327,"°","º"))-1)),""))))</f>
        <v/>
      </c>
      <c r="O3327" s="2">
        <f>IF(OR(F3327="",G3327=""),"",IF(G3327&lt;='RETRATO 2027'!$K$5,"CONCLUÍDA",IF(F3327&lt;='RETRATO 2027'!$K$5,"EM ANDAMENTO","A INICIAR")))</f>
        <v/>
      </c>
    </row>
    <row r="3328">
      <c r="M3328" s="2">
        <f>IF(C3328="","",IFERROR(INDEX($S$5:$S$304,MATCH(C3328,$R$5:$R$304,0))&amp;"","?"))</f>
        <v/>
      </c>
      <c r="N3328" s="2">
        <f>IF(E3328="","",IF(ISNUMBER(SEARCH("SUBSOLO",E3328)),IFERROR(-VALUE(LEFT(E3328,FIND("º",SUBSTITUTE(E3328,"°","º"))-1)),-1),IF(LEFT(E3328,6)="TÉRREO",0,IFERROR(VALUE(LEFT(E3328,FIND("º",SUBSTITUTE(E3328,"°","º"))-1)),""))))</f>
        <v/>
      </c>
      <c r="O3328" s="2">
        <f>IF(OR(F3328="",G3328=""),"",IF(G3328&lt;='RETRATO 2027'!$K$5,"CONCLUÍDA",IF(F3328&lt;='RETRATO 2027'!$K$5,"EM ANDAMENTO","A INICIAR")))</f>
        <v/>
      </c>
    </row>
    <row r="3329">
      <c r="M3329" s="2">
        <f>IF(C3329="","",IFERROR(INDEX($S$5:$S$304,MATCH(C3329,$R$5:$R$304,0))&amp;"","?"))</f>
        <v/>
      </c>
      <c r="N3329" s="2">
        <f>IF(E3329="","",IF(ISNUMBER(SEARCH("SUBSOLO",E3329)),IFERROR(-VALUE(LEFT(E3329,FIND("º",SUBSTITUTE(E3329,"°","º"))-1)),-1),IF(LEFT(E3329,6)="TÉRREO",0,IFERROR(VALUE(LEFT(E3329,FIND("º",SUBSTITUTE(E3329,"°","º"))-1)),""))))</f>
        <v/>
      </c>
      <c r="O3329" s="2">
        <f>IF(OR(F3329="",G3329=""),"",IF(G3329&lt;='RETRATO 2027'!$K$5,"CONCLUÍDA",IF(F3329&lt;='RETRATO 2027'!$K$5,"EM ANDAMENTO","A INICIAR")))</f>
        <v/>
      </c>
    </row>
    <row r="3330">
      <c r="M3330" s="2">
        <f>IF(C3330="","",IFERROR(INDEX($S$5:$S$304,MATCH(C3330,$R$5:$R$304,0))&amp;"","?"))</f>
        <v/>
      </c>
      <c r="N3330" s="2">
        <f>IF(E3330="","",IF(ISNUMBER(SEARCH("SUBSOLO",E3330)),IFERROR(-VALUE(LEFT(E3330,FIND("º",SUBSTITUTE(E3330,"°","º"))-1)),-1),IF(LEFT(E3330,6)="TÉRREO",0,IFERROR(VALUE(LEFT(E3330,FIND("º",SUBSTITUTE(E3330,"°","º"))-1)),""))))</f>
        <v/>
      </c>
      <c r="O3330" s="2">
        <f>IF(OR(F3330="",G3330=""),"",IF(G3330&lt;='RETRATO 2027'!$K$5,"CONCLUÍDA",IF(F3330&lt;='RETRATO 2027'!$K$5,"EM ANDAMENTO","A INICIAR")))</f>
        <v/>
      </c>
    </row>
    <row r="3331">
      <c r="M3331" s="2">
        <f>IF(C3331="","",IFERROR(INDEX($S$5:$S$304,MATCH(C3331,$R$5:$R$304,0))&amp;"","?"))</f>
        <v/>
      </c>
      <c r="N3331" s="2">
        <f>IF(E3331="","",IF(ISNUMBER(SEARCH("SUBSOLO",E3331)),IFERROR(-VALUE(LEFT(E3331,FIND("º",SUBSTITUTE(E3331,"°","º"))-1)),-1),IF(LEFT(E3331,6)="TÉRREO",0,IFERROR(VALUE(LEFT(E3331,FIND("º",SUBSTITUTE(E3331,"°","º"))-1)),""))))</f>
        <v/>
      </c>
      <c r="O3331" s="2">
        <f>IF(OR(F3331="",G3331=""),"",IF(G3331&lt;='RETRATO 2027'!$K$5,"CONCLUÍDA",IF(F3331&lt;='RETRATO 2027'!$K$5,"EM ANDAMENTO","A INICIAR")))</f>
        <v/>
      </c>
    </row>
    <row r="3332">
      <c r="M3332" s="2">
        <f>IF(C3332="","",IFERROR(INDEX($S$5:$S$304,MATCH(C3332,$R$5:$R$304,0))&amp;"","?"))</f>
        <v/>
      </c>
      <c r="N3332" s="2">
        <f>IF(E3332="","",IF(ISNUMBER(SEARCH("SUBSOLO",E3332)),IFERROR(-VALUE(LEFT(E3332,FIND("º",SUBSTITUTE(E3332,"°","º"))-1)),-1),IF(LEFT(E3332,6)="TÉRREO",0,IFERROR(VALUE(LEFT(E3332,FIND("º",SUBSTITUTE(E3332,"°","º"))-1)),""))))</f>
        <v/>
      </c>
      <c r="O3332" s="2">
        <f>IF(OR(F3332="",G3332=""),"",IF(G3332&lt;='RETRATO 2027'!$K$5,"CONCLUÍDA",IF(F3332&lt;='RETRATO 2027'!$K$5,"EM ANDAMENTO","A INICIAR")))</f>
        <v/>
      </c>
    </row>
    <row r="3333">
      <c r="M3333" s="2">
        <f>IF(C3333="","",IFERROR(INDEX($S$5:$S$304,MATCH(C3333,$R$5:$R$304,0))&amp;"","?"))</f>
        <v/>
      </c>
      <c r="N3333" s="2">
        <f>IF(E3333="","",IF(ISNUMBER(SEARCH("SUBSOLO",E3333)),IFERROR(-VALUE(LEFT(E3333,FIND("º",SUBSTITUTE(E3333,"°","º"))-1)),-1),IF(LEFT(E3333,6)="TÉRREO",0,IFERROR(VALUE(LEFT(E3333,FIND("º",SUBSTITUTE(E3333,"°","º"))-1)),""))))</f>
        <v/>
      </c>
      <c r="O3333" s="2">
        <f>IF(OR(F3333="",G3333=""),"",IF(G3333&lt;='RETRATO 2027'!$K$5,"CONCLUÍDA",IF(F3333&lt;='RETRATO 2027'!$K$5,"EM ANDAMENTO","A INICIAR")))</f>
        <v/>
      </c>
    </row>
    <row r="3334">
      <c r="M3334" s="2">
        <f>IF(C3334="","",IFERROR(INDEX($S$5:$S$304,MATCH(C3334,$R$5:$R$304,0))&amp;"","?"))</f>
        <v/>
      </c>
      <c r="N3334" s="2">
        <f>IF(E3334="","",IF(ISNUMBER(SEARCH("SUBSOLO",E3334)),IFERROR(-VALUE(LEFT(E3334,FIND("º",SUBSTITUTE(E3334,"°","º"))-1)),-1),IF(LEFT(E3334,6)="TÉRREO",0,IFERROR(VALUE(LEFT(E3334,FIND("º",SUBSTITUTE(E3334,"°","º"))-1)),""))))</f>
        <v/>
      </c>
      <c r="O3334" s="2">
        <f>IF(OR(F3334="",G3334=""),"",IF(G3334&lt;='RETRATO 2027'!$K$5,"CONCLUÍDA",IF(F3334&lt;='RETRATO 2027'!$K$5,"EM ANDAMENTO","A INICIAR")))</f>
        <v/>
      </c>
    </row>
    <row r="3335">
      <c r="M3335" s="2">
        <f>IF(C3335="","",IFERROR(INDEX($S$5:$S$304,MATCH(C3335,$R$5:$R$304,0))&amp;"","?"))</f>
        <v/>
      </c>
      <c r="N3335" s="2">
        <f>IF(E3335="","",IF(ISNUMBER(SEARCH("SUBSOLO",E3335)),IFERROR(-VALUE(LEFT(E3335,FIND("º",SUBSTITUTE(E3335,"°","º"))-1)),-1),IF(LEFT(E3335,6)="TÉRREO",0,IFERROR(VALUE(LEFT(E3335,FIND("º",SUBSTITUTE(E3335,"°","º"))-1)),""))))</f>
        <v/>
      </c>
      <c r="O3335" s="2">
        <f>IF(OR(F3335="",G3335=""),"",IF(G3335&lt;='RETRATO 2027'!$K$5,"CONCLUÍDA",IF(F3335&lt;='RETRATO 2027'!$K$5,"EM ANDAMENTO","A INICIAR")))</f>
        <v/>
      </c>
    </row>
    <row r="3336">
      <c r="M3336" s="2">
        <f>IF(C3336="","",IFERROR(INDEX($S$5:$S$304,MATCH(C3336,$R$5:$R$304,0))&amp;"","?"))</f>
        <v/>
      </c>
      <c r="N3336" s="2">
        <f>IF(E3336="","",IF(ISNUMBER(SEARCH("SUBSOLO",E3336)),IFERROR(-VALUE(LEFT(E3336,FIND("º",SUBSTITUTE(E3336,"°","º"))-1)),-1),IF(LEFT(E3336,6)="TÉRREO",0,IFERROR(VALUE(LEFT(E3336,FIND("º",SUBSTITUTE(E3336,"°","º"))-1)),""))))</f>
        <v/>
      </c>
      <c r="O3336" s="2">
        <f>IF(OR(F3336="",G3336=""),"",IF(G3336&lt;='RETRATO 2027'!$K$5,"CONCLUÍDA",IF(F3336&lt;='RETRATO 2027'!$K$5,"EM ANDAMENTO","A INICIAR")))</f>
        <v/>
      </c>
    </row>
    <row r="3337">
      <c r="M3337" s="2">
        <f>IF(C3337="","",IFERROR(INDEX($S$5:$S$304,MATCH(C3337,$R$5:$R$304,0))&amp;"","?"))</f>
        <v/>
      </c>
      <c r="N3337" s="2">
        <f>IF(E3337="","",IF(ISNUMBER(SEARCH("SUBSOLO",E3337)),IFERROR(-VALUE(LEFT(E3337,FIND("º",SUBSTITUTE(E3337,"°","º"))-1)),-1),IF(LEFT(E3337,6)="TÉRREO",0,IFERROR(VALUE(LEFT(E3337,FIND("º",SUBSTITUTE(E3337,"°","º"))-1)),""))))</f>
        <v/>
      </c>
      <c r="O3337" s="2">
        <f>IF(OR(F3337="",G3337=""),"",IF(G3337&lt;='RETRATO 2027'!$K$5,"CONCLUÍDA",IF(F3337&lt;='RETRATO 2027'!$K$5,"EM ANDAMENTO","A INICIAR")))</f>
        <v/>
      </c>
    </row>
    <row r="3338">
      <c r="M3338" s="2">
        <f>IF(C3338="","",IFERROR(INDEX($S$5:$S$304,MATCH(C3338,$R$5:$R$304,0))&amp;"","?"))</f>
        <v/>
      </c>
      <c r="N3338" s="2">
        <f>IF(E3338="","",IF(ISNUMBER(SEARCH("SUBSOLO",E3338)),IFERROR(-VALUE(LEFT(E3338,FIND("º",SUBSTITUTE(E3338,"°","º"))-1)),-1),IF(LEFT(E3338,6)="TÉRREO",0,IFERROR(VALUE(LEFT(E3338,FIND("º",SUBSTITUTE(E3338,"°","º"))-1)),""))))</f>
        <v/>
      </c>
      <c r="O3338" s="2">
        <f>IF(OR(F3338="",G3338=""),"",IF(G3338&lt;='RETRATO 2027'!$K$5,"CONCLUÍDA",IF(F3338&lt;='RETRATO 2027'!$K$5,"EM ANDAMENTO","A INICIAR")))</f>
        <v/>
      </c>
    </row>
    <row r="3339">
      <c r="M3339" s="2">
        <f>IF(C3339="","",IFERROR(INDEX($S$5:$S$304,MATCH(C3339,$R$5:$R$304,0))&amp;"","?"))</f>
        <v/>
      </c>
      <c r="N3339" s="2">
        <f>IF(E3339="","",IF(ISNUMBER(SEARCH("SUBSOLO",E3339)),IFERROR(-VALUE(LEFT(E3339,FIND("º",SUBSTITUTE(E3339,"°","º"))-1)),-1),IF(LEFT(E3339,6)="TÉRREO",0,IFERROR(VALUE(LEFT(E3339,FIND("º",SUBSTITUTE(E3339,"°","º"))-1)),""))))</f>
        <v/>
      </c>
      <c r="O3339" s="2">
        <f>IF(OR(F3339="",G3339=""),"",IF(G3339&lt;='RETRATO 2027'!$K$5,"CONCLUÍDA",IF(F3339&lt;='RETRATO 2027'!$K$5,"EM ANDAMENTO","A INICIAR")))</f>
        <v/>
      </c>
    </row>
    <row r="3340">
      <c r="M3340" s="2">
        <f>IF(C3340="","",IFERROR(INDEX($S$5:$S$304,MATCH(C3340,$R$5:$R$304,0))&amp;"","?"))</f>
        <v/>
      </c>
      <c r="N3340" s="2">
        <f>IF(E3340="","",IF(ISNUMBER(SEARCH("SUBSOLO",E3340)),IFERROR(-VALUE(LEFT(E3340,FIND("º",SUBSTITUTE(E3340,"°","º"))-1)),-1),IF(LEFT(E3340,6)="TÉRREO",0,IFERROR(VALUE(LEFT(E3340,FIND("º",SUBSTITUTE(E3340,"°","º"))-1)),""))))</f>
        <v/>
      </c>
      <c r="O3340" s="2">
        <f>IF(OR(F3340="",G3340=""),"",IF(G3340&lt;='RETRATO 2027'!$K$5,"CONCLUÍDA",IF(F3340&lt;='RETRATO 2027'!$K$5,"EM ANDAMENTO","A INICIAR")))</f>
        <v/>
      </c>
    </row>
    <row r="3341">
      <c r="M3341" s="2">
        <f>IF(C3341="","",IFERROR(INDEX($S$5:$S$304,MATCH(C3341,$R$5:$R$304,0))&amp;"","?"))</f>
        <v/>
      </c>
      <c r="N3341" s="2">
        <f>IF(E3341="","",IF(ISNUMBER(SEARCH("SUBSOLO",E3341)),IFERROR(-VALUE(LEFT(E3341,FIND("º",SUBSTITUTE(E3341,"°","º"))-1)),-1),IF(LEFT(E3341,6)="TÉRREO",0,IFERROR(VALUE(LEFT(E3341,FIND("º",SUBSTITUTE(E3341,"°","º"))-1)),""))))</f>
        <v/>
      </c>
      <c r="O3341" s="2">
        <f>IF(OR(F3341="",G3341=""),"",IF(G3341&lt;='RETRATO 2027'!$K$5,"CONCLUÍDA",IF(F3341&lt;='RETRATO 2027'!$K$5,"EM ANDAMENTO","A INICIAR")))</f>
        <v/>
      </c>
    </row>
    <row r="3342">
      <c r="M3342" s="2">
        <f>IF(C3342="","",IFERROR(INDEX($S$5:$S$304,MATCH(C3342,$R$5:$R$304,0))&amp;"","?"))</f>
        <v/>
      </c>
      <c r="N3342" s="2">
        <f>IF(E3342="","",IF(ISNUMBER(SEARCH("SUBSOLO",E3342)),IFERROR(-VALUE(LEFT(E3342,FIND("º",SUBSTITUTE(E3342,"°","º"))-1)),-1),IF(LEFT(E3342,6)="TÉRREO",0,IFERROR(VALUE(LEFT(E3342,FIND("º",SUBSTITUTE(E3342,"°","º"))-1)),""))))</f>
        <v/>
      </c>
      <c r="O3342" s="2">
        <f>IF(OR(F3342="",G3342=""),"",IF(G3342&lt;='RETRATO 2027'!$K$5,"CONCLUÍDA",IF(F3342&lt;='RETRATO 2027'!$K$5,"EM ANDAMENTO","A INICIAR")))</f>
        <v/>
      </c>
    </row>
    <row r="3343">
      <c r="M3343" s="2">
        <f>IF(C3343="","",IFERROR(INDEX($S$5:$S$304,MATCH(C3343,$R$5:$R$304,0))&amp;"","?"))</f>
        <v/>
      </c>
      <c r="N3343" s="2">
        <f>IF(E3343="","",IF(ISNUMBER(SEARCH("SUBSOLO",E3343)),IFERROR(-VALUE(LEFT(E3343,FIND("º",SUBSTITUTE(E3343,"°","º"))-1)),-1),IF(LEFT(E3343,6)="TÉRREO",0,IFERROR(VALUE(LEFT(E3343,FIND("º",SUBSTITUTE(E3343,"°","º"))-1)),""))))</f>
        <v/>
      </c>
      <c r="O3343" s="2">
        <f>IF(OR(F3343="",G3343=""),"",IF(G3343&lt;='RETRATO 2027'!$K$5,"CONCLUÍDA",IF(F3343&lt;='RETRATO 2027'!$K$5,"EM ANDAMENTO","A INICIAR")))</f>
        <v/>
      </c>
    </row>
    <row r="3344">
      <c r="M3344" s="2">
        <f>IF(C3344="","",IFERROR(INDEX($S$5:$S$304,MATCH(C3344,$R$5:$R$304,0))&amp;"","?"))</f>
        <v/>
      </c>
      <c r="N3344" s="2">
        <f>IF(E3344="","",IF(ISNUMBER(SEARCH("SUBSOLO",E3344)),IFERROR(-VALUE(LEFT(E3344,FIND("º",SUBSTITUTE(E3344,"°","º"))-1)),-1),IF(LEFT(E3344,6)="TÉRREO",0,IFERROR(VALUE(LEFT(E3344,FIND("º",SUBSTITUTE(E3344,"°","º"))-1)),""))))</f>
        <v/>
      </c>
      <c r="O3344" s="2">
        <f>IF(OR(F3344="",G3344=""),"",IF(G3344&lt;='RETRATO 2027'!$K$5,"CONCLUÍDA",IF(F3344&lt;='RETRATO 2027'!$K$5,"EM ANDAMENTO","A INICIAR")))</f>
        <v/>
      </c>
    </row>
    <row r="3345">
      <c r="M3345" s="2">
        <f>IF(C3345="","",IFERROR(INDEX($S$5:$S$304,MATCH(C3345,$R$5:$R$304,0))&amp;"","?"))</f>
        <v/>
      </c>
      <c r="N3345" s="2">
        <f>IF(E3345="","",IF(ISNUMBER(SEARCH("SUBSOLO",E3345)),IFERROR(-VALUE(LEFT(E3345,FIND("º",SUBSTITUTE(E3345,"°","º"))-1)),-1),IF(LEFT(E3345,6)="TÉRREO",0,IFERROR(VALUE(LEFT(E3345,FIND("º",SUBSTITUTE(E3345,"°","º"))-1)),""))))</f>
        <v/>
      </c>
      <c r="O3345" s="2">
        <f>IF(OR(F3345="",G3345=""),"",IF(G3345&lt;='RETRATO 2027'!$K$5,"CONCLUÍDA",IF(F3345&lt;='RETRATO 2027'!$K$5,"EM ANDAMENTO","A INICIAR")))</f>
        <v/>
      </c>
    </row>
    <row r="3346">
      <c r="M3346" s="2">
        <f>IF(C3346="","",IFERROR(INDEX($S$5:$S$304,MATCH(C3346,$R$5:$R$304,0))&amp;"","?"))</f>
        <v/>
      </c>
      <c r="N3346" s="2">
        <f>IF(E3346="","",IF(ISNUMBER(SEARCH("SUBSOLO",E3346)),IFERROR(-VALUE(LEFT(E3346,FIND("º",SUBSTITUTE(E3346,"°","º"))-1)),-1),IF(LEFT(E3346,6)="TÉRREO",0,IFERROR(VALUE(LEFT(E3346,FIND("º",SUBSTITUTE(E3346,"°","º"))-1)),""))))</f>
        <v/>
      </c>
      <c r="O3346" s="2">
        <f>IF(OR(F3346="",G3346=""),"",IF(G3346&lt;='RETRATO 2027'!$K$5,"CONCLUÍDA",IF(F3346&lt;='RETRATO 2027'!$K$5,"EM ANDAMENTO","A INICIAR")))</f>
        <v/>
      </c>
    </row>
    <row r="3347">
      <c r="M3347" s="2">
        <f>IF(C3347="","",IFERROR(INDEX($S$5:$S$304,MATCH(C3347,$R$5:$R$304,0))&amp;"","?"))</f>
        <v/>
      </c>
      <c r="N3347" s="2">
        <f>IF(E3347="","",IF(ISNUMBER(SEARCH("SUBSOLO",E3347)),IFERROR(-VALUE(LEFT(E3347,FIND("º",SUBSTITUTE(E3347,"°","º"))-1)),-1),IF(LEFT(E3347,6)="TÉRREO",0,IFERROR(VALUE(LEFT(E3347,FIND("º",SUBSTITUTE(E3347,"°","º"))-1)),""))))</f>
        <v/>
      </c>
      <c r="O3347" s="2">
        <f>IF(OR(F3347="",G3347=""),"",IF(G3347&lt;='RETRATO 2027'!$K$5,"CONCLUÍDA",IF(F3347&lt;='RETRATO 2027'!$K$5,"EM ANDAMENTO","A INICIAR")))</f>
        <v/>
      </c>
    </row>
    <row r="3348">
      <c r="M3348" s="2">
        <f>IF(C3348="","",IFERROR(INDEX($S$5:$S$304,MATCH(C3348,$R$5:$R$304,0))&amp;"","?"))</f>
        <v/>
      </c>
      <c r="N3348" s="2">
        <f>IF(E3348="","",IF(ISNUMBER(SEARCH("SUBSOLO",E3348)),IFERROR(-VALUE(LEFT(E3348,FIND("º",SUBSTITUTE(E3348,"°","º"))-1)),-1),IF(LEFT(E3348,6)="TÉRREO",0,IFERROR(VALUE(LEFT(E3348,FIND("º",SUBSTITUTE(E3348,"°","º"))-1)),""))))</f>
        <v/>
      </c>
      <c r="O3348" s="2">
        <f>IF(OR(F3348="",G3348=""),"",IF(G3348&lt;='RETRATO 2027'!$K$5,"CONCLUÍDA",IF(F3348&lt;='RETRATO 2027'!$K$5,"EM ANDAMENTO","A INICIAR")))</f>
        <v/>
      </c>
    </row>
    <row r="3349">
      <c r="M3349" s="2">
        <f>IF(C3349="","",IFERROR(INDEX($S$5:$S$304,MATCH(C3349,$R$5:$R$304,0))&amp;"","?"))</f>
        <v/>
      </c>
      <c r="N3349" s="2">
        <f>IF(E3349="","",IF(ISNUMBER(SEARCH("SUBSOLO",E3349)),IFERROR(-VALUE(LEFT(E3349,FIND("º",SUBSTITUTE(E3349,"°","º"))-1)),-1),IF(LEFT(E3349,6)="TÉRREO",0,IFERROR(VALUE(LEFT(E3349,FIND("º",SUBSTITUTE(E3349,"°","º"))-1)),""))))</f>
        <v/>
      </c>
      <c r="O3349" s="2">
        <f>IF(OR(F3349="",G3349=""),"",IF(G3349&lt;='RETRATO 2027'!$K$5,"CONCLUÍDA",IF(F3349&lt;='RETRATO 2027'!$K$5,"EM ANDAMENTO","A INICIAR")))</f>
        <v/>
      </c>
    </row>
    <row r="3350">
      <c r="M3350" s="2">
        <f>IF(C3350="","",IFERROR(INDEX($S$5:$S$304,MATCH(C3350,$R$5:$R$304,0))&amp;"","?"))</f>
        <v/>
      </c>
      <c r="N3350" s="2">
        <f>IF(E3350="","",IF(ISNUMBER(SEARCH("SUBSOLO",E3350)),IFERROR(-VALUE(LEFT(E3350,FIND("º",SUBSTITUTE(E3350,"°","º"))-1)),-1),IF(LEFT(E3350,6)="TÉRREO",0,IFERROR(VALUE(LEFT(E3350,FIND("º",SUBSTITUTE(E3350,"°","º"))-1)),""))))</f>
        <v/>
      </c>
      <c r="O3350" s="2">
        <f>IF(OR(F3350="",G3350=""),"",IF(G3350&lt;='RETRATO 2027'!$K$5,"CONCLUÍDA",IF(F3350&lt;='RETRATO 2027'!$K$5,"EM ANDAMENTO","A INICIAR")))</f>
        <v/>
      </c>
    </row>
    <row r="3351">
      <c r="M3351" s="2">
        <f>IF(C3351="","",IFERROR(INDEX($S$5:$S$304,MATCH(C3351,$R$5:$R$304,0))&amp;"","?"))</f>
        <v/>
      </c>
      <c r="N3351" s="2">
        <f>IF(E3351="","",IF(ISNUMBER(SEARCH("SUBSOLO",E3351)),IFERROR(-VALUE(LEFT(E3351,FIND("º",SUBSTITUTE(E3351,"°","º"))-1)),-1),IF(LEFT(E3351,6)="TÉRREO",0,IFERROR(VALUE(LEFT(E3351,FIND("º",SUBSTITUTE(E3351,"°","º"))-1)),""))))</f>
        <v/>
      </c>
      <c r="O3351" s="2">
        <f>IF(OR(F3351="",G3351=""),"",IF(G3351&lt;='RETRATO 2027'!$K$5,"CONCLUÍDA",IF(F3351&lt;='RETRATO 2027'!$K$5,"EM ANDAMENTO","A INICIAR")))</f>
        <v/>
      </c>
    </row>
    <row r="3352">
      <c r="M3352" s="2">
        <f>IF(C3352="","",IFERROR(INDEX($S$5:$S$304,MATCH(C3352,$R$5:$R$304,0))&amp;"","?"))</f>
        <v/>
      </c>
      <c r="N3352" s="2">
        <f>IF(E3352="","",IF(ISNUMBER(SEARCH("SUBSOLO",E3352)),IFERROR(-VALUE(LEFT(E3352,FIND("º",SUBSTITUTE(E3352,"°","º"))-1)),-1),IF(LEFT(E3352,6)="TÉRREO",0,IFERROR(VALUE(LEFT(E3352,FIND("º",SUBSTITUTE(E3352,"°","º"))-1)),""))))</f>
        <v/>
      </c>
      <c r="O3352" s="2">
        <f>IF(OR(F3352="",G3352=""),"",IF(G3352&lt;='RETRATO 2027'!$K$5,"CONCLUÍDA",IF(F3352&lt;='RETRATO 2027'!$K$5,"EM ANDAMENTO","A INICIAR")))</f>
        <v/>
      </c>
    </row>
    <row r="3353">
      <c r="M3353" s="2">
        <f>IF(C3353="","",IFERROR(INDEX($S$5:$S$304,MATCH(C3353,$R$5:$R$304,0))&amp;"","?"))</f>
        <v/>
      </c>
      <c r="N3353" s="2">
        <f>IF(E3353="","",IF(ISNUMBER(SEARCH("SUBSOLO",E3353)),IFERROR(-VALUE(LEFT(E3353,FIND("º",SUBSTITUTE(E3353,"°","º"))-1)),-1),IF(LEFT(E3353,6)="TÉRREO",0,IFERROR(VALUE(LEFT(E3353,FIND("º",SUBSTITUTE(E3353,"°","º"))-1)),""))))</f>
        <v/>
      </c>
      <c r="O3353" s="2">
        <f>IF(OR(F3353="",G3353=""),"",IF(G3353&lt;='RETRATO 2027'!$K$5,"CONCLUÍDA",IF(F3353&lt;='RETRATO 2027'!$K$5,"EM ANDAMENTO","A INICIAR")))</f>
        <v/>
      </c>
    </row>
    <row r="3354">
      <c r="M3354" s="2">
        <f>IF(C3354="","",IFERROR(INDEX($S$5:$S$304,MATCH(C3354,$R$5:$R$304,0))&amp;"","?"))</f>
        <v/>
      </c>
      <c r="N3354" s="2">
        <f>IF(E3354="","",IF(ISNUMBER(SEARCH("SUBSOLO",E3354)),IFERROR(-VALUE(LEFT(E3354,FIND("º",SUBSTITUTE(E3354,"°","º"))-1)),-1),IF(LEFT(E3354,6)="TÉRREO",0,IFERROR(VALUE(LEFT(E3354,FIND("º",SUBSTITUTE(E3354,"°","º"))-1)),""))))</f>
        <v/>
      </c>
      <c r="O3354" s="2">
        <f>IF(OR(F3354="",G3354=""),"",IF(G3354&lt;='RETRATO 2027'!$K$5,"CONCLUÍDA",IF(F3354&lt;='RETRATO 2027'!$K$5,"EM ANDAMENTO","A INICIAR")))</f>
        <v/>
      </c>
    </row>
    <row r="3355">
      <c r="M3355" s="2">
        <f>IF(C3355="","",IFERROR(INDEX($S$5:$S$304,MATCH(C3355,$R$5:$R$304,0))&amp;"","?"))</f>
        <v/>
      </c>
      <c r="N3355" s="2">
        <f>IF(E3355="","",IF(ISNUMBER(SEARCH("SUBSOLO",E3355)),IFERROR(-VALUE(LEFT(E3355,FIND("º",SUBSTITUTE(E3355,"°","º"))-1)),-1),IF(LEFT(E3355,6)="TÉRREO",0,IFERROR(VALUE(LEFT(E3355,FIND("º",SUBSTITUTE(E3355,"°","º"))-1)),""))))</f>
        <v/>
      </c>
      <c r="O3355" s="2">
        <f>IF(OR(F3355="",G3355=""),"",IF(G3355&lt;='RETRATO 2027'!$K$5,"CONCLUÍDA",IF(F3355&lt;='RETRATO 2027'!$K$5,"EM ANDAMENTO","A INICIAR")))</f>
        <v/>
      </c>
    </row>
    <row r="3356">
      <c r="M3356" s="2">
        <f>IF(C3356="","",IFERROR(INDEX($S$5:$S$304,MATCH(C3356,$R$5:$R$304,0))&amp;"","?"))</f>
        <v/>
      </c>
      <c r="N3356" s="2">
        <f>IF(E3356="","",IF(ISNUMBER(SEARCH("SUBSOLO",E3356)),IFERROR(-VALUE(LEFT(E3356,FIND("º",SUBSTITUTE(E3356,"°","º"))-1)),-1),IF(LEFT(E3356,6)="TÉRREO",0,IFERROR(VALUE(LEFT(E3356,FIND("º",SUBSTITUTE(E3356,"°","º"))-1)),""))))</f>
        <v/>
      </c>
      <c r="O3356" s="2">
        <f>IF(OR(F3356="",G3356=""),"",IF(G3356&lt;='RETRATO 2027'!$K$5,"CONCLUÍDA",IF(F3356&lt;='RETRATO 2027'!$K$5,"EM ANDAMENTO","A INICIAR")))</f>
        <v/>
      </c>
    </row>
    <row r="3357">
      <c r="M3357" s="2">
        <f>IF(C3357="","",IFERROR(INDEX($S$5:$S$304,MATCH(C3357,$R$5:$R$304,0))&amp;"","?"))</f>
        <v/>
      </c>
      <c r="N3357" s="2">
        <f>IF(E3357="","",IF(ISNUMBER(SEARCH("SUBSOLO",E3357)),IFERROR(-VALUE(LEFT(E3357,FIND("º",SUBSTITUTE(E3357,"°","º"))-1)),-1),IF(LEFT(E3357,6)="TÉRREO",0,IFERROR(VALUE(LEFT(E3357,FIND("º",SUBSTITUTE(E3357,"°","º"))-1)),""))))</f>
        <v/>
      </c>
      <c r="O3357" s="2">
        <f>IF(OR(F3357="",G3357=""),"",IF(G3357&lt;='RETRATO 2027'!$K$5,"CONCLUÍDA",IF(F3357&lt;='RETRATO 2027'!$K$5,"EM ANDAMENTO","A INICIAR")))</f>
        <v/>
      </c>
    </row>
    <row r="3358">
      <c r="M3358" s="2">
        <f>IF(C3358="","",IFERROR(INDEX($S$5:$S$304,MATCH(C3358,$R$5:$R$304,0))&amp;"","?"))</f>
        <v/>
      </c>
      <c r="N3358" s="2">
        <f>IF(E3358="","",IF(ISNUMBER(SEARCH("SUBSOLO",E3358)),IFERROR(-VALUE(LEFT(E3358,FIND("º",SUBSTITUTE(E3358,"°","º"))-1)),-1),IF(LEFT(E3358,6)="TÉRREO",0,IFERROR(VALUE(LEFT(E3358,FIND("º",SUBSTITUTE(E3358,"°","º"))-1)),""))))</f>
        <v/>
      </c>
      <c r="O3358" s="2">
        <f>IF(OR(F3358="",G3358=""),"",IF(G3358&lt;='RETRATO 2027'!$K$5,"CONCLUÍDA",IF(F3358&lt;='RETRATO 2027'!$K$5,"EM ANDAMENTO","A INICIAR")))</f>
        <v/>
      </c>
    </row>
    <row r="3359">
      <c r="M3359" s="2">
        <f>IF(C3359="","",IFERROR(INDEX($S$5:$S$304,MATCH(C3359,$R$5:$R$304,0))&amp;"","?"))</f>
        <v/>
      </c>
      <c r="N3359" s="2">
        <f>IF(E3359="","",IF(ISNUMBER(SEARCH("SUBSOLO",E3359)),IFERROR(-VALUE(LEFT(E3359,FIND("º",SUBSTITUTE(E3359,"°","º"))-1)),-1),IF(LEFT(E3359,6)="TÉRREO",0,IFERROR(VALUE(LEFT(E3359,FIND("º",SUBSTITUTE(E3359,"°","º"))-1)),""))))</f>
        <v/>
      </c>
      <c r="O3359" s="2">
        <f>IF(OR(F3359="",G3359=""),"",IF(G3359&lt;='RETRATO 2027'!$K$5,"CONCLUÍDA",IF(F3359&lt;='RETRATO 2027'!$K$5,"EM ANDAMENTO","A INICIAR")))</f>
        <v/>
      </c>
    </row>
    <row r="3360">
      <c r="M3360" s="2">
        <f>IF(C3360="","",IFERROR(INDEX($S$5:$S$304,MATCH(C3360,$R$5:$R$304,0))&amp;"","?"))</f>
        <v/>
      </c>
      <c r="N3360" s="2">
        <f>IF(E3360="","",IF(ISNUMBER(SEARCH("SUBSOLO",E3360)),IFERROR(-VALUE(LEFT(E3360,FIND("º",SUBSTITUTE(E3360,"°","º"))-1)),-1),IF(LEFT(E3360,6)="TÉRREO",0,IFERROR(VALUE(LEFT(E3360,FIND("º",SUBSTITUTE(E3360,"°","º"))-1)),""))))</f>
        <v/>
      </c>
      <c r="O3360" s="2">
        <f>IF(OR(F3360="",G3360=""),"",IF(G3360&lt;='RETRATO 2027'!$K$5,"CONCLUÍDA",IF(F3360&lt;='RETRATO 2027'!$K$5,"EM ANDAMENTO","A INICIAR")))</f>
        <v/>
      </c>
    </row>
    <row r="3361">
      <c r="M3361" s="2">
        <f>IF(C3361="","",IFERROR(INDEX($S$5:$S$304,MATCH(C3361,$R$5:$R$304,0))&amp;"","?"))</f>
        <v/>
      </c>
      <c r="N3361" s="2">
        <f>IF(E3361="","",IF(ISNUMBER(SEARCH("SUBSOLO",E3361)),IFERROR(-VALUE(LEFT(E3361,FIND("º",SUBSTITUTE(E3361,"°","º"))-1)),-1),IF(LEFT(E3361,6)="TÉRREO",0,IFERROR(VALUE(LEFT(E3361,FIND("º",SUBSTITUTE(E3361,"°","º"))-1)),""))))</f>
        <v/>
      </c>
      <c r="O3361" s="2">
        <f>IF(OR(F3361="",G3361=""),"",IF(G3361&lt;='RETRATO 2027'!$K$5,"CONCLUÍDA",IF(F3361&lt;='RETRATO 2027'!$K$5,"EM ANDAMENTO","A INICIAR")))</f>
        <v/>
      </c>
    </row>
    <row r="3362">
      <c r="M3362" s="2">
        <f>IF(C3362="","",IFERROR(INDEX($S$5:$S$304,MATCH(C3362,$R$5:$R$304,0))&amp;"","?"))</f>
        <v/>
      </c>
      <c r="N3362" s="2">
        <f>IF(E3362="","",IF(ISNUMBER(SEARCH("SUBSOLO",E3362)),IFERROR(-VALUE(LEFT(E3362,FIND("º",SUBSTITUTE(E3362,"°","º"))-1)),-1),IF(LEFT(E3362,6)="TÉRREO",0,IFERROR(VALUE(LEFT(E3362,FIND("º",SUBSTITUTE(E3362,"°","º"))-1)),""))))</f>
        <v/>
      </c>
      <c r="O3362" s="2">
        <f>IF(OR(F3362="",G3362=""),"",IF(G3362&lt;='RETRATO 2027'!$K$5,"CONCLUÍDA",IF(F3362&lt;='RETRATO 2027'!$K$5,"EM ANDAMENTO","A INICIAR")))</f>
        <v/>
      </c>
    </row>
    <row r="3363">
      <c r="M3363" s="2">
        <f>IF(C3363="","",IFERROR(INDEX($S$5:$S$304,MATCH(C3363,$R$5:$R$304,0))&amp;"","?"))</f>
        <v/>
      </c>
      <c r="N3363" s="2">
        <f>IF(E3363="","",IF(ISNUMBER(SEARCH("SUBSOLO",E3363)),IFERROR(-VALUE(LEFT(E3363,FIND("º",SUBSTITUTE(E3363,"°","º"))-1)),-1),IF(LEFT(E3363,6)="TÉRREO",0,IFERROR(VALUE(LEFT(E3363,FIND("º",SUBSTITUTE(E3363,"°","º"))-1)),""))))</f>
        <v/>
      </c>
      <c r="O3363" s="2">
        <f>IF(OR(F3363="",G3363=""),"",IF(G3363&lt;='RETRATO 2027'!$K$5,"CONCLUÍDA",IF(F3363&lt;='RETRATO 2027'!$K$5,"EM ANDAMENTO","A INICIAR")))</f>
        <v/>
      </c>
    </row>
    <row r="3364">
      <c r="M3364" s="2">
        <f>IF(C3364="","",IFERROR(INDEX($S$5:$S$304,MATCH(C3364,$R$5:$R$304,0))&amp;"","?"))</f>
        <v/>
      </c>
      <c r="N3364" s="2">
        <f>IF(E3364="","",IF(ISNUMBER(SEARCH("SUBSOLO",E3364)),IFERROR(-VALUE(LEFT(E3364,FIND("º",SUBSTITUTE(E3364,"°","º"))-1)),-1),IF(LEFT(E3364,6)="TÉRREO",0,IFERROR(VALUE(LEFT(E3364,FIND("º",SUBSTITUTE(E3364,"°","º"))-1)),""))))</f>
        <v/>
      </c>
      <c r="O3364" s="2">
        <f>IF(OR(F3364="",G3364=""),"",IF(G3364&lt;='RETRATO 2027'!$K$5,"CONCLUÍDA",IF(F3364&lt;='RETRATO 2027'!$K$5,"EM ANDAMENTO","A INICIAR")))</f>
        <v/>
      </c>
    </row>
    <row r="3365">
      <c r="M3365" s="2">
        <f>IF(C3365="","",IFERROR(INDEX($S$5:$S$304,MATCH(C3365,$R$5:$R$304,0))&amp;"","?"))</f>
        <v/>
      </c>
      <c r="N3365" s="2">
        <f>IF(E3365="","",IF(ISNUMBER(SEARCH("SUBSOLO",E3365)),IFERROR(-VALUE(LEFT(E3365,FIND("º",SUBSTITUTE(E3365,"°","º"))-1)),-1),IF(LEFT(E3365,6)="TÉRREO",0,IFERROR(VALUE(LEFT(E3365,FIND("º",SUBSTITUTE(E3365,"°","º"))-1)),""))))</f>
        <v/>
      </c>
      <c r="O3365" s="2">
        <f>IF(OR(F3365="",G3365=""),"",IF(G3365&lt;='RETRATO 2027'!$K$5,"CONCLUÍDA",IF(F3365&lt;='RETRATO 2027'!$K$5,"EM ANDAMENTO","A INICIAR")))</f>
        <v/>
      </c>
    </row>
    <row r="3366">
      <c r="M3366" s="2">
        <f>IF(C3366="","",IFERROR(INDEX($S$5:$S$304,MATCH(C3366,$R$5:$R$304,0))&amp;"","?"))</f>
        <v/>
      </c>
      <c r="N3366" s="2">
        <f>IF(E3366="","",IF(ISNUMBER(SEARCH("SUBSOLO",E3366)),IFERROR(-VALUE(LEFT(E3366,FIND("º",SUBSTITUTE(E3366,"°","º"))-1)),-1),IF(LEFT(E3366,6)="TÉRREO",0,IFERROR(VALUE(LEFT(E3366,FIND("º",SUBSTITUTE(E3366,"°","º"))-1)),""))))</f>
        <v/>
      </c>
      <c r="O3366" s="2">
        <f>IF(OR(F3366="",G3366=""),"",IF(G3366&lt;='RETRATO 2027'!$K$5,"CONCLUÍDA",IF(F3366&lt;='RETRATO 2027'!$K$5,"EM ANDAMENTO","A INICIAR")))</f>
        <v/>
      </c>
    </row>
    <row r="3367">
      <c r="M3367" s="2">
        <f>IF(C3367="","",IFERROR(INDEX($S$5:$S$304,MATCH(C3367,$R$5:$R$304,0))&amp;"","?"))</f>
        <v/>
      </c>
      <c r="N3367" s="2">
        <f>IF(E3367="","",IF(ISNUMBER(SEARCH("SUBSOLO",E3367)),IFERROR(-VALUE(LEFT(E3367,FIND("º",SUBSTITUTE(E3367,"°","º"))-1)),-1),IF(LEFT(E3367,6)="TÉRREO",0,IFERROR(VALUE(LEFT(E3367,FIND("º",SUBSTITUTE(E3367,"°","º"))-1)),""))))</f>
        <v/>
      </c>
      <c r="O3367" s="2">
        <f>IF(OR(F3367="",G3367=""),"",IF(G3367&lt;='RETRATO 2027'!$K$5,"CONCLUÍDA",IF(F3367&lt;='RETRATO 2027'!$K$5,"EM ANDAMENTO","A INICIAR")))</f>
        <v/>
      </c>
    </row>
    <row r="3368">
      <c r="M3368" s="2">
        <f>IF(C3368="","",IFERROR(INDEX($S$5:$S$304,MATCH(C3368,$R$5:$R$304,0))&amp;"","?"))</f>
        <v/>
      </c>
      <c r="N3368" s="2">
        <f>IF(E3368="","",IF(ISNUMBER(SEARCH("SUBSOLO",E3368)),IFERROR(-VALUE(LEFT(E3368,FIND("º",SUBSTITUTE(E3368,"°","º"))-1)),-1),IF(LEFT(E3368,6)="TÉRREO",0,IFERROR(VALUE(LEFT(E3368,FIND("º",SUBSTITUTE(E3368,"°","º"))-1)),""))))</f>
        <v/>
      </c>
      <c r="O3368" s="2">
        <f>IF(OR(F3368="",G3368=""),"",IF(G3368&lt;='RETRATO 2027'!$K$5,"CONCLUÍDA",IF(F3368&lt;='RETRATO 2027'!$K$5,"EM ANDAMENTO","A INICIAR")))</f>
        <v/>
      </c>
    </row>
    <row r="3369">
      <c r="M3369" s="2">
        <f>IF(C3369="","",IFERROR(INDEX($S$5:$S$304,MATCH(C3369,$R$5:$R$304,0))&amp;"","?"))</f>
        <v/>
      </c>
      <c r="N3369" s="2">
        <f>IF(E3369="","",IF(ISNUMBER(SEARCH("SUBSOLO",E3369)),IFERROR(-VALUE(LEFT(E3369,FIND("º",SUBSTITUTE(E3369,"°","º"))-1)),-1),IF(LEFT(E3369,6)="TÉRREO",0,IFERROR(VALUE(LEFT(E3369,FIND("º",SUBSTITUTE(E3369,"°","º"))-1)),""))))</f>
        <v/>
      </c>
      <c r="O3369" s="2">
        <f>IF(OR(F3369="",G3369=""),"",IF(G3369&lt;='RETRATO 2027'!$K$5,"CONCLUÍDA",IF(F3369&lt;='RETRATO 2027'!$K$5,"EM ANDAMENTO","A INICIAR")))</f>
        <v/>
      </c>
    </row>
    <row r="3370">
      <c r="M3370" s="2">
        <f>IF(C3370="","",IFERROR(INDEX($S$5:$S$304,MATCH(C3370,$R$5:$R$304,0))&amp;"","?"))</f>
        <v/>
      </c>
      <c r="N3370" s="2">
        <f>IF(E3370="","",IF(ISNUMBER(SEARCH("SUBSOLO",E3370)),IFERROR(-VALUE(LEFT(E3370,FIND("º",SUBSTITUTE(E3370,"°","º"))-1)),-1),IF(LEFT(E3370,6)="TÉRREO",0,IFERROR(VALUE(LEFT(E3370,FIND("º",SUBSTITUTE(E3370,"°","º"))-1)),""))))</f>
        <v/>
      </c>
      <c r="O3370" s="2">
        <f>IF(OR(F3370="",G3370=""),"",IF(G3370&lt;='RETRATO 2027'!$K$5,"CONCLUÍDA",IF(F3370&lt;='RETRATO 2027'!$K$5,"EM ANDAMENTO","A INICIAR")))</f>
        <v/>
      </c>
    </row>
    <row r="3371">
      <c r="M3371" s="2">
        <f>IF(C3371="","",IFERROR(INDEX($S$5:$S$304,MATCH(C3371,$R$5:$R$304,0))&amp;"","?"))</f>
        <v/>
      </c>
      <c r="N3371" s="2">
        <f>IF(E3371="","",IF(ISNUMBER(SEARCH("SUBSOLO",E3371)),IFERROR(-VALUE(LEFT(E3371,FIND("º",SUBSTITUTE(E3371,"°","º"))-1)),-1),IF(LEFT(E3371,6)="TÉRREO",0,IFERROR(VALUE(LEFT(E3371,FIND("º",SUBSTITUTE(E3371,"°","º"))-1)),""))))</f>
        <v/>
      </c>
      <c r="O3371" s="2">
        <f>IF(OR(F3371="",G3371=""),"",IF(G3371&lt;='RETRATO 2027'!$K$5,"CONCLUÍDA",IF(F3371&lt;='RETRATO 2027'!$K$5,"EM ANDAMENTO","A INICIAR")))</f>
        <v/>
      </c>
    </row>
    <row r="3372">
      <c r="M3372" s="2">
        <f>IF(C3372="","",IFERROR(INDEX($S$5:$S$304,MATCH(C3372,$R$5:$R$304,0))&amp;"","?"))</f>
        <v/>
      </c>
      <c r="N3372" s="2">
        <f>IF(E3372="","",IF(ISNUMBER(SEARCH("SUBSOLO",E3372)),IFERROR(-VALUE(LEFT(E3372,FIND("º",SUBSTITUTE(E3372,"°","º"))-1)),-1),IF(LEFT(E3372,6)="TÉRREO",0,IFERROR(VALUE(LEFT(E3372,FIND("º",SUBSTITUTE(E3372,"°","º"))-1)),""))))</f>
        <v/>
      </c>
      <c r="O3372" s="2">
        <f>IF(OR(F3372="",G3372=""),"",IF(G3372&lt;='RETRATO 2027'!$K$5,"CONCLUÍDA",IF(F3372&lt;='RETRATO 2027'!$K$5,"EM ANDAMENTO","A INICIAR")))</f>
        <v/>
      </c>
    </row>
    <row r="3373">
      <c r="M3373" s="2">
        <f>IF(C3373="","",IFERROR(INDEX($S$5:$S$304,MATCH(C3373,$R$5:$R$304,0))&amp;"","?"))</f>
        <v/>
      </c>
      <c r="N3373" s="2">
        <f>IF(E3373="","",IF(ISNUMBER(SEARCH("SUBSOLO",E3373)),IFERROR(-VALUE(LEFT(E3373,FIND("º",SUBSTITUTE(E3373,"°","º"))-1)),-1),IF(LEFT(E3373,6)="TÉRREO",0,IFERROR(VALUE(LEFT(E3373,FIND("º",SUBSTITUTE(E3373,"°","º"))-1)),""))))</f>
        <v/>
      </c>
      <c r="O3373" s="2">
        <f>IF(OR(F3373="",G3373=""),"",IF(G3373&lt;='RETRATO 2027'!$K$5,"CONCLUÍDA",IF(F3373&lt;='RETRATO 2027'!$K$5,"EM ANDAMENTO","A INICIAR")))</f>
        <v/>
      </c>
    </row>
    <row r="3374">
      <c r="M3374" s="2">
        <f>IF(C3374="","",IFERROR(INDEX($S$5:$S$304,MATCH(C3374,$R$5:$R$304,0))&amp;"","?"))</f>
        <v/>
      </c>
      <c r="N3374" s="2">
        <f>IF(E3374="","",IF(ISNUMBER(SEARCH("SUBSOLO",E3374)),IFERROR(-VALUE(LEFT(E3374,FIND("º",SUBSTITUTE(E3374,"°","º"))-1)),-1),IF(LEFT(E3374,6)="TÉRREO",0,IFERROR(VALUE(LEFT(E3374,FIND("º",SUBSTITUTE(E3374,"°","º"))-1)),""))))</f>
        <v/>
      </c>
      <c r="O3374" s="2">
        <f>IF(OR(F3374="",G3374=""),"",IF(G3374&lt;='RETRATO 2027'!$K$5,"CONCLUÍDA",IF(F3374&lt;='RETRATO 2027'!$K$5,"EM ANDAMENTO","A INICIAR")))</f>
        <v/>
      </c>
    </row>
    <row r="3375">
      <c r="M3375" s="2">
        <f>IF(C3375="","",IFERROR(INDEX($S$5:$S$304,MATCH(C3375,$R$5:$R$304,0))&amp;"","?"))</f>
        <v/>
      </c>
      <c r="N3375" s="2">
        <f>IF(E3375="","",IF(ISNUMBER(SEARCH("SUBSOLO",E3375)),IFERROR(-VALUE(LEFT(E3375,FIND("º",SUBSTITUTE(E3375,"°","º"))-1)),-1),IF(LEFT(E3375,6)="TÉRREO",0,IFERROR(VALUE(LEFT(E3375,FIND("º",SUBSTITUTE(E3375,"°","º"))-1)),""))))</f>
        <v/>
      </c>
      <c r="O3375" s="2">
        <f>IF(OR(F3375="",G3375=""),"",IF(G3375&lt;='RETRATO 2027'!$K$5,"CONCLUÍDA",IF(F3375&lt;='RETRATO 2027'!$K$5,"EM ANDAMENTO","A INICIAR")))</f>
        <v/>
      </c>
    </row>
    <row r="3376">
      <c r="M3376" s="2">
        <f>IF(C3376="","",IFERROR(INDEX($S$5:$S$304,MATCH(C3376,$R$5:$R$304,0))&amp;"","?"))</f>
        <v/>
      </c>
      <c r="N3376" s="2">
        <f>IF(E3376="","",IF(ISNUMBER(SEARCH("SUBSOLO",E3376)),IFERROR(-VALUE(LEFT(E3376,FIND("º",SUBSTITUTE(E3376,"°","º"))-1)),-1),IF(LEFT(E3376,6)="TÉRREO",0,IFERROR(VALUE(LEFT(E3376,FIND("º",SUBSTITUTE(E3376,"°","º"))-1)),""))))</f>
        <v/>
      </c>
      <c r="O3376" s="2">
        <f>IF(OR(F3376="",G3376=""),"",IF(G3376&lt;='RETRATO 2027'!$K$5,"CONCLUÍDA",IF(F3376&lt;='RETRATO 2027'!$K$5,"EM ANDAMENTO","A INICIAR")))</f>
        <v/>
      </c>
    </row>
    <row r="3377">
      <c r="M3377" s="2">
        <f>IF(C3377="","",IFERROR(INDEX($S$5:$S$304,MATCH(C3377,$R$5:$R$304,0))&amp;"","?"))</f>
        <v/>
      </c>
      <c r="N3377" s="2">
        <f>IF(E3377="","",IF(ISNUMBER(SEARCH("SUBSOLO",E3377)),IFERROR(-VALUE(LEFT(E3377,FIND("º",SUBSTITUTE(E3377,"°","º"))-1)),-1),IF(LEFT(E3377,6)="TÉRREO",0,IFERROR(VALUE(LEFT(E3377,FIND("º",SUBSTITUTE(E3377,"°","º"))-1)),""))))</f>
        <v/>
      </c>
      <c r="O3377" s="2">
        <f>IF(OR(F3377="",G3377=""),"",IF(G3377&lt;='RETRATO 2027'!$K$5,"CONCLUÍDA",IF(F3377&lt;='RETRATO 2027'!$K$5,"EM ANDAMENTO","A INICIAR")))</f>
        <v/>
      </c>
    </row>
    <row r="3378">
      <c r="M3378" s="2">
        <f>IF(C3378="","",IFERROR(INDEX($S$5:$S$304,MATCH(C3378,$R$5:$R$304,0))&amp;"","?"))</f>
        <v/>
      </c>
      <c r="N3378" s="2">
        <f>IF(E3378="","",IF(ISNUMBER(SEARCH("SUBSOLO",E3378)),IFERROR(-VALUE(LEFT(E3378,FIND("º",SUBSTITUTE(E3378,"°","º"))-1)),-1),IF(LEFT(E3378,6)="TÉRREO",0,IFERROR(VALUE(LEFT(E3378,FIND("º",SUBSTITUTE(E3378,"°","º"))-1)),""))))</f>
        <v/>
      </c>
      <c r="O3378" s="2">
        <f>IF(OR(F3378="",G3378=""),"",IF(G3378&lt;='RETRATO 2027'!$K$5,"CONCLUÍDA",IF(F3378&lt;='RETRATO 2027'!$K$5,"EM ANDAMENTO","A INICIAR")))</f>
        <v/>
      </c>
    </row>
    <row r="3379">
      <c r="M3379" s="2">
        <f>IF(C3379="","",IFERROR(INDEX($S$5:$S$304,MATCH(C3379,$R$5:$R$304,0))&amp;"","?"))</f>
        <v/>
      </c>
      <c r="N3379" s="2">
        <f>IF(E3379="","",IF(ISNUMBER(SEARCH("SUBSOLO",E3379)),IFERROR(-VALUE(LEFT(E3379,FIND("º",SUBSTITUTE(E3379,"°","º"))-1)),-1),IF(LEFT(E3379,6)="TÉRREO",0,IFERROR(VALUE(LEFT(E3379,FIND("º",SUBSTITUTE(E3379,"°","º"))-1)),""))))</f>
        <v/>
      </c>
      <c r="O3379" s="2">
        <f>IF(OR(F3379="",G3379=""),"",IF(G3379&lt;='RETRATO 2027'!$K$5,"CONCLUÍDA",IF(F3379&lt;='RETRATO 2027'!$K$5,"EM ANDAMENTO","A INICIAR")))</f>
        <v/>
      </c>
    </row>
    <row r="3380">
      <c r="M3380" s="2">
        <f>IF(C3380="","",IFERROR(INDEX($S$5:$S$304,MATCH(C3380,$R$5:$R$304,0))&amp;"","?"))</f>
        <v/>
      </c>
      <c r="N3380" s="2">
        <f>IF(E3380="","",IF(ISNUMBER(SEARCH("SUBSOLO",E3380)),IFERROR(-VALUE(LEFT(E3380,FIND("º",SUBSTITUTE(E3380,"°","º"))-1)),-1),IF(LEFT(E3380,6)="TÉRREO",0,IFERROR(VALUE(LEFT(E3380,FIND("º",SUBSTITUTE(E3380,"°","º"))-1)),""))))</f>
        <v/>
      </c>
      <c r="O3380" s="2">
        <f>IF(OR(F3380="",G3380=""),"",IF(G3380&lt;='RETRATO 2027'!$K$5,"CONCLUÍDA",IF(F3380&lt;='RETRATO 2027'!$K$5,"EM ANDAMENTO","A INICIAR")))</f>
        <v/>
      </c>
    </row>
    <row r="3381">
      <c r="M3381" s="2">
        <f>IF(C3381="","",IFERROR(INDEX($S$5:$S$304,MATCH(C3381,$R$5:$R$304,0))&amp;"","?"))</f>
        <v/>
      </c>
      <c r="N3381" s="2">
        <f>IF(E3381="","",IF(ISNUMBER(SEARCH("SUBSOLO",E3381)),IFERROR(-VALUE(LEFT(E3381,FIND("º",SUBSTITUTE(E3381,"°","º"))-1)),-1),IF(LEFT(E3381,6)="TÉRREO",0,IFERROR(VALUE(LEFT(E3381,FIND("º",SUBSTITUTE(E3381,"°","º"))-1)),""))))</f>
        <v/>
      </c>
      <c r="O3381" s="2">
        <f>IF(OR(F3381="",G3381=""),"",IF(G3381&lt;='RETRATO 2027'!$K$5,"CONCLUÍDA",IF(F3381&lt;='RETRATO 2027'!$K$5,"EM ANDAMENTO","A INICIAR")))</f>
        <v/>
      </c>
    </row>
    <row r="3382">
      <c r="M3382" s="2">
        <f>IF(C3382="","",IFERROR(INDEX($S$5:$S$304,MATCH(C3382,$R$5:$R$304,0))&amp;"","?"))</f>
        <v/>
      </c>
      <c r="N3382" s="2">
        <f>IF(E3382="","",IF(ISNUMBER(SEARCH("SUBSOLO",E3382)),IFERROR(-VALUE(LEFT(E3382,FIND("º",SUBSTITUTE(E3382,"°","º"))-1)),-1),IF(LEFT(E3382,6)="TÉRREO",0,IFERROR(VALUE(LEFT(E3382,FIND("º",SUBSTITUTE(E3382,"°","º"))-1)),""))))</f>
        <v/>
      </c>
      <c r="O3382" s="2">
        <f>IF(OR(F3382="",G3382=""),"",IF(G3382&lt;='RETRATO 2027'!$K$5,"CONCLUÍDA",IF(F3382&lt;='RETRATO 2027'!$K$5,"EM ANDAMENTO","A INICIAR")))</f>
        <v/>
      </c>
    </row>
    <row r="3383">
      <c r="M3383" s="2">
        <f>IF(C3383="","",IFERROR(INDEX($S$5:$S$304,MATCH(C3383,$R$5:$R$304,0))&amp;"","?"))</f>
        <v/>
      </c>
      <c r="N3383" s="2">
        <f>IF(E3383="","",IF(ISNUMBER(SEARCH("SUBSOLO",E3383)),IFERROR(-VALUE(LEFT(E3383,FIND("º",SUBSTITUTE(E3383,"°","º"))-1)),-1),IF(LEFT(E3383,6)="TÉRREO",0,IFERROR(VALUE(LEFT(E3383,FIND("º",SUBSTITUTE(E3383,"°","º"))-1)),""))))</f>
        <v/>
      </c>
      <c r="O3383" s="2">
        <f>IF(OR(F3383="",G3383=""),"",IF(G3383&lt;='RETRATO 2027'!$K$5,"CONCLUÍDA",IF(F3383&lt;='RETRATO 2027'!$K$5,"EM ANDAMENTO","A INICIAR")))</f>
        <v/>
      </c>
    </row>
    <row r="3384">
      <c r="M3384" s="2">
        <f>IF(C3384="","",IFERROR(INDEX($S$5:$S$304,MATCH(C3384,$R$5:$R$304,0))&amp;"","?"))</f>
        <v/>
      </c>
      <c r="N3384" s="2">
        <f>IF(E3384="","",IF(ISNUMBER(SEARCH("SUBSOLO",E3384)),IFERROR(-VALUE(LEFT(E3384,FIND("º",SUBSTITUTE(E3384,"°","º"))-1)),-1),IF(LEFT(E3384,6)="TÉRREO",0,IFERROR(VALUE(LEFT(E3384,FIND("º",SUBSTITUTE(E3384,"°","º"))-1)),""))))</f>
        <v/>
      </c>
      <c r="O3384" s="2">
        <f>IF(OR(F3384="",G3384=""),"",IF(G3384&lt;='RETRATO 2027'!$K$5,"CONCLUÍDA",IF(F3384&lt;='RETRATO 2027'!$K$5,"EM ANDAMENTO","A INICIAR")))</f>
        <v/>
      </c>
    </row>
    <row r="3385">
      <c r="M3385" s="2">
        <f>IF(C3385="","",IFERROR(INDEX($S$5:$S$304,MATCH(C3385,$R$5:$R$304,0))&amp;"","?"))</f>
        <v/>
      </c>
      <c r="N3385" s="2">
        <f>IF(E3385="","",IF(ISNUMBER(SEARCH("SUBSOLO",E3385)),IFERROR(-VALUE(LEFT(E3385,FIND("º",SUBSTITUTE(E3385,"°","º"))-1)),-1),IF(LEFT(E3385,6)="TÉRREO",0,IFERROR(VALUE(LEFT(E3385,FIND("º",SUBSTITUTE(E3385,"°","º"))-1)),""))))</f>
        <v/>
      </c>
      <c r="O3385" s="2">
        <f>IF(OR(F3385="",G3385=""),"",IF(G3385&lt;='RETRATO 2027'!$K$5,"CONCLUÍDA",IF(F3385&lt;='RETRATO 2027'!$K$5,"EM ANDAMENTO","A INICIAR")))</f>
        <v/>
      </c>
    </row>
    <row r="3386">
      <c r="M3386" s="2">
        <f>IF(C3386="","",IFERROR(INDEX($S$5:$S$304,MATCH(C3386,$R$5:$R$304,0))&amp;"","?"))</f>
        <v/>
      </c>
      <c r="N3386" s="2">
        <f>IF(E3386="","",IF(ISNUMBER(SEARCH("SUBSOLO",E3386)),IFERROR(-VALUE(LEFT(E3386,FIND("º",SUBSTITUTE(E3386,"°","º"))-1)),-1),IF(LEFT(E3386,6)="TÉRREO",0,IFERROR(VALUE(LEFT(E3386,FIND("º",SUBSTITUTE(E3386,"°","º"))-1)),""))))</f>
        <v/>
      </c>
      <c r="O3386" s="2">
        <f>IF(OR(F3386="",G3386=""),"",IF(G3386&lt;='RETRATO 2027'!$K$5,"CONCLUÍDA",IF(F3386&lt;='RETRATO 2027'!$K$5,"EM ANDAMENTO","A INICIAR")))</f>
        <v/>
      </c>
    </row>
    <row r="3387">
      <c r="M3387" s="2">
        <f>IF(C3387="","",IFERROR(INDEX($S$5:$S$304,MATCH(C3387,$R$5:$R$304,0))&amp;"","?"))</f>
        <v/>
      </c>
      <c r="N3387" s="2">
        <f>IF(E3387="","",IF(ISNUMBER(SEARCH("SUBSOLO",E3387)),IFERROR(-VALUE(LEFT(E3387,FIND("º",SUBSTITUTE(E3387,"°","º"))-1)),-1),IF(LEFT(E3387,6)="TÉRREO",0,IFERROR(VALUE(LEFT(E3387,FIND("º",SUBSTITUTE(E3387,"°","º"))-1)),""))))</f>
        <v/>
      </c>
      <c r="O3387" s="2">
        <f>IF(OR(F3387="",G3387=""),"",IF(G3387&lt;='RETRATO 2027'!$K$5,"CONCLUÍDA",IF(F3387&lt;='RETRATO 2027'!$K$5,"EM ANDAMENTO","A INICIAR")))</f>
        <v/>
      </c>
    </row>
    <row r="3388">
      <c r="M3388" s="2">
        <f>IF(C3388="","",IFERROR(INDEX($S$5:$S$304,MATCH(C3388,$R$5:$R$304,0))&amp;"","?"))</f>
        <v/>
      </c>
      <c r="N3388" s="2">
        <f>IF(E3388="","",IF(ISNUMBER(SEARCH("SUBSOLO",E3388)),IFERROR(-VALUE(LEFT(E3388,FIND("º",SUBSTITUTE(E3388,"°","º"))-1)),-1),IF(LEFT(E3388,6)="TÉRREO",0,IFERROR(VALUE(LEFT(E3388,FIND("º",SUBSTITUTE(E3388,"°","º"))-1)),""))))</f>
        <v/>
      </c>
      <c r="O3388" s="2">
        <f>IF(OR(F3388="",G3388=""),"",IF(G3388&lt;='RETRATO 2027'!$K$5,"CONCLUÍDA",IF(F3388&lt;='RETRATO 2027'!$K$5,"EM ANDAMENTO","A INICIAR")))</f>
        <v/>
      </c>
    </row>
    <row r="3389">
      <c r="M3389" s="2">
        <f>IF(C3389="","",IFERROR(INDEX($S$5:$S$304,MATCH(C3389,$R$5:$R$304,0))&amp;"","?"))</f>
        <v/>
      </c>
      <c r="N3389" s="2">
        <f>IF(E3389="","",IF(ISNUMBER(SEARCH("SUBSOLO",E3389)),IFERROR(-VALUE(LEFT(E3389,FIND("º",SUBSTITUTE(E3389,"°","º"))-1)),-1),IF(LEFT(E3389,6)="TÉRREO",0,IFERROR(VALUE(LEFT(E3389,FIND("º",SUBSTITUTE(E3389,"°","º"))-1)),""))))</f>
        <v/>
      </c>
      <c r="O3389" s="2">
        <f>IF(OR(F3389="",G3389=""),"",IF(G3389&lt;='RETRATO 2027'!$K$5,"CONCLUÍDA",IF(F3389&lt;='RETRATO 2027'!$K$5,"EM ANDAMENTO","A INICIAR")))</f>
        <v/>
      </c>
    </row>
    <row r="3390">
      <c r="M3390" s="2">
        <f>IF(C3390="","",IFERROR(INDEX($S$5:$S$304,MATCH(C3390,$R$5:$R$304,0))&amp;"","?"))</f>
        <v/>
      </c>
      <c r="N3390" s="2">
        <f>IF(E3390="","",IF(ISNUMBER(SEARCH("SUBSOLO",E3390)),IFERROR(-VALUE(LEFT(E3390,FIND("º",SUBSTITUTE(E3390,"°","º"))-1)),-1),IF(LEFT(E3390,6)="TÉRREO",0,IFERROR(VALUE(LEFT(E3390,FIND("º",SUBSTITUTE(E3390,"°","º"))-1)),""))))</f>
        <v/>
      </c>
      <c r="O3390" s="2">
        <f>IF(OR(F3390="",G3390=""),"",IF(G3390&lt;='RETRATO 2027'!$K$5,"CONCLUÍDA",IF(F3390&lt;='RETRATO 2027'!$K$5,"EM ANDAMENTO","A INICIAR")))</f>
        <v/>
      </c>
    </row>
    <row r="3391">
      <c r="M3391" s="2">
        <f>IF(C3391="","",IFERROR(INDEX($S$5:$S$304,MATCH(C3391,$R$5:$R$304,0))&amp;"","?"))</f>
        <v/>
      </c>
      <c r="N3391" s="2">
        <f>IF(E3391="","",IF(ISNUMBER(SEARCH("SUBSOLO",E3391)),IFERROR(-VALUE(LEFT(E3391,FIND("º",SUBSTITUTE(E3391,"°","º"))-1)),-1),IF(LEFT(E3391,6)="TÉRREO",0,IFERROR(VALUE(LEFT(E3391,FIND("º",SUBSTITUTE(E3391,"°","º"))-1)),""))))</f>
        <v/>
      </c>
      <c r="O3391" s="2">
        <f>IF(OR(F3391="",G3391=""),"",IF(G3391&lt;='RETRATO 2027'!$K$5,"CONCLUÍDA",IF(F3391&lt;='RETRATO 2027'!$K$5,"EM ANDAMENTO","A INICIAR")))</f>
        <v/>
      </c>
    </row>
    <row r="3392">
      <c r="M3392" s="2">
        <f>IF(C3392="","",IFERROR(INDEX($S$5:$S$304,MATCH(C3392,$R$5:$R$304,0))&amp;"","?"))</f>
        <v/>
      </c>
      <c r="N3392" s="2">
        <f>IF(E3392="","",IF(ISNUMBER(SEARCH("SUBSOLO",E3392)),IFERROR(-VALUE(LEFT(E3392,FIND("º",SUBSTITUTE(E3392,"°","º"))-1)),-1),IF(LEFT(E3392,6)="TÉRREO",0,IFERROR(VALUE(LEFT(E3392,FIND("º",SUBSTITUTE(E3392,"°","º"))-1)),""))))</f>
        <v/>
      </c>
      <c r="O3392" s="2">
        <f>IF(OR(F3392="",G3392=""),"",IF(G3392&lt;='RETRATO 2027'!$K$5,"CONCLUÍDA",IF(F3392&lt;='RETRATO 2027'!$K$5,"EM ANDAMENTO","A INICIAR")))</f>
        <v/>
      </c>
    </row>
    <row r="3393">
      <c r="M3393" s="2">
        <f>IF(C3393="","",IFERROR(INDEX($S$5:$S$304,MATCH(C3393,$R$5:$R$304,0))&amp;"","?"))</f>
        <v/>
      </c>
      <c r="N3393" s="2">
        <f>IF(E3393="","",IF(ISNUMBER(SEARCH("SUBSOLO",E3393)),IFERROR(-VALUE(LEFT(E3393,FIND("º",SUBSTITUTE(E3393,"°","º"))-1)),-1),IF(LEFT(E3393,6)="TÉRREO",0,IFERROR(VALUE(LEFT(E3393,FIND("º",SUBSTITUTE(E3393,"°","º"))-1)),""))))</f>
        <v/>
      </c>
      <c r="O3393" s="2">
        <f>IF(OR(F3393="",G3393=""),"",IF(G3393&lt;='RETRATO 2027'!$K$5,"CONCLUÍDA",IF(F3393&lt;='RETRATO 2027'!$K$5,"EM ANDAMENTO","A INICIAR")))</f>
        <v/>
      </c>
    </row>
    <row r="3394">
      <c r="M3394" s="2">
        <f>IF(C3394="","",IFERROR(INDEX($S$5:$S$304,MATCH(C3394,$R$5:$R$304,0))&amp;"","?"))</f>
        <v/>
      </c>
      <c r="N3394" s="2">
        <f>IF(E3394="","",IF(ISNUMBER(SEARCH("SUBSOLO",E3394)),IFERROR(-VALUE(LEFT(E3394,FIND("º",SUBSTITUTE(E3394,"°","º"))-1)),-1),IF(LEFT(E3394,6)="TÉRREO",0,IFERROR(VALUE(LEFT(E3394,FIND("º",SUBSTITUTE(E3394,"°","º"))-1)),""))))</f>
        <v/>
      </c>
      <c r="O3394" s="2">
        <f>IF(OR(F3394="",G3394=""),"",IF(G3394&lt;='RETRATO 2027'!$K$5,"CONCLUÍDA",IF(F3394&lt;='RETRATO 2027'!$K$5,"EM ANDAMENTO","A INICIAR")))</f>
        <v/>
      </c>
    </row>
    <row r="3395">
      <c r="M3395" s="2">
        <f>IF(C3395="","",IFERROR(INDEX($S$5:$S$304,MATCH(C3395,$R$5:$R$304,0))&amp;"","?"))</f>
        <v/>
      </c>
      <c r="N3395" s="2">
        <f>IF(E3395="","",IF(ISNUMBER(SEARCH("SUBSOLO",E3395)),IFERROR(-VALUE(LEFT(E3395,FIND("º",SUBSTITUTE(E3395,"°","º"))-1)),-1),IF(LEFT(E3395,6)="TÉRREO",0,IFERROR(VALUE(LEFT(E3395,FIND("º",SUBSTITUTE(E3395,"°","º"))-1)),""))))</f>
        <v/>
      </c>
      <c r="O3395" s="2">
        <f>IF(OR(F3395="",G3395=""),"",IF(G3395&lt;='RETRATO 2027'!$K$5,"CONCLUÍDA",IF(F3395&lt;='RETRATO 2027'!$K$5,"EM ANDAMENTO","A INICIAR")))</f>
        <v/>
      </c>
    </row>
    <row r="3396">
      <c r="M3396" s="2">
        <f>IF(C3396="","",IFERROR(INDEX($S$5:$S$304,MATCH(C3396,$R$5:$R$304,0))&amp;"","?"))</f>
        <v/>
      </c>
      <c r="N3396" s="2">
        <f>IF(E3396="","",IF(ISNUMBER(SEARCH("SUBSOLO",E3396)),IFERROR(-VALUE(LEFT(E3396,FIND("º",SUBSTITUTE(E3396,"°","º"))-1)),-1),IF(LEFT(E3396,6)="TÉRREO",0,IFERROR(VALUE(LEFT(E3396,FIND("º",SUBSTITUTE(E3396,"°","º"))-1)),""))))</f>
        <v/>
      </c>
      <c r="O3396" s="2">
        <f>IF(OR(F3396="",G3396=""),"",IF(G3396&lt;='RETRATO 2027'!$K$5,"CONCLUÍDA",IF(F3396&lt;='RETRATO 2027'!$K$5,"EM ANDAMENTO","A INICIAR")))</f>
        <v/>
      </c>
    </row>
    <row r="3397">
      <c r="M3397" s="2">
        <f>IF(C3397="","",IFERROR(INDEX($S$5:$S$304,MATCH(C3397,$R$5:$R$304,0))&amp;"","?"))</f>
        <v/>
      </c>
      <c r="N3397" s="2">
        <f>IF(E3397="","",IF(ISNUMBER(SEARCH("SUBSOLO",E3397)),IFERROR(-VALUE(LEFT(E3397,FIND("º",SUBSTITUTE(E3397,"°","º"))-1)),-1),IF(LEFT(E3397,6)="TÉRREO",0,IFERROR(VALUE(LEFT(E3397,FIND("º",SUBSTITUTE(E3397,"°","º"))-1)),""))))</f>
        <v/>
      </c>
      <c r="O3397" s="2">
        <f>IF(OR(F3397="",G3397=""),"",IF(G3397&lt;='RETRATO 2027'!$K$5,"CONCLUÍDA",IF(F3397&lt;='RETRATO 2027'!$K$5,"EM ANDAMENTO","A INICIAR")))</f>
        <v/>
      </c>
    </row>
    <row r="3398">
      <c r="M3398" s="2">
        <f>IF(C3398="","",IFERROR(INDEX($S$5:$S$304,MATCH(C3398,$R$5:$R$304,0))&amp;"","?"))</f>
        <v/>
      </c>
      <c r="N3398" s="2">
        <f>IF(E3398="","",IF(ISNUMBER(SEARCH("SUBSOLO",E3398)),IFERROR(-VALUE(LEFT(E3398,FIND("º",SUBSTITUTE(E3398,"°","º"))-1)),-1),IF(LEFT(E3398,6)="TÉRREO",0,IFERROR(VALUE(LEFT(E3398,FIND("º",SUBSTITUTE(E3398,"°","º"))-1)),""))))</f>
        <v/>
      </c>
      <c r="O3398" s="2">
        <f>IF(OR(F3398="",G3398=""),"",IF(G3398&lt;='RETRATO 2027'!$K$5,"CONCLUÍDA",IF(F3398&lt;='RETRATO 2027'!$K$5,"EM ANDAMENTO","A INICIAR")))</f>
        <v/>
      </c>
    </row>
    <row r="3399">
      <c r="M3399" s="2">
        <f>IF(C3399="","",IFERROR(INDEX($S$5:$S$304,MATCH(C3399,$R$5:$R$304,0))&amp;"","?"))</f>
        <v/>
      </c>
      <c r="N3399" s="2">
        <f>IF(E3399="","",IF(ISNUMBER(SEARCH("SUBSOLO",E3399)),IFERROR(-VALUE(LEFT(E3399,FIND("º",SUBSTITUTE(E3399,"°","º"))-1)),-1),IF(LEFT(E3399,6)="TÉRREO",0,IFERROR(VALUE(LEFT(E3399,FIND("º",SUBSTITUTE(E3399,"°","º"))-1)),""))))</f>
        <v/>
      </c>
      <c r="O3399" s="2">
        <f>IF(OR(F3399="",G3399=""),"",IF(G3399&lt;='RETRATO 2027'!$K$5,"CONCLUÍDA",IF(F3399&lt;='RETRATO 2027'!$K$5,"EM ANDAMENTO","A INICIAR")))</f>
        <v/>
      </c>
    </row>
    <row r="3400">
      <c r="M3400" s="2">
        <f>IF(C3400="","",IFERROR(INDEX($S$5:$S$304,MATCH(C3400,$R$5:$R$304,0))&amp;"","?"))</f>
        <v/>
      </c>
      <c r="N3400" s="2">
        <f>IF(E3400="","",IF(ISNUMBER(SEARCH("SUBSOLO",E3400)),IFERROR(-VALUE(LEFT(E3400,FIND("º",SUBSTITUTE(E3400,"°","º"))-1)),-1),IF(LEFT(E3400,6)="TÉRREO",0,IFERROR(VALUE(LEFT(E3400,FIND("º",SUBSTITUTE(E3400,"°","º"))-1)),""))))</f>
        <v/>
      </c>
      <c r="O3400" s="2">
        <f>IF(OR(F3400="",G3400=""),"",IF(G3400&lt;='RETRATO 2027'!$K$5,"CONCLUÍDA",IF(F3400&lt;='RETRATO 2027'!$K$5,"EM ANDAMENTO","A INICIAR")))</f>
        <v/>
      </c>
    </row>
    <row r="3401">
      <c r="M3401" s="2">
        <f>IF(C3401="","",IFERROR(INDEX($S$5:$S$304,MATCH(C3401,$R$5:$R$304,0))&amp;"","?"))</f>
        <v/>
      </c>
      <c r="N3401" s="2">
        <f>IF(E3401="","",IF(ISNUMBER(SEARCH("SUBSOLO",E3401)),IFERROR(-VALUE(LEFT(E3401,FIND("º",SUBSTITUTE(E3401,"°","º"))-1)),-1),IF(LEFT(E3401,6)="TÉRREO",0,IFERROR(VALUE(LEFT(E3401,FIND("º",SUBSTITUTE(E3401,"°","º"))-1)),""))))</f>
        <v/>
      </c>
      <c r="O3401" s="2">
        <f>IF(OR(F3401="",G3401=""),"",IF(G3401&lt;='RETRATO 2027'!$K$5,"CONCLUÍDA",IF(F3401&lt;='RETRATO 2027'!$K$5,"EM ANDAMENTO","A INICIAR")))</f>
        <v/>
      </c>
    </row>
    <row r="3402">
      <c r="M3402" s="2">
        <f>IF(C3402="","",IFERROR(INDEX($S$5:$S$304,MATCH(C3402,$R$5:$R$304,0))&amp;"","?"))</f>
        <v/>
      </c>
      <c r="N3402" s="2">
        <f>IF(E3402="","",IF(ISNUMBER(SEARCH("SUBSOLO",E3402)),IFERROR(-VALUE(LEFT(E3402,FIND("º",SUBSTITUTE(E3402,"°","º"))-1)),-1),IF(LEFT(E3402,6)="TÉRREO",0,IFERROR(VALUE(LEFT(E3402,FIND("º",SUBSTITUTE(E3402,"°","º"))-1)),""))))</f>
        <v/>
      </c>
      <c r="O3402" s="2">
        <f>IF(OR(F3402="",G3402=""),"",IF(G3402&lt;='RETRATO 2027'!$K$5,"CONCLUÍDA",IF(F3402&lt;='RETRATO 2027'!$K$5,"EM ANDAMENTO","A INICIAR")))</f>
        <v/>
      </c>
    </row>
    <row r="3403">
      <c r="M3403" s="2">
        <f>IF(C3403="","",IFERROR(INDEX($S$5:$S$304,MATCH(C3403,$R$5:$R$304,0))&amp;"","?"))</f>
        <v/>
      </c>
      <c r="N3403" s="2">
        <f>IF(E3403="","",IF(ISNUMBER(SEARCH("SUBSOLO",E3403)),IFERROR(-VALUE(LEFT(E3403,FIND("º",SUBSTITUTE(E3403,"°","º"))-1)),-1),IF(LEFT(E3403,6)="TÉRREO",0,IFERROR(VALUE(LEFT(E3403,FIND("º",SUBSTITUTE(E3403,"°","º"))-1)),""))))</f>
        <v/>
      </c>
      <c r="O3403" s="2">
        <f>IF(OR(F3403="",G3403=""),"",IF(G3403&lt;='RETRATO 2027'!$K$5,"CONCLUÍDA",IF(F3403&lt;='RETRATO 2027'!$K$5,"EM ANDAMENTO","A INICIAR")))</f>
        <v/>
      </c>
    </row>
    <row r="3404">
      <c r="M3404" s="2">
        <f>IF(C3404="","",IFERROR(INDEX($S$5:$S$304,MATCH(C3404,$R$5:$R$304,0))&amp;"","?"))</f>
        <v/>
      </c>
      <c r="N3404" s="2">
        <f>IF(E3404="","",IF(ISNUMBER(SEARCH("SUBSOLO",E3404)),IFERROR(-VALUE(LEFT(E3404,FIND("º",SUBSTITUTE(E3404,"°","º"))-1)),-1),IF(LEFT(E3404,6)="TÉRREO",0,IFERROR(VALUE(LEFT(E3404,FIND("º",SUBSTITUTE(E3404,"°","º"))-1)),""))))</f>
        <v/>
      </c>
      <c r="O3404" s="2">
        <f>IF(OR(F3404="",G3404=""),"",IF(G3404&lt;='RETRATO 2027'!$K$5,"CONCLUÍDA",IF(F3404&lt;='RETRATO 2027'!$K$5,"EM ANDAMENTO","A INICIAR")))</f>
        <v/>
      </c>
    </row>
    <row r="3405">
      <c r="M3405" s="2">
        <f>IF(C3405="","",IFERROR(INDEX($S$5:$S$304,MATCH(C3405,$R$5:$R$304,0))&amp;"","?"))</f>
        <v/>
      </c>
      <c r="N3405" s="2">
        <f>IF(E3405="","",IF(ISNUMBER(SEARCH("SUBSOLO",E3405)),IFERROR(-VALUE(LEFT(E3405,FIND("º",SUBSTITUTE(E3405,"°","º"))-1)),-1),IF(LEFT(E3405,6)="TÉRREO",0,IFERROR(VALUE(LEFT(E3405,FIND("º",SUBSTITUTE(E3405,"°","º"))-1)),""))))</f>
        <v/>
      </c>
      <c r="O3405" s="2">
        <f>IF(OR(F3405="",G3405=""),"",IF(G3405&lt;='RETRATO 2027'!$K$5,"CONCLUÍDA",IF(F3405&lt;='RETRATO 2027'!$K$5,"EM ANDAMENTO","A INICIAR")))</f>
        <v/>
      </c>
    </row>
    <row r="3406">
      <c r="M3406" s="2">
        <f>IF(C3406="","",IFERROR(INDEX($S$5:$S$304,MATCH(C3406,$R$5:$R$304,0))&amp;"","?"))</f>
        <v/>
      </c>
      <c r="N3406" s="2">
        <f>IF(E3406="","",IF(ISNUMBER(SEARCH("SUBSOLO",E3406)),IFERROR(-VALUE(LEFT(E3406,FIND("º",SUBSTITUTE(E3406,"°","º"))-1)),-1),IF(LEFT(E3406,6)="TÉRREO",0,IFERROR(VALUE(LEFT(E3406,FIND("º",SUBSTITUTE(E3406,"°","º"))-1)),""))))</f>
        <v/>
      </c>
      <c r="O3406" s="2">
        <f>IF(OR(F3406="",G3406=""),"",IF(G3406&lt;='RETRATO 2027'!$K$5,"CONCLUÍDA",IF(F3406&lt;='RETRATO 2027'!$K$5,"EM ANDAMENTO","A INICIAR")))</f>
        <v/>
      </c>
    </row>
    <row r="3407">
      <c r="M3407" s="2">
        <f>IF(C3407="","",IFERROR(INDEX($S$5:$S$304,MATCH(C3407,$R$5:$R$304,0))&amp;"","?"))</f>
        <v/>
      </c>
      <c r="N3407" s="2">
        <f>IF(E3407="","",IF(ISNUMBER(SEARCH("SUBSOLO",E3407)),IFERROR(-VALUE(LEFT(E3407,FIND("º",SUBSTITUTE(E3407,"°","º"))-1)),-1),IF(LEFT(E3407,6)="TÉRREO",0,IFERROR(VALUE(LEFT(E3407,FIND("º",SUBSTITUTE(E3407,"°","º"))-1)),""))))</f>
        <v/>
      </c>
      <c r="O3407" s="2">
        <f>IF(OR(F3407="",G3407=""),"",IF(G3407&lt;='RETRATO 2027'!$K$5,"CONCLUÍDA",IF(F3407&lt;='RETRATO 2027'!$K$5,"EM ANDAMENTO","A INICIAR")))</f>
        <v/>
      </c>
    </row>
    <row r="3408">
      <c r="M3408" s="2">
        <f>IF(C3408="","",IFERROR(INDEX($S$5:$S$304,MATCH(C3408,$R$5:$R$304,0))&amp;"","?"))</f>
        <v/>
      </c>
      <c r="N3408" s="2">
        <f>IF(E3408="","",IF(ISNUMBER(SEARCH("SUBSOLO",E3408)),IFERROR(-VALUE(LEFT(E3408,FIND("º",SUBSTITUTE(E3408,"°","º"))-1)),-1),IF(LEFT(E3408,6)="TÉRREO",0,IFERROR(VALUE(LEFT(E3408,FIND("º",SUBSTITUTE(E3408,"°","º"))-1)),""))))</f>
        <v/>
      </c>
      <c r="O3408" s="2">
        <f>IF(OR(F3408="",G3408=""),"",IF(G3408&lt;='RETRATO 2027'!$K$5,"CONCLUÍDA",IF(F3408&lt;='RETRATO 2027'!$K$5,"EM ANDAMENTO","A INICIAR")))</f>
        <v/>
      </c>
    </row>
    <row r="3409">
      <c r="M3409" s="2">
        <f>IF(C3409="","",IFERROR(INDEX($S$5:$S$304,MATCH(C3409,$R$5:$R$304,0))&amp;"","?"))</f>
        <v/>
      </c>
      <c r="N3409" s="2">
        <f>IF(E3409="","",IF(ISNUMBER(SEARCH("SUBSOLO",E3409)),IFERROR(-VALUE(LEFT(E3409,FIND("º",SUBSTITUTE(E3409,"°","º"))-1)),-1),IF(LEFT(E3409,6)="TÉRREO",0,IFERROR(VALUE(LEFT(E3409,FIND("º",SUBSTITUTE(E3409,"°","º"))-1)),""))))</f>
        <v/>
      </c>
      <c r="O3409" s="2">
        <f>IF(OR(F3409="",G3409=""),"",IF(G3409&lt;='RETRATO 2027'!$K$5,"CONCLUÍDA",IF(F3409&lt;='RETRATO 2027'!$K$5,"EM ANDAMENTO","A INICIAR")))</f>
        <v/>
      </c>
    </row>
    <row r="3410">
      <c r="M3410" s="2">
        <f>IF(C3410="","",IFERROR(INDEX($S$5:$S$304,MATCH(C3410,$R$5:$R$304,0))&amp;"","?"))</f>
        <v/>
      </c>
      <c r="N3410" s="2">
        <f>IF(E3410="","",IF(ISNUMBER(SEARCH("SUBSOLO",E3410)),IFERROR(-VALUE(LEFT(E3410,FIND("º",SUBSTITUTE(E3410,"°","º"))-1)),-1),IF(LEFT(E3410,6)="TÉRREO",0,IFERROR(VALUE(LEFT(E3410,FIND("º",SUBSTITUTE(E3410,"°","º"))-1)),""))))</f>
        <v/>
      </c>
      <c r="O3410" s="2">
        <f>IF(OR(F3410="",G3410=""),"",IF(G3410&lt;='RETRATO 2027'!$K$5,"CONCLUÍDA",IF(F3410&lt;='RETRATO 2027'!$K$5,"EM ANDAMENTO","A INICIAR")))</f>
        <v/>
      </c>
    </row>
    <row r="3411">
      <c r="M3411" s="2">
        <f>IF(C3411="","",IFERROR(INDEX($S$5:$S$304,MATCH(C3411,$R$5:$R$304,0))&amp;"","?"))</f>
        <v/>
      </c>
      <c r="N3411" s="2">
        <f>IF(E3411="","",IF(ISNUMBER(SEARCH("SUBSOLO",E3411)),IFERROR(-VALUE(LEFT(E3411,FIND("º",SUBSTITUTE(E3411,"°","º"))-1)),-1),IF(LEFT(E3411,6)="TÉRREO",0,IFERROR(VALUE(LEFT(E3411,FIND("º",SUBSTITUTE(E3411,"°","º"))-1)),""))))</f>
        <v/>
      </c>
      <c r="O3411" s="2">
        <f>IF(OR(F3411="",G3411=""),"",IF(G3411&lt;='RETRATO 2027'!$K$5,"CONCLUÍDA",IF(F3411&lt;='RETRATO 2027'!$K$5,"EM ANDAMENTO","A INICIAR")))</f>
        <v/>
      </c>
    </row>
    <row r="3412">
      <c r="M3412" s="2">
        <f>IF(C3412="","",IFERROR(INDEX($S$5:$S$304,MATCH(C3412,$R$5:$R$304,0))&amp;"","?"))</f>
        <v/>
      </c>
      <c r="N3412" s="2">
        <f>IF(E3412="","",IF(ISNUMBER(SEARCH("SUBSOLO",E3412)),IFERROR(-VALUE(LEFT(E3412,FIND("º",SUBSTITUTE(E3412,"°","º"))-1)),-1),IF(LEFT(E3412,6)="TÉRREO",0,IFERROR(VALUE(LEFT(E3412,FIND("º",SUBSTITUTE(E3412,"°","º"))-1)),""))))</f>
        <v/>
      </c>
      <c r="O3412" s="2">
        <f>IF(OR(F3412="",G3412=""),"",IF(G3412&lt;='RETRATO 2027'!$K$5,"CONCLUÍDA",IF(F3412&lt;='RETRATO 2027'!$K$5,"EM ANDAMENTO","A INICIAR")))</f>
        <v/>
      </c>
    </row>
    <row r="3413">
      <c r="M3413" s="2">
        <f>IF(C3413="","",IFERROR(INDEX($S$5:$S$304,MATCH(C3413,$R$5:$R$304,0))&amp;"","?"))</f>
        <v/>
      </c>
      <c r="N3413" s="2">
        <f>IF(E3413="","",IF(ISNUMBER(SEARCH("SUBSOLO",E3413)),IFERROR(-VALUE(LEFT(E3413,FIND("º",SUBSTITUTE(E3413,"°","º"))-1)),-1),IF(LEFT(E3413,6)="TÉRREO",0,IFERROR(VALUE(LEFT(E3413,FIND("º",SUBSTITUTE(E3413,"°","º"))-1)),""))))</f>
        <v/>
      </c>
      <c r="O3413" s="2">
        <f>IF(OR(F3413="",G3413=""),"",IF(G3413&lt;='RETRATO 2027'!$K$5,"CONCLUÍDA",IF(F3413&lt;='RETRATO 2027'!$K$5,"EM ANDAMENTO","A INICIAR")))</f>
        <v/>
      </c>
    </row>
    <row r="3414">
      <c r="M3414" s="2">
        <f>IF(C3414="","",IFERROR(INDEX($S$5:$S$304,MATCH(C3414,$R$5:$R$304,0))&amp;"","?"))</f>
        <v/>
      </c>
      <c r="N3414" s="2">
        <f>IF(E3414="","",IF(ISNUMBER(SEARCH("SUBSOLO",E3414)),IFERROR(-VALUE(LEFT(E3414,FIND("º",SUBSTITUTE(E3414,"°","º"))-1)),-1),IF(LEFT(E3414,6)="TÉRREO",0,IFERROR(VALUE(LEFT(E3414,FIND("º",SUBSTITUTE(E3414,"°","º"))-1)),""))))</f>
        <v/>
      </c>
      <c r="O3414" s="2">
        <f>IF(OR(F3414="",G3414=""),"",IF(G3414&lt;='RETRATO 2027'!$K$5,"CONCLUÍDA",IF(F3414&lt;='RETRATO 2027'!$K$5,"EM ANDAMENTO","A INICIAR")))</f>
        <v/>
      </c>
    </row>
    <row r="3415">
      <c r="M3415" s="2">
        <f>IF(C3415="","",IFERROR(INDEX($S$5:$S$304,MATCH(C3415,$R$5:$R$304,0))&amp;"","?"))</f>
        <v/>
      </c>
      <c r="N3415" s="2">
        <f>IF(E3415="","",IF(ISNUMBER(SEARCH("SUBSOLO",E3415)),IFERROR(-VALUE(LEFT(E3415,FIND("º",SUBSTITUTE(E3415,"°","º"))-1)),-1),IF(LEFT(E3415,6)="TÉRREO",0,IFERROR(VALUE(LEFT(E3415,FIND("º",SUBSTITUTE(E3415,"°","º"))-1)),""))))</f>
        <v/>
      </c>
      <c r="O3415" s="2">
        <f>IF(OR(F3415="",G3415=""),"",IF(G3415&lt;='RETRATO 2027'!$K$5,"CONCLUÍDA",IF(F3415&lt;='RETRATO 2027'!$K$5,"EM ANDAMENTO","A INICIAR")))</f>
        <v/>
      </c>
    </row>
    <row r="3416">
      <c r="M3416" s="2">
        <f>IF(C3416="","",IFERROR(INDEX($S$5:$S$304,MATCH(C3416,$R$5:$R$304,0))&amp;"","?"))</f>
        <v/>
      </c>
      <c r="N3416" s="2">
        <f>IF(E3416="","",IF(ISNUMBER(SEARCH("SUBSOLO",E3416)),IFERROR(-VALUE(LEFT(E3416,FIND("º",SUBSTITUTE(E3416,"°","º"))-1)),-1),IF(LEFT(E3416,6)="TÉRREO",0,IFERROR(VALUE(LEFT(E3416,FIND("º",SUBSTITUTE(E3416,"°","º"))-1)),""))))</f>
        <v/>
      </c>
      <c r="O3416" s="2">
        <f>IF(OR(F3416="",G3416=""),"",IF(G3416&lt;='RETRATO 2027'!$K$5,"CONCLUÍDA",IF(F3416&lt;='RETRATO 2027'!$K$5,"EM ANDAMENTO","A INICIAR")))</f>
        <v/>
      </c>
    </row>
    <row r="3417">
      <c r="M3417" s="2">
        <f>IF(C3417="","",IFERROR(INDEX($S$5:$S$304,MATCH(C3417,$R$5:$R$304,0))&amp;"","?"))</f>
        <v/>
      </c>
      <c r="N3417" s="2">
        <f>IF(E3417="","",IF(ISNUMBER(SEARCH("SUBSOLO",E3417)),IFERROR(-VALUE(LEFT(E3417,FIND("º",SUBSTITUTE(E3417,"°","º"))-1)),-1),IF(LEFT(E3417,6)="TÉRREO",0,IFERROR(VALUE(LEFT(E3417,FIND("º",SUBSTITUTE(E3417,"°","º"))-1)),""))))</f>
        <v/>
      </c>
      <c r="O3417" s="2">
        <f>IF(OR(F3417="",G3417=""),"",IF(G3417&lt;='RETRATO 2027'!$K$5,"CONCLUÍDA",IF(F3417&lt;='RETRATO 2027'!$K$5,"EM ANDAMENTO","A INICIAR")))</f>
        <v/>
      </c>
    </row>
    <row r="3418">
      <c r="M3418" s="2">
        <f>IF(C3418="","",IFERROR(INDEX($S$5:$S$304,MATCH(C3418,$R$5:$R$304,0))&amp;"","?"))</f>
        <v/>
      </c>
      <c r="N3418" s="2">
        <f>IF(E3418="","",IF(ISNUMBER(SEARCH("SUBSOLO",E3418)),IFERROR(-VALUE(LEFT(E3418,FIND("º",SUBSTITUTE(E3418,"°","º"))-1)),-1),IF(LEFT(E3418,6)="TÉRREO",0,IFERROR(VALUE(LEFT(E3418,FIND("º",SUBSTITUTE(E3418,"°","º"))-1)),""))))</f>
        <v/>
      </c>
      <c r="O3418" s="2">
        <f>IF(OR(F3418="",G3418=""),"",IF(G3418&lt;='RETRATO 2027'!$K$5,"CONCLUÍDA",IF(F3418&lt;='RETRATO 2027'!$K$5,"EM ANDAMENTO","A INICIAR")))</f>
        <v/>
      </c>
    </row>
    <row r="3419">
      <c r="M3419" s="2">
        <f>IF(C3419="","",IFERROR(INDEX($S$5:$S$304,MATCH(C3419,$R$5:$R$304,0))&amp;"","?"))</f>
        <v/>
      </c>
      <c r="N3419" s="2">
        <f>IF(E3419="","",IF(ISNUMBER(SEARCH("SUBSOLO",E3419)),IFERROR(-VALUE(LEFT(E3419,FIND("º",SUBSTITUTE(E3419,"°","º"))-1)),-1),IF(LEFT(E3419,6)="TÉRREO",0,IFERROR(VALUE(LEFT(E3419,FIND("º",SUBSTITUTE(E3419,"°","º"))-1)),""))))</f>
        <v/>
      </c>
      <c r="O3419" s="2">
        <f>IF(OR(F3419="",G3419=""),"",IF(G3419&lt;='RETRATO 2027'!$K$5,"CONCLUÍDA",IF(F3419&lt;='RETRATO 2027'!$K$5,"EM ANDAMENTO","A INICIAR")))</f>
        <v/>
      </c>
    </row>
    <row r="3420">
      <c r="M3420" s="2">
        <f>IF(C3420="","",IFERROR(INDEX($S$5:$S$304,MATCH(C3420,$R$5:$R$304,0))&amp;"","?"))</f>
        <v/>
      </c>
      <c r="N3420" s="2">
        <f>IF(E3420="","",IF(ISNUMBER(SEARCH("SUBSOLO",E3420)),IFERROR(-VALUE(LEFT(E3420,FIND("º",SUBSTITUTE(E3420,"°","º"))-1)),-1),IF(LEFT(E3420,6)="TÉRREO",0,IFERROR(VALUE(LEFT(E3420,FIND("º",SUBSTITUTE(E3420,"°","º"))-1)),""))))</f>
        <v/>
      </c>
      <c r="O3420" s="2">
        <f>IF(OR(F3420="",G3420=""),"",IF(G3420&lt;='RETRATO 2027'!$K$5,"CONCLUÍDA",IF(F3420&lt;='RETRATO 2027'!$K$5,"EM ANDAMENTO","A INICIAR")))</f>
        <v/>
      </c>
    </row>
    <row r="3421">
      <c r="M3421" s="2">
        <f>IF(C3421="","",IFERROR(INDEX($S$5:$S$304,MATCH(C3421,$R$5:$R$304,0))&amp;"","?"))</f>
        <v/>
      </c>
      <c r="N3421" s="2">
        <f>IF(E3421="","",IF(ISNUMBER(SEARCH("SUBSOLO",E3421)),IFERROR(-VALUE(LEFT(E3421,FIND("º",SUBSTITUTE(E3421,"°","º"))-1)),-1),IF(LEFT(E3421,6)="TÉRREO",0,IFERROR(VALUE(LEFT(E3421,FIND("º",SUBSTITUTE(E3421,"°","º"))-1)),""))))</f>
        <v/>
      </c>
      <c r="O3421" s="2">
        <f>IF(OR(F3421="",G3421=""),"",IF(G3421&lt;='RETRATO 2027'!$K$5,"CONCLUÍDA",IF(F3421&lt;='RETRATO 2027'!$K$5,"EM ANDAMENTO","A INICIAR")))</f>
        <v/>
      </c>
    </row>
    <row r="3422">
      <c r="M3422" s="2">
        <f>IF(C3422="","",IFERROR(INDEX($S$5:$S$304,MATCH(C3422,$R$5:$R$304,0))&amp;"","?"))</f>
        <v/>
      </c>
      <c r="N3422" s="2">
        <f>IF(E3422="","",IF(ISNUMBER(SEARCH("SUBSOLO",E3422)),IFERROR(-VALUE(LEFT(E3422,FIND("º",SUBSTITUTE(E3422,"°","º"))-1)),-1),IF(LEFT(E3422,6)="TÉRREO",0,IFERROR(VALUE(LEFT(E3422,FIND("º",SUBSTITUTE(E3422,"°","º"))-1)),""))))</f>
        <v/>
      </c>
      <c r="O3422" s="2">
        <f>IF(OR(F3422="",G3422=""),"",IF(G3422&lt;='RETRATO 2027'!$K$5,"CONCLUÍDA",IF(F3422&lt;='RETRATO 2027'!$K$5,"EM ANDAMENTO","A INICIAR")))</f>
        <v/>
      </c>
    </row>
    <row r="3423">
      <c r="M3423" s="2">
        <f>IF(C3423="","",IFERROR(INDEX($S$5:$S$304,MATCH(C3423,$R$5:$R$304,0))&amp;"","?"))</f>
        <v/>
      </c>
      <c r="N3423" s="2">
        <f>IF(E3423="","",IF(ISNUMBER(SEARCH("SUBSOLO",E3423)),IFERROR(-VALUE(LEFT(E3423,FIND("º",SUBSTITUTE(E3423,"°","º"))-1)),-1),IF(LEFT(E3423,6)="TÉRREO",0,IFERROR(VALUE(LEFT(E3423,FIND("º",SUBSTITUTE(E3423,"°","º"))-1)),""))))</f>
        <v/>
      </c>
      <c r="O3423" s="2">
        <f>IF(OR(F3423="",G3423=""),"",IF(G3423&lt;='RETRATO 2027'!$K$5,"CONCLUÍDA",IF(F3423&lt;='RETRATO 2027'!$K$5,"EM ANDAMENTO","A INICIAR")))</f>
        <v/>
      </c>
    </row>
    <row r="3424">
      <c r="M3424" s="2">
        <f>IF(C3424="","",IFERROR(INDEX($S$5:$S$304,MATCH(C3424,$R$5:$R$304,0))&amp;"","?"))</f>
        <v/>
      </c>
      <c r="N3424" s="2">
        <f>IF(E3424="","",IF(ISNUMBER(SEARCH("SUBSOLO",E3424)),IFERROR(-VALUE(LEFT(E3424,FIND("º",SUBSTITUTE(E3424,"°","º"))-1)),-1),IF(LEFT(E3424,6)="TÉRREO",0,IFERROR(VALUE(LEFT(E3424,FIND("º",SUBSTITUTE(E3424,"°","º"))-1)),""))))</f>
        <v/>
      </c>
      <c r="O3424" s="2">
        <f>IF(OR(F3424="",G3424=""),"",IF(G3424&lt;='RETRATO 2027'!$K$5,"CONCLUÍDA",IF(F3424&lt;='RETRATO 2027'!$K$5,"EM ANDAMENTO","A INICIAR")))</f>
        <v/>
      </c>
    </row>
    <row r="3425">
      <c r="M3425" s="2">
        <f>IF(C3425="","",IFERROR(INDEX($S$5:$S$304,MATCH(C3425,$R$5:$R$304,0))&amp;"","?"))</f>
        <v/>
      </c>
      <c r="N3425" s="2">
        <f>IF(E3425="","",IF(ISNUMBER(SEARCH("SUBSOLO",E3425)),IFERROR(-VALUE(LEFT(E3425,FIND("º",SUBSTITUTE(E3425,"°","º"))-1)),-1),IF(LEFT(E3425,6)="TÉRREO",0,IFERROR(VALUE(LEFT(E3425,FIND("º",SUBSTITUTE(E3425,"°","º"))-1)),""))))</f>
        <v/>
      </c>
      <c r="O3425" s="2">
        <f>IF(OR(F3425="",G3425=""),"",IF(G3425&lt;='RETRATO 2027'!$K$5,"CONCLUÍDA",IF(F3425&lt;='RETRATO 2027'!$K$5,"EM ANDAMENTO","A INICIAR")))</f>
        <v/>
      </c>
    </row>
    <row r="3426">
      <c r="M3426" s="2">
        <f>IF(C3426="","",IFERROR(INDEX($S$5:$S$304,MATCH(C3426,$R$5:$R$304,0))&amp;"","?"))</f>
        <v/>
      </c>
      <c r="N3426" s="2">
        <f>IF(E3426="","",IF(ISNUMBER(SEARCH("SUBSOLO",E3426)),IFERROR(-VALUE(LEFT(E3426,FIND("º",SUBSTITUTE(E3426,"°","º"))-1)),-1),IF(LEFT(E3426,6)="TÉRREO",0,IFERROR(VALUE(LEFT(E3426,FIND("º",SUBSTITUTE(E3426,"°","º"))-1)),""))))</f>
        <v/>
      </c>
      <c r="O3426" s="2">
        <f>IF(OR(F3426="",G3426=""),"",IF(G3426&lt;='RETRATO 2027'!$K$5,"CONCLUÍDA",IF(F3426&lt;='RETRATO 2027'!$K$5,"EM ANDAMENTO","A INICIAR")))</f>
        <v/>
      </c>
    </row>
    <row r="3427">
      <c r="M3427" s="2">
        <f>IF(C3427="","",IFERROR(INDEX($S$5:$S$304,MATCH(C3427,$R$5:$R$304,0))&amp;"","?"))</f>
        <v/>
      </c>
      <c r="N3427" s="2">
        <f>IF(E3427="","",IF(ISNUMBER(SEARCH("SUBSOLO",E3427)),IFERROR(-VALUE(LEFT(E3427,FIND("º",SUBSTITUTE(E3427,"°","º"))-1)),-1),IF(LEFT(E3427,6)="TÉRREO",0,IFERROR(VALUE(LEFT(E3427,FIND("º",SUBSTITUTE(E3427,"°","º"))-1)),""))))</f>
        <v/>
      </c>
      <c r="O3427" s="2">
        <f>IF(OR(F3427="",G3427=""),"",IF(G3427&lt;='RETRATO 2027'!$K$5,"CONCLUÍDA",IF(F3427&lt;='RETRATO 2027'!$K$5,"EM ANDAMENTO","A INICIAR")))</f>
        <v/>
      </c>
    </row>
    <row r="3428">
      <c r="M3428" s="2">
        <f>IF(C3428="","",IFERROR(INDEX($S$5:$S$304,MATCH(C3428,$R$5:$R$304,0))&amp;"","?"))</f>
        <v/>
      </c>
      <c r="N3428" s="2">
        <f>IF(E3428="","",IF(ISNUMBER(SEARCH("SUBSOLO",E3428)),IFERROR(-VALUE(LEFT(E3428,FIND("º",SUBSTITUTE(E3428,"°","º"))-1)),-1),IF(LEFT(E3428,6)="TÉRREO",0,IFERROR(VALUE(LEFT(E3428,FIND("º",SUBSTITUTE(E3428,"°","º"))-1)),""))))</f>
        <v/>
      </c>
      <c r="O3428" s="2">
        <f>IF(OR(F3428="",G3428=""),"",IF(G3428&lt;='RETRATO 2027'!$K$5,"CONCLUÍDA",IF(F3428&lt;='RETRATO 2027'!$K$5,"EM ANDAMENTO","A INICIAR")))</f>
        <v/>
      </c>
    </row>
    <row r="3429">
      <c r="M3429" s="2">
        <f>IF(C3429="","",IFERROR(INDEX($S$5:$S$304,MATCH(C3429,$R$5:$R$304,0))&amp;"","?"))</f>
        <v/>
      </c>
      <c r="N3429" s="2">
        <f>IF(E3429="","",IF(ISNUMBER(SEARCH("SUBSOLO",E3429)),IFERROR(-VALUE(LEFT(E3429,FIND("º",SUBSTITUTE(E3429,"°","º"))-1)),-1),IF(LEFT(E3429,6)="TÉRREO",0,IFERROR(VALUE(LEFT(E3429,FIND("º",SUBSTITUTE(E3429,"°","º"))-1)),""))))</f>
        <v/>
      </c>
      <c r="O3429" s="2">
        <f>IF(OR(F3429="",G3429=""),"",IF(G3429&lt;='RETRATO 2027'!$K$5,"CONCLUÍDA",IF(F3429&lt;='RETRATO 2027'!$K$5,"EM ANDAMENTO","A INICIAR")))</f>
        <v/>
      </c>
    </row>
    <row r="3430">
      <c r="M3430" s="2">
        <f>IF(C3430="","",IFERROR(INDEX($S$5:$S$304,MATCH(C3430,$R$5:$R$304,0))&amp;"","?"))</f>
        <v/>
      </c>
      <c r="N3430" s="2">
        <f>IF(E3430="","",IF(ISNUMBER(SEARCH("SUBSOLO",E3430)),IFERROR(-VALUE(LEFT(E3430,FIND("º",SUBSTITUTE(E3430,"°","º"))-1)),-1),IF(LEFT(E3430,6)="TÉRREO",0,IFERROR(VALUE(LEFT(E3430,FIND("º",SUBSTITUTE(E3430,"°","º"))-1)),""))))</f>
        <v/>
      </c>
      <c r="O3430" s="2">
        <f>IF(OR(F3430="",G3430=""),"",IF(G3430&lt;='RETRATO 2027'!$K$5,"CONCLUÍDA",IF(F3430&lt;='RETRATO 2027'!$K$5,"EM ANDAMENTO","A INICIAR")))</f>
        <v/>
      </c>
    </row>
    <row r="3431">
      <c r="M3431" s="2">
        <f>IF(C3431="","",IFERROR(INDEX($S$5:$S$304,MATCH(C3431,$R$5:$R$304,0))&amp;"","?"))</f>
        <v/>
      </c>
      <c r="N3431" s="2">
        <f>IF(E3431="","",IF(ISNUMBER(SEARCH("SUBSOLO",E3431)),IFERROR(-VALUE(LEFT(E3431,FIND("º",SUBSTITUTE(E3431,"°","º"))-1)),-1),IF(LEFT(E3431,6)="TÉRREO",0,IFERROR(VALUE(LEFT(E3431,FIND("º",SUBSTITUTE(E3431,"°","º"))-1)),""))))</f>
        <v/>
      </c>
      <c r="O3431" s="2">
        <f>IF(OR(F3431="",G3431=""),"",IF(G3431&lt;='RETRATO 2027'!$K$5,"CONCLUÍDA",IF(F3431&lt;='RETRATO 2027'!$K$5,"EM ANDAMENTO","A INICIAR")))</f>
        <v/>
      </c>
    </row>
    <row r="3432">
      <c r="M3432" s="2">
        <f>IF(C3432="","",IFERROR(INDEX($S$5:$S$304,MATCH(C3432,$R$5:$R$304,0))&amp;"","?"))</f>
        <v/>
      </c>
      <c r="N3432" s="2">
        <f>IF(E3432="","",IF(ISNUMBER(SEARCH("SUBSOLO",E3432)),IFERROR(-VALUE(LEFT(E3432,FIND("º",SUBSTITUTE(E3432,"°","º"))-1)),-1),IF(LEFT(E3432,6)="TÉRREO",0,IFERROR(VALUE(LEFT(E3432,FIND("º",SUBSTITUTE(E3432,"°","º"))-1)),""))))</f>
        <v/>
      </c>
      <c r="O3432" s="2">
        <f>IF(OR(F3432="",G3432=""),"",IF(G3432&lt;='RETRATO 2027'!$K$5,"CONCLUÍDA",IF(F3432&lt;='RETRATO 2027'!$K$5,"EM ANDAMENTO","A INICIAR")))</f>
        <v/>
      </c>
    </row>
    <row r="3433">
      <c r="M3433" s="2">
        <f>IF(C3433="","",IFERROR(INDEX($S$5:$S$304,MATCH(C3433,$R$5:$R$304,0))&amp;"","?"))</f>
        <v/>
      </c>
      <c r="N3433" s="2">
        <f>IF(E3433="","",IF(ISNUMBER(SEARCH("SUBSOLO",E3433)),IFERROR(-VALUE(LEFT(E3433,FIND("º",SUBSTITUTE(E3433,"°","º"))-1)),-1),IF(LEFT(E3433,6)="TÉRREO",0,IFERROR(VALUE(LEFT(E3433,FIND("º",SUBSTITUTE(E3433,"°","º"))-1)),""))))</f>
        <v/>
      </c>
      <c r="O3433" s="2">
        <f>IF(OR(F3433="",G3433=""),"",IF(G3433&lt;='RETRATO 2027'!$K$5,"CONCLUÍDA",IF(F3433&lt;='RETRATO 2027'!$K$5,"EM ANDAMENTO","A INICIAR")))</f>
        <v/>
      </c>
    </row>
    <row r="3434">
      <c r="M3434" s="2">
        <f>IF(C3434="","",IFERROR(INDEX($S$5:$S$304,MATCH(C3434,$R$5:$R$304,0))&amp;"","?"))</f>
        <v/>
      </c>
      <c r="N3434" s="2">
        <f>IF(E3434="","",IF(ISNUMBER(SEARCH("SUBSOLO",E3434)),IFERROR(-VALUE(LEFT(E3434,FIND("º",SUBSTITUTE(E3434,"°","º"))-1)),-1),IF(LEFT(E3434,6)="TÉRREO",0,IFERROR(VALUE(LEFT(E3434,FIND("º",SUBSTITUTE(E3434,"°","º"))-1)),""))))</f>
        <v/>
      </c>
      <c r="O3434" s="2">
        <f>IF(OR(F3434="",G3434=""),"",IF(G3434&lt;='RETRATO 2027'!$K$5,"CONCLUÍDA",IF(F3434&lt;='RETRATO 2027'!$K$5,"EM ANDAMENTO","A INICIAR")))</f>
        <v/>
      </c>
    </row>
    <row r="3435">
      <c r="M3435" s="2">
        <f>IF(C3435="","",IFERROR(INDEX($S$5:$S$304,MATCH(C3435,$R$5:$R$304,0))&amp;"","?"))</f>
        <v/>
      </c>
      <c r="N3435" s="2">
        <f>IF(E3435="","",IF(ISNUMBER(SEARCH("SUBSOLO",E3435)),IFERROR(-VALUE(LEFT(E3435,FIND("º",SUBSTITUTE(E3435,"°","º"))-1)),-1),IF(LEFT(E3435,6)="TÉRREO",0,IFERROR(VALUE(LEFT(E3435,FIND("º",SUBSTITUTE(E3435,"°","º"))-1)),""))))</f>
        <v/>
      </c>
      <c r="O3435" s="2">
        <f>IF(OR(F3435="",G3435=""),"",IF(G3435&lt;='RETRATO 2027'!$K$5,"CONCLUÍDA",IF(F3435&lt;='RETRATO 2027'!$K$5,"EM ANDAMENTO","A INICIAR")))</f>
        <v/>
      </c>
    </row>
    <row r="3436">
      <c r="M3436" s="2">
        <f>IF(C3436="","",IFERROR(INDEX($S$5:$S$304,MATCH(C3436,$R$5:$R$304,0))&amp;"","?"))</f>
        <v/>
      </c>
      <c r="N3436" s="2">
        <f>IF(E3436="","",IF(ISNUMBER(SEARCH("SUBSOLO",E3436)),IFERROR(-VALUE(LEFT(E3436,FIND("º",SUBSTITUTE(E3436,"°","º"))-1)),-1),IF(LEFT(E3436,6)="TÉRREO",0,IFERROR(VALUE(LEFT(E3436,FIND("º",SUBSTITUTE(E3436,"°","º"))-1)),""))))</f>
        <v/>
      </c>
      <c r="O3436" s="2">
        <f>IF(OR(F3436="",G3436=""),"",IF(G3436&lt;='RETRATO 2027'!$K$5,"CONCLUÍDA",IF(F3436&lt;='RETRATO 2027'!$K$5,"EM ANDAMENTO","A INICIAR")))</f>
        <v/>
      </c>
    </row>
    <row r="3437">
      <c r="M3437" s="2">
        <f>IF(C3437="","",IFERROR(INDEX($S$5:$S$304,MATCH(C3437,$R$5:$R$304,0))&amp;"","?"))</f>
        <v/>
      </c>
      <c r="N3437" s="2">
        <f>IF(E3437="","",IF(ISNUMBER(SEARCH("SUBSOLO",E3437)),IFERROR(-VALUE(LEFT(E3437,FIND("º",SUBSTITUTE(E3437,"°","º"))-1)),-1),IF(LEFT(E3437,6)="TÉRREO",0,IFERROR(VALUE(LEFT(E3437,FIND("º",SUBSTITUTE(E3437,"°","º"))-1)),""))))</f>
        <v/>
      </c>
      <c r="O3437" s="2">
        <f>IF(OR(F3437="",G3437=""),"",IF(G3437&lt;='RETRATO 2027'!$K$5,"CONCLUÍDA",IF(F3437&lt;='RETRATO 2027'!$K$5,"EM ANDAMENTO","A INICIAR")))</f>
        <v/>
      </c>
    </row>
    <row r="3438">
      <c r="M3438" s="2">
        <f>IF(C3438="","",IFERROR(INDEX($S$5:$S$304,MATCH(C3438,$R$5:$R$304,0))&amp;"","?"))</f>
        <v/>
      </c>
      <c r="N3438" s="2">
        <f>IF(E3438="","",IF(ISNUMBER(SEARCH("SUBSOLO",E3438)),IFERROR(-VALUE(LEFT(E3438,FIND("º",SUBSTITUTE(E3438,"°","º"))-1)),-1),IF(LEFT(E3438,6)="TÉRREO",0,IFERROR(VALUE(LEFT(E3438,FIND("º",SUBSTITUTE(E3438,"°","º"))-1)),""))))</f>
        <v/>
      </c>
      <c r="O3438" s="2">
        <f>IF(OR(F3438="",G3438=""),"",IF(G3438&lt;='RETRATO 2027'!$K$5,"CONCLUÍDA",IF(F3438&lt;='RETRATO 2027'!$K$5,"EM ANDAMENTO","A INICIAR")))</f>
        <v/>
      </c>
    </row>
    <row r="3439">
      <c r="M3439" s="2">
        <f>IF(C3439="","",IFERROR(INDEX($S$5:$S$304,MATCH(C3439,$R$5:$R$304,0))&amp;"","?"))</f>
        <v/>
      </c>
      <c r="N3439" s="2">
        <f>IF(E3439="","",IF(ISNUMBER(SEARCH("SUBSOLO",E3439)),IFERROR(-VALUE(LEFT(E3439,FIND("º",SUBSTITUTE(E3439,"°","º"))-1)),-1),IF(LEFT(E3439,6)="TÉRREO",0,IFERROR(VALUE(LEFT(E3439,FIND("º",SUBSTITUTE(E3439,"°","º"))-1)),""))))</f>
        <v/>
      </c>
      <c r="O3439" s="2">
        <f>IF(OR(F3439="",G3439=""),"",IF(G3439&lt;='RETRATO 2027'!$K$5,"CONCLUÍDA",IF(F3439&lt;='RETRATO 2027'!$K$5,"EM ANDAMENTO","A INICIAR")))</f>
        <v/>
      </c>
    </row>
    <row r="3440">
      <c r="M3440" s="2">
        <f>IF(C3440="","",IFERROR(INDEX($S$5:$S$304,MATCH(C3440,$R$5:$R$304,0))&amp;"","?"))</f>
        <v/>
      </c>
      <c r="N3440" s="2">
        <f>IF(E3440="","",IF(ISNUMBER(SEARCH("SUBSOLO",E3440)),IFERROR(-VALUE(LEFT(E3440,FIND("º",SUBSTITUTE(E3440,"°","º"))-1)),-1),IF(LEFT(E3440,6)="TÉRREO",0,IFERROR(VALUE(LEFT(E3440,FIND("º",SUBSTITUTE(E3440,"°","º"))-1)),""))))</f>
        <v/>
      </c>
      <c r="O3440" s="2">
        <f>IF(OR(F3440="",G3440=""),"",IF(G3440&lt;='RETRATO 2027'!$K$5,"CONCLUÍDA",IF(F3440&lt;='RETRATO 2027'!$K$5,"EM ANDAMENTO","A INICIAR")))</f>
        <v/>
      </c>
    </row>
    <row r="3441">
      <c r="M3441" s="2">
        <f>IF(C3441="","",IFERROR(INDEX($S$5:$S$304,MATCH(C3441,$R$5:$R$304,0))&amp;"","?"))</f>
        <v/>
      </c>
      <c r="N3441" s="2">
        <f>IF(E3441="","",IF(ISNUMBER(SEARCH("SUBSOLO",E3441)),IFERROR(-VALUE(LEFT(E3441,FIND("º",SUBSTITUTE(E3441,"°","º"))-1)),-1),IF(LEFT(E3441,6)="TÉRREO",0,IFERROR(VALUE(LEFT(E3441,FIND("º",SUBSTITUTE(E3441,"°","º"))-1)),""))))</f>
        <v/>
      </c>
      <c r="O3441" s="2">
        <f>IF(OR(F3441="",G3441=""),"",IF(G3441&lt;='RETRATO 2027'!$K$5,"CONCLUÍDA",IF(F3441&lt;='RETRATO 2027'!$K$5,"EM ANDAMENTO","A INICIAR")))</f>
        <v/>
      </c>
    </row>
    <row r="3442">
      <c r="M3442" s="2">
        <f>IF(C3442="","",IFERROR(INDEX($S$5:$S$304,MATCH(C3442,$R$5:$R$304,0))&amp;"","?"))</f>
        <v/>
      </c>
      <c r="N3442" s="2">
        <f>IF(E3442="","",IF(ISNUMBER(SEARCH("SUBSOLO",E3442)),IFERROR(-VALUE(LEFT(E3442,FIND("º",SUBSTITUTE(E3442,"°","º"))-1)),-1),IF(LEFT(E3442,6)="TÉRREO",0,IFERROR(VALUE(LEFT(E3442,FIND("º",SUBSTITUTE(E3442,"°","º"))-1)),""))))</f>
        <v/>
      </c>
      <c r="O3442" s="2">
        <f>IF(OR(F3442="",G3442=""),"",IF(G3442&lt;='RETRATO 2027'!$K$5,"CONCLUÍDA",IF(F3442&lt;='RETRATO 2027'!$K$5,"EM ANDAMENTO","A INICIAR")))</f>
        <v/>
      </c>
    </row>
    <row r="3443">
      <c r="M3443" s="2">
        <f>IF(C3443="","",IFERROR(INDEX($S$5:$S$304,MATCH(C3443,$R$5:$R$304,0))&amp;"","?"))</f>
        <v/>
      </c>
      <c r="N3443" s="2">
        <f>IF(E3443="","",IF(ISNUMBER(SEARCH("SUBSOLO",E3443)),IFERROR(-VALUE(LEFT(E3443,FIND("º",SUBSTITUTE(E3443,"°","º"))-1)),-1),IF(LEFT(E3443,6)="TÉRREO",0,IFERROR(VALUE(LEFT(E3443,FIND("º",SUBSTITUTE(E3443,"°","º"))-1)),""))))</f>
        <v/>
      </c>
      <c r="O3443" s="2">
        <f>IF(OR(F3443="",G3443=""),"",IF(G3443&lt;='RETRATO 2027'!$K$5,"CONCLUÍDA",IF(F3443&lt;='RETRATO 2027'!$K$5,"EM ANDAMENTO","A INICIAR")))</f>
        <v/>
      </c>
    </row>
    <row r="3444">
      <c r="M3444" s="2">
        <f>IF(C3444="","",IFERROR(INDEX($S$5:$S$304,MATCH(C3444,$R$5:$R$304,0))&amp;"","?"))</f>
        <v/>
      </c>
      <c r="N3444" s="2">
        <f>IF(E3444="","",IF(ISNUMBER(SEARCH("SUBSOLO",E3444)),IFERROR(-VALUE(LEFT(E3444,FIND("º",SUBSTITUTE(E3444,"°","º"))-1)),-1),IF(LEFT(E3444,6)="TÉRREO",0,IFERROR(VALUE(LEFT(E3444,FIND("º",SUBSTITUTE(E3444,"°","º"))-1)),""))))</f>
        <v/>
      </c>
      <c r="O3444" s="2">
        <f>IF(OR(F3444="",G3444=""),"",IF(G3444&lt;='RETRATO 2027'!$K$5,"CONCLUÍDA",IF(F3444&lt;='RETRATO 2027'!$K$5,"EM ANDAMENTO","A INICIAR")))</f>
        <v/>
      </c>
    </row>
    <row r="3445">
      <c r="M3445" s="2">
        <f>IF(C3445="","",IFERROR(INDEX($S$5:$S$304,MATCH(C3445,$R$5:$R$304,0))&amp;"","?"))</f>
        <v/>
      </c>
      <c r="N3445" s="2">
        <f>IF(E3445="","",IF(ISNUMBER(SEARCH("SUBSOLO",E3445)),IFERROR(-VALUE(LEFT(E3445,FIND("º",SUBSTITUTE(E3445,"°","º"))-1)),-1),IF(LEFT(E3445,6)="TÉRREO",0,IFERROR(VALUE(LEFT(E3445,FIND("º",SUBSTITUTE(E3445,"°","º"))-1)),""))))</f>
        <v/>
      </c>
      <c r="O3445" s="2">
        <f>IF(OR(F3445="",G3445=""),"",IF(G3445&lt;='RETRATO 2027'!$K$5,"CONCLUÍDA",IF(F3445&lt;='RETRATO 2027'!$K$5,"EM ANDAMENTO","A INICIAR")))</f>
        <v/>
      </c>
    </row>
    <row r="3446">
      <c r="M3446" s="2">
        <f>IF(C3446="","",IFERROR(INDEX($S$5:$S$304,MATCH(C3446,$R$5:$R$304,0))&amp;"","?"))</f>
        <v/>
      </c>
      <c r="N3446" s="2">
        <f>IF(E3446="","",IF(ISNUMBER(SEARCH("SUBSOLO",E3446)),IFERROR(-VALUE(LEFT(E3446,FIND("º",SUBSTITUTE(E3446,"°","º"))-1)),-1),IF(LEFT(E3446,6)="TÉRREO",0,IFERROR(VALUE(LEFT(E3446,FIND("º",SUBSTITUTE(E3446,"°","º"))-1)),""))))</f>
        <v/>
      </c>
      <c r="O3446" s="2">
        <f>IF(OR(F3446="",G3446=""),"",IF(G3446&lt;='RETRATO 2027'!$K$5,"CONCLUÍDA",IF(F3446&lt;='RETRATO 2027'!$K$5,"EM ANDAMENTO","A INICIAR")))</f>
        <v/>
      </c>
    </row>
    <row r="3447">
      <c r="M3447" s="2">
        <f>IF(C3447="","",IFERROR(INDEX($S$5:$S$304,MATCH(C3447,$R$5:$R$304,0))&amp;"","?"))</f>
        <v/>
      </c>
      <c r="N3447" s="2">
        <f>IF(E3447="","",IF(ISNUMBER(SEARCH("SUBSOLO",E3447)),IFERROR(-VALUE(LEFT(E3447,FIND("º",SUBSTITUTE(E3447,"°","º"))-1)),-1),IF(LEFT(E3447,6)="TÉRREO",0,IFERROR(VALUE(LEFT(E3447,FIND("º",SUBSTITUTE(E3447,"°","º"))-1)),""))))</f>
        <v/>
      </c>
      <c r="O3447" s="2">
        <f>IF(OR(F3447="",G3447=""),"",IF(G3447&lt;='RETRATO 2027'!$K$5,"CONCLUÍDA",IF(F3447&lt;='RETRATO 2027'!$K$5,"EM ANDAMENTO","A INICIAR")))</f>
        <v/>
      </c>
    </row>
    <row r="3448">
      <c r="M3448" s="2">
        <f>IF(C3448="","",IFERROR(INDEX($S$5:$S$304,MATCH(C3448,$R$5:$R$304,0))&amp;"","?"))</f>
        <v/>
      </c>
      <c r="N3448" s="2">
        <f>IF(E3448="","",IF(ISNUMBER(SEARCH("SUBSOLO",E3448)),IFERROR(-VALUE(LEFT(E3448,FIND("º",SUBSTITUTE(E3448,"°","º"))-1)),-1),IF(LEFT(E3448,6)="TÉRREO",0,IFERROR(VALUE(LEFT(E3448,FIND("º",SUBSTITUTE(E3448,"°","º"))-1)),""))))</f>
        <v/>
      </c>
      <c r="O3448" s="2">
        <f>IF(OR(F3448="",G3448=""),"",IF(G3448&lt;='RETRATO 2027'!$K$5,"CONCLUÍDA",IF(F3448&lt;='RETRATO 2027'!$K$5,"EM ANDAMENTO","A INICIAR")))</f>
        <v/>
      </c>
    </row>
    <row r="3449">
      <c r="M3449" s="2">
        <f>IF(C3449="","",IFERROR(INDEX($S$5:$S$304,MATCH(C3449,$R$5:$R$304,0))&amp;"","?"))</f>
        <v/>
      </c>
      <c r="N3449" s="2">
        <f>IF(E3449="","",IF(ISNUMBER(SEARCH("SUBSOLO",E3449)),IFERROR(-VALUE(LEFT(E3449,FIND("º",SUBSTITUTE(E3449,"°","º"))-1)),-1),IF(LEFT(E3449,6)="TÉRREO",0,IFERROR(VALUE(LEFT(E3449,FIND("º",SUBSTITUTE(E3449,"°","º"))-1)),""))))</f>
        <v/>
      </c>
      <c r="O3449" s="2">
        <f>IF(OR(F3449="",G3449=""),"",IF(G3449&lt;='RETRATO 2027'!$K$5,"CONCLUÍDA",IF(F3449&lt;='RETRATO 2027'!$K$5,"EM ANDAMENTO","A INICIAR")))</f>
        <v/>
      </c>
    </row>
    <row r="3450">
      <c r="M3450" s="2">
        <f>IF(C3450="","",IFERROR(INDEX($S$5:$S$304,MATCH(C3450,$R$5:$R$304,0))&amp;"","?"))</f>
        <v/>
      </c>
      <c r="N3450" s="2">
        <f>IF(E3450="","",IF(ISNUMBER(SEARCH("SUBSOLO",E3450)),IFERROR(-VALUE(LEFT(E3450,FIND("º",SUBSTITUTE(E3450,"°","º"))-1)),-1),IF(LEFT(E3450,6)="TÉRREO",0,IFERROR(VALUE(LEFT(E3450,FIND("º",SUBSTITUTE(E3450,"°","º"))-1)),""))))</f>
        <v/>
      </c>
      <c r="O3450" s="2">
        <f>IF(OR(F3450="",G3450=""),"",IF(G3450&lt;='RETRATO 2027'!$K$5,"CONCLUÍDA",IF(F3450&lt;='RETRATO 2027'!$K$5,"EM ANDAMENTO","A INICIAR")))</f>
        <v/>
      </c>
    </row>
    <row r="3451">
      <c r="M3451" s="2">
        <f>IF(C3451="","",IFERROR(INDEX($S$5:$S$304,MATCH(C3451,$R$5:$R$304,0))&amp;"","?"))</f>
        <v/>
      </c>
      <c r="N3451" s="2">
        <f>IF(E3451="","",IF(ISNUMBER(SEARCH("SUBSOLO",E3451)),IFERROR(-VALUE(LEFT(E3451,FIND("º",SUBSTITUTE(E3451,"°","º"))-1)),-1),IF(LEFT(E3451,6)="TÉRREO",0,IFERROR(VALUE(LEFT(E3451,FIND("º",SUBSTITUTE(E3451,"°","º"))-1)),""))))</f>
        <v/>
      </c>
      <c r="O3451" s="2">
        <f>IF(OR(F3451="",G3451=""),"",IF(G3451&lt;='RETRATO 2027'!$K$5,"CONCLUÍDA",IF(F3451&lt;='RETRATO 2027'!$K$5,"EM ANDAMENTO","A INICIAR")))</f>
        <v/>
      </c>
    </row>
    <row r="3452">
      <c r="M3452" s="2">
        <f>IF(C3452="","",IFERROR(INDEX($S$5:$S$304,MATCH(C3452,$R$5:$R$304,0))&amp;"","?"))</f>
        <v/>
      </c>
      <c r="N3452" s="2">
        <f>IF(E3452="","",IF(ISNUMBER(SEARCH("SUBSOLO",E3452)),IFERROR(-VALUE(LEFT(E3452,FIND("º",SUBSTITUTE(E3452,"°","º"))-1)),-1),IF(LEFT(E3452,6)="TÉRREO",0,IFERROR(VALUE(LEFT(E3452,FIND("º",SUBSTITUTE(E3452,"°","º"))-1)),""))))</f>
        <v/>
      </c>
      <c r="O3452" s="2">
        <f>IF(OR(F3452="",G3452=""),"",IF(G3452&lt;='RETRATO 2027'!$K$5,"CONCLUÍDA",IF(F3452&lt;='RETRATO 2027'!$K$5,"EM ANDAMENTO","A INICIAR")))</f>
        <v/>
      </c>
    </row>
    <row r="3453">
      <c r="M3453" s="2">
        <f>IF(C3453="","",IFERROR(INDEX($S$5:$S$304,MATCH(C3453,$R$5:$R$304,0))&amp;"","?"))</f>
        <v/>
      </c>
      <c r="N3453" s="2">
        <f>IF(E3453="","",IF(ISNUMBER(SEARCH("SUBSOLO",E3453)),IFERROR(-VALUE(LEFT(E3453,FIND("º",SUBSTITUTE(E3453,"°","º"))-1)),-1),IF(LEFT(E3453,6)="TÉRREO",0,IFERROR(VALUE(LEFT(E3453,FIND("º",SUBSTITUTE(E3453,"°","º"))-1)),""))))</f>
        <v/>
      </c>
      <c r="O3453" s="2">
        <f>IF(OR(F3453="",G3453=""),"",IF(G3453&lt;='RETRATO 2027'!$K$5,"CONCLUÍDA",IF(F3453&lt;='RETRATO 2027'!$K$5,"EM ANDAMENTO","A INICIAR")))</f>
        <v/>
      </c>
    </row>
    <row r="3454">
      <c r="M3454" s="2">
        <f>IF(C3454="","",IFERROR(INDEX($S$5:$S$304,MATCH(C3454,$R$5:$R$304,0))&amp;"","?"))</f>
        <v/>
      </c>
      <c r="N3454" s="2">
        <f>IF(E3454="","",IF(ISNUMBER(SEARCH("SUBSOLO",E3454)),IFERROR(-VALUE(LEFT(E3454,FIND("º",SUBSTITUTE(E3454,"°","º"))-1)),-1),IF(LEFT(E3454,6)="TÉRREO",0,IFERROR(VALUE(LEFT(E3454,FIND("º",SUBSTITUTE(E3454,"°","º"))-1)),""))))</f>
        <v/>
      </c>
      <c r="O3454" s="2">
        <f>IF(OR(F3454="",G3454=""),"",IF(G3454&lt;='RETRATO 2027'!$K$5,"CONCLUÍDA",IF(F3454&lt;='RETRATO 2027'!$K$5,"EM ANDAMENTO","A INICIAR")))</f>
        <v/>
      </c>
    </row>
    <row r="3455">
      <c r="M3455" s="2">
        <f>IF(C3455="","",IFERROR(INDEX($S$5:$S$304,MATCH(C3455,$R$5:$R$304,0))&amp;"","?"))</f>
        <v/>
      </c>
      <c r="N3455" s="2">
        <f>IF(E3455="","",IF(ISNUMBER(SEARCH("SUBSOLO",E3455)),IFERROR(-VALUE(LEFT(E3455,FIND("º",SUBSTITUTE(E3455,"°","º"))-1)),-1),IF(LEFT(E3455,6)="TÉRREO",0,IFERROR(VALUE(LEFT(E3455,FIND("º",SUBSTITUTE(E3455,"°","º"))-1)),""))))</f>
        <v/>
      </c>
      <c r="O3455" s="2">
        <f>IF(OR(F3455="",G3455=""),"",IF(G3455&lt;='RETRATO 2027'!$K$5,"CONCLUÍDA",IF(F3455&lt;='RETRATO 2027'!$K$5,"EM ANDAMENTO","A INICIAR")))</f>
        <v/>
      </c>
    </row>
    <row r="3456">
      <c r="M3456" s="2">
        <f>IF(C3456="","",IFERROR(INDEX($S$5:$S$304,MATCH(C3456,$R$5:$R$304,0))&amp;"","?"))</f>
        <v/>
      </c>
      <c r="N3456" s="2">
        <f>IF(E3456="","",IF(ISNUMBER(SEARCH("SUBSOLO",E3456)),IFERROR(-VALUE(LEFT(E3456,FIND("º",SUBSTITUTE(E3456,"°","º"))-1)),-1),IF(LEFT(E3456,6)="TÉRREO",0,IFERROR(VALUE(LEFT(E3456,FIND("º",SUBSTITUTE(E3456,"°","º"))-1)),""))))</f>
        <v/>
      </c>
      <c r="O3456" s="2">
        <f>IF(OR(F3456="",G3456=""),"",IF(G3456&lt;='RETRATO 2027'!$K$5,"CONCLUÍDA",IF(F3456&lt;='RETRATO 2027'!$K$5,"EM ANDAMENTO","A INICIAR")))</f>
        <v/>
      </c>
    </row>
    <row r="3457">
      <c r="M3457" s="2">
        <f>IF(C3457="","",IFERROR(INDEX($S$5:$S$304,MATCH(C3457,$R$5:$R$304,0))&amp;"","?"))</f>
        <v/>
      </c>
      <c r="N3457" s="2">
        <f>IF(E3457="","",IF(ISNUMBER(SEARCH("SUBSOLO",E3457)),IFERROR(-VALUE(LEFT(E3457,FIND("º",SUBSTITUTE(E3457,"°","º"))-1)),-1),IF(LEFT(E3457,6)="TÉRREO",0,IFERROR(VALUE(LEFT(E3457,FIND("º",SUBSTITUTE(E3457,"°","º"))-1)),""))))</f>
        <v/>
      </c>
      <c r="O3457" s="2">
        <f>IF(OR(F3457="",G3457=""),"",IF(G3457&lt;='RETRATO 2027'!$K$5,"CONCLUÍDA",IF(F3457&lt;='RETRATO 2027'!$K$5,"EM ANDAMENTO","A INICIAR")))</f>
        <v/>
      </c>
    </row>
    <row r="3458">
      <c r="M3458" s="2">
        <f>IF(C3458="","",IFERROR(INDEX($S$5:$S$304,MATCH(C3458,$R$5:$R$304,0))&amp;"","?"))</f>
        <v/>
      </c>
      <c r="N3458" s="2">
        <f>IF(E3458="","",IF(ISNUMBER(SEARCH("SUBSOLO",E3458)),IFERROR(-VALUE(LEFT(E3458,FIND("º",SUBSTITUTE(E3458,"°","º"))-1)),-1),IF(LEFT(E3458,6)="TÉRREO",0,IFERROR(VALUE(LEFT(E3458,FIND("º",SUBSTITUTE(E3458,"°","º"))-1)),""))))</f>
        <v/>
      </c>
      <c r="O3458" s="2">
        <f>IF(OR(F3458="",G3458=""),"",IF(G3458&lt;='RETRATO 2027'!$K$5,"CONCLUÍDA",IF(F3458&lt;='RETRATO 2027'!$K$5,"EM ANDAMENTO","A INICIAR")))</f>
        <v/>
      </c>
    </row>
    <row r="3459">
      <c r="M3459" s="2">
        <f>IF(C3459="","",IFERROR(INDEX($S$5:$S$304,MATCH(C3459,$R$5:$R$304,0))&amp;"","?"))</f>
        <v/>
      </c>
      <c r="N3459" s="2">
        <f>IF(E3459="","",IF(ISNUMBER(SEARCH("SUBSOLO",E3459)),IFERROR(-VALUE(LEFT(E3459,FIND("º",SUBSTITUTE(E3459,"°","º"))-1)),-1),IF(LEFT(E3459,6)="TÉRREO",0,IFERROR(VALUE(LEFT(E3459,FIND("º",SUBSTITUTE(E3459,"°","º"))-1)),""))))</f>
        <v/>
      </c>
      <c r="O3459" s="2">
        <f>IF(OR(F3459="",G3459=""),"",IF(G3459&lt;='RETRATO 2027'!$K$5,"CONCLUÍDA",IF(F3459&lt;='RETRATO 2027'!$K$5,"EM ANDAMENTO","A INICIAR")))</f>
        <v/>
      </c>
    </row>
    <row r="3460">
      <c r="M3460" s="2">
        <f>IF(C3460="","",IFERROR(INDEX($S$5:$S$304,MATCH(C3460,$R$5:$R$304,0))&amp;"","?"))</f>
        <v/>
      </c>
      <c r="N3460" s="2">
        <f>IF(E3460="","",IF(ISNUMBER(SEARCH("SUBSOLO",E3460)),IFERROR(-VALUE(LEFT(E3460,FIND("º",SUBSTITUTE(E3460,"°","º"))-1)),-1),IF(LEFT(E3460,6)="TÉRREO",0,IFERROR(VALUE(LEFT(E3460,FIND("º",SUBSTITUTE(E3460,"°","º"))-1)),""))))</f>
        <v/>
      </c>
      <c r="O3460" s="2">
        <f>IF(OR(F3460="",G3460=""),"",IF(G3460&lt;='RETRATO 2027'!$K$5,"CONCLUÍDA",IF(F3460&lt;='RETRATO 2027'!$K$5,"EM ANDAMENTO","A INICIAR")))</f>
        <v/>
      </c>
    </row>
    <row r="3461">
      <c r="M3461" s="2">
        <f>IF(C3461="","",IFERROR(INDEX($S$5:$S$304,MATCH(C3461,$R$5:$R$304,0))&amp;"","?"))</f>
        <v/>
      </c>
      <c r="N3461" s="2">
        <f>IF(E3461="","",IF(ISNUMBER(SEARCH("SUBSOLO",E3461)),IFERROR(-VALUE(LEFT(E3461,FIND("º",SUBSTITUTE(E3461,"°","º"))-1)),-1),IF(LEFT(E3461,6)="TÉRREO",0,IFERROR(VALUE(LEFT(E3461,FIND("º",SUBSTITUTE(E3461,"°","º"))-1)),""))))</f>
        <v/>
      </c>
      <c r="O3461" s="2">
        <f>IF(OR(F3461="",G3461=""),"",IF(G3461&lt;='RETRATO 2027'!$K$5,"CONCLUÍDA",IF(F3461&lt;='RETRATO 2027'!$K$5,"EM ANDAMENTO","A INICIAR")))</f>
        <v/>
      </c>
    </row>
    <row r="3462">
      <c r="M3462" s="2">
        <f>IF(C3462="","",IFERROR(INDEX($S$5:$S$304,MATCH(C3462,$R$5:$R$304,0))&amp;"","?"))</f>
        <v/>
      </c>
      <c r="N3462" s="2">
        <f>IF(E3462="","",IF(ISNUMBER(SEARCH("SUBSOLO",E3462)),IFERROR(-VALUE(LEFT(E3462,FIND("º",SUBSTITUTE(E3462,"°","º"))-1)),-1),IF(LEFT(E3462,6)="TÉRREO",0,IFERROR(VALUE(LEFT(E3462,FIND("º",SUBSTITUTE(E3462,"°","º"))-1)),""))))</f>
        <v/>
      </c>
      <c r="O3462" s="2">
        <f>IF(OR(F3462="",G3462=""),"",IF(G3462&lt;='RETRATO 2027'!$K$5,"CONCLUÍDA",IF(F3462&lt;='RETRATO 2027'!$K$5,"EM ANDAMENTO","A INICIAR")))</f>
        <v/>
      </c>
    </row>
    <row r="3463">
      <c r="M3463" s="2">
        <f>IF(C3463="","",IFERROR(INDEX($S$5:$S$304,MATCH(C3463,$R$5:$R$304,0))&amp;"","?"))</f>
        <v/>
      </c>
      <c r="N3463" s="2">
        <f>IF(E3463="","",IF(ISNUMBER(SEARCH("SUBSOLO",E3463)),IFERROR(-VALUE(LEFT(E3463,FIND("º",SUBSTITUTE(E3463,"°","º"))-1)),-1),IF(LEFT(E3463,6)="TÉRREO",0,IFERROR(VALUE(LEFT(E3463,FIND("º",SUBSTITUTE(E3463,"°","º"))-1)),""))))</f>
        <v/>
      </c>
      <c r="O3463" s="2">
        <f>IF(OR(F3463="",G3463=""),"",IF(G3463&lt;='RETRATO 2027'!$K$5,"CONCLUÍDA",IF(F3463&lt;='RETRATO 2027'!$K$5,"EM ANDAMENTO","A INICIAR")))</f>
        <v/>
      </c>
    </row>
    <row r="3464">
      <c r="M3464" s="2">
        <f>IF(C3464="","",IFERROR(INDEX($S$5:$S$304,MATCH(C3464,$R$5:$R$304,0))&amp;"","?"))</f>
        <v/>
      </c>
      <c r="N3464" s="2">
        <f>IF(E3464="","",IF(ISNUMBER(SEARCH("SUBSOLO",E3464)),IFERROR(-VALUE(LEFT(E3464,FIND("º",SUBSTITUTE(E3464,"°","º"))-1)),-1),IF(LEFT(E3464,6)="TÉRREO",0,IFERROR(VALUE(LEFT(E3464,FIND("º",SUBSTITUTE(E3464,"°","º"))-1)),""))))</f>
        <v/>
      </c>
      <c r="O3464" s="2">
        <f>IF(OR(F3464="",G3464=""),"",IF(G3464&lt;='RETRATO 2027'!$K$5,"CONCLUÍDA",IF(F3464&lt;='RETRATO 2027'!$K$5,"EM ANDAMENTO","A INICIAR")))</f>
        <v/>
      </c>
    </row>
    <row r="3465">
      <c r="M3465" s="2">
        <f>IF(C3465="","",IFERROR(INDEX($S$5:$S$304,MATCH(C3465,$R$5:$R$304,0))&amp;"","?"))</f>
        <v/>
      </c>
      <c r="N3465" s="2">
        <f>IF(E3465="","",IF(ISNUMBER(SEARCH("SUBSOLO",E3465)),IFERROR(-VALUE(LEFT(E3465,FIND("º",SUBSTITUTE(E3465,"°","º"))-1)),-1),IF(LEFT(E3465,6)="TÉRREO",0,IFERROR(VALUE(LEFT(E3465,FIND("º",SUBSTITUTE(E3465,"°","º"))-1)),""))))</f>
        <v/>
      </c>
      <c r="O3465" s="2">
        <f>IF(OR(F3465="",G3465=""),"",IF(G3465&lt;='RETRATO 2027'!$K$5,"CONCLUÍDA",IF(F3465&lt;='RETRATO 2027'!$K$5,"EM ANDAMENTO","A INICIAR")))</f>
        <v/>
      </c>
    </row>
    <row r="3466">
      <c r="M3466" s="2">
        <f>IF(C3466="","",IFERROR(INDEX($S$5:$S$304,MATCH(C3466,$R$5:$R$304,0))&amp;"","?"))</f>
        <v/>
      </c>
      <c r="N3466" s="2">
        <f>IF(E3466="","",IF(ISNUMBER(SEARCH("SUBSOLO",E3466)),IFERROR(-VALUE(LEFT(E3466,FIND("º",SUBSTITUTE(E3466,"°","º"))-1)),-1),IF(LEFT(E3466,6)="TÉRREO",0,IFERROR(VALUE(LEFT(E3466,FIND("º",SUBSTITUTE(E3466,"°","º"))-1)),""))))</f>
        <v/>
      </c>
      <c r="O3466" s="2">
        <f>IF(OR(F3466="",G3466=""),"",IF(G3466&lt;='RETRATO 2027'!$K$5,"CONCLUÍDA",IF(F3466&lt;='RETRATO 2027'!$K$5,"EM ANDAMENTO","A INICIAR")))</f>
        <v/>
      </c>
    </row>
    <row r="3467">
      <c r="M3467" s="2">
        <f>IF(C3467="","",IFERROR(INDEX($S$5:$S$304,MATCH(C3467,$R$5:$R$304,0))&amp;"","?"))</f>
        <v/>
      </c>
      <c r="N3467" s="2">
        <f>IF(E3467="","",IF(ISNUMBER(SEARCH("SUBSOLO",E3467)),IFERROR(-VALUE(LEFT(E3467,FIND("º",SUBSTITUTE(E3467,"°","º"))-1)),-1),IF(LEFT(E3467,6)="TÉRREO",0,IFERROR(VALUE(LEFT(E3467,FIND("º",SUBSTITUTE(E3467,"°","º"))-1)),""))))</f>
        <v/>
      </c>
      <c r="O3467" s="2">
        <f>IF(OR(F3467="",G3467=""),"",IF(G3467&lt;='RETRATO 2027'!$K$5,"CONCLUÍDA",IF(F3467&lt;='RETRATO 2027'!$K$5,"EM ANDAMENTO","A INICIAR")))</f>
        <v/>
      </c>
    </row>
    <row r="3468">
      <c r="M3468" s="2">
        <f>IF(C3468="","",IFERROR(INDEX($S$5:$S$304,MATCH(C3468,$R$5:$R$304,0))&amp;"","?"))</f>
        <v/>
      </c>
      <c r="N3468" s="2">
        <f>IF(E3468="","",IF(ISNUMBER(SEARCH("SUBSOLO",E3468)),IFERROR(-VALUE(LEFT(E3468,FIND("º",SUBSTITUTE(E3468,"°","º"))-1)),-1),IF(LEFT(E3468,6)="TÉRREO",0,IFERROR(VALUE(LEFT(E3468,FIND("º",SUBSTITUTE(E3468,"°","º"))-1)),""))))</f>
        <v/>
      </c>
      <c r="O3468" s="2">
        <f>IF(OR(F3468="",G3468=""),"",IF(G3468&lt;='RETRATO 2027'!$K$5,"CONCLUÍDA",IF(F3468&lt;='RETRATO 2027'!$K$5,"EM ANDAMENTO","A INICIAR")))</f>
        <v/>
      </c>
    </row>
    <row r="3469">
      <c r="M3469" s="2">
        <f>IF(C3469="","",IFERROR(INDEX($S$5:$S$304,MATCH(C3469,$R$5:$R$304,0))&amp;"","?"))</f>
        <v/>
      </c>
      <c r="N3469" s="2">
        <f>IF(E3469="","",IF(ISNUMBER(SEARCH("SUBSOLO",E3469)),IFERROR(-VALUE(LEFT(E3469,FIND("º",SUBSTITUTE(E3469,"°","º"))-1)),-1),IF(LEFT(E3469,6)="TÉRREO",0,IFERROR(VALUE(LEFT(E3469,FIND("º",SUBSTITUTE(E3469,"°","º"))-1)),""))))</f>
        <v/>
      </c>
      <c r="O3469" s="2">
        <f>IF(OR(F3469="",G3469=""),"",IF(G3469&lt;='RETRATO 2027'!$K$5,"CONCLUÍDA",IF(F3469&lt;='RETRATO 2027'!$K$5,"EM ANDAMENTO","A INICIAR")))</f>
        <v/>
      </c>
    </row>
    <row r="3470">
      <c r="M3470" s="2">
        <f>IF(C3470="","",IFERROR(INDEX($S$5:$S$304,MATCH(C3470,$R$5:$R$304,0))&amp;"","?"))</f>
        <v/>
      </c>
      <c r="N3470" s="2">
        <f>IF(E3470="","",IF(ISNUMBER(SEARCH("SUBSOLO",E3470)),IFERROR(-VALUE(LEFT(E3470,FIND("º",SUBSTITUTE(E3470,"°","º"))-1)),-1),IF(LEFT(E3470,6)="TÉRREO",0,IFERROR(VALUE(LEFT(E3470,FIND("º",SUBSTITUTE(E3470,"°","º"))-1)),""))))</f>
        <v/>
      </c>
      <c r="O3470" s="2">
        <f>IF(OR(F3470="",G3470=""),"",IF(G3470&lt;='RETRATO 2027'!$K$5,"CONCLUÍDA",IF(F3470&lt;='RETRATO 2027'!$K$5,"EM ANDAMENTO","A INICIAR")))</f>
        <v/>
      </c>
    </row>
    <row r="3471">
      <c r="M3471" s="2">
        <f>IF(C3471="","",IFERROR(INDEX($S$5:$S$304,MATCH(C3471,$R$5:$R$304,0))&amp;"","?"))</f>
        <v/>
      </c>
      <c r="N3471" s="2">
        <f>IF(E3471="","",IF(ISNUMBER(SEARCH("SUBSOLO",E3471)),IFERROR(-VALUE(LEFT(E3471,FIND("º",SUBSTITUTE(E3471,"°","º"))-1)),-1),IF(LEFT(E3471,6)="TÉRREO",0,IFERROR(VALUE(LEFT(E3471,FIND("º",SUBSTITUTE(E3471,"°","º"))-1)),""))))</f>
        <v/>
      </c>
      <c r="O3471" s="2">
        <f>IF(OR(F3471="",G3471=""),"",IF(G3471&lt;='RETRATO 2027'!$K$5,"CONCLUÍDA",IF(F3471&lt;='RETRATO 2027'!$K$5,"EM ANDAMENTO","A INICIAR")))</f>
        <v/>
      </c>
    </row>
    <row r="3472">
      <c r="M3472" s="2">
        <f>IF(C3472="","",IFERROR(INDEX($S$5:$S$304,MATCH(C3472,$R$5:$R$304,0))&amp;"","?"))</f>
        <v/>
      </c>
      <c r="N3472" s="2">
        <f>IF(E3472="","",IF(ISNUMBER(SEARCH("SUBSOLO",E3472)),IFERROR(-VALUE(LEFT(E3472,FIND("º",SUBSTITUTE(E3472,"°","º"))-1)),-1),IF(LEFT(E3472,6)="TÉRREO",0,IFERROR(VALUE(LEFT(E3472,FIND("º",SUBSTITUTE(E3472,"°","º"))-1)),""))))</f>
        <v/>
      </c>
      <c r="O3472" s="2">
        <f>IF(OR(F3472="",G3472=""),"",IF(G3472&lt;='RETRATO 2027'!$K$5,"CONCLUÍDA",IF(F3472&lt;='RETRATO 2027'!$K$5,"EM ANDAMENTO","A INICIAR")))</f>
        <v/>
      </c>
    </row>
    <row r="3473">
      <c r="M3473" s="2">
        <f>IF(C3473="","",IFERROR(INDEX($S$5:$S$304,MATCH(C3473,$R$5:$R$304,0))&amp;"","?"))</f>
        <v/>
      </c>
      <c r="N3473" s="2">
        <f>IF(E3473="","",IF(ISNUMBER(SEARCH("SUBSOLO",E3473)),IFERROR(-VALUE(LEFT(E3473,FIND("º",SUBSTITUTE(E3473,"°","º"))-1)),-1),IF(LEFT(E3473,6)="TÉRREO",0,IFERROR(VALUE(LEFT(E3473,FIND("º",SUBSTITUTE(E3473,"°","º"))-1)),""))))</f>
        <v/>
      </c>
      <c r="O3473" s="2">
        <f>IF(OR(F3473="",G3473=""),"",IF(G3473&lt;='RETRATO 2027'!$K$5,"CONCLUÍDA",IF(F3473&lt;='RETRATO 2027'!$K$5,"EM ANDAMENTO","A INICIAR")))</f>
        <v/>
      </c>
    </row>
    <row r="3474">
      <c r="M3474" s="2">
        <f>IF(C3474="","",IFERROR(INDEX($S$5:$S$304,MATCH(C3474,$R$5:$R$304,0))&amp;"","?"))</f>
        <v/>
      </c>
      <c r="N3474" s="2">
        <f>IF(E3474="","",IF(ISNUMBER(SEARCH("SUBSOLO",E3474)),IFERROR(-VALUE(LEFT(E3474,FIND("º",SUBSTITUTE(E3474,"°","º"))-1)),-1),IF(LEFT(E3474,6)="TÉRREO",0,IFERROR(VALUE(LEFT(E3474,FIND("º",SUBSTITUTE(E3474,"°","º"))-1)),""))))</f>
        <v/>
      </c>
      <c r="O3474" s="2">
        <f>IF(OR(F3474="",G3474=""),"",IF(G3474&lt;='RETRATO 2027'!$K$5,"CONCLUÍDA",IF(F3474&lt;='RETRATO 2027'!$K$5,"EM ANDAMENTO","A INICIAR")))</f>
        <v/>
      </c>
    </row>
    <row r="3475">
      <c r="M3475" s="2">
        <f>IF(C3475="","",IFERROR(INDEX($S$5:$S$304,MATCH(C3475,$R$5:$R$304,0))&amp;"","?"))</f>
        <v/>
      </c>
      <c r="N3475" s="2">
        <f>IF(E3475="","",IF(ISNUMBER(SEARCH("SUBSOLO",E3475)),IFERROR(-VALUE(LEFT(E3475,FIND("º",SUBSTITUTE(E3475,"°","º"))-1)),-1),IF(LEFT(E3475,6)="TÉRREO",0,IFERROR(VALUE(LEFT(E3475,FIND("º",SUBSTITUTE(E3475,"°","º"))-1)),""))))</f>
        <v/>
      </c>
      <c r="O3475" s="2">
        <f>IF(OR(F3475="",G3475=""),"",IF(G3475&lt;='RETRATO 2027'!$K$5,"CONCLUÍDA",IF(F3475&lt;='RETRATO 2027'!$K$5,"EM ANDAMENTO","A INICIAR")))</f>
        <v/>
      </c>
    </row>
    <row r="3476">
      <c r="M3476" s="2">
        <f>IF(C3476="","",IFERROR(INDEX($S$5:$S$304,MATCH(C3476,$R$5:$R$304,0))&amp;"","?"))</f>
        <v/>
      </c>
      <c r="N3476" s="2">
        <f>IF(E3476="","",IF(ISNUMBER(SEARCH("SUBSOLO",E3476)),IFERROR(-VALUE(LEFT(E3476,FIND("º",SUBSTITUTE(E3476,"°","º"))-1)),-1),IF(LEFT(E3476,6)="TÉRREO",0,IFERROR(VALUE(LEFT(E3476,FIND("º",SUBSTITUTE(E3476,"°","º"))-1)),""))))</f>
        <v/>
      </c>
      <c r="O3476" s="2">
        <f>IF(OR(F3476="",G3476=""),"",IF(G3476&lt;='RETRATO 2027'!$K$5,"CONCLUÍDA",IF(F3476&lt;='RETRATO 2027'!$K$5,"EM ANDAMENTO","A INICIAR")))</f>
        <v/>
      </c>
    </row>
    <row r="3477">
      <c r="M3477" s="2">
        <f>IF(C3477="","",IFERROR(INDEX($S$5:$S$304,MATCH(C3477,$R$5:$R$304,0))&amp;"","?"))</f>
        <v/>
      </c>
      <c r="N3477" s="2">
        <f>IF(E3477="","",IF(ISNUMBER(SEARCH("SUBSOLO",E3477)),IFERROR(-VALUE(LEFT(E3477,FIND("º",SUBSTITUTE(E3477,"°","º"))-1)),-1),IF(LEFT(E3477,6)="TÉRREO",0,IFERROR(VALUE(LEFT(E3477,FIND("º",SUBSTITUTE(E3477,"°","º"))-1)),""))))</f>
        <v/>
      </c>
      <c r="O3477" s="2">
        <f>IF(OR(F3477="",G3477=""),"",IF(G3477&lt;='RETRATO 2027'!$K$5,"CONCLUÍDA",IF(F3477&lt;='RETRATO 2027'!$K$5,"EM ANDAMENTO","A INICIAR")))</f>
        <v/>
      </c>
    </row>
    <row r="3478">
      <c r="M3478" s="2">
        <f>IF(C3478="","",IFERROR(INDEX($S$5:$S$304,MATCH(C3478,$R$5:$R$304,0))&amp;"","?"))</f>
        <v/>
      </c>
      <c r="N3478" s="2">
        <f>IF(E3478="","",IF(ISNUMBER(SEARCH("SUBSOLO",E3478)),IFERROR(-VALUE(LEFT(E3478,FIND("º",SUBSTITUTE(E3478,"°","º"))-1)),-1),IF(LEFT(E3478,6)="TÉRREO",0,IFERROR(VALUE(LEFT(E3478,FIND("º",SUBSTITUTE(E3478,"°","º"))-1)),""))))</f>
        <v/>
      </c>
      <c r="O3478" s="2">
        <f>IF(OR(F3478="",G3478=""),"",IF(G3478&lt;='RETRATO 2027'!$K$5,"CONCLUÍDA",IF(F3478&lt;='RETRATO 2027'!$K$5,"EM ANDAMENTO","A INICIAR")))</f>
        <v/>
      </c>
    </row>
    <row r="3479">
      <c r="M3479" s="2">
        <f>IF(C3479="","",IFERROR(INDEX($S$5:$S$304,MATCH(C3479,$R$5:$R$304,0))&amp;"","?"))</f>
        <v/>
      </c>
      <c r="N3479" s="2">
        <f>IF(E3479="","",IF(ISNUMBER(SEARCH("SUBSOLO",E3479)),IFERROR(-VALUE(LEFT(E3479,FIND("º",SUBSTITUTE(E3479,"°","º"))-1)),-1),IF(LEFT(E3479,6)="TÉRREO",0,IFERROR(VALUE(LEFT(E3479,FIND("º",SUBSTITUTE(E3479,"°","º"))-1)),""))))</f>
        <v/>
      </c>
      <c r="O3479" s="2">
        <f>IF(OR(F3479="",G3479=""),"",IF(G3479&lt;='RETRATO 2027'!$K$5,"CONCLUÍDA",IF(F3479&lt;='RETRATO 2027'!$K$5,"EM ANDAMENTO","A INICIAR")))</f>
        <v/>
      </c>
    </row>
    <row r="3480">
      <c r="M3480" s="2">
        <f>IF(C3480="","",IFERROR(INDEX($S$5:$S$304,MATCH(C3480,$R$5:$R$304,0))&amp;"","?"))</f>
        <v/>
      </c>
      <c r="N3480" s="2">
        <f>IF(E3480="","",IF(ISNUMBER(SEARCH("SUBSOLO",E3480)),IFERROR(-VALUE(LEFT(E3480,FIND("º",SUBSTITUTE(E3480,"°","º"))-1)),-1),IF(LEFT(E3480,6)="TÉRREO",0,IFERROR(VALUE(LEFT(E3480,FIND("º",SUBSTITUTE(E3480,"°","º"))-1)),""))))</f>
        <v/>
      </c>
      <c r="O3480" s="2">
        <f>IF(OR(F3480="",G3480=""),"",IF(G3480&lt;='RETRATO 2027'!$K$5,"CONCLUÍDA",IF(F3480&lt;='RETRATO 2027'!$K$5,"EM ANDAMENTO","A INICIAR")))</f>
        <v/>
      </c>
    </row>
    <row r="3481">
      <c r="M3481" s="2">
        <f>IF(C3481="","",IFERROR(INDEX($S$5:$S$304,MATCH(C3481,$R$5:$R$304,0))&amp;"","?"))</f>
        <v/>
      </c>
      <c r="N3481" s="2">
        <f>IF(E3481="","",IF(ISNUMBER(SEARCH("SUBSOLO",E3481)),IFERROR(-VALUE(LEFT(E3481,FIND("º",SUBSTITUTE(E3481,"°","º"))-1)),-1),IF(LEFT(E3481,6)="TÉRREO",0,IFERROR(VALUE(LEFT(E3481,FIND("º",SUBSTITUTE(E3481,"°","º"))-1)),""))))</f>
        <v/>
      </c>
      <c r="O3481" s="2">
        <f>IF(OR(F3481="",G3481=""),"",IF(G3481&lt;='RETRATO 2027'!$K$5,"CONCLUÍDA",IF(F3481&lt;='RETRATO 2027'!$K$5,"EM ANDAMENTO","A INICIAR")))</f>
        <v/>
      </c>
    </row>
    <row r="3482">
      <c r="M3482" s="2">
        <f>IF(C3482="","",IFERROR(INDEX($S$5:$S$304,MATCH(C3482,$R$5:$R$304,0))&amp;"","?"))</f>
        <v/>
      </c>
      <c r="N3482" s="2">
        <f>IF(E3482="","",IF(ISNUMBER(SEARCH("SUBSOLO",E3482)),IFERROR(-VALUE(LEFT(E3482,FIND("º",SUBSTITUTE(E3482,"°","º"))-1)),-1),IF(LEFT(E3482,6)="TÉRREO",0,IFERROR(VALUE(LEFT(E3482,FIND("º",SUBSTITUTE(E3482,"°","º"))-1)),""))))</f>
        <v/>
      </c>
      <c r="O3482" s="2">
        <f>IF(OR(F3482="",G3482=""),"",IF(G3482&lt;='RETRATO 2027'!$K$5,"CONCLUÍDA",IF(F3482&lt;='RETRATO 2027'!$K$5,"EM ANDAMENTO","A INICIAR")))</f>
        <v/>
      </c>
    </row>
    <row r="3483">
      <c r="M3483" s="2">
        <f>IF(C3483="","",IFERROR(INDEX($S$5:$S$304,MATCH(C3483,$R$5:$R$304,0))&amp;"","?"))</f>
        <v/>
      </c>
      <c r="N3483" s="2">
        <f>IF(E3483="","",IF(ISNUMBER(SEARCH("SUBSOLO",E3483)),IFERROR(-VALUE(LEFT(E3483,FIND("º",SUBSTITUTE(E3483,"°","º"))-1)),-1),IF(LEFT(E3483,6)="TÉRREO",0,IFERROR(VALUE(LEFT(E3483,FIND("º",SUBSTITUTE(E3483,"°","º"))-1)),""))))</f>
        <v/>
      </c>
      <c r="O3483" s="2">
        <f>IF(OR(F3483="",G3483=""),"",IF(G3483&lt;='RETRATO 2027'!$K$5,"CONCLUÍDA",IF(F3483&lt;='RETRATO 2027'!$K$5,"EM ANDAMENTO","A INICIAR")))</f>
        <v/>
      </c>
    </row>
    <row r="3484">
      <c r="M3484" s="2">
        <f>IF(C3484="","",IFERROR(INDEX($S$5:$S$304,MATCH(C3484,$R$5:$R$304,0))&amp;"","?"))</f>
        <v/>
      </c>
      <c r="N3484" s="2">
        <f>IF(E3484="","",IF(ISNUMBER(SEARCH("SUBSOLO",E3484)),IFERROR(-VALUE(LEFT(E3484,FIND("º",SUBSTITUTE(E3484,"°","º"))-1)),-1),IF(LEFT(E3484,6)="TÉRREO",0,IFERROR(VALUE(LEFT(E3484,FIND("º",SUBSTITUTE(E3484,"°","º"))-1)),""))))</f>
        <v/>
      </c>
      <c r="O3484" s="2">
        <f>IF(OR(F3484="",G3484=""),"",IF(G3484&lt;='RETRATO 2027'!$K$5,"CONCLUÍDA",IF(F3484&lt;='RETRATO 2027'!$K$5,"EM ANDAMENTO","A INICIAR")))</f>
        <v/>
      </c>
    </row>
    <row r="3485">
      <c r="M3485" s="2">
        <f>IF(C3485="","",IFERROR(INDEX($S$5:$S$304,MATCH(C3485,$R$5:$R$304,0))&amp;"","?"))</f>
        <v/>
      </c>
      <c r="N3485" s="2">
        <f>IF(E3485="","",IF(ISNUMBER(SEARCH("SUBSOLO",E3485)),IFERROR(-VALUE(LEFT(E3485,FIND("º",SUBSTITUTE(E3485,"°","º"))-1)),-1),IF(LEFT(E3485,6)="TÉRREO",0,IFERROR(VALUE(LEFT(E3485,FIND("º",SUBSTITUTE(E3485,"°","º"))-1)),""))))</f>
        <v/>
      </c>
      <c r="O3485" s="2">
        <f>IF(OR(F3485="",G3485=""),"",IF(G3485&lt;='RETRATO 2027'!$K$5,"CONCLUÍDA",IF(F3485&lt;='RETRATO 2027'!$K$5,"EM ANDAMENTO","A INICIAR")))</f>
        <v/>
      </c>
    </row>
    <row r="3486">
      <c r="M3486" s="2">
        <f>IF(C3486="","",IFERROR(INDEX($S$5:$S$304,MATCH(C3486,$R$5:$R$304,0))&amp;"","?"))</f>
        <v/>
      </c>
      <c r="N3486" s="2">
        <f>IF(E3486="","",IF(ISNUMBER(SEARCH("SUBSOLO",E3486)),IFERROR(-VALUE(LEFT(E3486,FIND("º",SUBSTITUTE(E3486,"°","º"))-1)),-1),IF(LEFT(E3486,6)="TÉRREO",0,IFERROR(VALUE(LEFT(E3486,FIND("º",SUBSTITUTE(E3486,"°","º"))-1)),""))))</f>
        <v/>
      </c>
      <c r="O3486" s="2">
        <f>IF(OR(F3486="",G3486=""),"",IF(G3486&lt;='RETRATO 2027'!$K$5,"CONCLUÍDA",IF(F3486&lt;='RETRATO 2027'!$K$5,"EM ANDAMENTO","A INICIAR")))</f>
        <v/>
      </c>
    </row>
    <row r="3487">
      <c r="M3487" s="2">
        <f>IF(C3487="","",IFERROR(INDEX($S$5:$S$304,MATCH(C3487,$R$5:$R$304,0))&amp;"","?"))</f>
        <v/>
      </c>
      <c r="N3487" s="2">
        <f>IF(E3487="","",IF(ISNUMBER(SEARCH("SUBSOLO",E3487)),IFERROR(-VALUE(LEFT(E3487,FIND("º",SUBSTITUTE(E3487,"°","º"))-1)),-1),IF(LEFT(E3487,6)="TÉRREO",0,IFERROR(VALUE(LEFT(E3487,FIND("º",SUBSTITUTE(E3487,"°","º"))-1)),""))))</f>
        <v/>
      </c>
      <c r="O3487" s="2">
        <f>IF(OR(F3487="",G3487=""),"",IF(G3487&lt;='RETRATO 2027'!$K$5,"CONCLUÍDA",IF(F3487&lt;='RETRATO 2027'!$K$5,"EM ANDAMENTO","A INICIAR")))</f>
        <v/>
      </c>
    </row>
    <row r="3488">
      <c r="M3488" s="2">
        <f>IF(C3488="","",IFERROR(INDEX($S$5:$S$304,MATCH(C3488,$R$5:$R$304,0))&amp;"","?"))</f>
        <v/>
      </c>
      <c r="N3488" s="2">
        <f>IF(E3488="","",IF(ISNUMBER(SEARCH("SUBSOLO",E3488)),IFERROR(-VALUE(LEFT(E3488,FIND("º",SUBSTITUTE(E3488,"°","º"))-1)),-1),IF(LEFT(E3488,6)="TÉRREO",0,IFERROR(VALUE(LEFT(E3488,FIND("º",SUBSTITUTE(E3488,"°","º"))-1)),""))))</f>
        <v/>
      </c>
      <c r="O3488" s="2">
        <f>IF(OR(F3488="",G3488=""),"",IF(G3488&lt;='RETRATO 2027'!$K$5,"CONCLUÍDA",IF(F3488&lt;='RETRATO 2027'!$K$5,"EM ANDAMENTO","A INICIAR")))</f>
        <v/>
      </c>
    </row>
    <row r="3489">
      <c r="M3489" s="2">
        <f>IF(C3489="","",IFERROR(INDEX($S$5:$S$304,MATCH(C3489,$R$5:$R$304,0))&amp;"","?"))</f>
        <v/>
      </c>
      <c r="N3489" s="2">
        <f>IF(E3489="","",IF(ISNUMBER(SEARCH("SUBSOLO",E3489)),IFERROR(-VALUE(LEFT(E3489,FIND("º",SUBSTITUTE(E3489,"°","º"))-1)),-1),IF(LEFT(E3489,6)="TÉRREO",0,IFERROR(VALUE(LEFT(E3489,FIND("º",SUBSTITUTE(E3489,"°","º"))-1)),""))))</f>
        <v/>
      </c>
      <c r="O3489" s="2">
        <f>IF(OR(F3489="",G3489=""),"",IF(G3489&lt;='RETRATO 2027'!$K$5,"CONCLUÍDA",IF(F3489&lt;='RETRATO 2027'!$K$5,"EM ANDAMENTO","A INICIAR")))</f>
        <v/>
      </c>
    </row>
    <row r="3490">
      <c r="M3490" s="2">
        <f>IF(C3490="","",IFERROR(INDEX($S$5:$S$304,MATCH(C3490,$R$5:$R$304,0))&amp;"","?"))</f>
        <v/>
      </c>
      <c r="N3490" s="2">
        <f>IF(E3490="","",IF(ISNUMBER(SEARCH("SUBSOLO",E3490)),IFERROR(-VALUE(LEFT(E3490,FIND("º",SUBSTITUTE(E3490,"°","º"))-1)),-1),IF(LEFT(E3490,6)="TÉRREO",0,IFERROR(VALUE(LEFT(E3490,FIND("º",SUBSTITUTE(E3490,"°","º"))-1)),""))))</f>
        <v/>
      </c>
      <c r="O3490" s="2">
        <f>IF(OR(F3490="",G3490=""),"",IF(G3490&lt;='RETRATO 2027'!$K$5,"CONCLUÍDA",IF(F3490&lt;='RETRATO 2027'!$K$5,"EM ANDAMENTO","A INICIAR")))</f>
        <v/>
      </c>
    </row>
    <row r="3491">
      <c r="M3491" s="2">
        <f>IF(C3491="","",IFERROR(INDEX($S$5:$S$304,MATCH(C3491,$R$5:$R$304,0))&amp;"","?"))</f>
        <v/>
      </c>
      <c r="N3491" s="2">
        <f>IF(E3491="","",IF(ISNUMBER(SEARCH("SUBSOLO",E3491)),IFERROR(-VALUE(LEFT(E3491,FIND("º",SUBSTITUTE(E3491,"°","º"))-1)),-1),IF(LEFT(E3491,6)="TÉRREO",0,IFERROR(VALUE(LEFT(E3491,FIND("º",SUBSTITUTE(E3491,"°","º"))-1)),""))))</f>
        <v/>
      </c>
      <c r="O3491" s="2">
        <f>IF(OR(F3491="",G3491=""),"",IF(G3491&lt;='RETRATO 2027'!$K$5,"CONCLUÍDA",IF(F3491&lt;='RETRATO 2027'!$K$5,"EM ANDAMENTO","A INICIAR")))</f>
        <v/>
      </c>
    </row>
    <row r="3492">
      <c r="M3492" s="2">
        <f>IF(C3492="","",IFERROR(INDEX($S$5:$S$304,MATCH(C3492,$R$5:$R$304,0))&amp;"","?"))</f>
        <v/>
      </c>
      <c r="N3492" s="2">
        <f>IF(E3492="","",IF(ISNUMBER(SEARCH("SUBSOLO",E3492)),IFERROR(-VALUE(LEFT(E3492,FIND("º",SUBSTITUTE(E3492,"°","º"))-1)),-1),IF(LEFT(E3492,6)="TÉRREO",0,IFERROR(VALUE(LEFT(E3492,FIND("º",SUBSTITUTE(E3492,"°","º"))-1)),""))))</f>
        <v/>
      </c>
      <c r="O3492" s="2">
        <f>IF(OR(F3492="",G3492=""),"",IF(G3492&lt;='RETRATO 2027'!$K$5,"CONCLUÍDA",IF(F3492&lt;='RETRATO 2027'!$K$5,"EM ANDAMENTO","A INICIAR")))</f>
        <v/>
      </c>
    </row>
    <row r="3493">
      <c r="M3493" s="2">
        <f>IF(C3493="","",IFERROR(INDEX($S$5:$S$304,MATCH(C3493,$R$5:$R$304,0))&amp;"","?"))</f>
        <v/>
      </c>
      <c r="N3493" s="2">
        <f>IF(E3493="","",IF(ISNUMBER(SEARCH("SUBSOLO",E3493)),IFERROR(-VALUE(LEFT(E3493,FIND("º",SUBSTITUTE(E3493,"°","º"))-1)),-1),IF(LEFT(E3493,6)="TÉRREO",0,IFERROR(VALUE(LEFT(E3493,FIND("º",SUBSTITUTE(E3493,"°","º"))-1)),""))))</f>
        <v/>
      </c>
      <c r="O3493" s="2">
        <f>IF(OR(F3493="",G3493=""),"",IF(G3493&lt;='RETRATO 2027'!$K$5,"CONCLUÍDA",IF(F3493&lt;='RETRATO 2027'!$K$5,"EM ANDAMENTO","A INICIAR")))</f>
        <v/>
      </c>
    </row>
    <row r="3494">
      <c r="M3494" s="2">
        <f>IF(C3494="","",IFERROR(INDEX($S$5:$S$304,MATCH(C3494,$R$5:$R$304,0))&amp;"","?"))</f>
        <v/>
      </c>
      <c r="N3494" s="2">
        <f>IF(E3494="","",IF(ISNUMBER(SEARCH("SUBSOLO",E3494)),IFERROR(-VALUE(LEFT(E3494,FIND("º",SUBSTITUTE(E3494,"°","º"))-1)),-1),IF(LEFT(E3494,6)="TÉRREO",0,IFERROR(VALUE(LEFT(E3494,FIND("º",SUBSTITUTE(E3494,"°","º"))-1)),""))))</f>
        <v/>
      </c>
      <c r="O3494" s="2">
        <f>IF(OR(F3494="",G3494=""),"",IF(G3494&lt;='RETRATO 2027'!$K$5,"CONCLUÍDA",IF(F3494&lt;='RETRATO 2027'!$K$5,"EM ANDAMENTO","A INICIAR")))</f>
        <v/>
      </c>
    </row>
    <row r="3495">
      <c r="M3495" s="2">
        <f>IF(C3495="","",IFERROR(INDEX($S$5:$S$304,MATCH(C3495,$R$5:$R$304,0))&amp;"","?"))</f>
        <v/>
      </c>
      <c r="N3495" s="2">
        <f>IF(E3495="","",IF(ISNUMBER(SEARCH("SUBSOLO",E3495)),IFERROR(-VALUE(LEFT(E3495,FIND("º",SUBSTITUTE(E3495,"°","º"))-1)),-1),IF(LEFT(E3495,6)="TÉRREO",0,IFERROR(VALUE(LEFT(E3495,FIND("º",SUBSTITUTE(E3495,"°","º"))-1)),""))))</f>
        <v/>
      </c>
      <c r="O3495" s="2">
        <f>IF(OR(F3495="",G3495=""),"",IF(G3495&lt;='RETRATO 2027'!$K$5,"CONCLUÍDA",IF(F3495&lt;='RETRATO 2027'!$K$5,"EM ANDAMENTO","A INICIAR")))</f>
        <v/>
      </c>
    </row>
    <row r="3496">
      <c r="M3496" s="2">
        <f>IF(C3496="","",IFERROR(INDEX($S$5:$S$304,MATCH(C3496,$R$5:$R$304,0))&amp;"","?"))</f>
        <v/>
      </c>
      <c r="N3496" s="2">
        <f>IF(E3496="","",IF(ISNUMBER(SEARCH("SUBSOLO",E3496)),IFERROR(-VALUE(LEFT(E3496,FIND("º",SUBSTITUTE(E3496,"°","º"))-1)),-1),IF(LEFT(E3496,6)="TÉRREO",0,IFERROR(VALUE(LEFT(E3496,FIND("º",SUBSTITUTE(E3496,"°","º"))-1)),""))))</f>
        <v/>
      </c>
      <c r="O3496" s="2">
        <f>IF(OR(F3496="",G3496=""),"",IF(G3496&lt;='RETRATO 2027'!$K$5,"CONCLUÍDA",IF(F3496&lt;='RETRATO 2027'!$K$5,"EM ANDAMENTO","A INICIAR")))</f>
        <v/>
      </c>
    </row>
    <row r="3497">
      <c r="M3497" s="2">
        <f>IF(C3497="","",IFERROR(INDEX($S$5:$S$304,MATCH(C3497,$R$5:$R$304,0))&amp;"","?"))</f>
        <v/>
      </c>
      <c r="N3497" s="2">
        <f>IF(E3497="","",IF(ISNUMBER(SEARCH("SUBSOLO",E3497)),IFERROR(-VALUE(LEFT(E3497,FIND("º",SUBSTITUTE(E3497,"°","º"))-1)),-1),IF(LEFT(E3497,6)="TÉRREO",0,IFERROR(VALUE(LEFT(E3497,FIND("º",SUBSTITUTE(E3497,"°","º"))-1)),""))))</f>
        <v/>
      </c>
      <c r="O3497" s="2">
        <f>IF(OR(F3497="",G3497=""),"",IF(G3497&lt;='RETRATO 2027'!$K$5,"CONCLUÍDA",IF(F3497&lt;='RETRATO 2027'!$K$5,"EM ANDAMENTO","A INICIAR")))</f>
        <v/>
      </c>
    </row>
    <row r="3498">
      <c r="M3498" s="2">
        <f>IF(C3498="","",IFERROR(INDEX($S$5:$S$304,MATCH(C3498,$R$5:$R$304,0))&amp;"","?"))</f>
        <v/>
      </c>
      <c r="N3498" s="2">
        <f>IF(E3498="","",IF(ISNUMBER(SEARCH("SUBSOLO",E3498)),IFERROR(-VALUE(LEFT(E3498,FIND("º",SUBSTITUTE(E3498,"°","º"))-1)),-1),IF(LEFT(E3498,6)="TÉRREO",0,IFERROR(VALUE(LEFT(E3498,FIND("º",SUBSTITUTE(E3498,"°","º"))-1)),""))))</f>
        <v/>
      </c>
      <c r="O3498" s="2">
        <f>IF(OR(F3498="",G3498=""),"",IF(G3498&lt;='RETRATO 2027'!$K$5,"CONCLUÍDA",IF(F3498&lt;='RETRATO 2027'!$K$5,"EM ANDAMENTO","A INICIAR")))</f>
        <v/>
      </c>
    </row>
    <row r="3499">
      <c r="M3499" s="2">
        <f>IF(C3499="","",IFERROR(INDEX($S$5:$S$304,MATCH(C3499,$R$5:$R$304,0))&amp;"","?"))</f>
        <v/>
      </c>
      <c r="N3499" s="2">
        <f>IF(E3499="","",IF(ISNUMBER(SEARCH("SUBSOLO",E3499)),IFERROR(-VALUE(LEFT(E3499,FIND("º",SUBSTITUTE(E3499,"°","º"))-1)),-1),IF(LEFT(E3499,6)="TÉRREO",0,IFERROR(VALUE(LEFT(E3499,FIND("º",SUBSTITUTE(E3499,"°","º"))-1)),""))))</f>
        <v/>
      </c>
      <c r="O3499" s="2">
        <f>IF(OR(F3499="",G3499=""),"",IF(G3499&lt;='RETRATO 2027'!$K$5,"CONCLUÍDA",IF(F3499&lt;='RETRATO 2027'!$K$5,"EM ANDAMENTO","A INICIAR")))</f>
        <v/>
      </c>
    </row>
    <row r="3500">
      <c r="M3500" s="2">
        <f>IF(C3500="","",IFERROR(INDEX($S$5:$S$304,MATCH(C3500,$R$5:$R$304,0))&amp;"","?"))</f>
        <v/>
      </c>
      <c r="N3500" s="2">
        <f>IF(E3500="","",IF(ISNUMBER(SEARCH("SUBSOLO",E3500)),IFERROR(-VALUE(LEFT(E3500,FIND("º",SUBSTITUTE(E3500,"°","º"))-1)),-1),IF(LEFT(E3500,6)="TÉRREO",0,IFERROR(VALUE(LEFT(E3500,FIND("º",SUBSTITUTE(E3500,"°","º"))-1)),""))))</f>
        <v/>
      </c>
      <c r="O3500" s="2">
        <f>IF(OR(F3500="",G3500=""),"",IF(G3500&lt;='RETRATO 2027'!$K$5,"CONCLUÍDA",IF(F3500&lt;='RETRATO 2027'!$K$5,"EM ANDAMENTO","A INICIAR")))</f>
        <v/>
      </c>
    </row>
    <row r="3501">
      <c r="M3501" s="2">
        <f>IF(C3501="","",IFERROR(INDEX($S$5:$S$304,MATCH(C3501,$R$5:$R$304,0))&amp;"","?"))</f>
        <v/>
      </c>
      <c r="N3501" s="2">
        <f>IF(E3501="","",IF(ISNUMBER(SEARCH("SUBSOLO",E3501)),IFERROR(-VALUE(LEFT(E3501,FIND("º",SUBSTITUTE(E3501,"°","º"))-1)),-1),IF(LEFT(E3501,6)="TÉRREO",0,IFERROR(VALUE(LEFT(E3501,FIND("º",SUBSTITUTE(E3501,"°","º"))-1)),""))))</f>
        <v/>
      </c>
      <c r="O3501" s="2">
        <f>IF(OR(F3501="",G3501=""),"",IF(G3501&lt;='RETRATO 2027'!$K$5,"CONCLUÍDA",IF(F3501&lt;='RETRATO 2027'!$K$5,"EM ANDAMENTO","A INICIAR")))</f>
        <v/>
      </c>
    </row>
    <row r="3502">
      <c r="M3502" s="2">
        <f>IF(C3502="","",IFERROR(INDEX($S$5:$S$304,MATCH(C3502,$R$5:$R$304,0))&amp;"","?"))</f>
        <v/>
      </c>
      <c r="N3502" s="2">
        <f>IF(E3502="","",IF(ISNUMBER(SEARCH("SUBSOLO",E3502)),IFERROR(-VALUE(LEFT(E3502,FIND("º",SUBSTITUTE(E3502,"°","º"))-1)),-1),IF(LEFT(E3502,6)="TÉRREO",0,IFERROR(VALUE(LEFT(E3502,FIND("º",SUBSTITUTE(E3502,"°","º"))-1)),""))))</f>
        <v/>
      </c>
      <c r="O3502" s="2">
        <f>IF(OR(F3502="",G3502=""),"",IF(G3502&lt;='RETRATO 2027'!$K$5,"CONCLUÍDA",IF(F3502&lt;='RETRATO 2027'!$K$5,"EM ANDAMENTO","A INICIAR")))</f>
        <v/>
      </c>
    </row>
    <row r="3503">
      <c r="M3503" s="2">
        <f>IF(C3503="","",IFERROR(INDEX($S$5:$S$304,MATCH(C3503,$R$5:$R$304,0))&amp;"","?"))</f>
        <v/>
      </c>
      <c r="N3503" s="2">
        <f>IF(E3503="","",IF(ISNUMBER(SEARCH("SUBSOLO",E3503)),IFERROR(-VALUE(LEFT(E3503,FIND("º",SUBSTITUTE(E3503,"°","º"))-1)),-1),IF(LEFT(E3503,6)="TÉRREO",0,IFERROR(VALUE(LEFT(E3503,FIND("º",SUBSTITUTE(E3503,"°","º"))-1)),""))))</f>
        <v/>
      </c>
      <c r="O3503" s="2">
        <f>IF(OR(F3503="",G3503=""),"",IF(G3503&lt;='RETRATO 2027'!$K$5,"CONCLUÍDA",IF(F3503&lt;='RETRATO 2027'!$K$5,"EM ANDAMENTO","A INICIAR")))</f>
        <v/>
      </c>
    </row>
    <row r="3504">
      <c r="M3504" s="2">
        <f>IF(C3504="","",IFERROR(INDEX($S$5:$S$304,MATCH(C3504,$R$5:$R$304,0))&amp;"","?"))</f>
        <v/>
      </c>
      <c r="N3504" s="2">
        <f>IF(E3504="","",IF(ISNUMBER(SEARCH("SUBSOLO",E3504)),IFERROR(-VALUE(LEFT(E3504,FIND("º",SUBSTITUTE(E3504,"°","º"))-1)),-1),IF(LEFT(E3504,6)="TÉRREO",0,IFERROR(VALUE(LEFT(E3504,FIND("º",SUBSTITUTE(E3504,"°","º"))-1)),""))))</f>
        <v/>
      </c>
      <c r="O3504" s="2">
        <f>IF(OR(F3504="",G3504=""),"",IF(G3504&lt;='RETRATO 2027'!$K$5,"CONCLUÍDA",IF(F3504&lt;='RETRATO 2027'!$K$5,"EM ANDAMENTO","A INICIAR")))</f>
        <v/>
      </c>
    </row>
    <row r="3505">
      <c r="M3505" s="2">
        <f>IF(C3505="","",IFERROR(INDEX($S$5:$S$304,MATCH(C3505,$R$5:$R$304,0))&amp;"","?"))</f>
        <v/>
      </c>
      <c r="N3505" s="2">
        <f>IF(E3505="","",IF(ISNUMBER(SEARCH("SUBSOLO",E3505)),IFERROR(-VALUE(LEFT(E3505,FIND("º",SUBSTITUTE(E3505,"°","º"))-1)),-1),IF(LEFT(E3505,6)="TÉRREO",0,IFERROR(VALUE(LEFT(E3505,FIND("º",SUBSTITUTE(E3505,"°","º"))-1)),""))))</f>
        <v/>
      </c>
      <c r="O3505" s="2">
        <f>IF(OR(F3505="",G3505=""),"",IF(G3505&lt;='RETRATO 2027'!$K$5,"CONCLUÍDA",IF(F3505&lt;='RETRATO 2027'!$K$5,"EM ANDAMENTO","A INICIAR")))</f>
        <v/>
      </c>
    </row>
    <row r="3506">
      <c r="M3506" s="2">
        <f>IF(C3506="","",IFERROR(INDEX($S$5:$S$304,MATCH(C3506,$R$5:$R$304,0))&amp;"","?"))</f>
        <v/>
      </c>
      <c r="N3506" s="2">
        <f>IF(E3506="","",IF(ISNUMBER(SEARCH("SUBSOLO",E3506)),IFERROR(-VALUE(LEFT(E3506,FIND("º",SUBSTITUTE(E3506,"°","º"))-1)),-1),IF(LEFT(E3506,6)="TÉRREO",0,IFERROR(VALUE(LEFT(E3506,FIND("º",SUBSTITUTE(E3506,"°","º"))-1)),""))))</f>
        <v/>
      </c>
      <c r="O3506" s="2">
        <f>IF(OR(F3506="",G3506=""),"",IF(G3506&lt;='RETRATO 2027'!$K$5,"CONCLUÍDA",IF(F3506&lt;='RETRATO 2027'!$K$5,"EM ANDAMENTO","A INICIAR")))</f>
        <v/>
      </c>
    </row>
    <row r="3507">
      <c r="M3507" s="2">
        <f>IF(C3507="","",IFERROR(INDEX($S$5:$S$304,MATCH(C3507,$R$5:$R$304,0))&amp;"","?"))</f>
        <v/>
      </c>
      <c r="N3507" s="2">
        <f>IF(E3507="","",IF(ISNUMBER(SEARCH("SUBSOLO",E3507)),IFERROR(-VALUE(LEFT(E3507,FIND("º",SUBSTITUTE(E3507,"°","º"))-1)),-1),IF(LEFT(E3507,6)="TÉRREO",0,IFERROR(VALUE(LEFT(E3507,FIND("º",SUBSTITUTE(E3507,"°","º"))-1)),""))))</f>
        <v/>
      </c>
      <c r="O3507" s="2">
        <f>IF(OR(F3507="",G3507=""),"",IF(G3507&lt;='RETRATO 2027'!$K$5,"CONCLUÍDA",IF(F3507&lt;='RETRATO 2027'!$K$5,"EM ANDAMENTO","A INICIAR")))</f>
        <v/>
      </c>
    </row>
    <row r="3508">
      <c r="M3508" s="2">
        <f>IF(C3508="","",IFERROR(INDEX($S$5:$S$304,MATCH(C3508,$R$5:$R$304,0))&amp;"","?"))</f>
        <v/>
      </c>
      <c r="N3508" s="2">
        <f>IF(E3508="","",IF(ISNUMBER(SEARCH("SUBSOLO",E3508)),IFERROR(-VALUE(LEFT(E3508,FIND("º",SUBSTITUTE(E3508,"°","º"))-1)),-1),IF(LEFT(E3508,6)="TÉRREO",0,IFERROR(VALUE(LEFT(E3508,FIND("º",SUBSTITUTE(E3508,"°","º"))-1)),""))))</f>
        <v/>
      </c>
      <c r="O3508" s="2">
        <f>IF(OR(F3508="",G3508=""),"",IF(G3508&lt;='RETRATO 2027'!$K$5,"CONCLUÍDA",IF(F3508&lt;='RETRATO 2027'!$K$5,"EM ANDAMENTO","A INICIAR")))</f>
        <v/>
      </c>
    </row>
    <row r="3509">
      <c r="M3509" s="2">
        <f>IF(C3509="","",IFERROR(INDEX($S$5:$S$304,MATCH(C3509,$R$5:$R$304,0))&amp;"","?"))</f>
        <v/>
      </c>
      <c r="N3509" s="2">
        <f>IF(E3509="","",IF(ISNUMBER(SEARCH("SUBSOLO",E3509)),IFERROR(-VALUE(LEFT(E3509,FIND("º",SUBSTITUTE(E3509,"°","º"))-1)),-1),IF(LEFT(E3509,6)="TÉRREO",0,IFERROR(VALUE(LEFT(E3509,FIND("º",SUBSTITUTE(E3509,"°","º"))-1)),""))))</f>
        <v/>
      </c>
      <c r="O3509" s="2">
        <f>IF(OR(F3509="",G3509=""),"",IF(G3509&lt;='RETRATO 2027'!$K$5,"CONCLUÍDA",IF(F3509&lt;='RETRATO 2027'!$K$5,"EM ANDAMENTO","A INICIAR")))</f>
        <v/>
      </c>
    </row>
    <row r="3510">
      <c r="M3510" s="2">
        <f>IF(C3510="","",IFERROR(INDEX($S$5:$S$304,MATCH(C3510,$R$5:$R$304,0))&amp;"","?"))</f>
        <v/>
      </c>
      <c r="N3510" s="2">
        <f>IF(E3510="","",IF(ISNUMBER(SEARCH("SUBSOLO",E3510)),IFERROR(-VALUE(LEFT(E3510,FIND("º",SUBSTITUTE(E3510,"°","º"))-1)),-1),IF(LEFT(E3510,6)="TÉRREO",0,IFERROR(VALUE(LEFT(E3510,FIND("º",SUBSTITUTE(E3510,"°","º"))-1)),""))))</f>
        <v/>
      </c>
      <c r="O3510" s="2">
        <f>IF(OR(F3510="",G3510=""),"",IF(G3510&lt;='RETRATO 2027'!$K$5,"CONCLUÍDA",IF(F3510&lt;='RETRATO 2027'!$K$5,"EM ANDAMENTO","A INICIAR")))</f>
        <v/>
      </c>
    </row>
    <row r="3511">
      <c r="M3511" s="2">
        <f>IF(C3511="","",IFERROR(INDEX($S$5:$S$304,MATCH(C3511,$R$5:$R$304,0))&amp;"","?"))</f>
        <v/>
      </c>
      <c r="N3511" s="2">
        <f>IF(E3511="","",IF(ISNUMBER(SEARCH("SUBSOLO",E3511)),IFERROR(-VALUE(LEFT(E3511,FIND("º",SUBSTITUTE(E3511,"°","º"))-1)),-1),IF(LEFT(E3511,6)="TÉRREO",0,IFERROR(VALUE(LEFT(E3511,FIND("º",SUBSTITUTE(E3511,"°","º"))-1)),""))))</f>
        <v/>
      </c>
      <c r="O3511" s="2">
        <f>IF(OR(F3511="",G3511=""),"",IF(G3511&lt;='RETRATO 2027'!$K$5,"CONCLUÍDA",IF(F3511&lt;='RETRATO 2027'!$K$5,"EM ANDAMENTO","A INICIAR")))</f>
        <v/>
      </c>
    </row>
    <row r="3512">
      <c r="M3512" s="2">
        <f>IF(C3512="","",IFERROR(INDEX($S$5:$S$304,MATCH(C3512,$R$5:$R$304,0))&amp;"","?"))</f>
        <v/>
      </c>
      <c r="N3512" s="2">
        <f>IF(E3512="","",IF(ISNUMBER(SEARCH("SUBSOLO",E3512)),IFERROR(-VALUE(LEFT(E3512,FIND("º",SUBSTITUTE(E3512,"°","º"))-1)),-1),IF(LEFT(E3512,6)="TÉRREO",0,IFERROR(VALUE(LEFT(E3512,FIND("º",SUBSTITUTE(E3512,"°","º"))-1)),""))))</f>
        <v/>
      </c>
      <c r="O3512" s="2">
        <f>IF(OR(F3512="",G3512=""),"",IF(G3512&lt;='RETRATO 2027'!$K$5,"CONCLUÍDA",IF(F3512&lt;='RETRATO 2027'!$K$5,"EM ANDAMENTO","A INICIAR")))</f>
        <v/>
      </c>
    </row>
    <row r="3513">
      <c r="M3513" s="2">
        <f>IF(C3513="","",IFERROR(INDEX($S$5:$S$304,MATCH(C3513,$R$5:$R$304,0))&amp;"","?"))</f>
        <v/>
      </c>
      <c r="N3513" s="2">
        <f>IF(E3513="","",IF(ISNUMBER(SEARCH("SUBSOLO",E3513)),IFERROR(-VALUE(LEFT(E3513,FIND("º",SUBSTITUTE(E3513,"°","º"))-1)),-1),IF(LEFT(E3513,6)="TÉRREO",0,IFERROR(VALUE(LEFT(E3513,FIND("º",SUBSTITUTE(E3513,"°","º"))-1)),""))))</f>
        <v/>
      </c>
      <c r="O3513" s="2">
        <f>IF(OR(F3513="",G3513=""),"",IF(G3513&lt;='RETRATO 2027'!$K$5,"CONCLUÍDA",IF(F3513&lt;='RETRATO 2027'!$K$5,"EM ANDAMENTO","A INICIAR")))</f>
        <v/>
      </c>
    </row>
    <row r="3514">
      <c r="M3514" s="2">
        <f>IF(C3514="","",IFERROR(INDEX($S$5:$S$304,MATCH(C3514,$R$5:$R$304,0))&amp;"","?"))</f>
        <v/>
      </c>
      <c r="N3514" s="2">
        <f>IF(E3514="","",IF(ISNUMBER(SEARCH("SUBSOLO",E3514)),IFERROR(-VALUE(LEFT(E3514,FIND("º",SUBSTITUTE(E3514,"°","º"))-1)),-1),IF(LEFT(E3514,6)="TÉRREO",0,IFERROR(VALUE(LEFT(E3514,FIND("º",SUBSTITUTE(E3514,"°","º"))-1)),""))))</f>
        <v/>
      </c>
      <c r="O3514" s="2">
        <f>IF(OR(F3514="",G3514=""),"",IF(G3514&lt;='RETRATO 2027'!$K$5,"CONCLUÍDA",IF(F3514&lt;='RETRATO 2027'!$K$5,"EM ANDAMENTO","A INICIAR")))</f>
        <v/>
      </c>
    </row>
    <row r="3515">
      <c r="M3515" s="2">
        <f>IF(C3515="","",IFERROR(INDEX($S$5:$S$304,MATCH(C3515,$R$5:$R$304,0))&amp;"","?"))</f>
        <v/>
      </c>
      <c r="N3515" s="2">
        <f>IF(E3515="","",IF(ISNUMBER(SEARCH("SUBSOLO",E3515)),IFERROR(-VALUE(LEFT(E3515,FIND("º",SUBSTITUTE(E3515,"°","º"))-1)),-1),IF(LEFT(E3515,6)="TÉRREO",0,IFERROR(VALUE(LEFT(E3515,FIND("º",SUBSTITUTE(E3515,"°","º"))-1)),""))))</f>
        <v/>
      </c>
      <c r="O3515" s="2">
        <f>IF(OR(F3515="",G3515=""),"",IF(G3515&lt;='RETRATO 2027'!$K$5,"CONCLUÍDA",IF(F3515&lt;='RETRATO 2027'!$K$5,"EM ANDAMENTO","A INICIAR")))</f>
        <v/>
      </c>
    </row>
    <row r="3516">
      <c r="M3516" s="2">
        <f>IF(C3516="","",IFERROR(INDEX($S$5:$S$304,MATCH(C3516,$R$5:$R$304,0))&amp;"","?"))</f>
        <v/>
      </c>
      <c r="N3516" s="2">
        <f>IF(E3516="","",IF(ISNUMBER(SEARCH("SUBSOLO",E3516)),IFERROR(-VALUE(LEFT(E3516,FIND("º",SUBSTITUTE(E3516,"°","º"))-1)),-1),IF(LEFT(E3516,6)="TÉRREO",0,IFERROR(VALUE(LEFT(E3516,FIND("º",SUBSTITUTE(E3516,"°","º"))-1)),""))))</f>
        <v/>
      </c>
      <c r="O3516" s="2">
        <f>IF(OR(F3516="",G3516=""),"",IF(G3516&lt;='RETRATO 2027'!$K$5,"CONCLUÍDA",IF(F3516&lt;='RETRATO 2027'!$K$5,"EM ANDAMENTO","A INICIAR")))</f>
        <v/>
      </c>
    </row>
    <row r="3517">
      <c r="M3517" s="2">
        <f>IF(C3517="","",IFERROR(INDEX($S$5:$S$304,MATCH(C3517,$R$5:$R$304,0))&amp;"","?"))</f>
        <v/>
      </c>
      <c r="N3517" s="2">
        <f>IF(E3517="","",IF(ISNUMBER(SEARCH("SUBSOLO",E3517)),IFERROR(-VALUE(LEFT(E3517,FIND("º",SUBSTITUTE(E3517,"°","º"))-1)),-1),IF(LEFT(E3517,6)="TÉRREO",0,IFERROR(VALUE(LEFT(E3517,FIND("º",SUBSTITUTE(E3517,"°","º"))-1)),""))))</f>
        <v/>
      </c>
      <c r="O3517" s="2">
        <f>IF(OR(F3517="",G3517=""),"",IF(G3517&lt;='RETRATO 2027'!$K$5,"CONCLUÍDA",IF(F3517&lt;='RETRATO 2027'!$K$5,"EM ANDAMENTO","A INICIAR")))</f>
        <v/>
      </c>
    </row>
    <row r="3518">
      <c r="M3518" s="2">
        <f>IF(C3518="","",IFERROR(INDEX($S$5:$S$304,MATCH(C3518,$R$5:$R$304,0))&amp;"","?"))</f>
        <v/>
      </c>
      <c r="N3518" s="2">
        <f>IF(E3518="","",IF(ISNUMBER(SEARCH("SUBSOLO",E3518)),IFERROR(-VALUE(LEFT(E3518,FIND("º",SUBSTITUTE(E3518,"°","º"))-1)),-1),IF(LEFT(E3518,6)="TÉRREO",0,IFERROR(VALUE(LEFT(E3518,FIND("º",SUBSTITUTE(E3518,"°","º"))-1)),""))))</f>
        <v/>
      </c>
      <c r="O3518" s="2">
        <f>IF(OR(F3518="",G3518=""),"",IF(G3518&lt;='RETRATO 2027'!$K$5,"CONCLUÍDA",IF(F3518&lt;='RETRATO 2027'!$K$5,"EM ANDAMENTO","A INICIAR")))</f>
        <v/>
      </c>
    </row>
    <row r="3519">
      <c r="M3519" s="2">
        <f>IF(C3519="","",IFERROR(INDEX($S$5:$S$304,MATCH(C3519,$R$5:$R$304,0))&amp;"","?"))</f>
        <v/>
      </c>
      <c r="N3519" s="2">
        <f>IF(E3519="","",IF(ISNUMBER(SEARCH("SUBSOLO",E3519)),IFERROR(-VALUE(LEFT(E3519,FIND("º",SUBSTITUTE(E3519,"°","º"))-1)),-1),IF(LEFT(E3519,6)="TÉRREO",0,IFERROR(VALUE(LEFT(E3519,FIND("º",SUBSTITUTE(E3519,"°","º"))-1)),""))))</f>
        <v/>
      </c>
      <c r="O3519" s="2">
        <f>IF(OR(F3519="",G3519=""),"",IF(G3519&lt;='RETRATO 2027'!$K$5,"CONCLUÍDA",IF(F3519&lt;='RETRATO 2027'!$K$5,"EM ANDAMENTO","A INICIAR")))</f>
        <v/>
      </c>
    </row>
    <row r="3520">
      <c r="M3520" s="2">
        <f>IF(C3520="","",IFERROR(INDEX($S$5:$S$304,MATCH(C3520,$R$5:$R$304,0))&amp;"","?"))</f>
        <v/>
      </c>
      <c r="N3520" s="2">
        <f>IF(E3520="","",IF(ISNUMBER(SEARCH("SUBSOLO",E3520)),IFERROR(-VALUE(LEFT(E3520,FIND("º",SUBSTITUTE(E3520,"°","º"))-1)),-1),IF(LEFT(E3520,6)="TÉRREO",0,IFERROR(VALUE(LEFT(E3520,FIND("º",SUBSTITUTE(E3520,"°","º"))-1)),""))))</f>
        <v/>
      </c>
      <c r="O3520" s="2">
        <f>IF(OR(F3520="",G3520=""),"",IF(G3520&lt;='RETRATO 2027'!$K$5,"CONCLUÍDA",IF(F3520&lt;='RETRATO 2027'!$K$5,"EM ANDAMENTO","A INICIAR")))</f>
        <v/>
      </c>
    </row>
    <row r="3521">
      <c r="M3521" s="2">
        <f>IF(C3521="","",IFERROR(INDEX($S$5:$S$304,MATCH(C3521,$R$5:$R$304,0))&amp;"","?"))</f>
        <v/>
      </c>
      <c r="N3521" s="2">
        <f>IF(E3521="","",IF(ISNUMBER(SEARCH("SUBSOLO",E3521)),IFERROR(-VALUE(LEFT(E3521,FIND("º",SUBSTITUTE(E3521,"°","º"))-1)),-1),IF(LEFT(E3521,6)="TÉRREO",0,IFERROR(VALUE(LEFT(E3521,FIND("º",SUBSTITUTE(E3521,"°","º"))-1)),""))))</f>
        <v/>
      </c>
      <c r="O3521" s="2">
        <f>IF(OR(F3521="",G3521=""),"",IF(G3521&lt;='RETRATO 2027'!$K$5,"CONCLUÍDA",IF(F3521&lt;='RETRATO 2027'!$K$5,"EM ANDAMENTO","A INICIAR")))</f>
        <v/>
      </c>
    </row>
    <row r="3522">
      <c r="M3522" s="2">
        <f>IF(C3522="","",IFERROR(INDEX($S$5:$S$304,MATCH(C3522,$R$5:$R$304,0))&amp;"","?"))</f>
        <v/>
      </c>
      <c r="N3522" s="2">
        <f>IF(E3522="","",IF(ISNUMBER(SEARCH("SUBSOLO",E3522)),IFERROR(-VALUE(LEFT(E3522,FIND("º",SUBSTITUTE(E3522,"°","º"))-1)),-1),IF(LEFT(E3522,6)="TÉRREO",0,IFERROR(VALUE(LEFT(E3522,FIND("º",SUBSTITUTE(E3522,"°","º"))-1)),""))))</f>
        <v/>
      </c>
      <c r="O3522" s="2">
        <f>IF(OR(F3522="",G3522=""),"",IF(G3522&lt;='RETRATO 2027'!$K$5,"CONCLUÍDA",IF(F3522&lt;='RETRATO 2027'!$K$5,"EM ANDAMENTO","A INICIAR")))</f>
        <v/>
      </c>
    </row>
    <row r="3523">
      <c r="M3523" s="2">
        <f>IF(C3523="","",IFERROR(INDEX($S$5:$S$304,MATCH(C3523,$R$5:$R$304,0))&amp;"","?"))</f>
        <v/>
      </c>
      <c r="N3523" s="2">
        <f>IF(E3523="","",IF(ISNUMBER(SEARCH("SUBSOLO",E3523)),IFERROR(-VALUE(LEFT(E3523,FIND("º",SUBSTITUTE(E3523,"°","º"))-1)),-1),IF(LEFT(E3523,6)="TÉRREO",0,IFERROR(VALUE(LEFT(E3523,FIND("º",SUBSTITUTE(E3523,"°","º"))-1)),""))))</f>
        <v/>
      </c>
      <c r="O3523" s="2">
        <f>IF(OR(F3523="",G3523=""),"",IF(G3523&lt;='RETRATO 2027'!$K$5,"CONCLUÍDA",IF(F3523&lt;='RETRATO 2027'!$K$5,"EM ANDAMENTO","A INICIAR")))</f>
        <v/>
      </c>
    </row>
    <row r="3524">
      <c r="M3524" s="2">
        <f>IF(C3524="","",IFERROR(INDEX($S$5:$S$304,MATCH(C3524,$R$5:$R$304,0))&amp;"","?"))</f>
        <v/>
      </c>
      <c r="N3524" s="2">
        <f>IF(E3524="","",IF(ISNUMBER(SEARCH("SUBSOLO",E3524)),IFERROR(-VALUE(LEFT(E3524,FIND("º",SUBSTITUTE(E3524,"°","º"))-1)),-1),IF(LEFT(E3524,6)="TÉRREO",0,IFERROR(VALUE(LEFT(E3524,FIND("º",SUBSTITUTE(E3524,"°","º"))-1)),""))))</f>
        <v/>
      </c>
      <c r="O3524" s="2">
        <f>IF(OR(F3524="",G3524=""),"",IF(G3524&lt;='RETRATO 2027'!$K$5,"CONCLUÍDA",IF(F3524&lt;='RETRATO 2027'!$K$5,"EM ANDAMENTO","A INICIAR")))</f>
        <v/>
      </c>
    </row>
    <row r="3525">
      <c r="M3525" s="2">
        <f>IF(C3525="","",IFERROR(INDEX($S$5:$S$304,MATCH(C3525,$R$5:$R$304,0))&amp;"","?"))</f>
        <v/>
      </c>
      <c r="N3525" s="2">
        <f>IF(E3525="","",IF(ISNUMBER(SEARCH("SUBSOLO",E3525)),IFERROR(-VALUE(LEFT(E3525,FIND("º",SUBSTITUTE(E3525,"°","º"))-1)),-1),IF(LEFT(E3525,6)="TÉRREO",0,IFERROR(VALUE(LEFT(E3525,FIND("º",SUBSTITUTE(E3525,"°","º"))-1)),""))))</f>
        <v/>
      </c>
      <c r="O3525" s="2">
        <f>IF(OR(F3525="",G3525=""),"",IF(G3525&lt;='RETRATO 2027'!$K$5,"CONCLUÍDA",IF(F3525&lt;='RETRATO 2027'!$K$5,"EM ANDAMENTO","A INICIAR")))</f>
        <v/>
      </c>
    </row>
    <row r="3526">
      <c r="M3526" s="2">
        <f>IF(C3526="","",IFERROR(INDEX($S$5:$S$304,MATCH(C3526,$R$5:$R$304,0))&amp;"","?"))</f>
        <v/>
      </c>
      <c r="N3526" s="2">
        <f>IF(E3526="","",IF(ISNUMBER(SEARCH("SUBSOLO",E3526)),IFERROR(-VALUE(LEFT(E3526,FIND("º",SUBSTITUTE(E3526,"°","º"))-1)),-1),IF(LEFT(E3526,6)="TÉRREO",0,IFERROR(VALUE(LEFT(E3526,FIND("º",SUBSTITUTE(E3526,"°","º"))-1)),""))))</f>
        <v/>
      </c>
      <c r="O3526" s="2">
        <f>IF(OR(F3526="",G3526=""),"",IF(G3526&lt;='RETRATO 2027'!$K$5,"CONCLUÍDA",IF(F3526&lt;='RETRATO 2027'!$K$5,"EM ANDAMENTO","A INICIAR")))</f>
        <v/>
      </c>
    </row>
    <row r="3527">
      <c r="M3527" s="2">
        <f>IF(C3527="","",IFERROR(INDEX($S$5:$S$304,MATCH(C3527,$R$5:$R$304,0))&amp;"","?"))</f>
        <v/>
      </c>
      <c r="N3527" s="2">
        <f>IF(E3527="","",IF(ISNUMBER(SEARCH("SUBSOLO",E3527)),IFERROR(-VALUE(LEFT(E3527,FIND("º",SUBSTITUTE(E3527,"°","º"))-1)),-1),IF(LEFT(E3527,6)="TÉRREO",0,IFERROR(VALUE(LEFT(E3527,FIND("º",SUBSTITUTE(E3527,"°","º"))-1)),""))))</f>
        <v/>
      </c>
      <c r="O3527" s="2">
        <f>IF(OR(F3527="",G3527=""),"",IF(G3527&lt;='RETRATO 2027'!$K$5,"CONCLUÍDA",IF(F3527&lt;='RETRATO 2027'!$K$5,"EM ANDAMENTO","A INICIAR")))</f>
        <v/>
      </c>
    </row>
    <row r="3528">
      <c r="M3528" s="2">
        <f>IF(C3528="","",IFERROR(INDEX($S$5:$S$304,MATCH(C3528,$R$5:$R$304,0))&amp;"","?"))</f>
        <v/>
      </c>
      <c r="N3528" s="2">
        <f>IF(E3528="","",IF(ISNUMBER(SEARCH("SUBSOLO",E3528)),IFERROR(-VALUE(LEFT(E3528,FIND("º",SUBSTITUTE(E3528,"°","º"))-1)),-1),IF(LEFT(E3528,6)="TÉRREO",0,IFERROR(VALUE(LEFT(E3528,FIND("º",SUBSTITUTE(E3528,"°","º"))-1)),""))))</f>
        <v/>
      </c>
      <c r="O3528" s="2">
        <f>IF(OR(F3528="",G3528=""),"",IF(G3528&lt;='RETRATO 2027'!$K$5,"CONCLUÍDA",IF(F3528&lt;='RETRATO 2027'!$K$5,"EM ANDAMENTO","A INICIAR")))</f>
        <v/>
      </c>
    </row>
    <row r="3529">
      <c r="M3529" s="2">
        <f>IF(C3529="","",IFERROR(INDEX($S$5:$S$304,MATCH(C3529,$R$5:$R$304,0))&amp;"","?"))</f>
        <v/>
      </c>
      <c r="N3529" s="2">
        <f>IF(E3529="","",IF(ISNUMBER(SEARCH("SUBSOLO",E3529)),IFERROR(-VALUE(LEFT(E3529,FIND("º",SUBSTITUTE(E3529,"°","º"))-1)),-1),IF(LEFT(E3529,6)="TÉRREO",0,IFERROR(VALUE(LEFT(E3529,FIND("º",SUBSTITUTE(E3529,"°","º"))-1)),""))))</f>
        <v/>
      </c>
      <c r="O3529" s="2">
        <f>IF(OR(F3529="",G3529=""),"",IF(G3529&lt;='RETRATO 2027'!$K$5,"CONCLUÍDA",IF(F3529&lt;='RETRATO 2027'!$K$5,"EM ANDAMENTO","A INICIAR")))</f>
        <v/>
      </c>
    </row>
    <row r="3530">
      <c r="M3530" s="2">
        <f>IF(C3530="","",IFERROR(INDEX($S$5:$S$304,MATCH(C3530,$R$5:$R$304,0))&amp;"","?"))</f>
        <v/>
      </c>
      <c r="N3530" s="2">
        <f>IF(E3530="","",IF(ISNUMBER(SEARCH("SUBSOLO",E3530)),IFERROR(-VALUE(LEFT(E3530,FIND("º",SUBSTITUTE(E3530,"°","º"))-1)),-1),IF(LEFT(E3530,6)="TÉRREO",0,IFERROR(VALUE(LEFT(E3530,FIND("º",SUBSTITUTE(E3530,"°","º"))-1)),""))))</f>
        <v/>
      </c>
      <c r="O3530" s="2">
        <f>IF(OR(F3530="",G3530=""),"",IF(G3530&lt;='RETRATO 2027'!$K$5,"CONCLUÍDA",IF(F3530&lt;='RETRATO 2027'!$K$5,"EM ANDAMENTO","A INICIAR")))</f>
        <v/>
      </c>
    </row>
    <row r="3531">
      <c r="M3531" s="2">
        <f>IF(C3531="","",IFERROR(INDEX($S$5:$S$304,MATCH(C3531,$R$5:$R$304,0))&amp;"","?"))</f>
        <v/>
      </c>
      <c r="N3531" s="2">
        <f>IF(E3531="","",IF(ISNUMBER(SEARCH("SUBSOLO",E3531)),IFERROR(-VALUE(LEFT(E3531,FIND("º",SUBSTITUTE(E3531,"°","º"))-1)),-1),IF(LEFT(E3531,6)="TÉRREO",0,IFERROR(VALUE(LEFT(E3531,FIND("º",SUBSTITUTE(E3531,"°","º"))-1)),""))))</f>
        <v/>
      </c>
      <c r="O3531" s="2">
        <f>IF(OR(F3531="",G3531=""),"",IF(G3531&lt;='RETRATO 2027'!$K$5,"CONCLUÍDA",IF(F3531&lt;='RETRATO 2027'!$K$5,"EM ANDAMENTO","A INICIAR")))</f>
        <v/>
      </c>
    </row>
    <row r="3532">
      <c r="M3532" s="2">
        <f>IF(C3532="","",IFERROR(INDEX($S$5:$S$304,MATCH(C3532,$R$5:$R$304,0))&amp;"","?"))</f>
        <v/>
      </c>
      <c r="N3532" s="2">
        <f>IF(E3532="","",IF(ISNUMBER(SEARCH("SUBSOLO",E3532)),IFERROR(-VALUE(LEFT(E3532,FIND("º",SUBSTITUTE(E3532,"°","º"))-1)),-1),IF(LEFT(E3532,6)="TÉRREO",0,IFERROR(VALUE(LEFT(E3532,FIND("º",SUBSTITUTE(E3532,"°","º"))-1)),""))))</f>
        <v/>
      </c>
      <c r="O3532" s="2">
        <f>IF(OR(F3532="",G3532=""),"",IF(G3532&lt;='RETRATO 2027'!$K$5,"CONCLUÍDA",IF(F3532&lt;='RETRATO 2027'!$K$5,"EM ANDAMENTO","A INICIAR")))</f>
        <v/>
      </c>
    </row>
    <row r="3533">
      <c r="M3533" s="2">
        <f>IF(C3533="","",IFERROR(INDEX($S$5:$S$304,MATCH(C3533,$R$5:$R$304,0))&amp;"","?"))</f>
        <v/>
      </c>
      <c r="N3533" s="2">
        <f>IF(E3533="","",IF(ISNUMBER(SEARCH("SUBSOLO",E3533)),IFERROR(-VALUE(LEFT(E3533,FIND("º",SUBSTITUTE(E3533,"°","º"))-1)),-1),IF(LEFT(E3533,6)="TÉRREO",0,IFERROR(VALUE(LEFT(E3533,FIND("º",SUBSTITUTE(E3533,"°","º"))-1)),""))))</f>
        <v/>
      </c>
      <c r="O3533" s="2">
        <f>IF(OR(F3533="",G3533=""),"",IF(G3533&lt;='RETRATO 2027'!$K$5,"CONCLUÍDA",IF(F3533&lt;='RETRATO 2027'!$K$5,"EM ANDAMENTO","A INICIAR")))</f>
        <v/>
      </c>
    </row>
    <row r="3534">
      <c r="M3534" s="2">
        <f>IF(C3534="","",IFERROR(INDEX($S$5:$S$304,MATCH(C3534,$R$5:$R$304,0))&amp;"","?"))</f>
        <v/>
      </c>
      <c r="N3534" s="2">
        <f>IF(E3534="","",IF(ISNUMBER(SEARCH("SUBSOLO",E3534)),IFERROR(-VALUE(LEFT(E3534,FIND("º",SUBSTITUTE(E3534,"°","º"))-1)),-1),IF(LEFT(E3534,6)="TÉRREO",0,IFERROR(VALUE(LEFT(E3534,FIND("º",SUBSTITUTE(E3534,"°","º"))-1)),""))))</f>
        <v/>
      </c>
      <c r="O3534" s="2">
        <f>IF(OR(F3534="",G3534=""),"",IF(G3534&lt;='RETRATO 2027'!$K$5,"CONCLUÍDA",IF(F3534&lt;='RETRATO 2027'!$K$5,"EM ANDAMENTO","A INICIAR")))</f>
        <v/>
      </c>
    </row>
    <row r="3535">
      <c r="M3535" s="2">
        <f>IF(C3535="","",IFERROR(INDEX($S$5:$S$304,MATCH(C3535,$R$5:$R$304,0))&amp;"","?"))</f>
        <v/>
      </c>
      <c r="N3535" s="2">
        <f>IF(E3535="","",IF(ISNUMBER(SEARCH("SUBSOLO",E3535)),IFERROR(-VALUE(LEFT(E3535,FIND("º",SUBSTITUTE(E3535,"°","º"))-1)),-1),IF(LEFT(E3535,6)="TÉRREO",0,IFERROR(VALUE(LEFT(E3535,FIND("º",SUBSTITUTE(E3535,"°","º"))-1)),""))))</f>
        <v/>
      </c>
      <c r="O3535" s="2">
        <f>IF(OR(F3535="",G3535=""),"",IF(G3535&lt;='RETRATO 2027'!$K$5,"CONCLUÍDA",IF(F3535&lt;='RETRATO 2027'!$K$5,"EM ANDAMENTO","A INICIAR")))</f>
        <v/>
      </c>
    </row>
    <row r="3536">
      <c r="M3536" s="2">
        <f>IF(C3536="","",IFERROR(INDEX($S$5:$S$304,MATCH(C3536,$R$5:$R$304,0))&amp;"","?"))</f>
        <v/>
      </c>
      <c r="N3536" s="2">
        <f>IF(E3536="","",IF(ISNUMBER(SEARCH("SUBSOLO",E3536)),IFERROR(-VALUE(LEFT(E3536,FIND("º",SUBSTITUTE(E3536,"°","º"))-1)),-1),IF(LEFT(E3536,6)="TÉRREO",0,IFERROR(VALUE(LEFT(E3536,FIND("º",SUBSTITUTE(E3536,"°","º"))-1)),""))))</f>
        <v/>
      </c>
      <c r="O3536" s="2">
        <f>IF(OR(F3536="",G3536=""),"",IF(G3536&lt;='RETRATO 2027'!$K$5,"CONCLUÍDA",IF(F3536&lt;='RETRATO 2027'!$K$5,"EM ANDAMENTO","A INICIAR")))</f>
        <v/>
      </c>
    </row>
    <row r="3537">
      <c r="M3537" s="2">
        <f>IF(C3537="","",IFERROR(INDEX($S$5:$S$304,MATCH(C3537,$R$5:$R$304,0))&amp;"","?"))</f>
        <v/>
      </c>
      <c r="N3537" s="2">
        <f>IF(E3537="","",IF(ISNUMBER(SEARCH("SUBSOLO",E3537)),IFERROR(-VALUE(LEFT(E3537,FIND("º",SUBSTITUTE(E3537,"°","º"))-1)),-1),IF(LEFT(E3537,6)="TÉRREO",0,IFERROR(VALUE(LEFT(E3537,FIND("º",SUBSTITUTE(E3537,"°","º"))-1)),""))))</f>
        <v/>
      </c>
      <c r="O3537" s="2">
        <f>IF(OR(F3537="",G3537=""),"",IF(G3537&lt;='RETRATO 2027'!$K$5,"CONCLUÍDA",IF(F3537&lt;='RETRATO 2027'!$K$5,"EM ANDAMENTO","A INICIAR")))</f>
        <v/>
      </c>
    </row>
    <row r="3538">
      <c r="M3538" s="2">
        <f>IF(C3538="","",IFERROR(INDEX($S$5:$S$304,MATCH(C3538,$R$5:$R$304,0))&amp;"","?"))</f>
        <v/>
      </c>
      <c r="N3538" s="2">
        <f>IF(E3538="","",IF(ISNUMBER(SEARCH("SUBSOLO",E3538)),IFERROR(-VALUE(LEFT(E3538,FIND("º",SUBSTITUTE(E3538,"°","º"))-1)),-1),IF(LEFT(E3538,6)="TÉRREO",0,IFERROR(VALUE(LEFT(E3538,FIND("º",SUBSTITUTE(E3538,"°","º"))-1)),""))))</f>
        <v/>
      </c>
      <c r="O3538" s="2">
        <f>IF(OR(F3538="",G3538=""),"",IF(G3538&lt;='RETRATO 2027'!$K$5,"CONCLUÍDA",IF(F3538&lt;='RETRATO 2027'!$K$5,"EM ANDAMENTO","A INICIAR")))</f>
        <v/>
      </c>
    </row>
    <row r="3539">
      <c r="M3539" s="2">
        <f>IF(C3539="","",IFERROR(INDEX($S$5:$S$304,MATCH(C3539,$R$5:$R$304,0))&amp;"","?"))</f>
        <v/>
      </c>
      <c r="N3539" s="2">
        <f>IF(E3539="","",IF(ISNUMBER(SEARCH("SUBSOLO",E3539)),IFERROR(-VALUE(LEFT(E3539,FIND("º",SUBSTITUTE(E3539,"°","º"))-1)),-1),IF(LEFT(E3539,6)="TÉRREO",0,IFERROR(VALUE(LEFT(E3539,FIND("º",SUBSTITUTE(E3539,"°","º"))-1)),""))))</f>
        <v/>
      </c>
      <c r="O3539" s="2">
        <f>IF(OR(F3539="",G3539=""),"",IF(G3539&lt;='RETRATO 2027'!$K$5,"CONCLUÍDA",IF(F3539&lt;='RETRATO 2027'!$K$5,"EM ANDAMENTO","A INICIAR")))</f>
        <v/>
      </c>
    </row>
    <row r="3540">
      <c r="M3540" s="2">
        <f>IF(C3540="","",IFERROR(INDEX($S$5:$S$304,MATCH(C3540,$R$5:$R$304,0))&amp;"","?"))</f>
        <v/>
      </c>
      <c r="N3540" s="2">
        <f>IF(E3540="","",IF(ISNUMBER(SEARCH("SUBSOLO",E3540)),IFERROR(-VALUE(LEFT(E3540,FIND("º",SUBSTITUTE(E3540,"°","º"))-1)),-1),IF(LEFT(E3540,6)="TÉRREO",0,IFERROR(VALUE(LEFT(E3540,FIND("º",SUBSTITUTE(E3540,"°","º"))-1)),""))))</f>
        <v/>
      </c>
      <c r="O3540" s="2">
        <f>IF(OR(F3540="",G3540=""),"",IF(G3540&lt;='RETRATO 2027'!$K$5,"CONCLUÍDA",IF(F3540&lt;='RETRATO 2027'!$K$5,"EM ANDAMENTO","A INICIAR")))</f>
        <v/>
      </c>
    </row>
    <row r="3541">
      <c r="M3541" s="2">
        <f>IF(C3541="","",IFERROR(INDEX($S$5:$S$304,MATCH(C3541,$R$5:$R$304,0))&amp;"","?"))</f>
        <v/>
      </c>
      <c r="N3541" s="2">
        <f>IF(E3541="","",IF(ISNUMBER(SEARCH("SUBSOLO",E3541)),IFERROR(-VALUE(LEFT(E3541,FIND("º",SUBSTITUTE(E3541,"°","º"))-1)),-1),IF(LEFT(E3541,6)="TÉRREO",0,IFERROR(VALUE(LEFT(E3541,FIND("º",SUBSTITUTE(E3541,"°","º"))-1)),""))))</f>
        <v/>
      </c>
      <c r="O3541" s="2">
        <f>IF(OR(F3541="",G3541=""),"",IF(G3541&lt;='RETRATO 2027'!$K$5,"CONCLUÍDA",IF(F3541&lt;='RETRATO 2027'!$K$5,"EM ANDAMENTO","A INICIAR")))</f>
        <v/>
      </c>
    </row>
    <row r="3542">
      <c r="M3542" s="2">
        <f>IF(C3542="","",IFERROR(INDEX($S$5:$S$304,MATCH(C3542,$R$5:$R$304,0))&amp;"","?"))</f>
        <v/>
      </c>
      <c r="N3542" s="2">
        <f>IF(E3542="","",IF(ISNUMBER(SEARCH("SUBSOLO",E3542)),IFERROR(-VALUE(LEFT(E3542,FIND("º",SUBSTITUTE(E3542,"°","º"))-1)),-1),IF(LEFT(E3542,6)="TÉRREO",0,IFERROR(VALUE(LEFT(E3542,FIND("º",SUBSTITUTE(E3542,"°","º"))-1)),""))))</f>
        <v/>
      </c>
      <c r="O3542" s="2">
        <f>IF(OR(F3542="",G3542=""),"",IF(G3542&lt;='RETRATO 2027'!$K$5,"CONCLUÍDA",IF(F3542&lt;='RETRATO 2027'!$K$5,"EM ANDAMENTO","A INICIAR")))</f>
        <v/>
      </c>
    </row>
    <row r="3543">
      <c r="M3543" s="2">
        <f>IF(C3543="","",IFERROR(INDEX($S$5:$S$304,MATCH(C3543,$R$5:$R$304,0))&amp;"","?"))</f>
        <v/>
      </c>
      <c r="N3543" s="2">
        <f>IF(E3543="","",IF(ISNUMBER(SEARCH("SUBSOLO",E3543)),IFERROR(-VALUE(LEFT(E3543,FIND("º",SUBSTITUTE(E3543,"°","º"))-1)),-1),IF(LEFT(E3543,6)="TÉRREO",0,IFERROR(VALUE(LEFT(E3543,FIND("º",SUBSTITUTE(E3543,"°","º"))-1)),""))))</f>
        <v/>
      </c>
      <c r="O3543" s="2">
        <f>IF(OR(F3543="",G3543=""),"",IF(G3543&lt;='RETRATO 2027'!$K$5,"CONCLUÍDA",IF(F3543&lt;='RETRATO 2027'!$K$5,"EM ANDAMENTO","A INICIAR")))</f>
        <v/>
      </c>
    </row>
    <row r="3544">
      <c r="M3544" s="2">
        <f>IF(C3544="","",IFERROR(INDEX($S$5:$S$304,MATCH(C3544,$R$5:$R$304,0))&amp;"","?"))</f>
        <v/>
      </c>
      <c r="N3544" s="2">
        <f>IF(E3544="","",IF(ISNUMBER(SEARCH("SUBSOLO",E3544)),IFERROR(-VALUE(LEFT(E3544,FIND("º",SUBSTITUTE(E3544,"°","º"))-1)),-1),IF(LEFT(E3544,6)="TÉRREO",0,IFERROR(VALUE(LEFT(E3544,FIND("º",SUBSTITUTE(E3544,"°","º"))-1)),""))))</f>
        <v/>
      </c>
      <c r="O3544" s="2">
        <f>IF(OR(F3544="",G3544=""),"",IF(G3544&lt;='RETRATO 2027'!$K$5,"CONCLUÍDA",IF(F3544&lt;='RETRATO 2027'!$K$5,"EM ANDAMENTO","A INICIAR")))</f>
        <v/>
      </c>
    </row>
    <row r="3545">
      <c r="M3545" s="2">
        <f>IF(C3545="","",IFERROR(INDEX($S$5:$S$304,MATCH(C3545,$R$5:$R$304,0))&amp;"","?"))</f>
        <v/>
      </c>
      <c r="N3545" s="2">
        <f>IF(E3545="","",IF(ISNUMBER(SEARCH("SUBSOLO",E3545)),IFERROR(-VALUE(LEFT(E3545,FIND("º",SUBSTITUTE(E3545,"°","º"))-1)),-1),IF(LEFT(E3545,6)="TÉRREO",0,IFERROR(VALUE(LEFT(E3545,FIND("º",SUBSTITUTE(E3545,"°","º"))-1)),""))))</f>
        <v/>
      </c>
      <c r="O3545" s="2">
        <f>IF(OR(F3545="",G3545=""),"",IF(G3545&lt;='RETRATO 2027'!$K$5,"CONCLUÍDA",IF(F3545&lt;='RETRATO 2027'!$K$5,"EM ANDAMENTO","A INICIAR")))</f>
        <v/>
      </c>
    </row>
    <row r="3546">
      <c r="M3546" s="2">
        <f>IF(C3546="","",IFERROR(INDEX($S$5:$S$304,MATCH(C3546,$R$5:$R$304,0))&amp;"","?"))</f>
        <v/>
      </c>
      <c r="N3546" s="2">
        <f>IF(E3546="","",IF(ISNUMBER(SEARCH("SUBSOLO",E3546)),IFERROR(-VALUE(LEFT(E3546,FIND("º",SUBSTITUTE(E3546,"°","º"))-1)),-1),IF(LEFT(E3546,6)="TÉRREO",0,IFERROR(VALUE(LEFT(E3546,FIND("º",SUBSTITUTE(E3546,"°","º"))-1)),""))))</f>
        <v/>
      </c>
      <c r="O3546" s="2">
        <f>IF(OR(F3546="",G3546=""),"",IF(G3546&lt;='RETRATO 2027'!$K$5,"CONCLUÍDA",IF(F3546&lt;='RETRATO 2027'!$K$5,"EM ANDAMENTO","A INICIAR")))</f>
        <v/>
      </c>
    </row>
    <row r="3547">
      <c r="M3547" s="2">
        <f>IF(C3547="","",IFERROR(INDEX($S$5:$S$304,MATCH(C3547,$R$5:$R$304,0))&amp;"","?"))</f>
        <v/>
      </c>
      <c r="N3547" s="2">
        <f>IF(E3547="","",IF(ISNUMBER(SEARCH("SUBSOLO",E3547)),IFERROR(-VALUE(LEFT(E3547,FIND("º",SUBSTITUTE(E3547,"°","º"))-1)),-1),IF(LEFT(E3547,6)="TÉRREO",0,IFERROR(VALUE(LEFT(E3547,FIND("º",SUBSTITUTE(E3547,"°","º"))-1)),""))))</f>
        <v/>
      </c>
      <c r="O3547" s="2">
        <f>IF(OR(F3547="",G3547=""),"",IF(G3547&lt;='RETRATO 2027'!$K$5,"CONCLUÍDA",IF(F3547&lt;='RETRATO 2027'!$K$5,"EM ANDAMENTO","A INICIAR")))</f>
        <v/>
      </c>
    </row>
    <row r="3548">
      <c r="M3548" s="2">
        <f>IF(C3548="","",IFERROR(INDEX($S$5:$S$304,MATCH(C3548,$R$5:$R$304,0))&amp;"","?"))</f>
        <v/>
      </c>
      <c r="N3548" s="2">
        <f>IF(E3548="","",IF(ISNUMBER(SEARCH("SUBSOLO",E3548)),IFERROR(-VALUE(LEFT(E3548,FIND("º",SUBSTITUTE(E3548,"°","º"))-1)),-1),IF(LEFT(E3548,6)="TÉRREO",0,IFERROR(VALUE(LEFT(E3548,FIND("º",SUBSTITUTE(E3548,"°","º"))-1)),""))))</f>
        <v/>
      </c>
      <c r="O3548" s="2">
        <f>IF(OR(F3548="",G3548=""),"",IF(G3548&lt;='RETRATO 2027'!$K$5,"CONCLUÍDA",IF(F3548&lt;='RETRATO 2027'!$K$5,"EM ANDAMENTO","A INICIAR")))</f>
        <v/>
      </c>
    </row>
    <row r="3549">
      <c r="M3549" s="2">
        <f>IF(C3549="","",IFERROR(INDEX($S$5:$S$304,MATCH(C3549,$R$5:$R$304,0))&amp;"","?"))</f>
        <v/>
      </c>
      <c r="N3549" s="2">
        <f>IF(E3549="","",IF(ISNUMBER(SEARCH("SUBSOLO",E3549)),IFERROR(-VALUE(LEFT(E3549,FIND("º",SUBSTITUTE(E3549,"°","º"))-1)),-1),IF(LEFT(E3549,6)="TÉRREO",0,IFERROR(VALUE(LEFT(E3549,FIND("º",SUBSTITUTE(E3549,"°","º"))-1)),""))))</f>
        <v/>
      </c>
      <c r="O3549" s="2">
        <f>IF(OR(F3549="",G3549=""),"",IF(G3549&lt;='RETRATO 2027'!$K$5,"CONCLUÍDA",IF(F3549&lt;='RETRATO 2027'!$K$5,"EM ANDAMENTO","A INICIAR")))</f>
        <v/>
      </c>
    </row>
    <row r="3550">
      <c r="M3550" s="2">
        <f>IF(C3550="","",IFERROR(INDEX($S$5:$S$304,MATCH(C3550,$R$5:$R$304,0))&amp;"","?"))</f>
        <v/>
      </c>
      <c r="N3550" s="2">
        <f>IF(E3550="","",IF(ISNUMBER(SEARCH("SUBSOLO",E3550)),IFERROR(-VALUE(LEFT(E3550,FIND("º",SUBSTITUTE(E3550,"°","º"))-1)),-1),IF(LEFT(E3550,6)="TÉRREO",0,IFERROR(VALUE(LEFT(E3550,FIND("º",SUBSTITUTE(E3550,"°","º"))-1)),""))))</f>
        <v/>
      </c>
      <c r="O3550" s="2">
        <f>IF(OR(F3550="",G3550=""),"",IF(G3550&lt;='RETRATO 2027'!$K$5,"CONCLUÍDA",IF(F3550&lt;='RETRATO 2027'!$K$5,"EM ANDAMENTO","A INICIAR")))</f>
        <v/>
      </c>
    </row>
    <row r="3551">
      <c r="M3551" s="2">
        <f>IF(C3551="","",IFERROR(INDEX($S$5:$S$304,MATCH(C3551,$R$5:$R$304,0))&amp;"","?"))</f>
        <v/>
      </c>
      <c r="N3551" s="2">
        <f>IF(E3551="","",IF(ISNUMBER(SEARCH("SUBSOLO",E3551)),IFERROR(-VALUE(LEFT(E3551,FIND("º",SUBSTITUTE(E3551,"°","º"))-1)),-1),IF(LEFT(E3551,6)="TÉRREO",0,IFERROR(VALUE(LEFT(E3551,FIND("º",SUBSTITUTE(E3551,"°","º"))-1)),""))))</f>
        <v/>
      </c>
      <c r="O3551" s="2">
        <f>IF(OR(F3551="",G3551=""),"",IF(G3551&lt;='RETRATO 2027'!$K$5,"CONCLUÍDA",IF(F3551&lt;='RETRATO 2027'!$K$5,"EM ANDAMENTO","A INICIAR")))</f>
        <v/>
      </c>
    </row>
    <row r="3552">
      <c r="M3552" s="2">
        <f>IF(C3552="","",IFERROR(INDEX($S$5:$S$304,MATCH(C3552,$R$5:$R$304,0))&amp;"","?"))</f>
        <v/>
      </c>
      <c r="N3552" s="2">
        <f>IF(E3552="","",IF(ISNUMBER(SEARCH("SUBSOLO",E3552)),IFERROR(-VALUE(LEFT(E3552,FIND("º",SUBSTITUTE(E3552,"°","º"))-1)),-1),IF(LEFT(E3552,6)="TÉRREO",0,IFERROR(VALUE(LEFT(E3552,FIND("º",SUBSTITUTE(E3552,"°","º"))-1)),""))))</f>
        <v/>
      </c>
      <c r="O3552" s="2">
        <f>IF(OR(F3552="",G3552=""),"",IF(G3552&lt;='RETRATO 2027'!$K$5,"CONCLUÍDA",IF(F3552&lt;='RETRATO 2027'!$K$5,"EM ANDAMENTO","A INICIAR")))</f>
        <v/>
      </c>
    </row>
    <row r="3553">
      <c r="M3553" s="2">
        <f>IF(C3553="","",IFERROR(INDEX($S$5:$S$304,MATCH(C3553,$R$5:$R$304,0))&amp;"","?"))</f>
        <v/>
      </c>
      <c r="N3553" s="2">
        <f>IF(E3553="","",IF(ISNUMBER(SEARCH("SUBSOLO",E3553)),IFERROR(-VALUE(LEFT(E3553,FIND("º",SUBSTITUTE(E3553,"°","º"))-1)),-1),IF(LEFT(E3553,6)="TÉRREO",0,IFERROR(VALUE(LEFT(E3553,FIND("º",SUBSTITUTE(E3553,"°","º"))-1)),""))))</f>
        <v/>
      </c>
      <c r="O3553" s="2">
        <f>IF(OR(F3553="",G3553=""),"",IF(G3553&lt;='RETRATO 2027'!$K$5,"CONCLUÍDA",IF(F3553&lt;='RETRATO 2027'!$K$5,"EM ANDAMENTO","A INICIAR")))</f>
        <v/>
      </c>
    </row>
    <row r="3554">
      <c r="M3554" s="2">
        <f>IF(C3554="","",IFERROR(INDEX($S$5:$S$304,MATCH(C3554,$R$5:$R$304,0))&amp;"","?"))</f>
        <v/>
      </c>
      <c r="N3554" s="2">
        <f>IF(E3554="","",IF(ISNUMBER(SEARCH("SUBSOLO",E3554)),IFERROR(-VALUE(LEFT(E3554,FIND("º",SUBSTITUTE(E3554,"°","º"))-1)),-1),IF(LEFT(E3554,6)="TÉRREO",0,IFERROR(VALUE(LEFT(E3554,FIND("º",SUBSTITUTE(E3554,"°","º"))-1)),""))))</f>
        <v/>
      </c>
      <c r="O3554" s="2">
        <f>IF(OR(F3554="",G3554=""),"",IF(G3554&lt;='RETRATO 2027'!$K$5,"CONCLUÍDA",IF(F3554&lt;='RETRATO 2027'!$K$5,"EM ANDAMENTO","A INICIAR")))</f>
        <v/>
      </c>
    </row>
    <row r="3555">
      <c r="M3555" s="2">
        <f>IF(C3555="","",IFERROR(INDEX($S$5:$S$304,MATCH(C3555,$R$5:$R$304,0))&amp;"","?"))</f>
        <v/>
      </c>
      <c r="N3555" s="2">
        <f>IF(E3555="","",IF(ISNUMBER(SEARCH("SUBSOLO",E3555)),IFERROR(-VALUE(LEFT(E3555,FIND("º",SUBSTITUTE(E3555,"°","º"))-1)),-1),IF(LEFT(E3555,6)="TÉRREO",0,IFERROR(VALUE(LEFT(E3555,FIND("º",SUBSTITUTE(E3555,"°","º"))-1)),""))))</f>
        <v/>
      </c>
      <c r="O3555" s="2">
        <f>IF(OR(F3555="",G3555=""),"",IF(G3555&lt;='RETRATO 2027'!$K$5,"CONCLUÍDA",IF(F3555&lt;='RETRATO 2027'!$K$5,"EM ANDAMENTO","A INICIAR")))</f>
        <v/>
      </c>
    </row>
    <row r="3556">
      <c r="M3556" s="2">
        <f>IF(C3556="","",IFERROR(INDEX($S$5:$S$304,MATCH(C3556,$R$5:$R$304,0))&amp;"","?"))</f>
        <v/>
      </c>
      <c r="N3556" s="2">
        <f>IF(E3556="","",IF(ISNUMBER(SEARCH("SUBSOLO",E3556)),IFERROR(-VALUE(LEFT(E3556,FIND("º",SUBSTITUTE(E3556,"°","º"))-1)),-1),IF(LEFT(E3556,6)="TÉRREO",0,IFERROR(VALUE(LEFT(E3556,FIND("º",SUBSTITUTE(E3556,"°","º"))-1)),""))))</f>
        <v/>
      </c>
      <c r="O3556" s="2">
        <f>IF(OR(F3556="",G3556=""),"",IF(G3556&lt;='RETRATO 2027'!$K$5,"CONCLUÍDA",IF(F3556&lt;='RETRATO 2027'!$K$5,"EM ANDAMENTO","A INICIAR")))</f>
        <v/>
      </c>
    </row>
    <row r="3557">
      <c r="M3557" s="2">
        <f>IF(C3557="","",IFERROR(INDEX($S$5:$S$304,MATCH(C3557,$R$5:$R$304,0))&amp;"","?"))</f>
        <v/>
      </c>
      <c r="N3557" s="2">
        <f>IF(E3557="","",IF(ISNUMBER(SEARCH("SUBSOLO",E3557)),IFERROR(-VALUE(LEFT(E3557,FIND("º",SUBSTITUTE(E3557,"°","º"))-1)),-1),IF(LEFT(E3557,6)="TÉRREO",0,IFERROR(VALUE(LEFT(E3557,FIND("º",SUBSTITUTE(E3557,"°","º"))-1)),""))))</f>
        <v/>
      </c>
      <c r="O3557" s="2">
        <f>IF(OR(F3557="",G3557=""),"",IF(G3557&lt;='RETRATO 2027'!$K$5,"CONCLUÍDA",IF(F3557&lt;='RETRATO 2027'!$K$5,"EM ANDAMENTO","A INICIAR")))</f>
        <v/>
      </c>
    </row>
    <row r="3558">
      <c r="M3558" s="2">
        <f>IF(C3558="","",IFERROR(INDEX($S$5:$S$304,MATCH(C3558,$R$5:$R$304,0))&amp;"","?"))</f>
        <v/>
      </c>
      <c r="N3558" s="2">
        <f>IF(E3558="","",IF(ISNUMBER(SEARCH("SUBSOLO",E3558)),IFERROR(-VALUE(LEFT(E3558,FIND("º",SUBSTITUTE(E3558,"°","º"))-1)),-1),IF(LEFT(E3558,6)="TÉRREO",0,IFERROR(VALUE(LEFT(E3558,FIND("º",SUBSTITUTE(E3558,"°","º"))-1)),""))))</f>
        <v/>
      </c>
      <c r="O3558" s="2">
        <f>IF(OR(F3558="",G3558=""),"",IF(G3558&lt;='RETRATO 2027'!$K$5,"CONCLUÍDA",IF(F3558&lt;='RETRATO 2027'!$K$5,"EM ANDAMENTO","A INICIAR")))</f>
        <v/>
      </c>
    </row>
    <row r="3559">
      <c r="M3559" s="2">
        <f>IF(C3559="","",IFERROR(INDEX($S$5:$S$304,MATCH(C3559,$R$5:$R$304,0))&amp;"","?"))</f>
        <v/>
      </c>
      <c r="N3559" s="2">
        <f>IF(E3559="","",IF(ISNUMBER(SEARCH("SUBSOLO",E3559)),IFERROR(-VALUE(LEFT(E3559,FIND("º",SUBSTITUTE(E3559,"°","º"))-1)),-1),IF(LEFT(E3559,6)="TÉRREO",0,IFERROR(VALUE(LEFT(E3559,FIND("º",SUBSTITUTE(E3559,"°","º"))-1)),""))))</f>
        <v/>
      </c>
      <c r="O3559" s="2">
        <f>IF(OR(F3559="",G3559=""),"",IF(G3559&lt;='RETRATO 2027'!$K$5,"CONCLUÍDA",IF(F3559&lt;='RETRATO 2027'!$K$5,"EM ANDAMENTO","A INICIAR")))</f>
        <v/>
      </c>
    </row>
    <row r="3560">
      <c r="M3560" s="2">
        <f>IF(C3560="","",IFERROR(INDEX($S$5:$S$304,MATCH(C3560,$R$5:$R$304,0))&amp;"","?"))</f>
        <v/>
      </c>
      <c r="N3560" s="2">
        <f>IF(E3560="","",IF(ISNUMBER(SEARCH("SUBSOLO",E3560)),IFERROR(-VALUE(LEFT(E3560,FIND("º",SUBSTITUTE(E3560,"°","º"))-1)),-1),IF(LEFT(E3560,6)="TÉRREO",0,IFERROR(VALUE(LEFT(E3560,FIND("º",SUBSTITUTE(E3560,"°","º"))-1)),""))))</f>
        <v/>
      </c>
      <c r="O3560" s="2">
        <f>IF(OR(F3560="",G3560=""),"",IF(G3560&lt;='RETRATO 2027'!$K$5,"CONCLUÍDA",IF(F3560&lt;='RETRATO 2027'!$K$5,"EM ANDAMENTO","A INICIAR")))</f>
        <v/>
      </c>
    </row>
    <row r="3561">
      <c r="M3561" s="2">
        <f>IF(C3561="","",IFERROR(INDEX($S$5:$S$304,MATCH(C3561,$R$5:$R$304,0))&amp;"","?"))</f>
        <v/>
      </c>
      <c r="N3561" s="2">
        <f>IF(E3561="","",IF(ISNUMBER(SEARCH("SUBSOLO",E3561)),IFERROR(-VALUE(LEFT(E3561,FIND("º",SUBSTITUTE(E3561,"°","º"))-1)),-1),IF(LEFT(E3561,6)="TÉRREO",0,IFERROR(VALUE(LEFT(E3561,FIND("º",SUBSTITUTE(E3561,"°","º"))-1)),""))))</f>
        <v/>
      </c>
      <c r="O3561" s="2">
        <f>IF(OR(F3561="",G3561=""),"",IF(G3561&lt;='RETRATO 2027'!$K$5,"CONCLUÍDA",IF(F3561&lt;='RETRATO 2027'!$K$5,"EM ANDAMENTO","A INICIAR")))</f>
        <v/>
      </c>
    </row>
    <row r="3562">
      <c r="M3562" s="2">
        <f>IF(C3562="","",IFERROR(INDEX($S$5:$S$304,MATCH(C3562,$R$5:$R$304,0))&amp;"","?"))</f>
        <v/>
      </c>
      <c r="N3562" s="2">
        <f>IF(E3562="","",IF(ISNUMBER(SEARCH("SUBSOLO",E3562)),IFERROR(-VALUE(LEFT(E3562,FIND("º",SUBSTITUTE(E3562,"°","º"))-1)),-1),IF(LEFT(E3562,6)="TÉRREO",0,IFERROR(VALUE(LEFT(E3562,FIND("º",SUBSTITUTE(E3562,"°","º"))-1)),""))))</f>
        <v/>
      </c>
      <c r="O3562" s="2">
        <f>IF(OR(F3562="",G3562=""),"",IF(G3562&lt;='RETRATO 2027'!$K$5,"CONCLUÍDA",IF(F3562&lt;='RETRATO 2027'!$K$5,"EM ANDAMENTO","A INICIAR")))</f>
        <v/>
      </c>
    </row>
    <row r="3563">
      <c r="M3563" s="2">
        <f>IF(C3563="","",IFERROR(INDEX($S$5:$S$304,MATCH(C3563,$R$5:$R$304,0))&amp;"","?"))</f>
        <v/>
      </c>
      <c r="N3563" s="2">
        <f>IF(E3563="","",IF(ISNUMBER(SEARCH("SUBSOLO",E3563)),IFERROR(-VALUE(LEFT(E3563,FIND("º",SUBSTITUTE(E3563,"°","º"))-1)),-1),IF(LEFT(E3563,6)="TÉRREO",0,IFERROR(VALUE(LEFT(E3563,FIND("º",SUBSTITUTE(E3563,"°","º"))-1)),""))))</f>
        <v/>
      </c>
      <c r="O3563" s="2">
        <f>IF(OR(F3563="",G3563=""),"",IF(G3563&lt;='RETRATO 2027'!$K$5,"CONCLUÍDA",IF(F3563&lt;='RETRATO 2027'!$K$5,"EM ANDAMENTO","A INICIAR")))</f>
        <v/>
      </c>
    </row>
    <row r="3564">
      <c r="M3564" s="2">
        <f>IF(C3564="","",IFERROR(INDEX($S$5:$S$304,MATCH(C3564,$R$5:$R$304,0))&amp;"","?"))</f>
        <v/>
      </c>
      <c r="N3564" s="2">
        <f>IF(E3564="","",IF(ISNUMBER(SEARCH("SUBSOLO",E3564)),IFERROR(-VALUE(LEFT(E3564,FIND("º",SUBSTITUTE(E3564,"°","º"))-1)),-1),IF(LEFT(E3564,6)="TÉRREO",0,IFERROR(VALUE(LEFT(E3564,FIND("º",SUBSTITUTE(E3564,"°","º"))-1)),""))))</f>
        <v/>
      </c>
      <c r="O3564" s="2">
        <f>IF(OR(F3564="",G3564=""),"",IF(G3564&lt;='RETRATO 2027'!$K$5,"CONCLUÍDA",IF(F3564&lt;='RETRATO 2027'!$K$5,"EM ANDAMENTO","A INICIAR")))</f>
        <v/>
      </c>
    </row>
    <row r="3565">
      <c r="M3565" s="2">
        <f>IF(C3565="","",IFERROR(INDEX($S$5:$S$304,MATCH(C3565,$R$5:$R$304,0))&amp;"","?"))</f>
        <v/>
      </c>
      <c r="N3565" s="2">
        <f>IF(E3565="","",IF(ISNUMBER(SEARCH("SUBSOLO",E3565)),IFERROR(-VALUE(LEFT(E3565,FIND("º",SUBSTITUTE(E3565,"°","º"))-1)),-1),IF(LEFT(E3565,6)="TÉRREO",0,IFERROR(VALUE(LEFT(E3565,FIND("º",SUBSTITUTE(E3565,"°","º"))-1)),""))))</f>
        <v/>
      </c>
      <c r="O3565" s="2">
        <f>IF(OR(F3565="",G3565=""),"",IF(G3565&lt;='RETRATO 2027'!$K$5,"CONCLUÍDA",IF(F3565&lt;='RETRATO 2027'!$K$5,"EM ANDAMENTO","A INICIAR")))</f>
        <v/>
      </c>
    </row>
    <row r="3566">
      <c r="M3566" s="2">
        <f>IF(C3566="","",IFERROR(INDEX($S$5:$S$304,MATCH(C3566,$R$5:$R$304,0))&amp;"","?"))</f>
        <v/>
      </c>
      <c r="N3566" s="2">
        <f>IF(E3566="","",IF(ISNUMBER(SEARCH("SUBSOLO",E3566)),IFERROR(-VALUE(LEFT(E3566,FIND("º",SUBSTITUTE(E3566,"°","º"))-1)),-1),IF(LEFT(E3566,6)="TÉRREO",0,IFERROR(VALUE(LEFT(E3566,FIND("º",SUBSTITUTE(E3566,"°","º"))-1)),""))))</f>
        <v/>
      </c>
      <c r="O3566" s="2">
        <f>IF(OR(F3566="",G3566=""),"",IF(G3566&lt;='RETRATO 2027'!$K$5,"CONCLUÍDA",IF(F3566&lt;='RETRATO 2027'!$K$5,"EM ANDAMENTO","A INICIAR")))</f>
        <v/>
      </c>
    </row>
    <row r="3567">
      <c r="M3567" s="2">
        <f>IF(C3567="","",IFERROR(INDEX($S$5:$S$304,MATCH(C3567,$R$5:$R$304,0))&amp;"","?"))</f>
        <v/>
      </c>
      <c r="N3567" s="2">
        <f>IF(E3567="","",IF(ISNUMBER(SEARCH("SUBSOLO",E3567)),IFERROR(-VALUE(LEFT(E3567,FIND("º",SUBSTITUTE(E3567,"°","º"))-1)),-1),IF(LEFT(E3567,6)="TÉRREO",0,IFERROR(VALUE(LEFT(E3567,FIND("º",SUBSTITUTE(E3567,"°","º"))-1)),""))))</f>
        <v/>
      </c>
      <c r="O3567" s="2">
        <f>IF(OR(F3567="",G3567=""),"",IF(G3567&lt;='RETRATO 2027'!$K$5,"CONCLUÍDA",IF(F3567&lt;='RETRATO 2027'!$K$5,"EM ANDAMENTO","A INICIAR")))</f>
        <v/>
      </c>
    </row>
    <row r="3568">
      <c r="M3568" s="2">
        <f>IF(C3568="","",IFERROR(INDEX($S$5:$S$304,MATCH(C3568,$R$5:$R$304,0))&amp;"","?"))</f>
        <v/>
      </c>
      <c r="N3568" s="2">
        <f>IF(E3568="","",IF(ISNUMBER(SEARCH("SUBSOLO",E3568)),IFERROR(-VALUE(LEFT(E3568,FIND("º",SUBSTITUTE(E3568,"°","º"))-1)),-1),IF(LEFT(E3568,6)="TÉRREO",0,IFERROR(VALUE(LEFT(E3568,FIND("º",SUBSTITUTE(E3568,"°","º"))-1)),""))))</f>
        <v/>
      </c>
      <c r="O3568" s="2">
        <f>IF(OR(F3568="",G3568=""),"",IF(G3568&lt;='RETRATO 2027'!$K$5,"CONCLUÍDA",IF(F3568&lt;='RETRATO 2027'!$K$5,"EM ANDAMENTO","A INICIAR")))</f>
        <v/>
      </c>
    </row>
    <row r="3569">
      <c r="M3569" s="2">
        <f>IF(C3569="","",IFERROR(INDEX($S$5:$S$304,MATCH(C3569,$R$5:$R$304,0))&amp;"","?"))</f>
        <v/>
      </c>
      <c r="N3569" s="2">
        <f>IF(E3569="","",IF(ISNUMBER(SEARCH("SUBSOLO",E3569)),IFERROR(-VALUE(LEFT(E3569,FIND("º",SUBSTITUTE(E3569,"°","º"))-1)),-1),IF(LEFT(E3569,6)="TÉRREO",0,IFERROR(VALUE(LEFT(E3569,FIND("º",SUBSTITUTE(E3569,"°","º"))-1)),""))))</f>
        <v/>
      </c>
      <c r="O3569" s="2">
        <f>IF(OR(F3569="",G3569=""),"",IF(G3569&lt;='RETRATO 2027'!$K$5,"CONCLUÍDA",IF(F3569&lt;='RETRATO 2027'!$K$5,"EM ANDAMENTO","A INICIAR")))</f>
        <v/>
      </c>
    </row>
    <row r="3570">
      <c r="M3570" s="2">
        <f>IF(C3570="","",IFERROR(INDEX($S$5:$S$304,MATCH(C3570,$R$5:$R$304,0))&amp;"","?"))</f>
        <v/>
      </c>
      <c r="N3570" s="2">
        <f>IF(E3570="","",IF(ISNUMBER(SEARCH("SUBSOLO",E3570)),IFERROR(-VALUE(LEFT(E3570,FIND("º",SUBSTITUTE(E3570,"°","º"))-1)),-1),IF(LEFT(E3570,6)="TÉRREO",0,IFERROR(VALUE(LEFT(E3570,FIND("º",SUBSTITUTE(E3570,"°","º"))-1)),""))))</f>
        <v/>
      </c>
      <c r="O3570" s="2">
        <f>IF(OR(F3570="",G3570=""),"",IF(G3570&lt;='RETRATO 2027'!$K$5,"CONCLUÍDA",IF(F3570&lt;='RETRATO 2027'!$K$5,"EM ANDAMENTO","A INICIAR")))</f>
        <v/>
      </c>
    </row>
    <row r="3571">
      <c r="M3571" s="2">
        <f>IF(C3571="","",IFERROR(INDEX($S$5:$S$304,MATCH(C3571,$R$5:$R$304,0))&amp;"","?"))</f>
        <v/>
      </c>
      <c r="N3571" s="2">
        <f>IF(E3571="","",IF(ISNUMBER(SEARCH("SUBSOLO",E3571)),IFERROR(-VALUE(LEFT(E3571,FIND("º",SUBSTITUTE(E3571,"°","º"))-1)),-1),IF(LEFT(E3571,6)="TÉRREO",0,IFERROR(VALUE(LEFT(E3571,FIND("º",SUBSTITUTE(E3571,"°","º"))-1)),""))))</f>
        <v/>
      </c>
      <c r="O3571" s="2">
        <f>IF(OR(F3571="",G3571=""),"",IF(G3571&lt;='RETRATO 2027'!$K$5,"CONCLUÍDA",IF(F3571&lt;='RETRATO 2027'!$K$5,"EM ANDAMENTO","A INICIAR")))</f>
        <v/>
      </c>
    </row>
    <row r="3572">
      <c r="M3572" s="2">
        <f>IF(C3572="","",IFERROR(INDEX($S$5:$S$304,MATCH(C3572,$R$5:$R$304,0))&amp;"","?"))</f>
        <v/>
      </c>
      <c r="N3572" s="2">
        <f>IF(E3572="","",IF(ISNUMBER(SEARCH("SUBSOLO",E3572)),IFERROR(-VALUE(LEFT(E3572,FIND("º",SUBSTITUTE(E3572,"°","º"))-1)),-1),IF(LEFT(E3572,6)="TÉRREO",0,IFERROR(VALUE(LEFT(E3572,FIND("º",SUBSTITUTE(E3572,"°","º"))-1)),""))))</f>
        <v/>
      </c>
      <c r="O3572" s="2">
        <f>IF(OR(F3572="",G3572=""),"",IF(G3572&lt;='RETRATO 2027'!$K$5,"CONCLUÍDA",IF(F3572&lt;='RETRATO 2027'!$K$5,"EM ANDAMENTO","A INICIAR")))</f>
        <v/>
      </c>
    </row>
    <row r="3573">
      <c r="M3573" s="2">
        <f>IF(C3573="","",IFERROR(INDEX($S$5:$S$304,MATCH(C3573,$R$5:$R$304,0))&amp;"","?"))</f>
        <v/>
      </c>
      <c r="N3573" s="2">
        <f>IF(E3573="","",IF(ISNUMBER(SEARCH("SUBSOLO",E3573)),IFERROR(-VALUE(LEFT(E3573,FIND("º",SUBSTITUTE(E3573,"°","º"))-1)),-1),IF(LEFT(E3573,6)="TÉRREO",0,IFERROR(VALUE(LEFT(E3573,FIND("º",SUBSTITUTE(E3573,"°","º"))-1)),""))))</f>
        <v/>
      </c>
      <c r="O3573" s="2">
        <f>IF(OR(F3573="",G3573=""),"",IF(G3573&lt;='RETRATO 2027'!$K$5,"CONCLUÍDA",IF(F3573&lt;='RETRATO 2027'!$K$5,"EM ANDAMENTO","A INICIAR")))</f>
        <v/>
      </c>
    </row>
    <row r="3574">
      <c r="M3574" s="2">
        <f>IF(C3574="","",IFERROR(INDEX($S$5:$S$304,MATCH(C3574,$R$5:$R$304,0))&amp;"","?"))</f>
        <v/>
      </c>
      <c r="N3574" s="2">
        <f>IF(E3574="","",IF(ISNUMBER(SEARCH("SUBSOLO",E3574)),IFERROR(-VALUE(LEFT(E3574,FIND("º",SUBSTITUTE(E3574,"°","º"))-1)),-1),IF(LEFT(E3574,6)="TÉRREO",0,IFERROR(VALUE(LEFT(E3574,FIND("º",SUBSTITUTE(E3574,"°","º"))-1)),""))))</f>
        <v/>
      </c>
      <c r="O3574" s="2">
        <f>IF(OR(F3574="",G3574=""),"",IF(G3574&lt;='RETRATO 2027'!$K$5,"CONCLUÍDA",IF(F3574&lt;='RETRATO 2027'!$K$5,"EM ANDAMENTO","A INICIAR")))</f>
        <v/>
      </c>
    </row>
    <row r="3575">
      <c r="M3575" s="2">
        <f>IF(C3575="","",IFERROR(INDEX($S$5:$S$304,MATCH(C3575,$R$5:$R$304,0))&amp;"","?"))</f>
        <v/>
      </c>
      <c r="N3575" s="2">
        <f>IF(E3575="","",IF(ISNUMBER(SEARCH("SUBSOLO",E3575)),IFERROR(-VALUE(LEFT(E3575,FIND("º",SUBSTITUTE(E3575,"°","º"))-1)),-1),IF(LEFT(E3575,6)="TÉRREO",0,IFERROR(VALUE(LEFT(E3575,FIND("º",SUBSTITUTE(E3575,"°","º"))-1)),""))))</f>
        <v/>
      </c>
      <c r="O3575" s="2">
        <f>IF(OR(F3575="",G3575=""),"",IF(G3575&lt;='RETRATO 2027'!$K$5,"CONCLUÍDA",IF(F3575&lt;='RETRATO 2027'!$K$5,"EM ANDAMENTO","A INICIAR")))</f>
        <v/>
      </c>
    </row>
    <row r="3576">
      <c r="M3576" s="2">
        <f>IF(C3576="","",IFERROR(INDEX($S$5:$S$304,MATCH(C3576,$R$5:$R$304,0))&amp;"","?"))</f>
        <v/>
      </c>
      <c r="N3576" s="2">
        <f>IF(E3576="","",IF(ISNUMBER(SEARCH("SUBSOLO",E3576)),IFERROR(-VALUE(LEFT(E3576,FIND("º",SUBSTITUTE(E3576,"°","º"))-1)),-1),IF(LEFT(E3576,6)="TÉRREO",0,IFERROR(VALUE(LEFT(E3576,FIND("º",SUBSTITUTE(E3576,"°","º"))-1)),""))))</f>
        <v/>
      </c>
      <c r="O3576" s="2">
        <f>IF(OR(F3576="",G3576=""),"",IF(G3576&lt;='RETRATO 2027'!$K$5,"CONCLUÍDA",IF(F3576&lt;='RETRATO 2027'!$K$5,"EM ANDAMENTO","A INICIAR")))</f>
        <v/>
      </c>
    </row>
    <row r="3577">
      <c r="M3577" s="2">
        <f>IF(C3577="","",IFERROR(INDEX($S$5:$S$304,MATCH(C3577,$R$5:$R$304,0))&amp;"","?"))</f>
        <v/>
      </c>
      <c r="N3577" s="2">
        <f>IF(E3577="","",IF(ISNUMBER(SEARCH("SUBSOLO",E3577)),IFERROR(-VALUE(LEFT(E3577,FIND("º",SUBSTITUTE(E3577,"°","º"))-1)),-1),IF(LEFT(E3577,6)="TÉRREO",0,IFERROR(VALUE(LEFT(E3577,FIND("º",SUBSTITUTE(E3577,"°","º"))-1)),""))))</f>
        <v/>
      </c>
      <c r="O3577" s="2">
        <f>IF(OR(F3577="",G3577=""),"",IF(G3577&lt;='RETRATO 2027'!$K$5,"CONCLUÍDA",IF(F3577&lt;='RETRATO 2027'!$K$5,"EM ANDAMENTO","A INICIAR")))</f>
        <v/>
      </c>
    </row>
    <row r="3578">
      <c r="M3578" s="2">
        <f>IF(C3578="","",IFERROR(INDEX($S$5:$S$304,MATCH(C3578,$R$5:$R$304,0))&amp;"","?"))</f>
        <v/>
      </c>
      <c r="N3578" s="2">
        <f>IF(E3578="","",IF(ISNUMBER(SEARCH("SUBSOLO",E3578)),IFERROR(-VALUE(LEFT(E3578,FIND("º",SUBSTITUTE(E3578,"°","º"))-1)),-1),IF(LEFT(E3578,6)="TÉRREO",0,IFERROR(VALUE(LEFT(E3578,FIND("º",SUBSTITUTE(E3578,"°","º"))-1)),""))))</f>
        <v/>
      </c>
      <c r="O3578" s="2">
        <f>IF(OR(F3578="",G3578=""),"",IF(G3578&lt;='RETRATO 2027'!$K$5,"CONCLUÍDA",IF(F3578&lt;='RETRATO 2027'!$K$5,"EM ANDAMENTO","A INICIAR")))</f>
        <v/>
      </c>
    </row>
    <row r="3579">
      <c r="M3579" s="2">
        <f>IF(C3579="","",IFERROR(INDEX($S$5:$S$304,MATCH(C3579,$R$5:$R$304,0))&amp;"","?"))</f>
        <v/>
      </c>
      <c r="N3579" s="2">
        <f>IF(E3579="","",IF(ISNUMBER(SEARCH("SUBSOLO",E3579)),IFERROR(-VALUE(LEFT(E3579,FIND("º",SUBSTITUTE(E3579,"°","º"))-1)),-1),IF(LEFT(E3579,6)="TÉRREO",0,IFERROR(VALUE(LEFT(E3579,FIND("º",SUBSTITUTE(E3579,"°","º"))-1)),""))))</f>
        <v/>
      </c>
      <c r="O3579" s="2">
        <f>IF(OR(F3579="",G3579=""),"",IF(G3579&lt;='RETRATO 2027'!$K$5,"CONCLUÍDA",IF(F3579&lt;='RETRATO 2027'!$K$5,"EM ANDAMENTO","A INICIAR")))</f>
        <v/>
      </c>
    </row>
    <row r="3580">
      <c r="M3580" s="2">
        <f>IF(C3580="","",IFERROR(INDEX($S$5:$S$304,MATCH(C3580,$R$5:$R$304,0))&amp;"","?"))</f>
        <v/>
      </c>
      <c r="N3580" s="2">
        <f>IF(E3580="","",IF(ISNUMBER(SEARCH("SUBSOLO",E3580)),IFERROR(-VALUE(LEFT(E3580,FIND("º",SUBSTITUTE(E3580,"°","º"))-1)),-1),IF(LEFT(E3580,6)="TÉRREO",0,IFERROR(VALUE(LEFT(E3580,FIND("º",SUBSTITUTE(E3580,"°","º"))-1)),""))))</f>
        <v/>
      </c>
      <c r="O3580" s="2">
        <f>IF(OR(F3580="",G3580=""),"",IF(G3580&lt;='RETRATO 2027'!$K$5,"CONCLUÍDA",IF(F3580&lt;='RETRATO 2027'!$K$5,"EM ANDAMENTO","A INICIAR")))</f>
        <v/>
      </c>
    </row>
    <row r="3581">
      <c r="M3581" s="2">
        <f>IF(C3581="","",IFERROR(INDEX($S$5:$S$304,MATCH(C3581,$R$5:$R$304,0))&amp;"","?"))</f>
        <v/>
      </c>
      <c r="N3581" s="2">
        <f>IF(E3581="","",IF(ISNUMBER(SEARCH("SUBSOLO",E3581)),IFERROR(-VALUE(LEFT(E3581,FIND("º",SUBSTITUTE(E3581,"°","º"))-1)),-1),IF(LEFT(E3581,6)="TÉRREO",0,IFERROR(VALUE(LEFT(E3581,FIND("º",SUBSTITUTE(E3581,"°","º"))-1)),""))))</f>
        <v/>
      </c>
      <c r="O3581" s="2">
        <f>IF(OR(F3581="",G3581=""),"",IF(G3581&lt;='RETRATO 2027'!$K$5,"CONCLUÍDA",IF(F3581&lt;='RETRATO 2027'!$K$5,"EM ANDAMENTO","A INICIAR")))</f>
        <v/>
      </c>
    </row>
    <row r="3582">
      <c r="M3582" s="2">
        <f>IF(C3582="","",IFERROR(INDEX($S$5:$S$304,MATCH(C3582,$R$5:$R$304,0))&amp;"","?"))</f>
        <v/>
      </c>
      <c r="N3582" s="2">
        <f>IF(E3582="","",IF(ISNUMBER(SEARCH("SUBSOLO",E3582)),IFERROR(-VALUE(LEFT(E3582,FIND("º",SUBSTITUTE(E3582,"°","º"))-1)),-1),IF(LEFT(E3582,6)="TÉRREO",0,IFERROR(VALUE(LEFT(E3582,FIND("º",SUBSTITUTE(E3582,"°","º"))-1)),""))))</f>
        <v/>
      </c>
      <c r="O3582" s="2">
        <f>IF(OR(F3582="",G3582=""),"",IF(G3582&lt;='RETRATO 2027'!$K$5,"CONCLUÍDA",IF(F3582&lt;='RETRATO 2027'!$K$5,"EM ANDAMENTO","A INICIAR")))</f>
        <v/>
      </c>
    </row>
    <row r="3583">
      <c r="M3583" s="2">
        <f>IF(C3583="","",IFERROR(INDEX($S$5:$S$304,MATCH(C3583,$R$5:$R$304,0))&amp;"","?"))</f>
        <v/>
      </c>
      <c r="N3583" s="2">
        <f>IF(E3583="","",IF(ISNUMBER(SEARCH("SUBSOLO",E3583)),IFERROR(-VALUE(LEFT(E3583,FIND("º",SUBSTITUTE(E3583,"°","º"))-1)),-1),IF(LEFT(E3583,6)="TÉRREO",0,IFERROR(VALUE(LEFT(E3583,FIND("º",SUBSTITUTE(E3583,"°","º"))-1)),""))))</f>
        <v/>
      </c>
      <c r="O3583" s="2">
        <f>IF(OR(F3583="",G3583=""),"",IF(G3583&lt;='RETRATO 2027'!$K$5,"CONCLUÍDA",IF(F3583&lt;='RETRATO 2027'!$K$5,"EM ANDAMENTO","A INICIAR")))</f>
        <v/>
      </c>
    </row>
    <row r="3584">
      <c r="M3584" s="2">
        <f>IF(C3584="","",IFERROR(INDEX($S$5:$S$304,MATCH(C3584,$R$5:$R$304,0))&amp;"","?"))</f>
        <v/>
      </c>
      <c r="N3584" s="2">
        <f>IF(E3584="","",IF(ISNUMBER(SEARCH("SUBSOLO",E3584)),IFERROR(-VALUE(LEFT(E3584,FIND("º",SUBSTITUTE(E3584,"°","º"))-1)),-1),IF(LEFT(E3584,6)="TÉRREO",0,IFERROR(VALUE(LEFT(E3584,FIND("º",SUBSTITUTE(E3584,"°","º"))-1)),""))))</f>
        <v/>
      </c>
      <c r="O3584" s="2">
        <f>IF(OR(F3584="",G3584=""),"",IF(G3584&lt;='RETRATO 2027'!$K$5,"CONCLUÍDA",IF(F3584&lt;='RETRATO 2027'!$K$5,"EM ANDAMENTO","A INICIAR")))</f>
        <v/>
      </c>
    </row>
    <row r="3585">
      <c r="M3585" s="2">
        <f>IF(C3585="","",IFERROR(INDEX($S$5:$S$304,MATCH(C3585,$R$5:$R$304,0))&amp;"","?"))</f>
        <v/>
      </c>
      <c r="N3585" s="2">
        <f>IF(E3585="","",IF(ISNUMBER(SEARCH("SUBSOLO",E3585)),IFERROR(-VALUE(LEFT(E3585,FIND("º",SUBSTITUTE(E3585,"°","º"))-1)),-1),IF(LEFT(E3585,6)="TÉRREO",0,IFERROR(VALUE(LEFT(E3585,FIND("º",SUBSTITUTE(E3585,"°","º"))-1)),""))))</f>
        <v/>
      </c>
      <c r="O3585" s="2">
        <f>IF(OR(F3585="",G3585=""),"",IF(G3585&lt;='RETRATO 2027'!$K$5,"CONCLUÍDA",IF(F3585&lt;='RETRATO 2027'!$K$5,"EM ANDAMENTO","A INICIAR")))</f>
        <v/>
      </c>
    </row>
    <row r="3586">
      <c r="M3586" s="2">
        <f>IF(C3586="","",IFERROR(INDEX($S$5:$S$304,MATCH(C3586,$R$5:$R$304,0))&amp;"","?"))</f>
        <v/>
      </c>
      <c r="N3586" s="2">
        <f>IF(E3586="","",IF(ISNUMBER(SEARCH("SUBSOLO",E3586)),IFERROR(-VALUE(LEFT(E3586,FIND("º",SUBSTITUTE(E3586,"°","º"))-1)),-1),IF(LEFT(E3586,6)="TÉRREO",0,IFERROR(VALUE(LEFT(E3586,FIND("º",SUBSTITUTE(E3586,"°","º"))-1)),""))))</f>
        <v/>
      </c>
      <c r="O3586" s="2">
        <f>IF(OR(F3586="",G3586=""),"",IF(G3586&lt;='RETRATO 2027'!$K$5,"CONCLUÍDA",IF(F3586&lt;='RETRATO 2027'!$K$5,"EM ANDAMENTO","A INICIAR")))</f>
        <v/>
      </c>
    </row>
    <row r="3587">
      <c r="M3587" s="2">
        <f>IF(C3587="","",IFERROR(INDEX($S$5:$S$304,MATCH(C3587,$R$5:$R$304,0))&amp;"","?"))</f>
        <v/>
      </c>
      <c r="N3587" s="2">
        <f>IF(E3587="","",IF(ISNUMBER(SEARCH("SUBSOLO",E3587)),IFERROR(-VALUE(LEFT(E3587,FIND("º",SUBSTITUTE(E3587,"°","º"))-1)),-1),IF(LEFT(E3587,6)="TÉRREO",0,IFERROR(VALUE(LEFT(E3587,FIND("º",SUBSTITUTE(E3587,"°","º"))-1)),""))))</f>
        <v/>
      </c>
      <c r="O3587" s="2">
        <f>IF(OR(F3587="",G3587=""),"",IF(G3587&lt;='RETRATO 2027'!$K$5,"CONCLUÍDA",IF(F3587&lt;='RETRATO 2027'!$K$5,"EM ANDAMENTO","A INICIAR")))</f>
        <v/>
      </c>
    </row>
    <row r="3588">
      <c r="M3588" s="2">
        <f>IF(C3588="","",IFERROR(INDEX($S$5:$S$304,MATCH(C3588,$R$5:$R$304,0))&amp;"","?"))</f>
        <v/>
      </c>
      <c r="N3588" s="2">
        <f>IF(E3588="","",IF(ISNUMBER(SEARCH("SUBSOLO",E3588)),IFERROR(-VALUE(LEFT(E3588,FIND("º",SUBSTITUTE(E3588,"°","º"))-1)),-1),IF(LEFT(E3588,6)="TÉRREO",0,IFERROR(VALUE(LEFT(E3588,FIND("º",SUBSTITUTE(E3588,"°","º"))-1)),""))))</f>
        <v/>
      </c>
      <c r="O3588" s="2">
        <f>IF(OR(F3588="",G3588=""),"",IF(G3588&lt;='RETRATO 2027'!$K$5,"CONCLUÍDA",IF(F3588&lt;='RETRATO 2027'!$K$5,"EM ANDAMENTO","A INICIAR")))</f>
        <v/>
      </c>
    </row>
    <row r="3589">
      <c r="M3589" s="2">
        <f>IF(C3589="","",IFERROR(INDEX($S$5:$S$304,MATCH(C3589,$R$5:$R$304,0))&amp;"","?"))</f>
        <v/>
      </c>
      <c r="N3589" s="2">
        <f>IF(E3589="","",IF(ISNUMBER(SEARCH("SUBSOLO",E3589)),IFERROR(-VALUE(LEFT(E3589,FIND("º",SUBSTITUTE(E3589,"°","º"))-1)),-1),IF(LEFT(E3589,6)="TÉRREO",0,IFERROR(VALUE(LEFT(E3589,FIND("º",SUBSTITUTE(E3589,"°","º"))-1)),""))))</f>
        <v/>
      </c>
      <c r="O3589" s="2">
        <f>IF(OR(F3589="",G3589=""),"",IF(G3589&lt;='RETRATO 2027'!$K$5,"CONCLUÍDA",IF(F3589&lt;='RETRATO 2027'!$K$5,"EM ANDAMENTO","A INICIAR")))</f>
        <v/>
      </c>
    </row>
    <row r="3590">
      <c r="M3590" s="2">
        <f>IF(C3590="","",IFERROR(INDEX($S$5:$S$304,MATCH(C3590,$R$5:$R$304,0))&amp;"","?"))</f>
        <v/>
      </c>
      <c r="N3590" s="2">
        <f>IF(E3590="","",IF(ISNUMBER(SEARCH("SUBSOLO",E3590)),IFERROR(-VALUE(LEFT(E3590,FIND("º",SUBSTITUTE(E3590,"°","º"))-1)),-1),IF(LEFT(E3590,6)="TÉRREO",0,IFERROR(VALUE(LEFT(E3590,FIND("º",SUBSTITUTE(E3590,"°","º"))-1)),""))))</f>
        <v/>
      </c>
      <c r="O3590" s="2">
        <f>IF(OR(F3590="",G3590=""),"",IF(G3590&lt;='RETRATO 2027'!$K$5,"CONCLUÍDA",IF(F3590&lt;='RETRATO 2027'!$K$5,"EM ANDAMENTO","A INICIAR")))</f>
        <v/>
      </c>
    </row>
    <row r="3591">
      <c r="M3591" s="2">
        <f>IF(C3591="","",IFERROR(INDEX($S$5:$S$304,MATCH(C3591,$R$5:$R$304,0))&amp;"","?"))</f>
        <v/>
      </c>
      <c r="N3591" s="2">
        <f>IF(E3591="","",IF(ISNUMBER(SEARCH("SUBSOLO",E3591)),IFERROR(-VALUE(LEFT(E3591,FIND("º",SUBSTITUTE(E3591,"°","º"))-1)),-1),IF(LEFT(E3591,6)="TÉRREO",0,IFERROR(VALUE(LEFT(E3591,FIND("º",SUBSTITUTE(E3591,"°","º"))-1)),""))))</f>
        <v/>
      </c>
      <c r="O3591" s="2">
        <f>IF(OR(F3591="",G3591=""),"",IF(G3591&lt;='RETRATO 2027'!$K$5,"CONCLUÍDA",IF(F3591&lt;='RETRATO 2027'!$K$5,"EM ANDAMENTO","A INICIAR")))</f>
        <v/>
      </c>
    </row>
    <row r="3592">
      <c r="M3592" s="2">
        <f>IF(C3592="","",IFERROR(INDEX($S$5:$S$304,MATCH(C3592,$R$5:$R$304,0))&amp;"","?"))</f>
        <v/>
      </c>
      <c r="N3592" s="2">
        <f>IF(E3592="","",IF(ISNUMBER(SEARCH("SUBSOLO",E3592)),IFERROR(-VALUE(LEFT(E3592,FIND("º",SUBSTITUTE(E3592,"°","º"))-1)),-1),IF(LEFT(E3592,6)="TÉRREO",0,IFERROR(VALUE(LEFT(E3592,FIND("º",SUBSTITUTE(E3592,"°","º"))-1)),""))))</f>
        <v/>
      </c>
      <c r="O3592" s="2">
        <f>IF(OR(F3592="",G3592=""),"",IF(G3592&lt;='RETRATO 2027'!$K$5,"CONCLUÍDA",IF(F3592&lt;='RETRATO 2027'!$K$5,"EM ANDAMENTO","A INICIAR")))</f>
        <v/>
      </c>
    </row>
    <row r="3593">
      <c r="M3593" s="2">
        <f>IF(C3593="","",IFERROR(INDEX($S$5:$S$304,MATCH(C3593,$R$5:$R$304,0))&amp;"","?"))</f>
        <v/>
      </c>
      <c r="N3593" s="2">
        <f>IF(E3593="","",IF(ISNUMBER(SEARCH("SUBSOLO",E3593)),IFERROR(-VALUE(LEFT(E3593,FIND("º",SUBSTITUTE(E3593,"°","º"))-1)),-1),IF(LEFT(E3593,6)="TÉRREO",0,IFERROR(VALUE(LEFT(E3593,FIND("º",SUBSTITUTE(E3593,"°","º"))-1)),""))))</f>
        <v/>
      </c>
      <c r="O3593" s="2">
        <f>IF(OR(F3593="",G3593=""),"",IF(G3593&lt;='RETRATO 2027'!$K$5,"CONCLUÍDA",IF(F3593&lt;='RETRATO 2027'!$K$5,"EM ANDAMENTO","A INICIAR")))</f>
        <v/>
      </c>
    </row>
    <row r="3594">
      <c r="M3594" s="2">
        <f>IF(C3594="","",IFERROR(INDEX($S$5:$S$304,MATCH(C3594,$R$5:$R$304,0))&amp;"","?"))</f>
        <v/>
      </c>
      <c r="N3594" s="2">
        <f>IF(E3594="","",IF(ISNUMBER(SEARCH("SUBSOLO",E3594)),IFERROR(-VALUE(LEFT(E3594,FIND("º",SUBSTITUTE(E3594,"°","º"))-1)),-1),IF(LEFT(E3594,6)="TÉRREO",0,IFERROR(VALUE(LEFT(E3594,FIND("º",SUBSTITUTE(E3594,"°","º"))-1)),""))))</f>
        <v/>
      </c>
      <c r="O3594" s="2">
        <f>IF(OR(F3594="",G3594=""),"",IF(G3594&lt;='RETRATO 2027'!$K$5,"CONCLUÍDA",IF(F3594&lt;='RETRATO 2027'!$K$5,"EM ANDAMENTO","A INICIAR")))</f>
        <v/>
      </c>
    </row>
    <row r="3595">
      <c r="M3595" s="2">
        <f>IF(C3595="","",IFERROR(INDEX($S$5:$S$304,MATCH(C3595,$R$5:$R$304,0))&amp;"","?"))</f>
        <v/>
      </c>
      <c r="N3595" s="2">
        <f>IF(E3595="","",IF(ISNUMBER(SEARCH("SUBSOLO",E3595)),IFERROR(-VALUE(LEFT(E3595,FIND("º",SUBSTITUTE(E3595,"°","º"))-1)),-1),IF(LEFT(E3595,6)="TÉRREO",0,IFERROR(VALUE(LEFT(E3595,FIND("º",SUBSTITUTE(E3595,"°","º"))-1)),""))))</f>
        <v/>
      </c>
      <c r="O3595" s="2">
        <f>IF(OR(F3595="",G3595=""),"",IF(G3595&lt;='RETRATO 2027'!$K$5,"CONCLUÍDA",IF(F3595&lt;='RETRATO 2027'!$K$5,"EM ANDAMENTO","A INICIAR")))</f>
        <v/>
      </c>
    </row>
    <row r="3596">
      <c r="M3596" s="2">
        <f>IF(C3596="","",IFERROR(INDEX($S$5:$S$304,MATCH(C3596,$R$5:$R$304,0))&amp;"","?"))</f>
        <v/>
      </c>
      <c r="N3596" s="2">
        <f>IF(E3596="","",IF(ISNUMBER(SEARCH("SUBSOLO",E3596)),IFERROR(-VALUE(LEFT(E3596,FIND("º",SUBSTITUTE(E3596,"°","º"))-1)),-1),IF(LEFT(E3596,6)="TÉRREO",0,IFERROR(VALUE(LEFT(E3596,FIND("º",SUBSTITUTE(E3596,"°","º"))-1)),""))))</f>
        <v/>
      </c>
      <c r="O3596" s="2">
        <f>IF(OR(F3596="",G3596=""),"",IF(G3596&lt;='RETRATO 2027'!$K$5,"CONCLUÍDA",IF(F3596&lt;='RETRATO 2027'!$K$5,"EM ANDAMENTO","A INICIAR")))</f>
        <v/>
      </c>
    </row>
    <row r="3597">
      <c r="M3597" s="2">
        <f>IF(C3597="","",IFERROR(INDEX($S$5:$S$304,MATCH(C3597,$R$5:$R$304,0))&amp;"","?"))</f>
        <v/>
      </c>
      <c r="N3597" s="2">
        <f>IF(E3597="","",IF(ISNUMBER(SEARCH("SUBSOLO",E3597)),IFERROR(-VALUE(LEFT(E3597,FIND("º",SUBSTITUTE(E3597,"°","º"))-1)),-1),IF(LEFT(E3597,6)="TÉRREO",0,IFERROR(VALUE(LEFT(E3597,FIND("º",SUBSTITUTE(E3597,"°","º"))-1)),""))))</f>
        <v/>
      </c>
      <c r="O3597" s="2">
        <f>IF(OR(F3597="",G3597=""),"",IF(G3597&lt;='RETRATO 2027'!$K$5,"CONCLUÍDA",IF(F3597&lt;='RETRATO 2027'!$K$5,"EM ANDAMENTO","A INICIAR")))</f>
        <v/>
      </c>
    </row>
    <row r="3598">
      <c r="M3598" s="2">
        <f>IF(C3598="","",IFERROR(INDEX($S$5:$S$304,MATCH(C3598,$R$5:$R$304,0))&amp;"","?"))</f>
        <v/>
      </c>
      <c r="N3598" s="2">
        <f>IF(E3598="","",IF(ISNUMBER(SEARCH("SUBSOLO",E3598)),IFERROR(-VALUE(LEFT(E3598,FIND("º",SUBSTITUTE(E3598,"°","º"))-1)),-1),IF(LEFT(E3598,6)="TÉRREO",0,IFERROR(VALUE(LEFT(E3598,FIND("º",SUBSTITUTE(E3598,"°","º"))-1)),""))))</f>
        <v/>
      </c>
      <c r="O3598" s="2">
        <f>IF(OR(F3598="",G3598=""),"",IF(G3598&lt;='RETRATO 2027'!$K$5,"CONCLUÍDA",IF(F3598&lt;='RETRATO 2027'!$K$5,"EM ANDAMENTO","A INICIAR")))</f>
        <v/>
      </c>
    </row>
    <row r="3599">
      <c r="M3599" s="2">
        <f>IF(C3599="","",IFERROR(INDEX($S$5:$S$304,MATCH(C3599,$R$5:$R$304,0))&amp;"","?"))</f>
        <v/>
      </c>
      <c r="N3599" s="2">
        <f>IF(E3599="","",IF(ISNUMBER(SEARCH("SUBSOLO",E3599)),IFERROR(-VALUE(LEFT(E3599,FIND("º",SUBSTITUTE(E3599,"°","º"))-1)),-1),IF(LEFT(E3599,6)="TÉRREO",0,IFERROR(VALUE(LEFT(E3599,FIND("º",SUBSTITUTE(E3599,"°","º"))-1)),""))))</f>
        <v/>
      </c>
      <c r="O3599" s="2">
        <f>IF(OR(F3599="",G3599=""),"",IF(G3599&lt;='RETRATO 2027'!$K$5,"CONCLUÍDA",IF(F3599&lt;='RETRATO 2027'!$K$5,"EM ANDAMENTO","A INICIAR")))</f>
        <v/>
      </c>
    </row>
    <row r="3600">
      <c r="M3600" s="2">
        <f>IF(C3600="","",IFERROR(INDEX($S$5:$S$304,MATCH(C3600,$R$5:$R$304,0))&amp;"","?"))</f>
        <v/>
      </c>
      <c r="N3600" s="2">
        <f>IF(E3600="","",IF(ISNUMBER(SEARCH("SUBSOLO",E3600)),IFERROR(-VALUE(LEFT(E3600,FIND("º",SUBSTITUTE(E3600,"°","º"))-1)),-1),IF(LEFT(E3600,6)="TÉRREO",0,IFERROR(VALUE(LEFT(E3600,FIND("º",SUBSTITUTE(E3600,"°","º"))-1)),""))))</f>
        <v/>
      </c>
      <c r="O3600" s="2">
        <f>IF(OR(F3600="",G3600=""),"",IF(G3600&lt;='RETRATO 2027'!$K$5,"CONCLUÍDA",IF(F3600&lt;='RETRATO 2027'!$K$5,"EM ANDAMENTO","A INICIAR")))</f>
        <v/>
      </c>
    </row>
    <row r="3601">
      <c r="M3601" s="2">
        <f>IF(C3601="","",IFERROR(INDEX($S$5:$S$304,MATCH(C3601,$R$5:$R$304,0))&amp;"","?"))</f>
        <v/>
      </c>
      <c r="N3601" s="2">
        <f>IF(E3601="","",IF(ISNUMBER(SEARCH("SUBSOLO",E3601)),IFERROR(-VALUE(LEFT(E3601,FIND("º",SUBSTITUTE(E3601,"°","º"))-1)),-1),IF(LEFT(E3601,6)="TÉRREO",0,IFERROR(VALUE(LEFT(E3601,FIND("º",SUBSTITUTE(E3601,"°","º"))-1)),""))))</f>
        <v/>
      </c>
      <c r="O3601" s="2">
        <f>IF(OR(F3601="",G3601=""),"",IF(G3601&lt;='RETRATO 2027'!$K$5,"CONCLUÍDA",IF(F3601&lt;='RETRATO 2027'!$K$5,"EM ANDAMENTO","A INICIAR")))</f>
        <v/>
      </c>
    </row>
    <row r="3602">
      <c r="M3602" s="2">
        <f>IF(C3602="","",IFERROR(INDEX($S$5:$S$304,MATCH(C3602,$R$5:$R$304,0))&amp;"","?"))</f>
        <v/>
      </c>
      <c r="N3602" s="2">
        <f>IF(E3602="","",IF(ISNUMBER(SEARCH("SUBSOLO",E3602)),IFERROR(-VALUE(LEFT(E3602,FIND("º",SUBSTITUTE(E3602,"°","º"))-1)),-1),IF(LEFT(E3602,6)="TÉRREO",0,IFERROR(VALUE(LEFT(E3602,FIND("º",SUBSTITUTE(E3602,"°","º"))-1)),""))))</f>
        <v/>
      </c>
      <c r="O3602" s="2">
        <f>IF(OR(F3602="",G3602=""),"",IF(G3602&lt;='RETRATO 2027'!$K$5,"CONCLUÍDA",IF(F3602&lt;='RETRATO 2027'!$K$5,"EM ANDAMENTO","A INICIAR")))</f>
        <v/>
      </c>
    </row>
    <row r="3603">
      <c r="M3603" s="2">
        <f>IF(C3603="","",IFERROR(INDEX($S$5:$S$304,MATCH(C3603,$R$5:$R$304,0))&amp;"","?"))</f>
        <v/>
      </c>
      <c r="N3603" s="2">
        <f>IF(E3603="","",IF(ISNUMBER(SEARCH("SUBSOLO",E3603)),IFERROR(-VALUE(LEFT(E3603,FIND("º",SUBSTITUTE(E3603,"°","º"))-1)),-1),IF(LEFT(E3603,6)="TÉRREO",0,IFERROR(VALUE(LEFT(E3603,FIND("º",SUBSTITUTE(E3603,"°","º"))-1)),""))))</f>
        <v/>
      </c>
      <c r="O3603" s="2">
        <f>IF(OR(F3603="",G3603=""),"",IF(G3603&lt;='RETRATO 2027'!$K$5,"CONCLUÍDA",IF(F3603&lt;='RETRATO 2027'!$K$5,"EM ANDAMENTO","A INICIAR")))</f>
        <v/>
      </c>
    </row>
    <row r="3604">
      <c r="M3604" s="2">
        <f>IF(C3604="","",IFERROR(INDEX($S$5:$S$304,MATCH(C3604,$R$5:$R$304,0))&amp;"","?"))</f>
        <v/>
      </c>
      <c r="N3604" s="2">
        <f>IF(E3604="","",IF(ISNUMBER(SEARCH("SUBSOLO",E3604)),IFERROR(-VALUE(LEFT(E3604,FIND("º",SUBSTITUTE(E3604,"°","º"))-1)),-1),IF(LEFT(E3604,6)="TÉRREO",0,IFERROR(VALUE(LEFT(E3604,FIND("º",SUBSTITUTE(E3604,"°","º"))-1)),""))))</f>
        <v/>
      </c>
      <c r="O3604" s="2">
        <f>IF(OR(F3604="",G3604=""),"",IF(G3604&lt;='RETRATO 2027'!$K$5,"CONCLUÍDA",IF(F3604&lt;='RETRATO 2027'!$K$5,"EM ANDAMENTO","A INICIAR")))</f>
        <v/>
      </c>
    </row>
    <row r="3605">
      <c r="M3605" s="2">
        <f>IF(C3605="","",IFERROR(INDEX($S$5:$S$304,MATCH(C3605,$R$5:$R$304,0))&amp;"","?"))</f>
        <v/>
      </c>
      <c r="N3605" s="2">
        <f>IF(E3605="","",IF(ISNUMBER(SEARCH("SUBSOLO",E3605)),IFERROR(-VALUE(LEFT(E3605,FIND("º",SUBSTITUTE(E3605,"°","º"))-1)),-1),IF(LEFT(E3605,6)="TÉRREO",0,IFERROR(VALUE(LEFT(E3605,FIND("º",SUBSTITUTE(E3605,"°","º"))-1)),""))))</f>
        <v/>
      </c>
      <c r="O3605" s="2">
        <f>IF(OR(F3605="",G3605=""),"",IF(G3605&lt;='RETRATO 2027'!$K$5,"CONCLUÍDA",IF(F3605&lt;='RETRATO 2027'!$K$5,"EM ANDAMENTO","A INICIAR")))</f>
        <v/>
      </c>
    </row>
    <row r="3606">
      <c r="M3606" s="2">
        <f>IF(C3606="","",IFERROR(INDEX($S$5:$S$304,MATCH(C3606,$R$5:$R$304,0))&amp;"","?"))</f>
        <v/>
      </c>
      <c r="N3606" s="2">
        <f>IF(E3606="","",IF(ISNUMBER(SEARCH("SUBSOLO",E3606)),IFERROR(-VALUE(LEFT(E3606,FIND("º",SUBSTITUTE(E3606,"°","º"))-1)),-1),IF(LEFT(E3606,6)="TÉRREO",0,IFERROR(VALUE(LEFT(E3606,FIND("º",SUBSTITUTE(E3606,"°","º"))-1)),""))))</f>
        <v/>
      </c>
      <c r="O3606" s="2">
        <f>IF(OR(F3606="",G3606=""),"",IF(G3606&lt;='RETRATO 2027'!$K$5,"CONCLUÍDA",IF(F3606&lt;='RETRATO 2027'!$K$5,"EM ANDAMENTO","A INICIAR")))</f>
        <v/>
      </c>
    </row>
    <row r="3607">
      <c r="M3607" s="2">
        <f>IF(C3607="","",IFERROR(INDEX($S$5:$S$304,MATCH(C3607,$R$5:$R$304,0))&amp;"","?"))</f>
        <v/>
      </c>
      <c r="N3607" s="2">
        <f>IF(E3607="","",IF(ISNUMBER(SEARCH("SUBSOLO",E3607)),IFERROR(-VALUE(LEFT(E3607,FIND("º",SUBSTITUTE(E3607,"°","º"))-1)),-1),IF(LEFT(E3607,6)="TÉRREO",0,IFERROR(VALUE(LEFT(E3607,FIND("º",SUBSTITUTE(E3607,"°","º"))-1)),""))))</f>
        <v/>
      </c>
      <c r="O3607" s="2">
        <f>IF(OR(F3607="",G3607=""),"",IF(G3607&lt;='RETRATO 2027'!$K$5,"CONCLUÍDA",IF(F3607&lt;='RETRATO 2027'!$K$5,"EM ANDAMENTO","A INICIAR")))</f>
        <v/>
      </c>
    </row>
    <row r="3608">
      <c r="M3608" s="2">
        <f>IF(C3608="","",IFERROR(INDEX($S$5:$S$304,MATCH(C3608,$R$5:$R$304,0))&amp;"","?"))</f>
        <v/>
      </c>
      <c r="N3608" s="2">
        <f>IF(E3608="","",IF(ISNUMBER(SEARCH("SUBSOLO",E3608)),IFERROR(-VALUE(LEFT(E3608,FIND("º",SUBSTITUTE(E3608,"°","º"))-1)),-1),IF(LEFT(E3608,6)="TÉRREO",0,IFERROR(VALUE(LEFT(E3608,FIND("º",SUBSTITUTE(E3608,"°","º"))-1)),""))))</f>
        <v/>
      </c>
      <c r="O3608" s="2">
        <f>IF(OR(F3608="",G3608=""),"",IF(G3608&lt;='RETRATO 2027'!$K$5,"CONCLUÍDA",IF(F3608&lt;='RETRATO 2027'!$K$5,"EM ANDAMENTO","A INICIAR")))</f>
        <v/>
      </c>
    </row>
    <row r="3609">
      <c r="M3609" s="2">
        <f>IF(C3609="","",IFERROR(INDEX($S$5:$S$304,MATCH(C3609,$R$5:$R$304,0))&amp;"","?"))</f>
        <v/>
      </c>
      <c r="N3609" s="2">
        <f>IF(E3609="","",IF(ISNUMBER(SEARCH("SUBSOLO",E3609)),IFERROR(-VALUE(LEFT(E3609,FIND("º",SUBSTITUTE(E3609,"°","º"))-1)),-1),IF(LEFT(E3609,6)="TÉRREO",0,IFERROR(VALUE(LEFT(E3609,FIND("º",SUBSTITUTE(E3609,"°","º"))-1)),""))))</f>
        <v/>
      </c>
      <c r="O3609" s="2">
        <f>IF(OR(F3609="",G3609=""),"",IF(G3609&lt;='RETRATO 2027'!$K$5,"CONCLUÍDA",IF(F3609&lt;='RETRATO 2027'!$K$5,"EM ANDAMENTO","A INICIAR")))</f>
        <v/>
      </c>
    </row>
    <row r="3610">
      <c r="M3610" s="2">
        <f>IF(C3610="","",IFERROR(INDEX($S$5:$S$304,MATCH(C3610,$R$5:$R$304,0))&amp;"","?"))</f>
        <v/>
      </c>
      <c r="N3610" s="2">
        <f>IF(E3610="","",IF(ISNUMBER(SEARCH("SUBSOLO",E3610)),IFERROR(-VALUE(LEFT(E3610,FIND("º",SUBSTITUTE(E3610,"°","º"))-1)),-1),IF(LEFT(E3610,6)="TÉRREO",0,IFERROR(VALUE(LEFT(E3610,FIND("º",SUBSTITUTE(E3610,"°","º"))-1)),""))))</f>
        <v/>
      </c>
      <c r="O3610" s="2">
        <f>IF(OR(F3610="",G3610=""),"",IF(G3610&lt;='RETRATO 2027'!$K$5,"CONCLUÍDA",IF(F3610&lt;='RETRATO 2027'!$K$5,"EM ANDAMENTO","A INICIAR")))</f>
        <v/>
      </c>
    </row>
    <row r="3611">
      <c r="M3611" s="2">
        <f>IF(C3611="","",IFERROR(INDEX($S$5:$S$304,MATCH(C3611,$R$5:$R$304,0))&amp;"","?"))</f>
        <v/>
      </c>
      <c r="N3611" s="2">
        <f>IF(E3611="","",IF(ISNUMBER(SEARCH("SUBSOLO",E3611)),IFERROR(-VALUE(LEFT(E3611,FIND("º",SUBSTITUTE(E3611,"°","º"))-1)),-1),IF(LEFT(E3611,6)="TÉRREO",0,IFERROR(VALUE(LEFT(E3611,FIND("º",SUBSTITUTE(E3611,"°","º"))-1)),""))))</f>
        <v/>
      </c>
      <c r="O3611" s="2">
        <f>IF(OR(F3611="",G3611=""),"",IF(G3611&lt;='RETRATO 2027'!$K$5,"CONCLUÍDA",IF(F3611&lt;='RETRATO 2027'!$K$5,"EM ANDAMENTO","A INICIAR")))</f>
        <v/>
      </c>
    </row>
    <row r="3612">
      <c r="M3612" s="2">
        <f>IF(C3612="","",IFERROR(INDEX($S$5:$S$304,MATCH(C3612,$R$5:$R$304,0))&amp;"","?"))</f>
        <v/>
      </c>
      <c r="N3612" s="2">
        <f>IF(E3612="","",IF(ISNUMBER(SEARCH("SUBSOLO",E3612)),IFERROR(-VALUE(LEFT(E3612,FIND("º",SUBSTITUTE(E3612,"°","º"))-1)),-1),IF(LEFT(E3612,6)="TÉRREO",0,IFERROR(VALUE(LEFT(E3612,FIND("º",SUBSTITUTE(E3612,"°","º"))-1)),""))))</f>
        <v/>
      </c>
      <c r="O3612" s="2">
        <f>IF(OR(F3612="",G3612=""),"",IF(G3612&lt;='RETRATO 2027'!$K$5,"CONCLUÍDA",IF(F3612&lt;='RETRATO 2027'!$K$5,"EM ANDAMENTO","A INICIAR")))</f>
        <v/>
      </c>
    </row>
    <row r="3613">
      <c r="M3613" s="2">
        <f>IF(C3613="","",IFERROR(INDEX($S$5:$S$304,MATCH(C3613,$R$5:$R$304,0))&amp;"","?"))</f>
        <v/>
      </c>
      <c r="N3613" s="2">
        <f>IF(E3613="","",IF(ISNUMBER(SEARCH("SUBSOLO",E3613)),IFERROR(-VALUE(LEFT(E3613,FIND("º",SUBSTITUTE(E3613,"°","º"))-1)),-1),IF(LEFT(E3613,6)="TÉRREO",0,IFERROR(VALUE(LEFT(E3613,FIND("º",SUBSTITUTE(E3613,"°","º"))-1)),""))))</f>
        <v/>
      </c>
      <c r="O3613" s="2">
        <f>IF(OR(F3613="",G3613=""),"",IF(G3613&lt;='RETRATO 2027'!$K$5,"CONCLUÍDA",IF(F3613&lt;='RETRATO 2027'!$K$5,"EM ANDAMENTO","A INICIAR")))</f>
        <v/>
      </c>
    </row>
    <row r="3614">
      <c r="M3614" s="2">
        <f>IF(C3614="","",IFERROR(INDEX($S$5:$S$304,MATCH(C3614,$R$5:$R$304,0))&amp;"","?"))</f>
        <v/>
      </c>
      <c r="N3614" s="2">
        <f>IF(E3614="","",IF(ISNUMBER(SEARCH("SUBSOLO",E3614)),IFERROR(-VALUE(LEFT(E3614,FIND("º",SUBSTITUTE(E3614,"°","º"))-1)),-1),IF(LEFT(E3614,6)="TÉRREO",0,IFERROR(VALUE(LEFT(E3614,FIND("º",SUBSTITUTE(E3614,"°","º"))-1)),""))))</f>
        <v/>
      </c>
      <c r="O3614" s="2">
        <f>IF(OR(F3614="",G3614=""),"",IF(G3614&lt;='RETRATO 2027'!$K$5,"CONCLUÍDA",IF(F3614&lt;='RETRATO 2027'!$K$5,"EM ANDAMENTO","A INICIAR")))</f>
        <v/>
      </c>
    </row>
    <row r="3615">
      <c r="M3615" s="2">
        <f>IF(C3615="","",IFERROR(INDEX($S$5:$S$304,MATCH(C3615,$R$5:$R$304,0))&amp;"","?"))</f>
        <v/>
      </c>
      <c r="N3615" s="2">
        <f>IF(E3615="","",IF(ISNUMBER(SEARCH("SUBSOLO",E3615)),IFERROR(-VALUE(LEFT(E3615,FIND("º",SUBSTITUTE(E3615,"°","º"))-1)),-1),IF(LEFT(E3615,6)="TÉRREO",0,IFERROR(VALUE(LEFT(E3615,FIND("º",SUBSTITUTE(E3615,"°","º"))-1)),""))))</f>
        <v/>
      </c>
      <c r="O3615" s="2">
        <f>IF(OR(F3615="",G3615=""),"",IF(G3615&lt;='RETRATO 2027'!$K$5,"CONCLUÍDA",IF(F3615&lt;='RETRATO 2027'!$K$5,"EM ANDAMENTO","A INICIAR")))</f>
        <v/>
      </c>
    </row>
    <row r="3616">
      <c r="M3616" s="2">
        <f>IF(C3616="","",IFERROR(INDEX($S$5:$S$304,MATCH(C3616,$R$5:$R$304,0))&amp;"","?"))</f>
        <v/>
      </c>
      <c r="N3616" s="2">
        <f>IF(E3616="","",IF(ISNUMBER(SEARCH("SUBSOLO",E3616)),IFERROR(-VALUE(LEFT(E3616,FIND("º",SUBSTITUTE(E3616,"°","º"))-1)),-1),IF(LEFT(E3616,6)="TÉRREO",0,IFERROR(VALUE(LEFT(E3616,FIND("º",SUBSTITUTE(E3616,"°","º"))-1)),""))))</f>
        <v/>
      </c>
      <c r="O3616" s="2">
        <f>IF(OR(F3616="",G3616=""),"",IF(G3616&lt;='RETRATO 2027'!$K$5,"CONCLUÍDA",IF(F3616&lt;='RETRATO 2027'!$K$5,"EM ANDAMENTO","A INICIAR")))</f>
        <v/>
      </c>
    </row>
    <row r="3617">
      <c r="M3617" s="2">
        <f>IF(C3617="","",IFERROR(INDEX($S$5:$S$304,MATCH(C3617,$R$5:$R$304,0))&amp;"","?"))</f>
        <v/>
      </c>
      <c r="N3617" s="2">
        <f>IF(E3617="","",IF(ISNUMBER(SEARCH("SUBSOLO",E3617)),IFERROR(-VALUE(LEFT(E3617,FIND("º",SUBSTITUTE(E3617,"°","º"))-1)),-1),IF(LEFT(E3617,6)="TÉRREO",0,IFERROR(VALUE(LEFT(E3617,FIND("º",SUBSTITUTE(E3617,"°","º"))-1)),""))))</f>
        <v/>
      </c>
      <c r="O3617" s="2">
        <f>IF(OR(F3617="",G3617=""),"",IF(G3617&lt;='RETRATO 2027'!$K$5,"CONCLUÍDA",IF(F3617&lt;='RETRATO 2027'!$K$5,"EM ANDAMENTO","A INICIAR")))</f>
        <v/>
      </c>
    </row>
    <row r="3618">
      <c r="M3618" s="2">
        <f>IF(C3618="","",IFERROR(INDEX($S$5:$S$304,MATCH(C3618,$R$5:$R$304,0))&amp;"","?"))</f>
        <v/>
      </c>
      <c r="N3618" s="2">
        <f>IF(E3618="","",IF(ISNUMBER(SEARCH("SUBSOLO",E3618)),IFERROR(-VALUE(LEFT(E3618,FIND("º",SUBSTITUTE(E3618,"°","º"))-1)),-1),IF(LEFT(E3618,6)="TÉRREO",0,IFERROR(VALUE(LEFT(E3618,FIND("º",SUBSTITUTE(E3618,"°","º"))-1)),""))))</f>
        <v/>
      </c>
      <c r="O3618" s="2">
        <f>IF(OR(F3618="",G3618=""),"",IF(G3618&lt;='RETRATO 2027'!$K$5,"CONCLUÍDA",IF(F3618&lt;='RETRATO 2027'!$K$5,"EM ANDAMENTO","A INICIAR")))</f>
        <v/>
      </c>
    </row>
    <row r="3619">
      <c r="M3619" s="2">
        <f>IF(C3619="","",IFERROR(INDEX($S$5:$S$304,MATCH(C3619,$R$5:$R$304,0))&amp;"","?"))</f>
        <v/>
      </c>
      <c r="N3619" s="2">
        <f>IF(E3619="","",IF(ISNUMBER(SEARCH("SUBSOLO",E3619)),IFERROR(-VALUE(LEFT(E3619,FIND("º",SUBSTITUTE(E3619,"°","º"))-1)),-1),IF(LEFT(E3619,6)="TÉRREO",0,IFERROR(VALUE(LEFT(E3619,FIND("º",SUBSTITUTE(E3619,"°","º"))-1)),""))))</f>
        <v/>
      </c>
      <c r="O3619" s="2">
        <f>IF(OR(F3619="",G3619=""),"",IF(G3619&lt;='RETRATO 2027'!$K$5,"CONCLUÍDA",IF(F3619&lt;='RETRATO 2027'!$K$5,"EM ANDAMENTO","A INICIAR")))</f>
        <v/>
      </c>
    </row>
    <row r="3620">
      <c r="M3620" s="2">
        <f>IF(C3620="","",IFERROR(INDEX($S$5:$S$304,MATCH(C3620,$R$5:$R$304,0))&amp;"","?"))</f>
        <v/>
      </c>
      <c r="N3620" s="2">
        <f>IF(E3620="","",IF(ISNUMBER(SEARCH("SUBSOLO",E3620)),IFERROR(-VALUE(LEFT(E3620,FIND("º",SUBSTITUTE(E3620,"°","º"))-1)),-1),IF(LEFT(E3620,6)="TÉRREO",0,IFERROR(VALUE(LEFT(E3620,FIND("º",SUBSTITUTE(E3620,"°","º"))-1)),""))))</f>
        <v/>
      </c>
      <c r="O3620" s="2">
        <f>IF(OR(F3620="",G3620=""),"",IF(G3620&lt;='RETRATO 2027'!$K$5,"CONCLUÍDA",IF(F3620&lt;='RETRATO 2027'!$K$5,"EM ANDAMENTO","A INICIAR")))</f>
        <v/>
      </c>
    </row>
    <row r="3621">
      <c r="M3621" s="2">
        <f>IF(C3621="","",IFERROR(INDEX($S$5:$S$304,MATCH(C3621,$R$5:$R$304,0))&amp;"","?"))</f>
        <v/>
      </c>
      <c r="N3621" s="2">
        <f>IF(E3621="","",IF(ISNUMBER(SEARCH("SUBSOLO",E3621)),IFERROR(-VALUE(LEFT(E3621,FIND("º",SUBSTITUTE(E3621,"°","º"))-1)),-1),IF(LEFT(E3621,6)="TÉRREO",0,IFERROR(VALUE(LEFT(E3621,FIND("º",SUBSTITUTE(E3621,"°","º"))-1)),""))))</f>
        <v/>
      </c>
      <c r="O3621" s="2">
        <f>IF(OR(F3621="",G3621=""),"",IF(G3621&lt;='RETRATO 2027'!$K$5,"CONCLUÍDA",IF(F3621&lt;='RETRATO 2027'!$K$5,"EM ANDAMENTO","A INICIAR")))</f>
        <v/>
      </c>
    </row>
    <row r="3622">
      <c r="M3622" s="2">
        <f>IF(C3622="","",IFERROR(INDEX($S$5:$S$304,MATCH(C3622,$R$5:$R$304,0))&amp;"","?"))</f>
        <v/>
      </c>
      <c r="N3622" s="2">
        <f>IF(E3622="","",IF(ISNUMBER(SEARCH("SUBSOLO",E3622)),IFERROR(-VALUE(LEFT(E3622,FIND("º",SUBSTITUTE(E3622,"°","º"))-1)),-1),IF(LEFT(E3622,6)="TÉRREO",0,IFERROR(VALUE(LEFT(E3622,FIND("º",SUBSTITUTE(E3622,"°","º"))-1)),""))))</f>
        <v/>
      </c>
      <c r="O3622" s="2">
        <f>IF(OR(F3622="",G3622=""),"",IF(G3622&lt;='RETRATO 2027'!$K$5,"CONCLUÍDA",IF(F3622&lt;='RETRATO 2027'!$K$5,"EM ANDAMENTO","A INICIAR")))</f>
        <v/>
      </c>
    </row>
    <row r="3623">
      <c r="M3623" s="2">
        <f>IF(C3623="","",IFERROR(INDEX($S$5:$S$304,MATCH(C3623,$R$5:$R$304,0))&amp;"","?"))</f>
        <v/>
      </c>
      <c r="N3623" s="2">
        <f>IF(E3623="","",IF(ISNUMBER(SEARCH("SUBSOLO",E3623)),IFERROR(-VALUE(LEFT(E3623,FIND("º",SUBSTITUTE(E3623,"°","º"))-1)),-1),IF(LEFT(E3623,6)="TÉRREO",0,IFERROR(VALUE(LEFT(E3623,FIND("º",SUBSTITUTE(E3623,"°","º"))-1)),""))))</f>
        <v/>
      </c>
      <c r="O3623" s="2">
        <f>IF(OR(F3623="",G3623=""),"",IF(G3623&lt;='RETRATO 2027'!$K$5,"CONCLUÍDA",IF(F3623&lt;='RETRATO 2027'!$K$5,"EM ANDAMENTO","A INICIAR")))</f>
        <v/>
      </c>
    </row>
    <row r="3624">
      <c r="M3624" s="2">
        <f>IF(C3624="","",IFERROR(INDEX($S$5:$S$304,MATCH(C3624,$R$5:$R$304,0))&amp;"","?"))</f>
        <v/>
      </c>
      <c r="N3624" s="2">
        <f>IF(E3624="","",IF(ISNUMBER(SEARCH("SUBSOLO",E3624)),IFERROR(-VALUE(LEFT(E3624,FIND("º",SUBSTITUTE(E3624,"°","º"))-1)),-1),IF(LEFT(E3624,6)="TÉRREO",0,IFERROR(VALUE(LEFT(E3624,FIND("º",SUBSTITUTE(E3624,"°","º"))-1)),""))))</f>
        <v/>
      </c>
      <c r="O3624" s="2">
        <f>IF(OR(F3624="",G3624=""),"",IF(G3624&lt;='RETRATO 2027'!$K$5,"CONCLUÍDA",IF(F3624&lt;='RETRATO 2027'!$K$5,"EM ANDAMENTO","A INICIAR")))</f>
        <v/>
      </c>
    </row>
    <row r="3625">
      <c r="M3625" s="2">
        <f>IF(C3625="","",IFERROR(INDEX($S$5:$S$304,MATCH(C3625,$R$5:$R$304,0))&amp;"","?"))</f>
        <v/>
      </c>
      <c r="N3625" s="2">
        <f>IF(E3625="","",IF(ISNUMBER(SEARCH("SUBSOLO",E3625)),IFERROR(-VALUE(LEFT(E3625,FIND("º",SUBSTITUTE(E3625,"°","º"))-1)),-1),IF(LEFT(E3625,6)="TÉRREO",0,IFERROR(VALUE(LEFT(E3625,FIND("º",SUBSTITUTE(E3625,"°","º"))-1)),""))))</f>
        <v/>
      </c>
      <c r="O3625" s="2">
        <f>IF(OR(F3625="",G3625=""),"",IF(G3625&lt;='RETRATO 2027'!$K$5,"CONCLUÍDA",IF(F3625&lt;='RETRATO 2027'!$K$5,"EM ANDAMENTO","A INICIAR")))</f>
        <v/>
      </c>
    </row>
    <row r="3626">
      <c r="M3626" s="2">
        <f>IF(C3626="","",IFERROR(INDEX($S$5:$S$304,MATCH(C3626,$R$5:$R$304,0))&amp;"","?"))</f>
        <v/>
      </c>
      <c r="N3626" s="2">
        <f>IF(E3626="","",IF(ISNUMBER(SEARCH("SUBSOLO",E3626)),IFERROR(-VALUE(LEFT(E3626,FIND("º",SUBSTITUTE(E3626,"°","º"))-1)),-1),IF(LEFT(E3626,6)="TÉRREO",0,IFERROR(VALUE(LEFT(E3626,FIND("º",SUBSTITUTE(E3626,"°","º"))-1)),""))))</f>
        <v/>
      </c>
      <c r="O3626" s="2">
        <f>IF(OR(F3626="",G3626=""),"",IF(G3626&lt;='RETRATO 2027'!$K$5,"CONCLUÍDA",IF(F3626&lt;='RETRATO 2027'!$K$5,"EM ANDAMENTO","A INICIAR")))</f>
        <v/>
      </c>
    </row>
    <row r="3627">
      <c r="M3627" s="2">
        <f>IF(C3627="","",IFERROR(INDEX($S$5:$S$304,MATCH(C3627,$R$5:$R$304,0))&amp;"","?"))</f>
        <v/>
      </c>
      <c r="N3627" s="2">
        <f>IF(E3627="","",IF(ISNUMBER(SEARCH("SUBSOLO",E3627)),IFERROR(-VALUE(LEFT(E3627,FIND("º",SUBSTITUTE(E3627,"°","º"))-1)),-1),IF(LEFT(E3627,6)="TÉRREO",0,IFERROR(VALUE(LEFT(E3627,FIND("º",SUBSTITUTE(E3627,"°","º"))-1)),""))))</f>
        <v/>
      </c>
      <c r="O3627" s="2">
        <f>IF(OR(F3627="",G3627=""),"",IF(G3627&lt;='RETRATO 2027'!$K$5,"CONCLUÍDA",IF(F3627&lt;='RETRATO 2027'!$K$5,"EM ANDAMENTO","A INICIAR")))</f>
        <v/>
      </c>
    </row>
    <row r="3628">
      <c r="M3628" s="2">
        <f>IF(C3628="","",IFERROR(INDEX($S$5:$S$304,MATCH(C3628,$R$5:$R$304,0))&amp;"","?"))</f>
        <v/>
      </c>
      <c r="N3628" s="2">
        <f>IF(E3628="","",IF(ISNUMBER(SEARCH("SUBSOLO",E3628)),IFERROR(-VALUE(LEFT(E3628,FIND("º",SUBSTITUTE(E3628,"°","º"))-1)),-1),IF(LEFT(E3628,6)="TÉRREO",0,IFERROR(VALUE(LEFT(E3628,FIND("º",SUBSTITUTE(E3628,"°","º"))-1)),""))))</f>
        <v/>
      </c>
      <c r="O3628" s="2">
        <f>IF(OR(F3628="",G3628=""),"",IF(G3628&lt;='RETRATO 2027'!$K$5,"CONCLUÍDA",IF(F3628&lt;='RETRATO 2027'!$K$5,"EM ANDAMENTO","A INICIAR")))</f>
        <v/>
      </c>
    </row>
    <row r="3629">
      <c r="M3629" s="2">
        <f>IF(C3629="","",IFERROR(INDEX($S$5:$S$304,MATCH(C3629,$R$5:$R$304,0))&amp;"","?"))</f>
        <v/>
      </c>
      <c r="N3629" s="2">
        <f>IF(E3629="","",IF(ISNUMBER(SEARCH("SUBSOLO",E3629)),IFERROR(-VALUE(LEFT(E3629,FIND("º",SUBSTITUTE(E3629,"°","º"))-1)),-1),IF(LEFT(E3629,6)="TÉRREO",0,IFERROR(VALUE(LEFT(E3629,FIND("º",SUBSTITUTE(E3629,"°","º"))-1)),""))))</f>
        <v/>
      </c>
      <c r="O3629" s="2">
        <f>IF(OR(F3629="",G3629=""),"",IF(G3629&lt;='RETRATO 2027'!$K$5,"CONCLUÍDA",IF(F3629&lt;='RETRATO 2027'!$K$5,"EM ANDAMENTO","A INICIAR")))</f>
        <v/>
      </c>
    </row>
    <row r="3630">
      <c r="M3630" s="2">
        <f>IF(C3630="","",IFERROR(INDEX($S$5:$S$304,MATCH(C3630,$R$5:$R$304,0))&amp;"","?"))</f>
        <v/>
      </c>
      <c r="N3630" s="2">
        <f>IF(E3630="","",IF(ISNUMBER(SEARCH("SUBSOLO",E3630)),IFERROR(-VALUE(LEFT(E3630,FIND("º",SUBSTITUTE(E3630,"°","º"))-1)),-1),IF(LEFT(E3630,6)="TÉRREO",0,IFERROR(VALUE(LEFT(E3630,FIND("º",SUBSTITUTE(E3630,"°","º"))-1)),""))))</f>
        <v/>
      </c>
      <c r="O3630" s="2">
        <f>IF(OR(F3630="",G3630=""),"",IF(G3630&lt;='RETRATO 2027'!$K$5,"CONCLUÍDA",IF(F3630&lt;='RETRATO 2027'!$K$5,"EM ANDAMENTO","A INICIAR")))</f>
        <v/>
      </c>
    </row>
    <row r="3631">
      <c r="M3631" s="2">
        <f>IF(C3631="","",IFERROR(INDEX($S$5:$S$304,MATCH(C3631,$R$5:$R$304,0))&amp;"","?"))</f>
        <v/>
      </c>
      <c r="N3631" s="2">
        <f>IF(E3631="","",IF(ISNUMBER(SEARCH("SUBSOLO",E3631)),IFERROR(-VALUE(LEFT(E3631,FIND("º",SUBSTITUTE(E3631,"°","º"))-1)),-1),IF(LEFT(E3631,6)="TÉRREO",0,IFERROR(VALUE(LEFT(E3631,FIND("º",SUBSTITUTE(E3631,"°","º"))-1)),""))))</f>
        <v/>
      </c>
      <c r="O3631" s="2">
        <f>IF(OR(F3631="",G3631=""),"",IF(G3631&lt;='RETRATO 2027'!$K$5,"CONCLUÍDA",IF(F3631&lt;='RETRATO 2027'!$K$5,"EM ANDAMENTO","A INICIAR")))</f>
        <v/>
      </c>
    </row>
    <row r="3632">
      <c r="M3632" s="2">
        <f>IF(C3632="","",IFERROR(INDEX($S$5:$S$304,MATCH(C3632,$R$5:$R$304,0))&amp;"","?"))</f>
        <v/>
      </c>
      <c r="N3632" s="2">
        <f>IF(E3632="","",IF(ISNUMBER(SEARCH("SUBSOLO",E3632)),IFERROR(-VALUE(LEFT(E3632,FIND("º",SUBSTITUTE(E3632,"°","º"))-1)),-1),IF(LEFT(E3632,6)="TÉRREO",0,IFERROR(VALUE(LEFT(E3632,FIND("º",SUBSTITUTE(E3632,"°","º"))-1)),""))))</f>
        <v/>
      </c>
      <c r="O3632" s="2">
        <f>IF(OR(F3632="",G3632=""),"",IF(G3632&lt;='RETRATO 2027'!$K$5,"CONCLUÍDA",IF(F3632&lt;='RETRATO 2027'!$K$5,"EM ANDAMENTO","A INICIAR")))</f>
        <v/>
      </c>
    </row>
    <row r="3633">
      <c r="M3633" s="2">
        <f>IF(C3633="","",IFERROR(INDEX($S$5:$S$304,MATCH(C3633,$R$5:$R$304,0))&amp;"","?"))</f>
        <v/>
      </c>
      <c r="N3633" s="2">
        <f>IF(E3633="","",IF(ISNUMBER(SEARCH("SUBSOLO",E3633)),IFERROR(-VALUE(LEFT(E3633,FIND("º",SUBSTITUTE(E3633,"°","º"))-1)),-1),IF(LEFT(E3633,6)="TÉRREO",0,IFERROR(VALUE(LEFT(E3633,FIND("º",SUBSTITUTE(E3633,"°","º"))-1)),""))))</f>
        <v/>
      </c>
      <c r="O3633" s="2">
        <f>IF(OR(F3633="",G3633=""),"",IF(G3633&lt;='RETRATO 2027'!$K$5,"CONCLUÍDA",IF(F3633&lt;='RETRATO 2027'!$K$5,"EM ANDAMENTO","A INICIAR")))</f>
        <v/>
      </c>
    </row>
    <row r="3634">
      <c r="M3634" s="2">
        <f>IF(C3634="","",IFERROR(INDEX($S$5:$S$304,MATCH(C3634,$R$5:$R$304,0))&amp;"","?"))</f>
        <v/>
      </c>
      <c r="N3634" s="2">
        <f>IF(E3634="","",IF(ISNUMBER(SEARCH("SUBSOLO",E3634)),IFERROR(-VALUE(LEFT(E3634,FIND("º",SUBSTITUTE(E3634,"°","º"))-1)),-1),IF(LEFT(E3634,6)="TÉRREO",0,IFERROR(VALUE(LEFT(E3634,FIND("º",SUBSTITUTE(E3634,"°","º"))-1)),""))))</f>
        <v/>
      </c>
      <c r="O3634" s="2">
        <f>IF(OR(F3634="",G3634=""),"",IF(G3634&lt;='RETRATO 2027'!$K$5,"CONCLUÍDA",IF(F3634&lt;='RETRATO 2027'!$K$5,"EM ANDAMENTO","A INICIAR")))</f>
        <v/>
      </c>
    </row>
    <row r="3635">
      <c r="M3635" s="2">
        <f>IF(C3635="","",IFERROR(INDEX($S$5:$S$304,MATCH(C3635,$R$5:$R$304,0))&amp;"","?"))</f>
        <v/>
      </c>
      <c r="N3635" s="2">
        <f>IF(E3635="","",IF(ISNUMBER(SEARCH("SUBSOLO",E3635)),IFERROR(-VALUE(LEFT(E3635,FIND("º",SUBSTITUTE(E3635,"°","º"))-1)),-1),IF(LEFT(E3635,6)="TÉRREO",0,IFERROR(VALUE(LEFT(E3635,FIND("º",SUBSTITUTE(E3635,"°","º"))-1)),""))))</f>
        <v/>
      </c>
      <c r="O3635" s="2">
        <f>IF(OR(F3635="",G3635=""),"",IF(G3635&lt;='RETRATO 2027'!$K$5,"CONCLUÍDA",IF(F3635&lt;='RETRATO 2027'!$K$5,"EM ANDAMENTO","A INICIAR")))</f>
        <v/>
      </c>
    </row>
    <row r="3636">
      <c r="M3636" s="2">
        <f>IF(C3636="","",IFERROR(INDEX($S$5:$S$304,MATCH(C3636,$R$5:$R$304,0))&amp;"","?"))</f>
        <v/>
      </c>
      <c r="N3636" s="2">
        <f>IF(E3636="","",IF(ISNUMBER(SEARCH("SUBSOLO",E3636)),IFERROR(-VALUE(LEFT(E3636,FIND("º",SUBSTITUTE(E3636,"°","º"))-1)),-1),IF(LEFT(E3636,6)="TÉRREO",0,IFERROR(VALUE(LEFT(E3636,FIND("º",SUBSTITUTE(E3636,"°","º"))-1)),""))))</f>
        <v/>
      </c>
      <c r="O3636" s="2">
        <f>IF(OR(F3636="",G3636=""),"",IF(G3636&lt;='RETRATO 2027'!$K$5,"CONCLUÍDA",IF(F3636&lt;='RETRATO 2027'!$K$5,"EM ANDAMENTO","A INICIAR")))</f>
        <v/>
      </c>
    </row>
    <row r="3637">
      <c r="M3637" s="2">
        <f>IF(C3637="","",IFERROR(INDEX($S$5:$S$304,MATCH(C3637,$R$5:$R$304,0))&amp;"","?"))</f>
        <v/>
      </c>
      <c r="N3637" s="2">
        <f>IF(E3637="","",IF(ISNUMBER(SEARCH("SUBSOLO",E3637)),IFERROR(-VALUE(LEFT(E3637,FIND("º",SUBSTITUTE(E3637,"°","º"))-1)),-1),IF(LEFT(E3637,6)="TÉRREO",0,IFERROR(VALUE(LEFT(E3637,FIND("º",SUBSTITUTE(E3637,"°","º"))-1)),""))))</f>
        <v/>
      </c>
      <c r="O3637" s="2">
        <f>IF(OR(F3637="",G3637=""),"",IF(G3637&lt;='RETRATO 2027'!$K$5,"CONCLUÍDA",IF(F3637&lt;='RETRATO 2027'!$K$5,"EM ANDAMENTO","A INICIAR")))</f>
        <v/>
      </c>
    </row>
    <row r="3638">
      <c r="M3638" s="2">
        <f>IF(C3638="","",IFERROR(INDEX($S$5:$S$304,MATCH(C3638,$R$5:$R$304,0))&amp;"","?"))</f>
        <v/>
      </c>
      <c r="N3638" s="2">
        <f>IF(E3638="","",IF(ISNUMBER(SEARCH("SUBSOLO",E3638)),IFERROR(-VALUE(LEFT(E3638,FIND("º",SUBSTITUTE(E3638,"°","º"))-1)),-1),IF(LEFT(E3638,6)="TÉRREO",0,IFERROR(VALUE(LEFT(E3638,FIND("º",SUBSTITUTE(E3638,"°","º"))-1)),""))))</f>
        <v/>
      </c>
      <c r="O3638" s="2">
        <f>IF(OR(F3638="",G3638=""),"",IF(G3638&lt;='RETRATO 2027'!$K$5,"CONCLUÍDA",IF(F3638&lt;='RETRATO 2027'!$K$5,"EM ANDAMENTO","A INICIAR")))</f>
        <v/>
      </c>
    </row>
    <row r="3639">
      <c r="M3639" s="2">
        <f>IF(C3639="","",IFERROR(INDEX($S$5:$S$304,MATCH(C3639,$R$5:$R$304,0))&amp;"","?"))</f>
        <v/>
      </c>
      <c r="N3639" s="2">
        <f>IF(E3639="","",IF(ISNUMBER(SEARCH("SUBSOLO",E3639)),IFERROR(-VALUE(LEFT(E3639,FIND("º",SUBSTITUTE(E3639,"°","º"))-1)),-1),IF(LEFT(E3639,6)="TÉRREO",0,IFERROR(VALUE(LEFT(E3639,FIND("º",SUBSTITUTE(E3639,"°","º"))-1)),""))))</f>
        <v/>
      </c>
      <c r="O3639" s="2">
        <f>IF(OR(F3639="",G3639=""),"",IF(G3639&lt;='RETRATO 2027'!$K$5,"CONCLUÍDA",IF(F3639&lt;='RETRATO 2027'!$K$5,"EM ANDAMENTO","A INICIAR")))</f>
        <v/>
      </c>
    </row>
    <row r="3640">
      <c r="M3640" s="2">
        <f>IF(C3640="","",IFERROR(INDEX($S$5:$S$304,MATCH(C3640,$R$5:$R$304,0))&amp;"","?"))</f>
        <v/>
      </c>
      <c r="N3640" s="2">
        <f>IF(E3640="","",IF(ISNUMBER(SEARCH("SUBSOLO",E3640)),IFERROR(-VALUE(LEFT(E3640,FIND("º",SUBSTITUTE(E3640,"°","º"))-1)),-1),IF(LEFT(E3640,6)="TÉRREO",0,IFERROR(VALUE(LEFT(E3640,FIND("º",SUBSTITUTE(E3640,"°","º"))-1)),""))))</f>
        <v/>
      </c>
      <c r="O3640" s="2">
        <f>IF(OR(F3640="",G3640=""),"",IF(G3640&lt;='RETRATO 2027'!$K$5,"CONCLUÍDA",IF(F3640&lt;='RETRATO 2027'!$K$5,"EM ANDAMENTO","A INICIAR")))</f>
        <v/>
      </c>
    </row>
    <row r="3641">
      <c r="M3641" s="2">
        <f>IF(C3641="","",IFERROR(INDEX($S$5:$S$304,MATCH(C3641,$R$5:$R$304,0))&amp;"","?"))</f>
        <v/>
      </c>
      <c r="N3641" s="2">
        <f>IF(E3641="","",IF(ISNUMBER(SEARCH("SUBSOLO",E3641)),IFERROR(-VALUE(LEFT(E3641,FIND("º",SUBSTITUTE(E3641,"°","º"))-1)),-1),IF(LEFT(E3641,6)="TÉRREO",0,IFERROR(VALUE(LEFT(E3641,FIND("º",SUBSTITUTE(E3641,"°","º"))-1)),""))))</f>
        <v/>
      </c>
      <c r="O3641" s="2">
        <f>IF(OR(F3641="",G3641=""),"",IF(G3641&lt;='RETRATO 2027'!$K$5,"CONCLUÍDA",IF(F3641&lt;='RETRATO 2027'!$K$5,"EM ANDAMENTO","A INICIAR")))</f>
        <v/>
      </c>
    </row>
    <row r="3642">
      <c r="M3642" s="2">
        <f>IF(C3642="","",IFERROR(INDEX($S$5:$S$304,MATCH(C3642,$R$5:$R$304,0))&amp;"","?"))</f>
        <v/>
      </c>
      <c r="N3642" s="2">
        <f>IF(E3642="","",IF(ISNUMBER(SEARCH("SUBSOLO",E3642)),IFERROR(-VALUE(LEFT(E3642,FIND("º",SUBSTITUTE(E3642,"°","º"))-1)),-1),IF(LEFT(E3642,6)="TÉRREO",0,IFERROR(VALUE(LEFT(E3642,FIND("º",SUBSTITUTE(E3642,"°","º"))-1)),""))))</f>
        <v/>
      </c>
      <c r="O3642" s="2">
        <f>IF(OR(F3642="",G3642=""),"",IF(G3642&lt;='RETRATO 2027'!$K$5,"CONCLUÍDA",IF(F3642&lt;='RETRATO 2027'!$K$5,"EM ANDAMENTO","A INICIAR")))</f>
        <v/>
      </c>
    </row>
    <row r="3643">
      <c r="M3643" s="2">
        <f>IF(C3643="","",IFERROR(INDEX($S$5:$S$304,MATCH(C3643,$R$5:$R$304,0))&amp;"","?"))</f>
        <v/>
      </c>
      <c r="N3643" s="2">
        <f>IF(E3643="","",IF(ISNUMBER(SEARCH("SUBSOLO",E3643)),IFERROR(-VALUE(LEFT(E3643,FIND("º",SUBSTITUTE(E3643,"°","º"))-1)),-1),IF(LEFT(E3643,6)="TÉRREO",0,IFERROR(VALUE(LEFT(E3643,FIND("º",SUBSTITUTE(E3643,"°","º"))-1)),""))))</f>
        <v/>
      </c>
      <c r="O3643" s="2">
        <f>IF(OR(F3643="",G3643=""),"",IF(G3643&lt;='RETRATO 2027'!$K$5,"CONCLUÍDA",IF(F3643&lt;='RETRATO 2027'!$K$5,"EM ANDAMENTO","A INICIAR")))</f>
        <v/>
      </c>
    </row>
    <row r="3644">
      <c r="M3644" s="2">
        <f>IF(C3644="","",IFERROR(INDEX($S$5:$S$304,MATCH(C3644,$R$5:$R$304,0))&amp;"","?"))</f>
        <v/>
      </c>
      <c r="N3644" s="2">
        <f>IF(E3644="","",IF(ISNUMBER(SEARCH("SUBSOLO",E3644)),IFERROR(-VALUE(LEFT(E3644,FIND("º",SUBSTITUTE(E3644,"°","º"))-1)),-1),IF(LEFT(E3644,6)="TÉRREO",0,IFERROR(VALUE(LEFT(E3644,FIND("º",SUBSTITUTE(E3644,"°","º"))-1)),""))))</f>
        <v/>
      </c>
      <c r="O3644" s="2">
        <f>IF(OR(F3644="",G3644=""),"",IF(G3644&lt;='RETRATO 2027'!$K$5,"CONCLUÍDA",IF(F3644&lt;='RETRATO 2027'!$K$5,"EM ANDAMENTO","A INICIAR")))</f>
        <v/>
      </c>
    </row>
    <row r="3645">
      <c r="M3645" s="2">
        <f>IF(C3645="","",IFERROR(INDEX($S$5:$S$304,MATCH(C3645,$R$5:$R$304,0))&amp;"","?"))</f>
        <v/>
      </c>
      <c r="N3645" s="2">
        <f>IF(E3645="","",IF(ISNUMBER(SEARCH("SUBSOLO",E3645)),IFERROR(-VALUE(LEFT(E3645,FIND("º",SUBSTITUTE(E3645,"°","º"))-1)),-1),IF(LEFT(E3645,6)="TÉRREO",0,IFERROR(VALUE(LEFT(E3645,FIND("º",SUBSTITUTE(E3645,"°","º"))-1)),""))))</f>
        <v/>
      </c>
      <c r="O3645" s="2">
        <f>IF(OR(F3645="",G3645=""),"",IF(G3645&lt;='RETRATO 2027'!$K$5,"CONCLUÍDA",IF(F3645&lt;='RETRATO 2027'!$K$5,"EM ANDAMENTO","A INICIAR")))</f>
        <v/>
      </c>
    </row>
    <row r="3646">
      <c r="M3646" s="2">
        <f>IF(C3646="","",IFERROR(INDEX($S$5:$S$304,MATCH(C3646,$R$5:$R$304,0))&amp;"","?"))</f>
        <v/>
      </c>
      <c r="N3646" s="2">
        <f>IF(E3646="","",IF(ISNUMBER(SEARCH("SUBSOLO",E3646)),IFERROR(-VALUE(LEFT(E3646,FIND("º",SUBSTITUTE(E3646,"°","º"))-1)),-1),IF(LEFT(E3646,6)="TÉRREO",0,IFERROR(VALUE(LEFT(E3646,FIND("º",SUBSTITUTE(E3646,"°","º"))-1)),""))))</f>
        <v/>
      </c>
      <c r="O3646" s="2">
        <f>IF(OR(F3646="",G3646=""),"",IF(G3646&lt;='RETRATO 2027'!$K$5,"CONCLUÍDA",IF(F3646&lt;='RETRATO 2027'!$K$5,"EM ANDAMENTO","A INICIAR")))</f>
        <v/>
      </c>
    </row>
    <row r="3647">
      <c r="M3647" s="2">
        <f>IF(C3647="","",IFERROR(INDEX($S$5:$S$304,MATCH(C3647,$R$5:$R$304,0))&amp;"","?"))</f>
        <v/>
      </c>
      <c r="N3647" s="2">
        <f>IF(E3647="","",IF(ISNUMBER(SEARCH("SUBSOLO",E3647)),IFERROR(-VALUE(LEFT(E3647,FIND("º",SUBSTITUTE(E3647,"°","º"))-1)),-1),IF(LEFT(E3647,6)="TÉRREO",0,IFERROR(VALUE(LEFT(E3647,FIND("º",SUBSTITUTE(E3647,"°","º"))-1)),""))))</f>
        <v/>
      </c>
      <c r="O3647" s="2">
        <f>IF(OR(F3647="",G3647=""),"",IF(G3647&lt;='RETRATO 2027'!$K$5,"CONCLUÍDA",IF(F3647&lt;='RETRATO 2027'!$K$5,"EM ANDAMENTO","A INICIAR")))</f>
        <v/>
      </c>
    </row>
    <row r="3648">
      <c r="M3648" s="2">
        <f>IF(C3648="","",IFERROR(INDEX($S$5:$S$304,MATCH(C3648,$R$5:$R$304,0))&amp;"","?"))</f>
        <v/>
      </c>
      <c r="N3648" s="2">
        <f>IF(E3648="","",IF(ISNUMBER(SEARCH("SUBSOLO",E3648)),IFERROR(-VALUE(LEFT(E3648,FIND("º",SUBSTITUTE(E3648,"°","º"))-1)),-1),IF(LEFT(E3648,6)="TÉRREO",0,IFERROR(VALUE(LEFT(E3648,FIND("º",SUBSTITUTE(E3648,"°","º"))-1)),""))))</f>
        <v/>
      </c>
      <c r="O3648" s="2">
        <f>IF(OR(F3648="",G3648=""),"",IF(G3648&lt;='RETRATO 2027'!$K$5,"CONCLUÍDA",IF(F3648&lt;='RETRATO 2027'!$K$5,"EM ANDAMENTO","A INICIAR")))</f>
        <v/>
      </c>
    </row>
    <row r="3649">
      <c r="M3649" s="2">
        <f>IF(C3649="","",IFERROR(INDEX($S$5:$S$304,MATCH(C3649,$R$5:$R$304,0))&amp;"","?"))</f>
        <v/>
      </c>
      <c r="N3649" s="2">
        <f>IF(E3649="","",IF(ISNUMBER(SEARCH("SUBSOLO",E3649)),IFERROR(-VALUE(LEFT(E3649,FIND("º",SUBSTITUTE(E3649,"°","º"))-1)),-1),IF(LEFT(E3649,6)="TÉRREO",0,IFERROR(VALUE(LEFT(E3649,FIND("º",SUBSTITUTE(E3649,"°","º"))-1)),""))))</f>
        <v/>
      </c>
      <c r="O3649" s="2">
        <f>IF(OR(F3649="",G3649=""),"",IF(G3649&lt;='RETRATO 2027'!$K$5,"CONCLUÍDA",IF(F3649&lt;='RETRATO 2027'!$K$5,"EM ANDAMENTO","A INICIAR")))</f>
        <v/>
      </c>
    </row>
    <row r="3650">
      <c r="M3650" s="2">
        <f>IF(C3650="","",IFERROR(INDEX($S$5:$S$304,MATCH(C3650,$R$5:$R$304,0))&amp;"","?"))</f>
        <v/>
      </c>
      <c r="N3650" s="2">
        <f>IF(E3650="","",IF(ISNUMBER(SEARCH("SUBSOLO",E3650)),IFERROR(-VALUE(LEFT(E3650,FIND("º",SUBSTITUTE(E3650,"°","º"))-1)),-1),IF(LEFT(E3650,6)="TÉRREO",0,IFERROR(VALUE(LEFT(E3650,FIND("º",SUBSTITUTE(E3650,"°","º"))-1)),""))))</f>
        <v/>
      </c>
      <c r="O3650" s="2">
        <f>IF(OR(F3650="",G3650=""),"",IF(G3650&lt;='RETRATO 2027'!$K$5,"CONCLUÍDA",IF(F3650&lt;='RETRATO 2027'!$K$5,"EM ANDAMENTO","A INICIAR")))</f>
        <v/>
      </c>
    </row>
    <row r="3651">
      <c r="M3651" s="2">
        <f>IF(C3651="","",IFERROR(INDEX($S$5:$S$304,MATCH(C3651,$R$5:$R$304,0))&amp;"","?"))</f>
        <v/>
      </c>
      <c r="N3651" s="2">
        <f>IF(E3651="","",IF(ISNUMBER(SEARCH("SUBSOLO",E3651)),IFERROR(-VALUE(LEFT(E3651,FIND("º",SUBSTITUTE(E3651,"°","º"))-1)),-1),IF(LEFT(E3651,6)="TÉRREO",0,IFERROR(VALUE(LEFT(E3651,FIND("º",SUBSTITUTE(E3651,"°","º"))-1)),""))))</f>
        <v/>
      </c>
      <c r="O3651" s="2">
        <f>IF(OR(F3651="",G3651=""),"",IF(G3651&lt;='RETRATO 2027'!$K$5,"CONCLUÍDA",IF(F3651&lt;='RETRATO 2027'!$K$5,"EM ANDAMENTO","A INICIAR")))</f>
        <v/>
      </c>
    </row>
    <row r="3652">
      <c r="M3652" s="2">
        <f>IF(C3652="","",IFERROR(INDEX($S$5:$S$304,MATCH(C3652,$R$5:$R$304,0))&amp;"","?"))</f>
        <v/>
      </c>
      <c r="N3652" s="2">
        <f>IF(E3652="","",IF(ISNUMBER(SEARCH("SUBSOLO",E3652)),IFERROR(-VALUE(LEFT(E3652,FIND("º",SUBSTITUTE(E3652,"°","º"))-1)),-1),IF(LEFT(E3652,6)="TÉRREO",0,IFERROR(VALUE(LEFT(E3652,FIND("º",SUBSTITUTE(E3652,"°","º"))-1)),""))))</f>
        <v/>
      </c>
      <c r="O3652" s="2">
        <f>IF(OR(F3652="",G3652=""),"",IF(G3652&lt;='RETRATO 2027'!$K$5,"CONCLUÍDA",IF(F3652&lt;='RETRATO 2027'!$K$5,"EM ANDAMENTO","A INICIAR")))</f>
        <v/>
      </c>
    </row>
    <row r="3653">
      <c r="M3653" s="2">
        <f>IF(C3653="","",IFERROR(INDEX($S$5:$S$304,MATCH(C3653,$R$5:$R$304,0))&amp;"","?"))</f>
        <v/>
      </c>
      <c r="N3653" s="2">
        <f>IF(E3653="","",IF(ISNUMBER(SEARCH("SUBSOLO",E3653)),IFERROR(-VALUE(LEFT(E3653,FIND("º",SUBSTITUTE(E3653,"°","º"))-1)),-1),IF(LEFT(E3653,6)="TÉRREO",0,IFERROR(VALUE(LEFT(E3653,FIND("º",SUBSTITUTE(E3653,"°","º"))-1)),""))))</f>
        <v/>
      </c>
      <c r="O3653" s="2">
        <f>IF(OR(F3653="",G3653=""),"",IF(G3653&lt;='RETRATO 2027'!$K$5,"CONCLUÍDA",IF(F3653&lt;='RETRATO 2027'!$K$5,"EM ANDAMENTO","A INICIAR")))</f>
        <v/>
      </c>
    </row>
    <row r="3654">
      <c r="M3654" s="2">
        <f>IF(C3654="","",IFERROR(INDEX($S$5:$S$304,MATCH(C3654,$R$5:$R$304,0))&amp;"","?"))</f>
        <v/>
      </c>
      <c r="N3654" s="2">
        <f>IF(E3654="","",IF(ISNUMBER(SEARCH("SUBSOLO",E3654)),IFERROR(-VALUE(LEFT(E3654,FIND("º",SUBSTITUTE(E3654,"°","º"))-1)),-1),IF(LEFT(E3654,6)="TÉRREO",0,IFERROR(VALUE(LEFT(E3654,FIND("º",SUBSTITUTE(E3654,"°","º"))-1)),""))))</f>
        <v/>
      </c>
      <c r="O3654" s="2">
        <f>IF(OR(F3654="",G3654=""),"",IF(G3654&lt;='RETRATO 2027'!$K$5,"CONCLUÍDA",IF(F3654&lt;='RETRATO 2027'!$K$5,"EM ANDAMENTO","A INICIAR")))</f>
        <v/>
      </c>
    </row>
    <row r="3655">
      <c r="M3655" s="2">
        <f>IF(C3655="","",IFERROR(INDEX($S$5:$S$304,MATCH(C3655,$R$5:$R$304,0))&amp;"","?"))</f>
        <v/>
      </c>
      <c r="N3655" s="2">
        <f>IF(E3655="","",IF(ISNUMBER(SEARCH("SUBSOLO",E3655)),IFERROR(-VALUE(LEFT(E3655,FIND("º",SUBSTITUTE(E3655,"°","º"))-1)),-1),IF(LEFT(E3655,6)="TÉRREO",0,IFERROR(VALUE(LEFT(E3655,FIND("º",SUBSTITUTE(E3655,"°","º"))-1)),""))))</f>
        <v/>
      </c>
      <c r="O3655" s="2">
        <f>IF(OR(F3655="",G3655=""),"",IF(G3655&lt;='RETRATO 2027'!$K$5,"CONCLUÍDA",IF(F3655&lt;='RETRATO 2027'!$K$5,"EM ANDAMENTO","A INICIAR")))</f>
        <v/>
      </c>
    </row>
    <row r="3656">
      <c r="M3656" s="2">
        <f>IF(C3656="","",IFERROR(INDEX($S$5:$S$304,MATCH(C3656,$R$5:$R$304,0))&amp;"","?"))</f>
        <v/>
      </c>
      <c r="N3656" s="2">
        <f>IF(E3656="","",IF(ISNUMBER(SEARCH("SUBSOLO",E3656)),IFERROR(-VALUE(LEFT(E3656,FIND("º",SUBSTITUTE(E3656,"°","º"))-1)),-1),IF(LEFT(E3656,6)="TÉRREO",0,IFERROR(VALUE(LEFT(E3656,FIND("º",SUBSTITUTE(E3656,"°","º"))-1)),""))))</f>
        <v/>
      </c>
      <c r="O3656" s="2">
        <f>IF(OR(F3656="",G3656=""),"",IF(G3656&lt;='RETRATO 2027'!$K$5,"CONCLUÍDA",IF(F3656&lt;='RETRATO 2027'!$K$5,"EM ANDAMENTO","A INICIAR")))</f>
        <v/>
      </c>
    </row>
    <row r="3657">
      <c r="M3657" s="2">
        <f>IF(C3657="","",IFERROR(INDEX($S$5:$S$304,MATCH(C3657,$R$5:$R$304,0))&amp;"","?"))</f>
        <v/>
      </c>
      <c r="N3657" s="2">
        <f>IF(E3657="","",IF(ISNUMBER(SEARCH("SUBSOLO",E3657)),IFERROR(-VALUE(LEFT(E3657,FIND("º",SUBSTITUTE(E3657,"°","º"))-1)),-1),IF(LEFT(E3657,6)="TÉRREO",0,IFERROR(VALUE(LEFT(E3657,FIND("º",SUBSTITUTE(E3657,"°","º"))-1)),""))))</f>
        <v/>
      </c>
      <c r="O3657" s="2">
        <f>IF(OR(F3657="",G3657=""),"",IF(G3657&lt;='RETRATO 2027'!$K$5,"CONCLUÍDA",IF(F3657&lt;='RETRATO 2027'!$K$5,"EM ANDAMENTO","A INICIAR")))</f>
        <v/>
      </c>
    </row>
    <row r="3658">
      <c r="M3658" s="2">
        <f>IF(C3658="","",IFERROR(INDEX($S$5:$S$304,MATCH(C3658,$R$5:$R$304,0))&amp;"","?"))</f>
        <v/>
      </c>
      <c r="N3658" s="2">
        <f>IF(E3658="","",IF(ISNUMBER(SEARCH("SUBSOLO",E3658)),IFERROR(-VALUE(LEFT(E3658,FIND("º",SUBSTITUTE(E3658,"°","º"))-1)),-1),IF(LEFT(E3658,6)="TÉRREO",0,IFERROR(VALUE(LEFT(E3658,FIND("º",SUBSTITUTE(E3658,"°","º"))-1)),""))))</f>
        <v/>
      </c>
      <c r="O3658" s="2">
        <f>IF(OR(F3658="",G3658=""),"",IF(G3658&lt;='RETRATO 2027'!$K$5,"CONCLUÍDA",IF(F3658&lt;='RETRATO 2027'!$K$5,"EM ANDAMENTO","A INICIAR")))</f>
        <v/>
      </c>
    </row>
    <row r="3659">
      <c r="M3659" s="2">
        <f>IF(C3659="","",IFERROR(INDEX($S$5:$S$304,MATCH(C3659,$R$5:$R$304,0))&amp;"","?"))</f>
        <v/>
      </c>
      <c r="N3659" s="2">
        <f>IF(E3659="","",IF(ISNUMBER(SEARCH("SUBSOLO",E3659)),IFERROR(-VALUE(LEFT(E3659,FIND("º",SUBSTITUTE(E3659,"°","º"))-1)),-1),IF(LEFT(E3659,6)="TÉRREO",0,IFERROR(VALUE(LEFT(E3659,FIND("º",SUBSTITUTE(E3659,"°","º"))-1)),""))))</f>
        <v/>
      </c>
      <c r="O3659" s="2">
        <f>IF(OR(F3659="",G3659=""),"",IF(G3659&lt;='RETRATO 2027'!$K$5,"CONCLUÍDA",IF(F3659&lt;='RETRATO 2027'!$K$5,"EM ANDAMENTO","A INICIAR")))</f>
        <v/>
      </c>
    </row>
    <row r="3660">
      <c r="M3660" s="2">
        <f>IF(C3660="","",IFERROR(INDEX($S$5:$S$304,MATCH(C3660,$R$5:$R$304,0))&amp;"","?"))</f>
        <v/>
      </c>
      <c r="N3660" s="2">
        <f>IF(E3660="","",IF(ISNUMBER(SEARCH("SUBSOLO",E3660)),IFERROR(-VALUE(LEFT(E3660,FIND("º",SUBSTITUTE(E3660,"°","º"))-1)),-1),IF(LEFT(E3660,6)="TÉRREO",0,IFERROR(VALUE(LEFT(E3660,FIND("º",SUBSTITUTE(E3660,"°","º"))-1)),""))))</f>
        <v/>
      </c>
      <c r="O3660" s="2">
        <f>IF(OR(F3660="",G3660=""),"",IF(G3660&lt;='RETRATO 2027'!$K$5,"CONCLUÍDA",IF(F3660&lt;='RETRATO 2027'!$K$5,"EM ANDAMENTO","A INICIAR")))</f>
        <v/>
      </c>
    </row>
    <row r="3661">
      <c r="M3661" s="2">
        <f>IF(C3661="","",IFERROR(INDEX($S$5:$S$304,MATCH(C3661,$R$5:$R$304,0))&amp;"","?"))</f>
        <v/>
      </c>
      <c r="N3661" s="2">
        <f>IF(E3661="","",IF(ISNUMBER(SEARCH("SUBSOLO",E3661)),IFERROR(-VALUE(LEFT(E3661,FIND("º",SUBSTITUTE(E3661,"°","º"))-1)),-1),IF(LEFT(E3661,6)="TÉRREO",0,IFERROR(VALUE(LEFT(E3661,FIND("º",SUBSTITUTE(E3661,"°","º"))-1)),""))))</f>
        <v/>
      </c>
      <c r="O3661" s="2">
        <f>IF(OR(F3661="",G3661=""),"",IF(G3661&lt;='RETRATO 2027'!$K$5,"CONCLUÍDA",IF(F3661&lt;='RETRATO 2027'!$K$5,"EM ANDAMENTO","A INICIAR")))</f>
        <v/>
      </c>
    </row>
    <row r="3662">
      <c r="M3662" s="2">
        <f>IF(C3662="","",IFERROR(INDEX($S$5:$S$304,MATCH(C3662,$R$5:$R$304,0))&amp;"","?"))</f>
        <v/>
      </c>
      <c r="N3662" s="2">
        <f>IF(E3662="","",IF(ISNUMBER(SEARCH("SUBSOLO",E3662)),IFERROR(-VALUE(LEFT(E3662,FIND("º",SUBSTITUTE(E3662,"°","º"))-1)),-1),IF(LEFT(E3662,6)="TÉRREO",0,IFERROR(VALUE(LEFT(E3662,FIND("º",SUBSTITUTE(E3662,"°","º"))-1)),""))))</f>
        <v/>
      </c>
      <c r="O3662" s="2">
        <f>IF(OR(F3662="",G3662=""),"",IF(G3662&lt;='RETRATO 2027'!$K$5,"CONCLUÍDA",IF(F3662&lt;='RETRATO 2027'!$K$5,"EM ANDAMENTO","A INICIAR")))</f>
        <v/>
      </c>
    </row>
    <row r="3663">
      <c r="M3663" s="2">
        <f>IF(C3663="","",IFERROR(INDEX($S$5:$S$304,MATCH(C3663,$R$5:$R$304,0))&amp;"","?"))</f>
        <v/>
      </c>
      <c r="N3663" s="2">
        <f>IF(E3663="","",IF(ISNUMBER(SEARCH("SUBSOLO",E3663)),IFERROR(-VALUE(LEFT(E3663,FIND("º",SUBSTITUTE(E3663,"°","º"))-1)),-1),IF(LEFT(E3663,6)="TÉRREO",0,IFERROR(VALUE(LEFT(E3663,FIND("º",SUBSTITUTE(E3663,"°","º"))-1)),""))))</f>
        <v/>
      </c>
      <c r="O3663" s="2">
        <f>IF(OR(F3663="",G3663=""),"",IF(G3663&lt;='RETRATO 2027'!$K$5,"CONCLUÍDA",IF(F3663&lt;='RETRATO 2027'!$K$5,"EM ANDAMENTO","A INICIAR")))</f>
        <v/>
      </c>
    </row>
    <row r="3664">
      <c r="M3664" s="2">
        <f>IF(C3664="","",IFERROR(INDEX($S$5:$S$304,MATCH(C3664,$R$5:$R$304,0))&amp;"","?"))</f>
        <v/>
      </c>
      <c r="N3664" s="2">
        <f>IF(E3664="","",IF(ISNUMBER(SEARCH("SUBSOLO",E3664)),IFERROR(-VALUE(LEFT(E3664,FIND("º",SUBSTITUTE(E3664,"°","º"))-1)),-1),IF(LEFT(E3664,6)="TÉRREO",0,IFERROR(VALUE(LEFT(E3664,FIND("º",SUBSTITUTE(E3664,"°","º"))-1)),""))))</f>
        <v/>
      </c>
      <c r="O3664" s="2">
        <f>IF(OR(F3664="",G3664=""),"",IF(G3664&lt;='RETRATO 2027'!$K$5,"CONCLUÍDA",IF(F3664&lt;='RETRATO 2027'!$K$5,"EM ANDAMENTO","A INICIAR")))</f>
        <v/>
      </c>
    </row>
    <row r="3665">
      <c r="M3665" s="2">
        <f>IF(C3665="","",IFERROR(INDEX($S$5:$S$304,MATCH(C3665,$R$5:$R$304,0))&amp;"","?"))</f>
        <v/>
      </c>
      <c r="N3665" s="2">
        <f>IF(E3665="","",IF(ISNUMBER(SEARCH("SUBSOLO",E3665)),IFERROR(-VALUE(LEFT(E3665,FIND("º",SUBSTITUTE(E3665,"°","º"))-1)),-1),IF(LEFT(E3665,6)="TÉRREO",0,IFERROR(VALUE(LEFT(E3665,FIND("º",SUBSTITUTE(E3665,"°","º"))-1)),""))))</f>
        <v/>
      </c>
      <c r="O3665" s="2">
        <f>IF(OR(F3665="",G3665=""),"",IF(G3665&lt;='RETRATO 2027'!$K$5,"CONCLUÍDA",IF(F3665&lt;='RETRATO 2027'!$K$5,"EM ANDAMENTO","A INICIAR")))</f>
        <v/>
      </c>
    </row>
    <row r="3666">
      <c r="M3666" s="2">
        <f>IF(C3666="","",IFERROR(INDEX($S$5:$S$304,MATCH(C3666,$R$5:$R$304,0))&amp;"","?"))</f>
        <v/>
      </c>
      <c r="N3666" s="2">
        <f>IF(E3666="","",IF(ISNUMBER(SEARCH("SUBSOLO",E3666)),IFERROR(-VALUE(LEFT(E3666,FIND("º",SUBSTITUTE(E3666,"°","º"))-1)),-1),IF(LEFT(E3666,6)="TÉRREO",0,IFERROR(VALUE(LEFT(E3666,FIND("º",SUBSTITUTE(E3666,"°","º"))-1)),""))))</f>
        <v/>
      </c>
      <c r="O3666" s="2">
        <f>IF(OR(F3666="",G3666=""),"",IF(G3666&lt;='RETRATO 2027'!$K$5,"CONCLUÍDA",IF(F3666&lt;='RETRATO 2027'!$K$5,"EM ANDAMENTO","A INICIAR")))</f>
        <v/>
      </c>
    </row>
    <row r="3667">
      <c r="M3667" s="2">
        <f>IF(C3667="","",IFERROR(INDEX($S$5:$S$304,MATCH(C3667,$R$5:$R$304,0))&amp;"","?"))</f>
        <v/>
      </c>
      <c r="N3667" s="2">
        <f>IF(E3667="","",IF(ISNUMBER(SEARCH("SUBSOLO",E3667)),IFERROR(-VALUE(LEFT(E3667,FIND("º",SUBSTITUTE(E3667,"°","º"))-1)),-1),IF(LEFT(E3667,6)="TÉRREO",0,IFERROR(VALUE(LEFT(E3667,FIND("º",SUBSTITUTE(E3667,"°","º"))-1)),""))))</f>
        <v/>
      </c>
      <c r="O3667" s="2">
        <f>IF(OR(F3667="",G3667=""),"",IF(G3667&lt;='RETRATO 2027'!$K$5,"CONCLUÍDA",IF(F3667&lt;='RETRATO 2027'!$K$5,"EM ANDAMENTO","A INICIAR")))</f>
        <v/>
      </c>
    </row>
    <row r="3668">
      <c r="M3668" s="2">
        <f>IF(C3668="","",IFERROR(INDEX($S$5:$S$304,MATCH(C3668,$R$5:$R$304,0))&amp;"","?"))</f>
        <v/>
      </c>
      <c r="N3668" s="2">
        <f>IF(E3668="","",IF(ISNUMBER(SEARCH("SUBSOLO",E3668)),IFERROR(-VALUE(LEFT(E3668,FIND("º",SUBSTITUTE(E3668,"°","º"))-1)),-1),IF(LEFT(E3668,6)="TÉRREO",0,IFERROR(VALUE(LEFT(E3668,FIND("º",SUBSTITUTE(E3668,"°","º"))-1)),""))))</f>
        <v/>
      </c>
      <c r="O3668" s="2">
        <f>IF(OR(F3668="",G3668=""),"",IF(G3668&lt;='RETRATO 2027'!$K$5,"CONCLUÍDA",IF(F3668&lt;='RETRATO 2027'!$K$5,"EM ANDAMENTO","A INICIAR")))</f>
        <v/>
      </c>
    </row>
    <row r="3669">
      <c r="M3669" s="2">
        <f>IF(C3669="","",IFERROR(INDEX($S$5:$S$304,MATCH(C3669,$R$5:$R$304,0))&amp;"","?"))</f>
        <v/>
      </c>
      <c r="N3669" s="2">
        <f>IF(E3669="","",IF(ISNUMBER(SEARCH("SUBSOLO",E3669)),IFERROR(-VALUE(LEFT(E3669,FIND("º",SUBSTITUTE(E3669,"°","º"))-1)),-1),IF(LEFT(E3669,6)="TÉRREO",0,IFERROR(VALUE(LEFT(E3669,FIND("º",SUBSTITUTE(E3669,"°","º"))-1)),""))))</f>
        <v/>
      </c>
      <c r="O3669" s="2">
        <f>IF(OR(F3669="",G3669=""),"",IF(G3669&lt;='RETRATO 2027'!$K$5,"CONCLUÍDA",IF(F3669&lt;='RETRATO 2027'!$K$5,"EM ANDAMENTO","A INICIAR")))</f>
        <v/>
      </c>
    </row>
    <row r="3670">
      <c r="M3670" s="2">
        <f>IF(C3670="","",IFERROR(INDEX($S$5:$S$304,MATCH(C3670,$R$5:$R$304,0))&amp;"","?"))</f>
        <v/>
      </c>
      <c r="N3670" s="2">
        <f>IF(E3670="","",IF(ISNUMBER(SEARCH("SUBSOLO",E3670)),IFERROR(-VALUE(LEFT(E3670,FIND("º",SUBSTITUTE(E3670,"°","º"))-1)),-1),IF(LEFT(E3670,6)="TÉRREO",0,IFERROR(VALUE(LEFT(E3670,FIND("º",SUBSTITUTE(E3670,"°","º"))-1)),""))))</f>
        <v/>
      </c>
      <c r="O3670" s="2">
        <f>IF(OR(F3670="",G3670=""),"",IF(G3670&lt;='RETRATO 2027'!$K$5,"CONCLUÍDA",IF(F3670&lt;='RETRATO 2027'!$K$5,"EM ANDAMENTO","A INICIAR")))</f>
        <v/>
      </c>
    </row>
    <row r="3671">
      <c r="M3671" s="2">
        <f>IF(C3671="","",IFERROR(INDEX($S$5:$S$304,MATCH(C3671,$R$5:$R$304,0))&amp;"","?"))</f>
        <v/>
      </c>
      <c r="N3671" s="2">
        <f>IF(E3671="","",IF(ISNUMBER(SEARCH("SUBSOLO",E3671)),IFERROR(-VALUE(LEFT(E3671,FIND("º",SUBSTITUTE(E3671,"°","º"))-1)),-1),IF(LEFT(E3671,6)="TÉRREO",0,IFERROR(VALUE(LEFT(E3671,FIND("º",SUBSTITUTE(E3671,"°","º"))-1)),""))))</f>
        <v/>
      </c>
      <c r="O3671" s="2">
        <f>IF(OR(F3671="",G3671=""),"",IF(G3671&lt;='RETRATO 2027'!$K$5,"CONCLUÍDA",IF(F3671&lt;='RETRATO 2027'!$K$5,"EM ANDAMENTO","A INICIAR")))</f>
        <v/>
      </c>
    </row>
    <row r="3672">
      <c r="M3672" s="2">
        <f>IF(C3672="","",IFERROR(INDEX($S$5:$S$304,MATCH(C3672,$R$5:$R$304,0))&amp;"","?"))</f>
        <v/>
      </c>
      <c r="N3672" s="2">
        <f>IF(E3672="","",IF(ISNUMBER(SEARCH("SUBSOLO",E3672)),IFERROR(-VALUE(LEFT(E3672,FIND("º",SUBSTITUTE(E3672,"°","º"))-1)),-1),IF(LEFT(E3672,6)="TÉRREO",0,IFERROR(VALUE(LEFT(E3672,FIND("º",SUBSTITUTE(E3672,"°","º"))-1)),""))))</f>
        <v/>
      </c>
      <c r="O3672" s="2">
        <f>IF(OR(F3672="",G3672=""),"",IF(G3672&lt;='RETRATO 2027'!$K$5,"CONCLUÍDA",IF(F3672&lt;='RETRATO 2027'!$K$5,"EM ANDAMENTO","A INICIAR")))</f>
        <v/>
      </c>
    </row>
    <row r="3673">
      <c r="M3673" s="2">
        <f>IF(C3673="","",IFERROR(INDEX($S$5:$S$304,MATCH(C3673,$R$5:$R$304,0))&amp;"","?"))</f>
        <v/>
      </c>
      <c r="N3673" s="2">
        <f>IF(E3673="","",IF(ISNUMBER(SEARCH("SUBSOLO",E3673)),IFERROR(-VALUE(LEFT(E3673,FIND("º",SUBSTITUTE(E3673,"°","º"))-1)),-1),IF(LEFT(E3673,6)="TÉRREO",0,IFERROR(VALUE(LEFT(E3673,FIND("º",SUBSTITUTE(E3673,"°","º"))-1)),""))))</f>
        <v/>
      </c>
      <c r="O3673" s="2">
        <f>IF(OR(F3673="",G3673=""),"",IF(G3673&lt;='RETRATO 2027'!$K$5,"CONCLUÍDA",IF(F3673&lt;='RETRATO 2027'!$K$5,"EM ANDAMENTO","A INICIAR")))</f>
        <v/>
      </c>
    </row>
    <row r="3674">
      <c r="M3674" s="2">
        <f>IF(C3674="","",IFERROR(INDEX($S$5:$S$304,MATCH(C3674,$R$5:$R$304,0))&amp;"","?"))</f>
        <v/>
      </c>
      <c r="N3674" s="2">
        <f>IF(E3674="","",IF(ISNUMBER(SEARCH("SUBSOLO",E3674)),IFERROR(-VALUE(LEFT(E3674,FIND("º",SUBSTITUTE(E3674,"°","º"))-1)),-1),IF(LEFT(E3674,6)="TÉRREO",0,IFERROR(VALUE(LEFT(E3674,FIND("º",SUBSTITUTE(E3674,"°","º"))-1)),""))))</f>
        <v/>
      </c>
      <c r="O3674" s="2">
        <f>IF(OR(F3674="",G3674=""),"",IF(G3674&lt;='RETRATO 2027'!$K$5,"CONCLUÍDA",IF(F3674&lt;='RETRATO 2027'!$K$5,"EM ANDAMENTO","A INICIAR")))</f>
        <v/>
      </c>
    </row>
    <row r="3675">
      <c r="M3675" s="2">
        <f>IF(C3675="","",IFERROR(INDEX($S$5:$S$304,MATCH(C3675,$R$5:$R$304,0))&amp;"","?"))</f>
        <v/>
      </c>
      <c r="N3675" s="2">
        <f>IF(E3675="","",IF(ISNUMBER(SEARCH("SUBSOLO",E3675)),IFERROR(-VALUE(LEFT(E3675,FIND("º",SUBSTITUTE(E3675,"°","º"))-1)),-1),IF(LEFT(E3675,6)="TÉRREO",0,IFERROR(VALUE(LEFT(E3675,FIND("º",SUBSTITUTE(E3675,"°","º"))-1)),""))))</f>
        <v/>
      </c>
      <c r="O3675" s="2">
        <f>IF(OR(F3675="",G3675=""),"",IF(G3675&lt;='RETRATO 2027'!$K$5,"CONCLUÍDA",IF(F3675&lt;='RETRATO 2027'!$K$5,"EM ANDAMENTO","A INICIAR")))</f>
        <v/>
      </c>
    </row>
    <row r="3676">
      <c r="M3676" s="2">
        <f>IF(C3676="","",IFERROR(INDEX($S$5:$S$304,MATCH(C3676,$R$5:$R$304,0))&amp;"","?"))</f>
        <v/>
      </c>
      <c r="N3676" s="2">
        <f>IF(E3676="","",IF(ISNUMBER(SEARCH("SUBSOLO",E3676)),IFERROR(-VALUE(LEFT(E3676,FIND("º",SUBSTITUTE(E3676,"°","º"))-1)),-1),IF(LEFT(E3676,6)="TÉRREO",0,IFERROR(VALUE(LEFT(E3676,FIND("º",SUBSTITUTE(E3676,"°","º"))-1)),""))))</f>
        <v/>
      </c>
      <c r="O3676" s="2">
        <f>IF(OR(F3676="",G3676=""),"",IF(G3676&lt;='RETRATO 2027'!$K$5,"CONCLUÍDA",IF(F3676&lt;='RETRATO 2027'!$K$5,"EM ANDAMENTO","A INICIAR")))</f>
        <v/>
      </c>
    </row>
    <row r="3677">
      <c r="M3677" s="2">
        <f>IF(C3677="","",IFERROR(INDEX($S$5:$S$304,MATCH(C3677,$R$5:$R$304,0))&amp;"","?"))</f>
        <v/>
      </c>
      <c r="N3677" s="2">
        <f>IF(E3677="","",IF(ISNUMBER(SEARCH("SUBSOLO",E3677)),IFERROR(-VALUE(LEFT(E3677,FIND("º",SUBSTITUTE(E3677,"°","º"))-1)),-1),IF(LEFT(E3677,6)="TÉRREO",0,IFERROR(VALUE(LEFT(E3677,FIND("º",SUBSTITUTE(E3677,"°","º"))-1)),""))))</f>
        <v/>
      </c>
      <c r="O3677" s="2">
        <f>IF(OR(F3677="",G3677=""),"",IF(G3677&lt;='RETRATO 2027'!$K$5,"CONCLUÍDA",IF(F3677&lt;='RETRATO 2027'!$K$5,"EM ANDAMENTO","A INICIAR")))</f>
        <v/>
      </c>
    </row>
    <row r="3678">
      <c r="M3678" s="2">
        <f>IF(C3678="","",IFERROR(INDEX($S$5:$S$304,MATCH(C3678,$R$5:$R$304,0))&amp;"","?"))</f>
        <v/>
      </c>
      <c r="N3678" s="2">
        <f>IF(E3678="","",IF(ISNUMBER(SEARCH("SUBSOLO",E3678)),IFERROR(-VALUE(LEFT(E3678,FIND("º",SUBSTITUTE(E3678,"°","º"))-1)),-1),IF(LEFT(E3678,6)="TÉRREO",0,IFERROR(VALUE(LEFT(E3678,FIND("º",SUBSTITUTE(E3678,"°","º"))-1)),""))))</f>
        <v/>
      </c>
      <c r="O3678" s="2">
        <f>IF(OR(F3678="",G3678=""),"",IF(G3678&lt;='RETRATO 2027'!$K$5,"CONCLUÍDA",IF(F3678&lt;='RETRATO 2027'!$K$5,"EM ANDAMENTO","A INICIAR")))</f>
        <v/>
      </c>
    </row>
    <row r="3679">
      <c r="M3679" s="2">
        <f>IF(C3679="","",IFERROR(INDEX($S$5:$S$304,MATCH(C3679,$R$5:$R$304,0))&amp;"","?"))</f>
        <v/>
      </c>
      <c r="N3679" s="2">
        <f>IF(E3679="","",IF(ISNUMBER(SEARCH("SUBSOLO",E3679)),IFERROR(-VALUE(LEFT(E3679,FIND("º",SUBSTITUTE(E3679,"°","º"))-1)),-1),IF(LEFT(E3679,6)="TÉRREO",0,IFERROR(VALUE(LEFT(E3679,FIND("º",SUBSTITUTE(E3679,"°","º"))-1)),""))))</f>
        <v/>
      </c>
      <c r="O3679" s="2">
        <f>IF(OR(F3679="",G3679=""),"",IF(G3679&lt;='RETRATO 2027'!$K$5,"CONCLUÍDA",IF(F3679&lt;='RETRATO 2027'!$K$5,"EM ANDAMENTO","A INICIAR")))</f>
        <v/>
      </c>
    </row>
    <row r="3680">
      <c r="M3680" s="2">
        <f>IF(C3680="","",IFERROR(INDEX($S$5:$S$304,MATCH(C3680,$R$5:$R$304,0))&amp;"","?"))</f>
        <v/>
      </c>
      <c r="N3680" s="2">
        <f>IF(E3680="","",IF(ISNUMBER(SEARCH("SUBSOLO",E3680)),IFERROR(-VALUE(LEFT(E3680,FIND("º",SUBSTITUTE(E3680,"°","º"))-1)),-1),IF(LEFT(E3680,6)="TÉRREO",0,IFERROR(VALUE(LEFT(E3680,FIND("º",SUBSTITUTE(E3680,"°","º"))-1)),""))))</f>
        <v/>
      </c>
      <c r="O3680" s="2">
        <f>IF(OR(F3680="",G3680=""),"",IF(G3680&lt;='RETRATO 2027'!$K$5,"CONCLUÍDA",IF(F3680&lt;='RETRATO 2027'!$K$5,"EM ANDAMENTO","A INICIAR")))</f>
        <v/>
      </c>
    </row>
    <row r="3681">
      <c r="M3681" s="2">
        <f>IF(C3681="","",IFERROR(INDEX($S$5:$S$304,MATCH(C3681,$R$5:$R$304,0))&amp;"","?"))</f>
        <v/>
      </c>
      <c r="N3681" s="2">
        <f>IF(E3681="","",IF(ISNUMBER(SEARCH("SUBSOLO",E3681)),IFERROR(-VALUE(LEFT(E3681,FIND("º",SUBSTITUTE(E3681,"°","º"))-1)),-1),IF(LEFT(E3681,6)="TÉRREO",0,IFERROR(VALUE(LEFT(E3681,FIND("º",SUBSTITUTE(E3681,"°","º"))-1)),""))))</f>
        <v/>
      </c>
      <c r="O3681" s="2">
        <f>IF(OR(F3681="",G3681=""),"",IF(G3681&lt;='RETRATO 2027'!$K$5,"CONCLUÍDA",IF(F3681&lt;='RETRATO 2027'!$K$5,"EM ANDAMENTO","A INICIAR")))</f>
        <v/>
      </c>
    </row>
    <row r="3682">
      <c r="M3682" s="2">
        <f>IF(C3682="","",IFERROR(INDEX($S$5:$S$304,MATCH(C3682,$R$5:$R$304,0))&amp;"","?"))</f>
        <v/>
      </c>
      <c r="N3682" s="2">
        <f>IF(E3682="","",IF(ISNUMBER(SEARCH("SUBSOLO",E3682)),IFERROR(-VALUE(LEFT(E3682,FIND("º",SUBSTITUTE(E3682,"°","º"))-1)),-1),IF(LEFT(E3682,6)="TÉRREO",0,IFERROR(VALUE(LEFT(E3682,FIND("º",SUBSTITUTE(E3682,"°","º"))-1)),""))))</f>
        <v/>
      </c>
      <c r="O3682" s="2">
        <f>IF(OR(F3682="",G3682=""),"",IF(G3682&lt;='RETRATO 2027'!$K$5,"CONCLUÍDA",IF(F3682&lt;='RETRATO 2027'!$K$5,"EM ANDAMENTO","A INICIAR")))</f>
        <v/>
      </c>
    </row>
    <row r="3683">
      <c r="M3683" s="2">
        <f>IF(C3683="","",IFERROR(INDEX($S$5:$S$304,MATCH(C3683,$R$5:$R$304,0))&amp;"","?"))</f>
        <v/>
      </c>
      <c r="N3683" s="2">
        <f>IF(E3683="","",IF(ISNUMBER(SEARCH("SUBSOLO",E3683)),IFERROR(-VALUE(LEFT(E3683,FIND("º",SUBSTITUTE(E3683,"°","º"))-1)),-1),IF(LEFT(E3683,6)="TÉRREO",0,IFERROR(VALUE(LEFT(E3683,FIND("º",SUBSTITUTE(E3683,"°","º"))-1)),""))))</f>
        <v/>
      </c>
      <c r="O3683" s="2">
        <f>IF(OR(F3683="",G3683=""),"",IF(G3683&lt;='RETRATO 2027'!$K$5,"CONCLUÍDA",IF(F3683&lt;='RETRATO 2027'!$K$5,"EM ANDAMENTO","A INICIAR")))</f>
        <v/>
      </c>
    </row>
    <row r="3684">
      <c r="M3684" s="2">
        <f>IF(C3684="","",IFERROR(INDEX($S$5:$S$304,MATCH(C3684,$R$5:$R$304,0))&amp;"","?"))</f>
        <v/>
      </c>
      <c r="N3684" s="2">
        <f>IF(E3684="","",IF(ISNUMBER(SEARCH("SUBSOLO",E3684)),IFERROR(-VALUE(LEFT(E3684,FIND("º",SUBSTITUTE(E3684,"°","º"))-1)),-1),IF(LEFT(E3684,6)="TÉRREO",0,IFERROR(VALUE(LEFT(E3684,FIND("º",SUBSTITUTE(E3684,"°","º"))-1)),""))))</f>
        <v/>
      </c>
      <c r="O3684" s="2">
        <f>IF(OR(F3684="",G3684=""),"",IF(G3684&lt;='RETRATO 2027'!$K$5,"CONCLUÍDA",IF(F3684&lt;='RETRATO 2027'!$K$5,"EM ANDAMENTO","A INICIAR")))</f>
        <v/>
      </c>
    </row>
    <row r="3685">
      <c r="M3685" s="2">
        <f>IF(C3685="","",IFERROR(INDEX($S$5:$S$304,MATCH(C3685,$R$5:$R$304,0))&amp;"","?"))</f>
        <v/>
      </c>
      <c r="N3685" s="2">
        <f>IF(E3685="","",IF(ISNUMBER(SEARCH("SUBSOLO",E3685)),IFERROR(-VALUE(LEFT(E3685,FIND("º",SUBSTITUTE(E3685,"°","º"))-1)),-1),IF(LEFT(E3685,6)="TÉRREO",0,IFERROR(VALUE(LEFT(E3685,FIND("º",SUBSTITUTE(E3685,"°","º"))-1)),""))))</f>
        <v/>
      </c>
      <c r="O3685" s="2">
        <f>IF(OR(F3685="",G3685=""),"",IF(G3685&lt;='RETRATO 2027'!$K$5,"CONCLUÍDA",IF(F3685&lt;='RETRATO 2027'!$K$5,"EM ANDAMENTO","A INICIAR")))</f>
        <v/>
      </c>
    </row>
    <row r="3686">
      <c r="M3686" s="2">
        <f>IF(C3686="","",IFERROR(INDEX($S$5:$S$304,MATCH(C3686,$R$5:$R$304,0))&amp;"","?"))</f>
        <v/>
      </c>
      <c r="N3686" s="2">
        <f>IF(E3686="","",IF(ISNUMBER(SEARCH("SUBSOLO",E3686)),IFERROR(-VALUE(LEFT(E3686,FIND("º",SUBSTITUTE(E3686,"°","º"))-1)),-1),IF(LEFT(E3686,6)="TÉRREO",0,IFERROR(VALUE(LEFT(E3686,FIND("º",SUBSTITUTE(E3686,"°","º"))-1)),""))))</f>
        <v/>
      </c>
      <c r="O3686" s="2">
        <f>IF(OR(F3686="",G3686=""),"",IF(G3686&lt;='RETRATO 2027'!$K$5,"CONCLUÍDA",IF(F3686&lt;='RETRATO 2027'!$K$5,"EM ANDAMENTO","A INICIAR")))</f>
        <v/>
      </c>
    </row>
    <row r="3687">
      <c r="M3687" s="2">
        <f>IF(C3687="","",IFERROR(INDEX($S$5:$S$304,MATCH(C3687,$R$5:$R$304,0))&amp;"","?"))</f>
        <v/>
      </c>
      <c r="N3687" s="2">
        <f>IF(E3687="","",IF(ISNUMBER(SEARCH("SUBSOLO",E3687)),IFERROR(-VALUE(LEFT(E3687,FIND("º",SUBSTITUTE(E3687,"°","º"))-1)),-1),IF(LEFT(E3687,6)="TÉRREO",0,IFERROR(VALUE(LEFT(E3687,FIND("º",SUBSTITUTE(E3687,"°","º"))-1)),""))))</f>
        <v/>
      </c>
      <c r="O3687" s="2">
        <f>IF(OR(F3687="",G3687=""),"",IF(G3687&lt;='RETRATO 2027'!$K$5,"CONCLUÍDA",IF(F3687&lt;='RETRATO 2027'!$K$5,"EM ANDAMENTO","A INICIAR")))</f>
        <v/>
      </c>
    </row>
    <row r="3688">
      <c r="M3688" s="2">
        <f>IF(C3688="","",IFERROR(INDEX($S$5:$S$304,MATCH(C3688,$R$5:$R$304,0))&amp;"","?"))</f>
        <v/>
      </c>
      <c r="N3688" s="2">
        <f>IF(E3688="","",IF(ISNUMBER(SEARCH("SUBSOLO",E3688)),IFERROR(-VALUE(LEFT(E3688,FIND("º",SUBSTITUTE(E3688,"°","º"))-1)),-1),IF(LEFT(E3688,6)="TÉRREO",0,IFERROR(VALUE(LEFT(E3688,FIND("º",SUBSTITUTE(E3688,"°","º"))-1)),""))))</f>
        <v/>
      </c>
      <c r="O3688" s="2">
        <f>IF(OR(F3688="",G3688=""),"",IF(G3688&lt;='RETRATO 2027'!$K$5,"CONCLUÍDA",IF(F3688&lt;='RETRATO 2027'!$K$5,"EM ANDAMENTO","A INICIAR")))</f>
        <v/>
      </c>
    </row>
    <row r="3689">
      <c r="M3689" s="2">
        <f>IF(C3689="","",IFERROR(INDEX($S$5:$S$304,MATCH(C3689,$R$5:$R$304,0))&amp;"","?"))</f>
        <v/>
      </c>
      <c r="N3689" s="2">
        <f>IF(E3689="","",IF(ISNUMBER(SEARCH("SUBSOLO",E3689)),IFERROR(-VALUE(LEFT(E3689,FIND("º",SUBSTITUTE(E3689,"°","º"))-1)),-1),IF(LEFT(E3689,6)="TÉRREO",0,IFERROR(VALUE(LEFT(E3689,FIND("º",SUBSTITUTE(E3689,"°","º"))-1)),""))))</f>
        <v/>
      </c>
      <c r="O3689" s="2">
        <f>IF(OR(F3689="",G3689=""),"",IF(G3689&lt;='RETRATO 2027'!$K$5,"CONCLUÍDA",IF(F3689&lt;='RETRATO 2027'!$K$5,"EM ANDAMENTO","A INICIAR")))</f>
        <v/>
      </c>
    </row>
    <row r="3690">
      <c r="M3690" s="2">
        <f>IF(C3690="","",IFERROR(INDEX($S$5:$S$304,MATCH(C3690,$R$5:$R$304,0))&amp;"","?"))</f>
        <v/>
      </c>
      <c r="N3690" s="2">
        <f>IF(E3690="","",IF(ISNUMBER(SEARCH("SUBSOLO",E3690)),IFERROR(-VALUE(LEFT(E3690,FIND("º",SUBSTITUTE(E3690,"°","º"))-1)),-1),IF(LEFT(E3690,6)="TÉRREO",0,IFERROR(VALUE(LEFT(E3690,FIND("º",SUBSTITUTE(E3690,"°","º"))-1)),""))))</f>
        <v/>
      </c>
      <c r="O3690" s="2">
        <f>IF(OR(F3690="",G3690=""),"",IF(G3690&lt;='RETRATO 2027'!$K$5,"CONCLUÍDA",IF(F3690&lt;='RETRATO 2027'!$K$5,"EM ANDAMENTO","A INICIAR")))</f>
        <v/>
      </c>
    </row>
    <row r="3691">
      <c r="M3691" s="2">
        <f>IF(C3691="","",IFERROR(INDEX($S$5:$S$304,MATCH(C3691,$R$5:$R$304,0))&amp;"","?"))</f>
        <v/>
      </c>
      <c r="N3691" s="2">
        <f>IF(E3691="","",IF(ISNUMBER(SEARCH("SUBSOLO",E3691)),IFERROR(-VALUE(LEFT(E3691,FIND("º",SUBSTITUTE(E3691,"°","º"))-1)),-1),IF(LEFT(E3691,6)="TÉRREO",0,IFERROR(VALUE(LEFT(E3691,FIND("º",SUBSTITUTE(E3691,"°","º"))-1)),""))))</f>
        <v/>
      </c>
      <c r="O3691" s="2">
        <f>IF(OR(F3691="",G3691=""),"",IF(G3691&lt;='RETRATO 2027'!$K$5,"CONCLUÍDA",IF(F3691&lt;='RETRATO 2027'!$K$5,"EM ANDAMENTO","A INICIAR")))</f>
        <v/>
      </c>
    </row>
    <row r="3692">
      <c r="M3692" s="2">
        <f>IF(C3692="","",IFERROR(INDEX($S$5:$S$304,MATCH(C3692,$R$5:$R$304,0))&amp;"","?"))</f>
        <v/>
      </c>
      <c r="N3692" s="2">
        <f>IF(E3692="","",IF(ISNUMBER(SEARCH("SUBSOLO",E3692)),IFERROR(-VALUE(LEFT(E3692,FIND("º",SUBSTITUTE(E3692,"°","º"))-1)),-1),IF(LEFT(E3692,6)="TÉRREO",0,IFERROR(VALUE(LEFT(E3692,FIND("º",SUBSTITUTE(E3692,"°","º"))-1)),""))))</f>
        <v/>
      </c>
      <c r="O3692" s="2">
        <f>IF(OR(F3692="",G3692=""),"",IF(G3692&lt;='RETRATO 2027'!$K$5,"CONCLUÍDA",IF(F3692&lt;='RETRATO 2027'!$K$5,"EM ANDAMENTO","A INICIAR")))</f>
        <v/>
      </c>
    </row>
    <row r="3693">
      <c r="M3693" s="2">
        <f>IF(C3693="","",IFERROR(INDEX($S$5:$S$304,MATCH(C3693,$R$5:$R$304,0))&amp;"","?"))</f>
        <v/>
      </c>
      <c r="N3693" s="2">
        <f>IF(E3693="","",IF(ISNUMBER(SEARCH("SUBSOLO",E3693)),IFERROR(-VALUE(LEFT(E3693,FIND("º",SUBSTITUTE(E3693,"°","º"))-1)),-1),IF(LEFT(E3693,6)="TÉRREO",0,IFERROR(VALUE(LEFT(E3693,FIND("º",SUBSTITUTE(E3693,"°","º"))-1)),""))))</f>
        <v/>
      </c>
      <c r="O3693" s="2">
        <f>IF(OR(F3693="",G3693=""),"",IF(G3693&lt;='RETRATO 2027'!$K$5,"CONCLUÍDA",IF(F3693&lt;='RETRATO 2027'!$K$5,"EM ANDAMENTO","A INICIAR")))</f>
        <v/>
      </c>
    </row>
    <row r="3694">
      <c r="M3694" s="2">
        <f>IF(C3694="","",IFERROR(INDEX($S$5:$S$304,MATCH(C3694,$R$5:$R$304,0))&amp;"","?"))</f>
        <v/>
      </c>
      <c r="N3694" s="2">
        <f>IF(E3694="","",IF(ISNUMBER(SEARCH("SUBSOLO",E3694)),IFERROR(-VALUE(LEFT(E3694,FIND("º",SUBSTITUTE(E3694,"°","º"))-1)),-1),IF(LEFT(E3694,6)="TÉRREO",0,IFERROR(VALUE(LEFT(E3694,FIND("º",SUBSTITUTE(E3694,"°","º"))-1)),""))))</f>
        <v/>
      </c>
      <c r="O3694" s="2">
        <f>IF(OR(F3694="",G3694=""),"",IF(G3694&lt;='RETRATO 2027'!$K$5,"CONCLUÍDA",IF(F3694&lt;='RETRATO 2027'!$K$5,"EM ANDAMENTO","A INICIAR")))</f>
        <v/>
      </c>
    </row>
    <row r="3695">
      <c r="M3695" s="2">
        <f>IF(C3695="","",IFERROR(INDEX($S$5:$S$304,MATCH(C3695,$R$5:$R$304,0))&amp;"","?"))</f>
        <v/>
      </c>
      <c r="N3695" s="2">
        <f>IF(E3695="","",IF(ISNUMBER(SEARCH("SUBSOLO",E3695)),IFERROR(-VALUE(LEFT(E3695,FIND("º",SUBSTITUTE(E3695,"°","º"))-1)),-1),IF(LEFT(E3695,6)="TÉRREO",0,IFERROR(VALUE(LEFT(E3695,FIND("º",SUBSTITUTE(E3695,"°","º"))-1)),""))))</f>
        <v/>
      </c>
      <c r="O3695" s="2">
        <f>IF(OR(F3695="",G3695=""),"",IF(G3695&lt;='RETRATO 2027'!$K$5,"CONCLUÍDA",IF(F3695&lt;='RETRATO 2027'!$K$5,"EM ANDAMENTO","A INICIAR")))</f>
        <v/>
      </c>
    </row>
    <row r="3696">
      <c r="M3696" s="2">
        <f>IF(C3696="","",IFERROR(INDEX($S$5:$S$304,MATCH(C3696,$R$5:$R$304,0))&amp;"","?"))</f>
        <v/>
      </c>
      <c r="N3696" s="2">
        <f>IF(E3696="","",IF(ISNUMBER(SEARCH("SUBSOLO",E3696)),IFERROR(-VALUE(LEFT(E3696,FIND("º",SUBSTITUTE(E3696,"°","º"))-1)),-1),IF(LEFT(E3696,6)="TÉRREO",0,IFERROR(VALUE(LEFT(E3696,FIND("º",SUBSTITUTE(E3696,"°","º"))-1)),""))))</f>
        <v/>
      </c>
      <c r="O3696" s="2">
        <f>IF(OR(F3696="",G3696=""),"",IF(G3696&lt;='RETRATO 2027'!$K$5,"CONCLUÍDA",IF(F3696&lt;='RETRATO 2027'!$K$5,"EM ANDAMENTO","A INICIAR")))</f>
        <v/>
      </c>
    </row>
    <row r="3697">
      <c r="M3697" s="2">
        <f>IF(C3697="","",IFERROR(INDEX($S$5:$S$304,MATCH(C3697,$R$5:$R$304,0))&amp;"","?"))</f>
        <v/>
      </c>
      <c r="N3697" s="2">
        <f>IF(E3697="","",IF(ISNUMBER(SEARCH("SUBSOLO",E3697)),IFERROR(-VALUE(LEFT(E3697,FIND("º",SUBSTITUTE(E3697,"°","º"))-1)),-1),IF(LEFT(E3697,6)="TÉRREO",0,IFERROR(VALUE(LEFT(E3697,FIND("º",SUBSTITUTE(E3697,"°","º"))-1)),""))))</f>
        <v/>
      </c>
      <c r="O3697" s="2">
        <f>IF(OR(F3697="",G3697=""),"",IF(G3697&lt;='RETRATO 2027'!$K$5,"CONCLUÍDA",IF(F3697&lt;='RETRATO 2027'!$K$5,"EM ANDAMENTO","A INICIAR")))</f>
        <v/>
      </c>
    </row>
    <row r="3698">
      <c r="M3698" s="2">
        <f>IF(C3698="","",IFERROR(INDEX($S$5:$S$304,MATCH(C3698,$R$5:$R$304,0))&amp;"","?"))</f>
        <v/>
      </c>
      <c r="N3698" s="2">
        <f>IF(E3698="","",IF(ISNUMBER(SEARCH("SUBSOLO",E3698)),IFERROR(-VALUE(LEFT(E3698,FIND("º",SUBSTITUTE(E3698,"°","º"))-1)),-1),IF(LEFT(E3698,6)="TÉRREO",0,IFERROR(VALUE(LEFT(E3698,FIND("º",SUBSTITUTE(E3698,"°","º"))-1)),""))))</f>
        <v/>
      </c>
      <c r="O3698" s="2">
        <f>IF(OR(F3698="",G3698=""),"",IF(G3698&lt;='RETRATO 2027'!$K$5,"CONCLUÍDA",IF(F3698&lt;='RETRATO 2027'!$K$5,"EM ANDAMENTO","A INICIAR")))</f>
        <v/>
      </c>
    </row>
    <row r="3699">
      <c r="M3699" s="2">
        <f>IF(C3699="","",IFERROR(INDEX($S$5:$S$304,MATCH(C3699,$R$5:$R$304,0))&amp;"","?"))</f>
        <v/>
      </c>
      <c r="N3699" s="2">
        <f>IF(E3699="","",IF(ISNUMBER(SEARCH("SUBSOLO",E3699)),IFERROR(-VALUE(LEFT(E3699,FIND("º",SUBSTITUTE(E3699,"°","º"))-1)),-1),IF(LEFT(E3699,6)="TÉRREO",0,IFERROR(VALUE(LEFT(E3699,FIND("º",SUBSTITUTE(E3699,"°","º"))-1)),""))))</f>
        <v/>
      </c>
      <c r="O3699" s="2">
        <f>IF(OR(F3699="",G3699=""),"",IF(G3699&lt;='RETRATO 2027'!$K$5,"CONCLUÍDA",IF(F3699&lt;='RETRATO 2027'!$K$5,"EM ANDAMENTO","A INICIAR")))</f>
        <v/>
      </c>
    </row>
    <row r="3700">
      <c r="M3700" s="2">
        <f>IF(C3700="","",IFERROR(INDEX($S$5:$S$304,MATCH(C3700,$R$5:$R$304,0))&amp;"","?"))</f>
        <v/>
      </c>
      <c r="N3700" s="2">
        <f>IF(E3700="","",IF(ISNUMBER(SEARCH("SUBSOLO",E3700)),IFERROR(-VALUE(LEFT(E3700,FIND("º",SUBSTITUTE(E3700,"°","º"))-1)),-1),IF(LEFT(E3700,6)="TÉRREO",0,IFERROR(VALUE(LEFT(E3700,FIND("º",SUBSTITUTE(E3700,"°","º"))-1)),""))))</f>
        <v/>
      </c>
      <c r="O3700" s="2">
        <f>IF(OR(F3700="",G3700=""),"",IF(G3700&lt;='RETRATO 2027'!$K$5,"CONCLUÍDA",IF(F3700&lt;='RETRATO 2027'!$K$5,"EM ANDAMENTO","A INICIAR")))</f>
        <v/>
      </c>
    </row>
    <row r="3701">
      <c r="M3701" s="2">
        <f>IF(C3701="","",IFERROR(INDEX($S$5:$S$304,MATCH(C3701,$R$5:$R$304,0))&amp;"","?"))</f>
        <v/>
      </c>
      <c r="N3701" s="2">
        <f>IF(E3701="","",IF(ISNUMBER(SEARCH("SUBSOLO",E3701)),IFERROR(-VALUE(LEFT(E3701,FIND("º",SUBSTITUTE(E3701,"°","º"))-1)),-1),IF(LEFT(E3701,6)="TÉRREO",0,IFERROR(VALUE(LEFT(E3701,FIND("º",SUBSTITUTE(E3701,"°","º"))-1)),""))))</f>
        <v/>
      </c>
      <c r="O3701" s="2">
        <f>IF(OR(F3701="",G3701=""),"",IF(G3701&lt;='RETRATO 2027'!$K$5,"CONCLUÍDA",IF(F3701&lt;='RETRATO 2027'!$K$5,"EM ANDAMENTO","A INICIAR")))</f>
        <v/>
      </c>
    </row>
    <row r="3702">
      <c r="M3702" s="2">
        <f>IF(C3702="","",IFERROR(INDEX($S$5:$S$304,MATCH(C3702,$R$5:$R$304,0))&amp;"","?"))</f>
        <v/>
      </c>
      <c r="N3702" s="2">
        <f>IF(E3702="","",IF(ISNUMBER(SEARCH("SUBSOLO",E3702)),IFERROR(-VALUE(LEFT(E3702,FIND("º",SUBSTITUTE(E3702,"°","º"))-1)),-1),IF(LEFT(E3702,6)="TÉRREO",0,IFERROR(VALUE(LEFT(E3702,FIND("º",SUBSTITUTE(E3702,"°","º"))-1)),""))))</f>
        <v/>
      </c>
      <c r="O3702" s="2">
        <f>IF(OR(F3702="",G3702=""),"",IF(G3702&lt;='RETRATO 2027'!$K$5,"CONCLUÍDA",IF(F3702&lt;='RETRATO 2027'!$K$5,"EM ANDAMENTO","A INICIAR")))</f>
        <v/>
      </c>
    </row>
    <row r="3703">
      <c r="M3703" s="2">
        <f>IF(C3703="","",IFERROR(INDEX($S$5:$S$304,MATCH(C3703,$R$5:$R$304,0))&amp;"","?"))</f>
        <v/>
      </c>
      <c r="N3703" s="2">
        <f>IF(E3703="","",IF(ISNUMBER(SEARCH("SUBSOLO",E3703)),IFERROR(-VALUE(LEFT(E3703,FIND("º",SUBSTITUTE(E3703,"°","º"))-1)),-1),IF(LEFT(E3703,6)="TÉRREO",0,IFERROR(VALUE(LEFT(E3703,FIND("º",SUBSTITUTE(E3703,"°","º"))-1)),""))))</f>
        <v/>
      </c>
      <c r="O3703" s="2">
        <f>IF(OR(F3703="",G3703=""),"",IF(G3703&lt;='RETRATO 2027'!$K$5,"CONCLUÍDA",IF(F3703&lt;='RETRATO 2027'!$K$5,"EM ANDAMENTO","A INICIAR")))</f>
        <v/>
      </c>
    </row>
    <row r="3704">
      <c r="M3704" s="2">
        <f>IF(C3704="","",IFERROR(INDEX($S$5:$S$304,MATCH(C3704,$R$5:$R$304,0))&amp;"","?"))</f>
        <v/>
      </c>
      <c r="N3704" s="2">
        <f>IF(E3704="","",IF(ISNUMBER(SEARCH("SUBSOLO",E3704)),IFERROR(-VALUE(LEFT(E3704,FIND("º",SUBSTITUTE(E3704,"°","º"))-1)),-1),IF(LEFT(E3704,6)="TÉRREO",0,IFERROR(VALUE(LEFT(E3704,FIND("º",SUBSTITUTE(E3704,"°","º"))-1)),""))))</f>
        <v/>
      </c>
      <c r="O3704" s="2">
        <f>IF(OR(F3704="",G3704=""),"",IF(G3704&lt;='RETRATO 2027'!$K$5,"CONCLUÍDA",IF(F3704&lt;='RETRATO 2027'!$K$5,"EM ANDAMENTO","A INICIAR")))</f>
        <v/>
      </c>
    </row>
    <row r="3705">
      <c r="M3705" s="2">
        <f>IF(C3705="","",IFERROR(INDEX($S$5:$S$304,MATCH(C3705,$R$5:$R$304,0))&amp;"","?"))</f>
        <v/>
      </c>
      <c r="N3705" s="2">
        <f>IF(E3705="","",IF(ISNUMBER(SEARCH("SUBSOLO",E3705)),IFERROR(-VALUE(LEFT(E3705,FIND("º",SUBSTITUTE(E3705,"°","º"))-1)),-1),IF(LEFT(E3705,6)="TÉRREO",0,IFERROR(VALUE(LEFT(E3705,FIND("º",SUBSTITUTE(E3705,"°","º"))-1)),""))))</f>
        <v/>
      </c>
      <c r="O3705" s="2">
        <f>IF(OR(F3705="",G3705=""),"",IF(G3705&lt;='RETRATO 2027'!$K$5,"CONCLUÍDA",IF(F3705&lt;='RETRATO 2027'!$K$5,"EM ANDAMENTO","A INICIAR")))</f>
        <v/>
      </c>
    </row>
    <row r="3706">
      <c r="M3706" s="2">
        <f>IF(C3706="","",IFERROR(INDEX($S$5:$S$304,MATCH(C3706,$R$5:$R$304,0))&amp;"","?"))</f>
        <v/>
      </c>
      <c r="N3706" s="2">
        <f>IF(E3706="","",IF(ISNUMBER(SEARCH("SUBSOLO",E3706)),IFERROR(-VALUE(LEFT(E3706,FIND("º",SUBSTITUTE(E3706,"°","º"))-1)),-1),IF(LEFT(E3706,6)="TÉRREO",0,IFERROR(VALUE(LEFT(E3706,FIND("º",SUBSTITUTE(E3706,"°","º"))-1)),""))))</f>
        <v/>
      </c>
      <c r="O3706" s="2">
        <f>IF(OR(F3706="",G3706=""),"",IF(G3706&lt;='RETRATO 2027'!$K$5,"CONCLUÍDA",IF(F3706&lt;='RETRATO 2027'!$K$5,"EM ANDAMENTO","A INICIAR")))</f>
        <v/>
      </c>
    </row>
    <row r="3707">
      <c r="M3707" s="2">
        <f>IF(C3707="","",IFERROR(INDEX($S$5:$S$304,MATCH(C3707,$R$5:$R$304,0))&amp;"","?"))</f>
        <v/>
      </c>
      <c r="N3707" s="2">
        <f>IF(E3707="","",IF(ISNUMBER(SEARCH("SUBSOLO",E3707)),IFERROR(-VALUE(LEFT(E3707,FIND("º",SUBSTITUTE(E3707,"°","º"))-1)),-1),IF(LEFT(E3707,6)="TÉRREO",0,IFERROR(VALUE(LEFT(E3707,FIND("º",SUBSTITUTE(E3707,"°","º"))-1)),""))))</f>
        <v/>
      </c>
      <c r="O3707" s="2">
        <f>IF(OR(F3707="",G3707=""),"",IF(G3707&lt;='RETRATO 2027'!$K$5,"CONCLUÍDA",IF(F3707&lt;='RETRATO 2027'!$K$5,"EM ANDAMENTO","A INICIAR")))</f>
        <v/>
      </c>
    </row>
    <row r="3708">
      <c r="M3708" s="2">
        <f>IF(C3708="","",IFERROR(INDEX($S$5:$S$304,MATCH(C3708,$R$5:$R$304,0))&amp;"","?"))</f>
        <v/>
      </c>
      <c r="N3708" s="2">
        <f>IF(E3708="","",IF(ISNUMBER(SEARCH("SUBSOLO",E3708)),IFERROR(-VALUE(LEFT(E3708,FIND("º",SUBSTITUTE(E3708,"°","º"))-1)),-1),IF(LEFT(E3708,6)="TÉRREO",0,IFERROR(VALUE(LEFT(E3708,FIND("º",SUBSTITUTE(E3708,"°","º"))-1)),""))))</f>
        <v/>
      </c>
      <c r="O3708" s="2">
        <f>IF(OR(F3708="",G3708=""),"",IF(G3708&lt;='RETRATO 2027'!$K$5,"CONCLUÍDA",IF(F3708&lt;='RETRATO 2027'!$K$5,"EM ANDAMENTO","A INICIAR")))</f>
        <v/>
      </c>
    </row>
    <row r="3709">
      <c r="M3709" s="2">
        <f>IF(C3709="","",IFERROR(INDEX($S$5:$S$304,MATCH(C3709,$R$5:$R$304,0))&amp;"","?"))</f>
        <v/>
      </c>
      <c r="N3709" s="2">
        <f>IF(E3709="","",IF(ISNUMBER(SEARCH("SUBSOLO",E3709)),IFERROR(-VALUE(LEFT(E3709,FIND("º",SUBSTITUTE(E3709,"°","º"))-1)),-1),IF(LEFT(E3709,6)="TÉRREO",0,IFERROR(VALUE(LEFT(E3709,FIND("º",SUBSTITUTE(E3709,"°","º"))-1)),""))))</f>
        <v/>
      </c>
      <c r="O3709" s="2">
        <f>IF(OR(F3709="",G3709=""),"",IF(G3709&lt;='RETRATO 2027'!$K$5,"CONCLUÍDA",IF(F3709&lt;='RETRATO 2027'!$K$5,"EM ANDAMENTO","A INICIAR")))</f>
        <v/>
      </c>
    </row>
    <row r="3710">
      <c r="M3710" s="2">
        <f>IF(C3710="","",IFERROR(INDEX($S$5:$S$304,MATCH(C3710,$R$5:$R$304,0))&amp;"","?"))</f>
        <v/>
      </c>
      <c r="N3710" s="2">
        <f>IF(E3710="","",IF(ISNUMBER(SEARCH("SUBSOLO",E3710)),IFERROR(-VALUE(LEFT(E3710,FIND("º",SUBSTITUTE(E3710,"°","º"))-1)),-1),IF(LEFT(E3710,6)="TÉRREO",0,IFERROR(VALUE(LEFT(E3710,FIND("º",SUBSTITUTE(E3710,"°","º"))-1)),""))))</f>
        <v/>
      </c>
      <c r="O3710" s="2">
        <f>IF(OR(F3710="",G3710=""),"",IF(G3710&lt;='RETRATO 2027'!$K$5,"CONCLUÍDA",IF(F3710&lt;='RETRATO 2027'!$K$5,"EM ANDAMENTO","A INICIAR")))</f>
        <v/>
      </c>
    </row>
    <row r="3711">
      <c r="M3711" s="2">
        <f>IF(C3711="","",IFERROR(INDEX($S$5:$S$304,MATCH(C3711,$R$5:$R$304,0))&amp;"","?"))</f>
        <v/>
      </c>
      <c r="N3711" s="2">
        <f>IF(E3711="","",IF(ISNUMBER(SEARCH("SUBSOLO",E3711)),IFERROR(-VALUE(LEFT(E3711,FIND("º",SUBSTITUTE(E3711,"°","º"))-1)),-1),IF(LEFT(E3711,6)="TÉRREO",0,IFERROR(VALUE(LEFT(E3711,FIND("º",SUBSTITUTE(E3711,"°","º"))-1)),""))))</f>
        <v/>
      </c>
      <c r="O3711" s="2">
        <f>IF(OR(F3711="",G3711=""),"",IF(G3711&lt;='RETRATO 2027'!$K$5,"CONCLUÍDA",IF(F3711&lt;='RETRATO 2027'!$K$5,"EM ANDAMENTO","A INICIAR")))</f>
        <v/>
      </c>
    </row>
    <row r="3712">
      <c r="M3712" s="2">
        <f>IF(C3712="","",IFERROR(INDEX($S$5:$S$304,MATCH(C3712,$R$5:$R$304,0))&amp;"","?"))</f>
        <v/>
      </c>
      <c r="N3712" s="2">
        <f>IF(E3712="","",IF(ISNUMBER(SEARCH("SUBSOLO",E3712)),IFERROR(-VALUE(LEFT(E3712,FIND("º",SUBSTITUTE(E3712,"°","º"))-1)),-1),IF(LEFT(E3712,6)="TÉRREO",0,IFERROR(VALUE(LEFT(E3712,FIND("º",SUBSTITUTE(E3712,"°","º"))-1)),""))))</f>
        <v/>
      </c>
      <c r="O3712" s="2">
        <f>IF(OR(F3712="",G3712=""),"",IF(G3712&lt;='RETRATO 2027'!$K$5,"CONCLUÍDA",IF(F3712&lt;='RETRATO 2027'!$K$5,"EM ANDAMENTO","A INICIAR")))</f>
        <v/>
      </c>
    </row>
    <row r="3713">
      <c r="M3713" s="2">
        <f>IF(C3713="","",IFERROR(INDEX($S$5:$S$304,MATCH(C3713,$R$5:$R$304,0))&amp;"","?"))</f>
        <v/>
      </c>
      <c r="N3713" s="2">
        <f>IF(E3713="","",IF(ISNUMBER(SEARCH("SUBSOLO",E3713)),IFERROR(-VALUE(LEFT(E3713,FIND("º",SUBSTITUTE(E3713,"°","º"))-1)),-1),IF(LEFT(E3713,6)="TÉRREO",0,IFERROR(VALUE(LEFT(E3713,FIND("º",SUBSTITUTE(E3713,"°","º"))-1)),""))))</f>
        <v/>
      </c>
      <c r="O3713" s="2">
        <f>IF(OR(F3713="",G3713=""),"",IF(G3713&lt;='RETRATO 2027'!$K$5,"CONCLUÍDA",IF(F3713&lt;='RETRATO 2027'!$K$5,"EM ANDAMENTO","A INICIAR")))</f>
        <v/>
      </c>
    </row>
    <row r="3714">
      <c r="M3714" s="2">
        <f>IF(C3714="","",IFERROR(INDEX($S$5:$S$304,MATCH(C3714,$R$5:$R$304,0))&amp;"","?"))</f>
        <v/>
      </c>
      <c r="N3714" s="2">
        <f>IF(E3714="","",IF(ISNUMBER(SEARCH("SUBSOLO",E3714)),IFERROR(-VALUE(LEFT(E3714,FIND("º",SUBSTITUTE(E3714,"°","º"))-1)),-1),IF(LEFT(E3714,6)="TÉRREO",0,IFERROR(VALUE(LEFT(E3714,FIND("º",SUBSTITUTE(E3714,"°","º"))-1)),""))))</f>
        <v/>
      </c>
      <c r="O3714" s="2">
        <f>IF(OR(F3714="",G3714=""),"",IF(G3714&lt;='RETRATO 2027'!$K$5,"CONCLUÍDA",IF(F3714&lt;='RETRATO 2027'!$K$5,"EM ANDAMENTO","A INICIAR")))</f>
        <v/>
      </c>
    </row>
    <row r="3715">
      <c r="M3715" s="2">
        <f>IF(C3715="","",IFERROR(INDEX($S$5:$S$304,MATCH(C3715,$R$5:$R$304,0))&amp;"","?"))</f>
        <v/>
      </c>
      <c r="N3715" s="2">
        <f>IF(E3715="","",IF(ISNUMBER(SEARCH("SUBSOLO",E3715)),IFERROR(-VALUE(LEFT(E3715,FIND("º",SUBSTITUTE(E3715,"°","º"))-1)),-1),IF(LEFT(E3715,6)="TÉRREO",0,IFERROR(VALUE(LEFT(E3715,FIND("º",SUBSTITUTE(E3715,"°","º"))-1)),""))))</f>
        <v/>
      </c>
      <c r="O3715" s="2">
        <f>IF(OR(F3715="",G3715=""),"",IF(G3715&lt;='RETRATO 2027'!$K$5,"CONCLUÍDA",IF(F3715&lt;='RETRATO 2027'!$K$5,"EM ANDAMENTO","A INICIAR")))</f>
        <v/>
      </c>
    </row>
    <row r="3716">
      <c r="M3716" s="2">
        <f>IF(C3716="","",IFERROR(INDEX($S$5:$S$304,MATCH(C3716,$R$5:$R$304,0))&amp;"","?"))</f>
        <v/>
      </c>
      <c r="N3716" s="2">
        <f>IF(E3716="","",IF(ISNUMBER(SEARCH("SUBSOLO",E3716)),IFERROR(-VALUE(LEFT(E3716,FIND("º",SUBSTITUTE(E3716,"°","º"))-1)),-1),IF(LEFT(E3716,6)="TÉRREO",0,IFERROR(VALUE(LEFT(E3716,FIND("º",SUBSTITUTE(E3716,"°","º"))-1)),""))))</f>
        <v/>
      </c>
      <c r="O3716" s="2">
        <f>IF(OR(F3716="",G3716=""),"",IF(G3716&lt;='RETRATO 2027'!$K$5,"CONCLUÍDA",IF(F3716&lt;='RETRATO 2027'!$K$5,"EM ANDAMENTO","A INICIAR")))</f>
        <v/>
      </c>
    </row>
    <row r="3717">
      <c r="M3717" s="2">
        <f>IF(C3717="","",IFERROR(INDEX($S$5:$S$304,MATCH(C3717,$R$5:$R$304,0))&amp;"","?"))</f>
        <v/>
      </c>
      <c r="N3717" s="2">
        <f>IF(E3717="","",IF(ISNUMBER(SEARCH("SUBSOLO",E3717)),IFERROR(-VALUE(LEFT(E3717,FIND("º",SUBSTITUTE(E3717,"°","º"))-1)),-1),IF(LEFT(E3717,6)="TÉRREO",0,IFERROR(VALUE(LEFT(E3717,FIND("º",SUBSTITUTE(E3717,"°","º"))-1)),""))))</f>
        <v/>
      </c>
      <c r="O3717" s="2">
        <f>IF(OR(F3717="",G3717=""),"",IF(G3717&lt;='RETRATO 2027'!$K$5,"CONCLUÍDA",IF(F3717&lt;='RETRATO 2027'!$K$5,"EM ANDAMENTO","A INICIAR")))</f>
        <v/>
      </c>
    </row>
    <row r="3718">
      <c r="M3718" s="2">
        <f>IF(C3718="","",IFERROR(INDEX($S$5:$S$304,MATCH(C3718,$R$5:$R$304,0))&amp;"","?"))</f>
        <v/>
      </c>
      <c r="N3718" s="2">
        <f>IF(E3718="","",IF(ISNUMBER(SEARCH("SUBSOLO",E3718)),IFERROR(-VALUE(LEFT(E3718,FIND("º",SUBSTITUTE(E3718,"°","º"))-1)),-1),IF(LEFT(E3718,6)="TÉRREO",0,IFERROR(VALUE(LEFT(E3718,FIND("º",SUBSTITUTE(E3718,"°","º"))-1)),""))))</f>
        <v/>
      </c>
      <c r="O3718" s="2">
        <f>IF(OR(F3718="",G3718=""),"",IF(G3718&lt;='RETRATO 2027'!$K$5,"CONCLUÍDA",IF(F3718&lt;='RETRATO 2027'!$K$5,"EM ANDAMENTO","A INICIAR")))</f>
        <v/>
      </c>
    </row>
    <row r="3719">
      <c r="M3719" s="2">
        <f>IF(C3719="","",IFERROR(INDEX($S$5:$S$304,MATCH(C3719,$R$5:$R$304,0))&amp;"","?"))</f>
        <v/>
      </c>
      <c r="N3719" s="2">
        <f>IF(E3719="","",IF(ISNUMBER(SEARCH("SUBSOLO",E3719)),IFERROR(-VALUE(LEFT(E3719,FIND("º",SUBSTITUTE(E3719,"°","º"))-1)),-1),IF(LEFT(E3719,6)="TÉRREO",0,IFERROR(VALUE(LEFT(E3719,FIND("º",SUBSTITUTE(E3719,"°","º"))-1)),""))))</f>
        <v/>
      </c>
      <c r="O3719" s="2">
        <f>IF(OR(F3719="",G3719=""),"",IF(G3719&lt;='RETRATO 2027'!$K$5,"CONCLUÍDA",IF(F3719&lt;='RETRATO 2027'!$K$5,"EM ANDAMENTO","A INICIAR")))</f>
        <v/>
      </c>
    </row>
    <row r="3720">
      <c r="M3720" s="2">
        <f>IF(C3720="","",IFERROR(INDEX($S$5:$S$304,MATCH(C3720,$R$5:$R$304,0))&amp;"","?"))</f>
        <v/>
      </c>
      <c r="N3720" s="2">
        <f>IF(E3720="","",IF(ISNUMBER(SEARCH("SUBSOLO",E3720)),IFERROR(-VALUE(LEFT(E3720,FIND("º",SUBSTITUTE(E3720,"°","º"))-1)),-1),IF(LEFT(E3720,6)="TÉRREO",0,IFERROR(VALUE(LEFT(E3720,FIND("º",SUBSTITUTE(E3720,"°","º"))-1)),""))))</f>
        <v/>
      </c>
      <c r="O3720" s="2">
        <f>IF(OR(F3720="",G3720=""),"",IF(G3720&lt;='RETRATO 2027'!$K$5,"CONCLUÍDA",IF(F3720&lt;='RETRATO 2027'!$K$5,"EM ANDAMENTO","A INICIAR")))</f>
        <v/>
      </c>
    </row>
    <row r="3721">
      <c r="M3721" s="2">
        <f>IF(C3721="","",IFERROR(INDEX($S$5:$S$304,MATCH(C3721,$R$5:$R$304,0))&amp;"","?"))</f>
        <v/>
      </c>
      <c r="N3721" s="2">
        <f>IF(E3721="","",IF(ISNUMBER(SEARCH("SUBSOLO",E3721)),IFERROR(-VALUE(LEFT(E3721,FIND("º",SUBSTITUTE(E3721,"°","º"))-1)),-1),IF(LEFT(E3721,6)="TÉRREO",0,IFERROR(VALUE(LEFT(E3721,FIND("º",SUBSTITUTE(E3721,"°","º"))-1)),""))))</f>
        <v/>
      </c>
      <c r="O3721" s="2">
        <f>IF(OR(F3721="",G3721=""),"",IF(G3721&lt;='RETRATO 2027'!$K$5,"CONCLUÍDA",IF(F3721&lt;='RETRATO 2027'!$K$5,"EM ANDAMENTO","A INICIAR")))</f>
        <v/>
      </c>
    </row>
    <row r="3722">
      <c r="M3722" s="2">
        <f>IF(C3722="","",IFERROR(INDEX($S$5:$S$304,MATCH(C3722,$R$5:$R$304,0))&amp;"","?"))</f>
        <v/>
      </c>
      <c r="N3722" s="2">
        <f>IF(E3722="","",IF(ISNUMBER(SEARCH("SUBSOLO",E3722)),IFERROR(-VALUE(LEFT(E3722,FIND("º",SUBSTITUTE(E3722,"°","º"))-1)),-1),IF(LEFT(E3722,6)="TÉRREO",0,IFERROR(VALUE(LEFT(E3722,FIND("º",SUBSTITUTE(E3722,"°","º"))-1)),""))))</f>
        <v/>
      </c>
      <c r="O3722" s="2">
        <f>IF(OR(F3722="",G3722=""),"",IF(G3722&lt;='RETRATO 2027'!$K$5,"CONCLUÍDA",IF(F3722&lt;='RETRATO 2027'!$K$5,"EM ANDAMENTO","A INICIAR")))</f>
        <v/>
      </c>
    </row>
    <row r="3723">
      <c r="M3723" s="2">
        <f>IF(C3723="","",IFERROR(INDEX($S$5:$S$304,MATCH(C3723,$R$5:$R$304,0))&amp;"","?"))</f>
        <v/>
      </c>
      <c r="N3723" s="2">
        <f>IF(E3723="","",IF(ISNUMBER(SEARCH("SUBSOLO",E3723)),IFERROR(-VALUE(LEFT(E3723,FIND("º",SUBSTITUTE(E3723,"°","º"))-1)),-1),IF(LEFT(E3723,6)="TÉRREO",0,IFERROR(VALUE(LEFT(E3723,FIND("º",SUBSTITUTE(E3723,"°","º"))-1)),""))))</f>
        <v/>
      </c>
      <c r="O3723" s="2">
        <f>IF(OR(F3723="",G3723=""),"",IF(G3723&lt;='RETRATO 2027'!$K$5,"CONCLUÍDA",IF(F3723&lt;='RETRATO 2027'!$K$5,"EM ANDAMENTO","A INICIAR")))</f>
        <v/>
      </c>
    </row>
    <row r="3724">
      <c r="M3724" s="2">
        <f>IF(C3724="","",IFERROR(INDEX($S$5:$S$304,MATCH(C3724,$R$5:$R$304,0))&amp;"","?"))</f>
        <v/>
      </c>
      <c r="N3724" s="2">
        <f>IF(E3724="","",IF(ISNUMBER(SEARCH("SUBSOLO",E3724)),IFERROR(-VALUE(LEFT(E3724,FIND("º",SUBSTITUTE(E3724,"°","º"))-1)),-1),IF(LEFT(E3724,6)="TÉRREO",0,IFERROR(VALUE(LEFT(E3724,FIND("º",SUBSTITUTE(E3724,"°","º"))-1)),""))))</f>
        <v/>
      </c>
      <c r="O3724" s="2">
        <f>IF(OR(F3724="",G3724=""),"",IF(G3724&lt;='RETRATO 2027'!$K$5,"CONCLUÍDA",IF(F3724&lt;='RETRATO 2027'!$K$5,"EM ANDAMENTO","A INICIAR")))</f>
        <v/>
      </c>
    </row>
    <row r="3725">
      <c r="M3725" s="2">
        <f>IF(C3725="","",IFERROR(INDEX($S$5:$S$304,MATCH(C3725,$R$5:$R$304,0))&amp;"","?"))</f>
        <v/>
      </c>
      <c r="N3725" s="2">
        <f>IF(E3725="","",IF(ISNUMBER(SEARCH("SUBSOLO",E3725)),IFERROR(-VALUE(LEFT(E3725,FIND("º",SUBSTITUTE(E3725,"°","º"))-1)),-1),IF(LEFT(E3725,6)="TÉRREO",0,IFERROR(VALUE(LEFT(E3725,FIND("º",SUBSTITUTE(E3725,"°","º"))-1)),""))))</f>
        <v/>
      </c>
      <c r="O3725" s="2">
        <f>IF(OR(F3725="",G3725=""),"",IF(G3725&lt;='RETRATO 2027'!$K$5,"CONCLUÍDA",IF(F3725&lt;='RETRATO 2027'!$K$5,"EM ANDAMENTO","A INICIAR")))</f>
        <v/>
      </c>
    </row>
    <row r="3726">
      <c r="M3726" s="2">
        <f>IF(C3726="","",IFERROR(INDEX($S$5:$S$304,MATCH(C3726,$R$5:$R$304,0))&amp;"","?"))</f>
        <v/>
      </c>
      <c r="N3726" s="2">
        <f>IF(E3726="","",IF(ISNUMBER(SEARCH("SUBSOLO",E3726)),IFERROR(-VALUE(LEFT(E3726,FIND("º",SUBSTITUTE(E3726,"°","º"))-1)),-1),IF(LEFT(E3726,6)="TÉRREO",0,IFERROR(VALUE(LEFT(E3726,FIND("º",SUBSTITUTE(E3726,"°","º"))-1)),""))))</f>
        <v/>
      </c>
      <c r="O3726" s="2">
        <f>IF(OR(F3726="",G3726=""),"",IF(G3726&lt;='RETRATO 2027'!$K$5,"CONCLUÍDA",IF(F3726&lt;='RETRATO 2027'!$K$5,"EM ANDAMENTO","A INICIAR")))</f>
        <v/>
      </c>
    </row>
    <row r="3727">
      <c r="M3727" s="2">
        <f>IF(C3727="","",IFERROR(INDEX($S$5:$S$304,MATCH(C3727,$R$5:$R$304,0))&amp;"","?"))</f>
        <v/>
      </c>
      <c r="N3727" s="2">
        <f>IF(E3727="","",IF(ISNUMBER(SEARCH("SUBSOLO",E3727)),IFERROR(-VALUE(LEFT(E3727,FIND("º",SUBSTITUTE(E3727,"°","º"))-1)),-1),IF(LEFT(E3727,6)="TÉRREO",0,IFERROR(VALUE(LEFT(E3727,FIND("º",SUBSTITUTE(E3727,"°","º"))-1)),""))))</f>
        <v/>
      </c>
      <c r="O3727" s="2">
        <f>IF(OR(F3727="",G3727=""),"",IF(G3727&lt;='RETRATO 2027'!$K$5,"CONCLUÍDA",IF(F3727&lt;='RETRATO 2027'!$K$5,"EM ANDAMENTO","A INICIAR")))</f>
        <v/>
      </c>
    </row>
    <row r="3728">
      <c r="M3728" s="2">
        <f>IF(C3728="","",IFERROR(INDEX($S$5:$S$304,MATCH(C3728,$R$5:$R$304,0))&amp;"","?"))</f>
        <v/>
      </c>
      <c r="N3728" s="2">
        <f>IF(E3728="","",IF(ISNUMBER(SEARCH("SUBSOLO",E3728)),IFERROR(-VALUE(LEFT(E3728,FIND("º",SUBSTITUTE(E3728,"°","º"))-1)),-1),IF(LEFT(E3728,6)="TÉRREO",0,IFERROR(VALUE(LEFT(E3728,FIND("º",SUBSTITUTE(E3728,"°","º"))-1)),""))))</f>
        <v/>
      </c>
      <c r="O3728" s="2">
        <f>IF(OR(F3728="",G3728=""),"",IF(G3728&lt;='RETRATO 2027'!$K$5,"CONCLUÍDA",IF(F3728&lt;='RETRATO 2027'!$K$5,"EM ANDAMENTO","A INICIAR")))</f>
        <v/>
      </c>
    </row>
    <row r="3729">
      <c r="M3729" s="2">
        <f>IF(C3729="","",IFERROR(INDEX($S$5:$S$304,MATCH(C3729,$R$5:$R$304,0))&amp;"","?"))</f>
        <v/>
      </c>
      <c r="N3729" s="2">
        <f>IF(E3729="","",IF(ISNUMBER(SEARCH("SUBSOLO",E3729)),IFERROR(-VALUE(LEFT(E3729,FIND("º",SUBSTITUTE(E3729,"°","º"))-1)),-1),IF(LEFT(E3729,6)="TÉRREO",0,IFERROR(VALUE(LEFT(E3729,FIND("º",SUBSTITUTE(E3729,"°","º"))-1)),""))))</f>
        <v/>
      </c>
      <c r="O3729" s="2">
        <f>IF(OR(F3729="",G3729=""),"",IF(G3729&lt;='RETRATO 2027'!$K$5,"CONCLUÍDA",IF(F3729&lt;='RETRATO 2027'!$K$5,"EM ANDAMENTO","A INICIAR")))</f>
        <v/>
      </c>
    </row>
    <row r="3730">
      <c r="M3730" s="2">
        <f>IF(C3730="","",IFERROR(INDEX($S$5:$S$304,MATCH(C3730,$R$5:$R$304,0))&amp;"","?"))</f>
        <v/>
      </c>
      <c r="N3730" s="2">
        <f>IF(E3730="","",IF(ISNUMBER(SEARCH("SUBSOLO",E3730)),IFERROR(-VALUE(LEFT(E3730,FIND("º",SUBSTITUTE(E3730,"°","º"))-1)),-1),IF(LEFT(E3730,6)="TÉRREO",0,IFERROR(VALUE(LEFT(E3730,FIND("º",SUBSTITUTE(E3730,"°","º"))-1)),""))))</f>
        <v/>
      </c>
      <c r="O3730" s="2">
        <f>IF(OR(F3730="",G3730=""),"",IF(G3730&lt;='RETRATO 2027'!$K$5,"CONCLUÍDA",IF(F3730&lt;='RETRATO 2027'!$K$5,"EM ANDAMENTO","A INICIAR")))</f>
        <v/>
      </c>
    </row>
    <row r="3731">
      <c r="M3731" s="2">
        <f>IF(C3731="","",IFERROR(INDEX($S$5:$S$304,MATCH(C3731,$R$5:$R$304,0))&amp;"","?"))</f>
        <v/>
      </c>
      <c r="N3731" s="2">
        <f>IF(E3731="","",IF(ISNUMBER(SEARCH("SUBSOLO",E3731)),IFERROR(-VALUE(LEFT(E3731,FIND("º",SUBSTITUTE(E3731,"°","º"))-1)),-1),IF(LEFT(E3731,6)="TÉRREO",0,IFERROR(VALUE(LEFT(E3731,FIND("º",SUBSTITUTE(E3731,"°","º"))-1)),""))))</f>
        <v/>
      </c>
      <c r="O3731" s="2">
        <f>IF(OR(F3731="",G3731=""),"",IF(G3731&lt;='RETRATO 2027'!$K$5,"CONCLUÍDA",IF(F3731&lt;='RETRATO 2027'!$K$5,"EM ANDAMENTO","A INICIAR")))</f>
        <v/>
      </c>
    </row>
    <row r="3732">
      <c r="M3732" s="2">
        <f>IF(C3732="","",IFERROR(INDEX($S$5:$S$304,MATCH(C3732,$R$5:$R$304,0))&amp;"","?"))</f>
        <v/>
      </c>
      <c r="N3732" s="2">
        <f>IF(E3732="","",IF(ISNUMBER(SEARCH("SUBSOLO",E3732)),IFERROR(-VALUE(LEFT(E3732,FIND("º",SUBSTITUTE(E3732,"°","º"))-1)),-1),IF(LEFT(E3732,6)="TÉRREO",0,IFERROR(VALUE(LEFT(E3732,FIND("º",SUBSTITUTE(E3732,"°","º"))-1)),""))))</f>
        <v/>
      </c>
      <c r="O3732" s="2">
        <f>IF(OR(F3732="",G3732=""),"",IF(G3732&lt;='RETRATO 2027'!$K$5,"CONCLUÍDA",IF(F3732&lt;='RETRATO 2027'!$K$5,"EM ANDAMENTO","A INICIAR")))</f>
        <v/>
      </c>
    </row>
    <row r="3733">
      <c r="M3733" s="2">
        <f>IF(C3733="","",IFERROR(INDEX($S$5:$S$304,MATCH(C3733,$R$5:$R$304,0))&amp;"","?"))</f>
        <v/>
      </c>
      <c r="N3733" s="2">
        <f>IF(E3733="","",IF(ISNUMBER(SEARCH("SUBSOLO",E3733)),IFERROR(-VALUE(LEFT(E3733,FIND("º",SUBSTITUTE(E3733,"°","º"))-1)),-1),IF(LEFT(E3733,6)="TÉRREO",0,IFERROR(VALUE(LEFT(E3733,FIND("º",SUBSTITUTE(E3733,"°","º"))-1)),""))))</f>
        <v/>
      </c>
      <c r="O3733" s="2">
        <f>IF(OR(F3733="",G3733=""),"",IF(G3733&lt;='RETRATO 2027'!$K$5,"CONCLUÍDA",IF(F3733&lt;='RETRATO 2027'!$K$5,"EM ANDAMENTO","A INICIAR")))</f>
        <v/>
      </c>
    </row>
    <row r="3734">
      <c r="M3734" s="2">
        <f>IF(C3734="","",IFERROR(INDEX($S$5:$S$304,MATCH(C3734,$R$5:$R$304,0))&amp;"","?"))</f>
        <v/>
      </c>
      <c r="N3734" s="2">
        <f>IF(E3734="","",IF(ISNUMBER(SEARCH("SUBSOLO",E3734)),IFERROR(-VALUE(LEFT(E3734,FIND("º",SUBSTITUTE(E3734,"°","º"))-1)),-1),IF(LEFT(E3734,6)="TÉRREO",0,IFERROR(VALUE(LEFT(E3734,FIND("º",SUBSTITUTE(E3734,"°","º"))-1)),""))))</f>
        <v/>
      </c>
      <c r="O3734" s="2">
        <f>IF(OR(F3734="",G3734=""),"",IF(G3734&lt;='RETRATO 2027'!$K$5,"CONCLUÍDA",IF(F3734&lt;='RETRATO 2027'!$K$5,"EM ANDAMENTO","A INICIAR")))</f>
        <v/>
      </c>
    </row>
    <row r="3735">
      <c r="M3735" s="2">
        <f>IF(C3735="","",IFERROR(INDEX($S$5:$S$304,MATCH(C3735,$R$5:$R$304,0))&amp;"","?"))</f>
        <v/>
      </c>
      <c r="N3735" s="2">
        <f>IF(E3735="","",IF(ISNUMBER(SEARCH("SUBSOLO",E3735)),IFERROR(-VALUE(LEFT(E3735,FIND("º",SUBSTITUTE(E3735,"°","º"))-1)),-1),IF(LEFT(E3735,6)="TÉRREO",0,IFERROR(VALUE(LEFT(E3735,FIND("º",SUBSTITUTE(E3735,"°","º"))-1)),""))))</f>
        <v/>
      </c>
      <c r="O3735" s="2">
        <f>IF(OR(F3735="",G3735=""),"",IF(G3735&lt;='RETRATO 2027'!$K$5,"CONCLUÍDA",IF(F3735&lt;='RETRATO 2027'!$K$5,"EM ANDAMENTO","A INICIAR")))</f>
        <v/>
      </c>
    </row>
    <row r="3736">
      <c r="M3736" s="2">
        <f>IF(C3736="","",IFERROR(INDEX($S$5:$S$304,MATCH(C3736,$R$5:$R$304,0))&amp;"","?"))</f>
        <v/>
      </c>
      <c r="N3736" s="2">
        <f>IF(E3736="","",IF(ISNUMBER(SEARCH("SUBSOLO",E3736)),IFERROR(-VALUE(LEFT(E3736,FIND("º",SUBSTITUTE(E3736,"°","º"))-1)),-1),IF(LEFT(E3736,6)="TÉRREO",0,IFERROR(VALUE(LEFT(E3736,FIND("º",SUBSTITUTE(E3736,"°","º"))-1)),""))))</f>
        <v/>
      </c>
      <c r="O3736" s="2">
        <f>IF(OR(F3736="",G3736=""),"",IF(G3736&lt;='RETRATO 2027'!$K$5,"CONCLUÍDA",IF(F3736&lt;='RETRATO 2027'!$K$5,"EM ANDAMENTO","A INICIAR")))</f>
        <v/>
      </c>
    </row>
    <row r="3737">
      <c r="M3737" s="2">
        <f>IF(C3737="","",IFERROR(INDEX($S$5:$S$304,MATCH(C3737,$R$5:$R$304,0))&amp;"","?"))</f>
        <v/>
      </c>
      <c r="N3737" s="2">
        <f>IF(E3737="","",IF(ISNUMBER(SEARCH("SUBSOLO",E3737)),IFERROR(-VALUE(LEFT(E3737,FIND("º",SUBSTITUTE(E3737,"°","º"))-1)),-1),IF(LEFT(E3737,6)="TÉRREO",0,IFERROR(VALUE(LEFT(E3737,FIND("º",SUBSTITUTE(E3737,"°","º"))-1)),""))))</f>
        <v/>
      </c>
      <c r="O3737" s="2">
        <f>IF(OR(F3737="",G3737=""),"",IF(G3737&lt;='RETRATO 2027'!$K$5,"CONCLUÍDA",IF(F3737&lt;='RETRATO 2027'!$K$5,"EM ANDAMENTO","A INICIAR")))</f>
        <v/>
      </c>
    </row>
    <row r="3738">
      <c r="M3738" s="2">
        <f>IF(C3738="","",IFERROR(INDEX($S$5:$S$304,MATCH(C3738,$R$5:$R$304,0))&amp;"","?"))</f>
        <v/>
      </c>
      <c r="N3738" s="2">
        <f>IF(E3738="","",IF(ISNUMBER(SEARCH("SUBSOLO",E3738)),IFERROR(-VALUE(LEFT(E3738,FIND("º",SUBSTITUTE(E3738,"°","º"))-1)),-1),IF(LEFT(E3738,6)="TÉRREO",0,IFERROR(VALUE(LEFT(E3738,FIND("º",SUBSTITUTE(E3738,"°","º"))-1)),""))))</f>
        <v/>
      </c>
      <c r="O3738" s="2">
        <f>IF(OR(F3738="",G3738=""),"",IF(G3738&lt;='RETRATO 2027'!$K$5,"CONCLUÍDA",IF(F3738&lt;='RETRATO 2027'!$K$5,"EM ANDAMENTO","A INICIAR")))</f>
        <v/>
      </c>
    </row>
    <row r="3739">
      <c r="M3739" s="2">
        <f>IF(C3739="","",IFERROR(INDEX($S$5:$S$304,MATCH(C3739,$R$5:$R$304,0))&amp;"","?"))</f>
        <v/>
      </c>
      <c r="N3739" s="2">
        <f>IF(E3739="","",IF(ISNUMBER(SEARCH("SUBSOLO",E3739)),IFERROR(-VALUE(LEFT(E3739,FIND("º",SUBSTITUTE(E3739,"°","º"))-1)),-1),IF(LEFT(E3739,6)="TÉRREO",0,IFERROR(VALUE(LEFT(E3739,FIND("º",SUBSTITUTE(E3739,"°","º"))-1)),""))))</f>
        <v/>
      </c>
      <c r="O3739" s="2">
        <f>IF(OR(F3739="",G3739=""),"",IF(G3739&lt;='RETRATO 2027'!$K$5,"CONCLUÍDA",IF(F3739&lt;='RETRATO 2027'!$K$5,"EM ANDAMENTO","A INICIAR")))</f>
        <v/>
      </c>
    </row>
    <row r="3740">
      <c r="M3740" s="2">
        <f>IF(C3740="","",IFERROR(INDEX($S$5:$S$304,MATCH(C3740,$R$5:$R$304,0))&amp;"","?"))</f>
        <v/>
      </c>
      <c r="N3740" s="2">
        <f>IF(E3740="","",IF(ISNUMBER(SEARCH("SUBSOLO",E3740)),IFERROR(-VALUE(LEFT(E3740,FIND("º",SUBSTITUTE(E3740,"°","º"))-1)),-1),IF(LEFT(E3740,6)="TÉRREO",0,IFERROR(VALUE(LEFT(E3740,FIND("º",SUBSTITUTE(E3740,"°","º"))-1)),""))))</f>
        <v/>
      </c>
      <c r="O3740" s="2">
        <f>IF(OR(F3740="",G3740=""),"",IF(G3740&lt;='RETRATO 2027'!$K$5,"CONCLUÍDA",IF(F3740&lt;='RETRATO 2027'!$K$5,"EM ANDAMENTO","A INICIAR")))</f>
        <v/>
      </c>
    </row>
    <row r="3741">
      <c r="M3741" s="2">
        <f>IF(C3741="","",IFERROR(INDEX($S$5:$S$304,MATCH(C3741,$R$5:$R$304,0))&amp;"","?"))</f>
        <v/>
      </c>
      <c r="N3741" s="2">
        <f>IF(E3741="","",IF(ISNUMBER(SEARCH("SUBSOLO",E3741)),IFERROR(-VALUE(LEFT(E3741,FIND("º",SUBSTITUTE(E3741,"°","º"))-1)),-1),IF(LEFT(E3741,6)="TÉRREO",0,IFERROR(VALUE(LEFT(E3741,FIND("º",SUBSTITUTE(E3741,"°","º"))-1)),""))))</f>
        <v/>
      </c>
      <c r="O3741" s="2">
        <f>IF(OR(F3741="",G3741=""),"",IF(G3741&lt;='RETRATO 2027'!$K$5,"CONCLUÍDA",IF(F3741&lt;='RETRATO 2027'!$K$5,"EM ANDAMENTO","A INICIAR")))</f>
        <v/>
      </c>
    </row>
    <row r="3742">
      <c r="M3742" s="2">
        <f>IF(C3742="","",IFERROR(INDEX($S$5:$S$304,MATCH(C3742,$R$5:$R$304,0))&amp;"","?"))</f>
        <v/>
      </c>
      <c r="N3742" s="2">
        <f>IF(E3742="","",IF(ISNUMBER(SEARCH("SUBSOLO",E3742)),IFERROR(-VALUE(LEFT(E3742,FIND("º",SUBSTITUTE(E3742,"°","º"))-1)),-1),IF(LEFT(E3742,6)="TÉRREO",0,IFERROR(VALUE(LEFT(E3742,FIND("º",SUBSTITUTE(E3742,"°","º"))-1)),""))))</f>
        <v/>
      </c>
      <c r="O3742" s="2">
        <f>IF(OR(F3742="",G3742=""),"",IF(G3742&lt;='RETRATO 2027'!$K$5,"CONCLUÍDA",IF(F3742&lt;='RETRATO 2027'!$K$5,"EM ANDAMENTO","A INICIAR")))</f>
        <v/>
      </c>
    </row>
    <row r="3743">
      <c r="M3743" s="2">
        <f>IF(C3743="","",IFERROR(INDEX($S$5:$S$304,MATCH(C3743,$R$5:$R$304,0))&amp;"","?"))</f>
        <v/>
      </c>
      <c r="N3743" s="2">
        <f>IF(E3743="","",IF(ISNUMBER(SEARCH("SUBSOLO",E3743)),IFERROR(-VALUE(LEFT(E3743,FIND("º",SUBSTITUTE(E3743,"°","º"))-1)),-1),IF(LEFT(E3743,6)="TÉRREO",0,IFERROR(VALUE(LEFT(E3743,FIND("º",SUBSTITUTE(E3743,"°","º"))-1)),""))))</f>
        <v/>
      </c>
      <c r="O3743" s="2">
        <f>IF(OR(F3743="",G3743=""),"",IF(G3743&lt;='RETRATO 2027'!$K$5,"CONCLUÍDA",IF(F3743&lt;='RETRATO 2027'!$K$5,"EM ANDAMENTO","A INICIAR")))</f>
        <v/>
      </c>
    </row>
    <row r="3744">
      <c r="M3744" s="2">
        <f>IF(C3744="","",IFERROR(INDEX($S$5:$S$304,MATCH(C3744,$R$5:$R$304,0))&amp;"","?"))</f>
        <v/>
      </c>
      <c r="N3744" s="2">
        <f>IF(E3744="","",IF(ISNUMBER(SEARCH("SUBSOLO",E3744)),IFERROR(-VALUE(LEFT(E3744,FIND("º",SUBSTITUTE(E3744,"°","º"))-1)),-1),IF(LEFT(E3744,6)="TÉRREO",0,IFERROR(VALUE(LEFT(E3744,FIND("º",SUBSTITUTE(E3744,"°","º"))-1)),""))))</f>
        <v/>
      </c>
      <c r="O3744" s="2">
        <f>IF(OR(F3744="",G3744=""),"",IF(G3744&lt;='RETRATO 2027'!$K$5,"CONCLUÍDA",IF(F3744&lt;='RETRATO 2027'!$K$5,"EM ANDAMENTO","A INICIAR")))</f>
        <v/>
      </c>
    </row>
    <row r="3745">
      <c r="M3745" s="2">
        <f>IF(C3745="","",IFERROR(INDEX($S$5:$S$304,MATCH(C3745,$R$5:$R$304,0))&amp;"","?"))</f>
        <v/>
      </c>
      <c r="N3745" s="2">
        <f>IF(E3745="","",IF(ISNUMBER(SEARCH("SUBSOLO",E3745)),IFERROR(-VALUE(LEFT(E3745,FIND("º",SUBSTITUTE(E3745,"°","º"))-1)),-1),IF(LEFT(E3745,6)="TÉRREO",0,IFERROR(VALUE(LEFT(E3745,FIND("º",SUBSTITUTE(E3745,"°","º"))-1)),""))))</f>
        <v/>
      </c>
      <c r="O3745" s="2">
        <f>IF(OR(F3745="",G3745=""),"",IF(G3745&lt;='RETRATO 2027'!$K$5,"CONCLUÍDA",IF(F3745&lt;='RETRATO 2027'!$K$5,"EM ANDAMENTO","A INICIAR")))</f>
        <v/>
      </c>
    </row>
    <row r="3746">
      <c r="M3746" s="2">
        <f>IF(C3746="","",IFERROR(INDEX($S$5:$S$304,MATCH(C3746,$R$5:$R$304,0))&amp;"","?"))</f>
        <v/>
      </c>
      <c r="N3746" s="2">
        <f>IF(E3746="","",IF(ISNUMBER(SEARCH("SUBSOLO",E3746)),IFERROR(-VALUE(LEFT(E3746,FIND("º",SUBSTITUTE(E3746,"°","º"))-1)),-1),IF(LEFT(E3746,6)="TÉRREO",0,IFERROR(VALUE(LEFT(E3746,FIND("º",SUBSTITUTE(E3746,"°","º"))-1)),""))))</f>
        <v/>
      </c>
      <c r="O3746" s="2">
        <f>IF(OR(F3746="",G3746=""),"",IF(G3746&lt;='RETRATO 2027'!$K$5,"CONCLUÍDA",IF(F3746&lt;='RETRATO 2027'!$K$5,"EM ANDAMENTO","A INICIAR")))</f>
        <v/>
      </c>
    </row>
    <row r="3747">
      <c r="M3747" s="2">
        <f>IF(C3747="","",IFERROR(INDEX($S$5:$S$304,MATCH(C3747,$R$5:$R$304,0))&amp;"","?"))</f>
        <v/>
      </c>
      <c r="N3747" s="2">
        <f>IF(E3747="","",IF(ISNUMBER(SEARCH("SUBSOLO",E3747)),IFERROR(-VALUE(LEFT(E3747,FIND("º",SUBSTITUTE(E3747,"°","º"))-1)),-1),IF(LEFT(E3747,6)="TÉRREO",0,IFERROR(VALUE(LEFT(E3747,FIND("º",SUBSTITUTE(E3747,"°","º"))-1)),""))))</f>
        <v/>
      </c>
      <c r="O3747" s="2">
        <f>IF(OR(F3747="",G3747=""),"",IF(G3747&lt;='RETRATO 2027'!$K$5,"CONCLUÍDA",IF(F3747&lt;='RETRATO 2027'!$K$5,"EM ANDAMENTO","A INICIAR")))</f>
        <v/>
      </c>
    </row>
    <row r="3748">
      <c r="M3748" s="2">
        <f>IF(C3748="","",IFERROR(INDEX($S$5:$S$304,MATCH(C3748,$R$5:$R$304,0))&amp;"","?"))</f>
        <v/>
      </c>
      <c r="N3748" s="2">
        <f>IF(E3748="","",IF(ISNUMBER(SEARCH("SUBSOLO",E3748)),IFERROR(-VALUE(LEFT(E3748,FIND("º",SUBSTITUTE(E3748,"°","º"))-1)),-1),IF(LEFT(E3748,6)="TÉRREO",0,IFERROR(VALUE(LEFT(E3748,FIND("º",SUBSTITUTE(E3748,"°","º"))-1)),""))))</f>
        <v/>
      </c>
      <c r="O3748" s="2">
        <f>IF(OR(F3748="",G3748=""),"",IF(G3748&lt;='RETRATO 2027'!$K$5,"CONCLUÍDA",IF(F3748&lt;='RETRATO 2027'!$K$5,"EM ANDAMENTO","A INICIAR")))</f>
        <v/>
      </c>
    </row>
    <row r="3749">
      <c r="M3749" s="2">
        <f>IF(C3749="","",IFERROR(INDEX($S$5:$S$304,MATCH(C3749,$R$5:$R$304,0))&amp;"","?"))</f>
        <v/>
      </c>
      <c r="N3749" s="2">
        <f>IF(E3749="","",IF(ISNUMBER(SEARCH("SUBSOLO",E3749)),IFERROR(-VALUE(LEFT(E3749,FIND("º",SUBSTITUTE(E3749,"°","º"))-1)),-1),IF(LEFT(E3749,6)="TÉRREO",0,IFERROR(VALUE(LEFT(E3749,FIND("º",SUBSTITUTE(E3749,"°","º"))-1)),""))))</f>
        <v/>
      </c>
      <c r="O3749" s="2">
        <f>IF(OR(F3749="",G3749=""),"",IF(G3749&lt;='RETRATO 2027'!$K$5,"CONCLUÍDA",IF(F3749&lt;='RETRATO 2027'!$K$5,"EM ANDAMENTO","A INICIAR")))</f>
        <v/>
      </c>
    </row>
    <row r="3750">
      <c r="M3750" s="2">
        <f>IF(C3750="","",IFERROR(INDEX($S$5:$S$304,MATCH(C3750,$R$5:$R$304,0))&amp;"","?"))</f>
        <v/>
      </c>
      <c r="N3750" s="2">
        <f>IF(E3750="","",IF(ISNUMBER(SEARCH("SUBSOLO",E3750)),IFERROR(-VALUE(LEFT(E3750,FIND("º",SUBSTITUTE(E3750,"°","º"))-1)),-1),IF(LEFT(E3750,6)="TÉRREO",0,IFERROR(VALUE(LEFT(E3750,FIND("º",SUBSTITUTE(E3750,"°","º"))-1)),""))))</f>
        <v/>
      </c>
      <c r="O3750" s="2">
        <f>IF(OR(F3750="",G3750=""),"",IF(G3750&lt;='RETRATO 2027'!$K$5,"CONCLUÍDA",IF(F3750&lt;='RETRATO 2027'!$K$5,"EM ANDAMENTO","A INICIAR")))</f>
        <v/>
      </c>
    </row>
    <row r="3751">
      <c r="M3751" s="2">
        <f>IF(C3751="","",IFERROR(INDEX($S$5:$S$304,MATCH(C3751,$R$5:$R$304,0))&amp;"","?"))</f>
        <v/>
      </c>
      <c r="N3751" s="2">
        <f>IF(E3751="","",IF(ISNUMBER(SEARCH("SUBSOLO",E3751)),IFERROR(-VALUE(LEFT(E3751,FIND("º",SUBSTITUTE(E3751,"°","º"))-1)),-1),IF(LEFT(E3751,6)="TÉRREO",0,IFERROR(VALUE(LEFT(E3751,FIND("º",SUBSTITUTE(E3751,"°","º"))-1)),""))))</f>
        <v/>
      </c>
      <c r="O3751" s="2">
        <f>IF(OR(F3751="",G3751=""),"",IF(G3751&lt;='RETRATO 2027'!$K$5,"CONCLUÍDA",IF(F3751&lt;='RETRATO 2027'!$K$5,"EM ANDAMENTO","A INICIAR")))</f>
        <v/>
      </c>
    </row>
    <row r="3752">
      <c r="M3752" s="2">
        <f>IF(C3752="","",IFERROR(INDEX($S$5:$S$304,MATCH(C3752,$R$5:$R$304,0))&amp;"","?"))</f>
        <v/>
      </c>
      <c r="N3752" s="2">
        <f>IF(E3752="","",IF(ISNUMBER(SEARCH("SUBSOLO",E3752)),IFERROR(-VALUE(LEFT(E3752,FIND("º",SUBSTITUTE(E3752,"°","º"))-1)),-1),IF(LEFT(E3752,6)="TÉRREO",0,IFERROR(VALUE(LEFT(E3752,FIND("º",SUBSTITUTE(E3752,"°","º"))-1)),""))))</f>
        <v/>
      </c>
      <c r="O3752" s="2">
        <f>IF(OR(F3752="",G3752=""),"",IF(G3752&lt;='RETRATO 2027'!$K$5,"CONCLUÍDA",IF(F3752&lt;='RETRATO 2027'!$K$5,"EM ANDAMENTO","A INICIAR")))</f>
        <v/>
      </c>
    </row>
    <row r="3753">
      <c r="M3753" s="2">
        <f>IF(C3753="","",IFERROR(INDEX($S$5:$S$304,MATCH(C3753,$R$5:$R$304,0))&amp;"","?"))</f>
        <v/>
      </c>
      <c r="N3753" s="2">
        <f>IF(E3753="","",IF(ISNUMBER(SEARCH("SUBSOLO",E3753)),IFERROR(-VALUE(LEFT(E3753,FIND("º",SUBSTITUTE(E3753,"°","º"))-1)),-1),IF(LEFT(E3753,6)="TÉRREO",0,IFERROR(VALUE(LEFT(E3753,FIND("º",SUBSTITUTE(E3753,"°","º"))-1)),""))))</f>
        <v/>
      </c>
      <c r="O3753" s="2">
        <f>IF(OR(F3753="",G3753=""),"",IF(G3753&lt;='RETRATO 2027'!$K$5,"CONCLUÍDA",IF(F3753&lt;='RETRATO 2027'!$K$5,"EM ANDAMENTO","A INICIAR")))</f>
        <v/>
      </c>
    </row>
    <row r="3754">
      <c r="M3754" s="2">
        <f>IF(C3754="","",IFERROR(INDEX($S$5:$S$304,MATCH(C3754,$R$5:$R$304,0))&amp;"","?"))</f>
        <v/>
      </c>
      <c r="N3754" s="2">
        <f>IF(E3754="","",IF(ISNUMBER(SEARCH("SUBSOLO",E3754)),IFERROR(-VALUE(LEFT(E3754,FIND("º",SUBSTITUTE(E3754,"°","º"))-1)),-1),IF(LEFT(E3754,6)="TÉRREO",0,IFERROR(VALUE(LEFT(E3754,FIND("º",SUBSTITUTE(E3754,"°","º"))-1)),""))))</f>
        <v/>
      </c>
      <c r="O3754" s="2">
        <f>IF(OR(F3754="",G3754=""),"",IF(G3754&lt;='RETRATO 2027'!$K$5,"CONCLUÍDA",IF(F3754&lt;='RETRATO 2027'!$K$5,"EM ANDAMENTO","A INICIAR")))</f>
        <v/>
      </c>
    </row>
    <row r="3755">
      <c r="M3755" s="2">
        <f>IF(C3755="","",IFERROR(INDEX($S$5:$S$304,MATCH(C3755,$R$5:$R$304,0))&amp;"","?"))</f>
        <v/>
      </c>
      <c r="N3755" s="2">
        <f>IF(E3755="","",IF(ISNUMBER(SEARCH("SUBSOLO",E3755)),IFERROR(-VALUE(LEFT(E3755,FIND("º",SUBSTITUTE(E3755,"°","º"))-1)),-1),IF(LEFT(E3755,6)="TÉRREO",0,IFERROR(VALUE(LEFT(E3755,FIND("º",SUBSTITUTE(E3755,"°","º"))-1)),""))))</f>
        <v/>
      </c>
      <c r="O3755" s="2">
        <f>IF(OR(F3755="",G3755=""),"",IF(G3755&lt;='RETRATO 2027'!$K$5,"CONCLUÍDA",IF(F3755&lt;='RETRATO 2027'!$K$5,"EM ANDAMENTO","A INICIAR")))</f>
        <v/>
      </c>
    </row>
    <row r="3756">
      <c r="M3756" s="2">
        <f>IF(C3756="","",IFERROR(INDEX($S$5:$S$304,MATCH(C3756,$R$5:$R$304,0))&amp;"","?"))</f>
        <v/>
      </c>
      <c r="N3756" s="2">
        <f>IF(E3756="","",IF(ISNUMBER(SEARCH("SUBSOLO",E3756)),IFERROR(-VALUE(LEFT(E3756,FIND("º",SUBSTITUTE(E3756,"°","º"))-1)),-1),IF(LEFT(E3756,6)="TÉRREO",0,IFERROR(VALUE(LEFT(E3756,FIND("º",SUBSTITUTE(E3756,"°","º"))-1)),""))))</f>
        <v/>
      </c>
      <c r="O3756" s="2">
        <f>IF(OR(F3756="",G3756=""),"",IF(G3756&lt;='RETRATO 2027'!$K$5,"CONCLUÍDA",IF(F3756&lt;='RETRATO 2027'!$K$5,"EM ANDAMENTO","A INICIAR")))</f>
        <v/>
      </c>
    </row>
    <row r="3757">
      <c r="M3757" s="2">
        <f>IF(C3757="","",IFERROR(INDEX($S$5:$S$304,MATCH(C3757,$R$5:$R$304,0))&amp;"","?"))</f>
        <v/>
      </c>
      <c r="N3757" s="2">
        <f>IF(E3757="","",IF(ISNUMBER(SEARCH("SUBSOLO",E3757)),IFERROR(-VALUE(LEFT(E3757,FIND("º",SUBSTITUTE(E3757,"°","º"))-1)),-1),IF(LEFT(E3757,6)="TÉRREO",0,IFERROR(VALUE(LEFT(E3757,FIND("º",SUBSTITUTE(E3757,"°","º"))-1)),""))))</f>
        <v/>
      </c>
      <c r="O3757" s="2">
        <f>IF(OR(F3757="",G3757=""),"",IF(G3757&lt;='RETRATO 2027'!$K$5,"CONCLUÍDA",IF(F3757&lt;='RETRATO 2027'!$K$5,"EM ANDAMENTO","A INICIAR")))</f>
        <v/>
      </c>
    </row>
    <row r="3758">
      <c r="M3758" s="2">
        <f>IF(C3758="","",IFERROR(INDEX($S$5:$S$304,MATCH(C3758,$R$5:$R$304,0))&amp;"","?"))</f>
        <v/>
      </c>
      <c r="N3758" s="2">
        <f>IF(E3758="","",IF(ISNUMBER(SEARCH("SUBSOLO",E3758)),IFERROR(-VALUE(LEFT(E3758,FIND("º",SUBSTITUTE(E3758,"°","º"))-1)),-1),IF(LEFT(E3758,6)="TÉRREO",0,IFERROR(VALUE(LEFT(E3758,FIND("º",SUBSTITUTE(E3758,"°","º"))-1)),""))))</f>
        <v/>
      </c>
      <c r="O3758" s="2">
        <f>IF(OR(F3758="",G3758=""),"",IF(G3758&lt;='RETRATO 2027'!$K$5,"CONCLUÍDA",IF(F3758&lt;='RETRATO 2027'!$K$5,"EM ANDAMENTO","A INICIAR")))</f>
        <v/>
      </c>
    </row>
    <row r="3759">
      <c r="M3759" s="2">
        <f>IF(C3759="","",IFERROR(INDEX($S$5:$S$304,MATCH(C3759,$R$5:$R$304,0))&amp;"","?"))</f>
        <v/>
      </c>
      <c r="N3759" s="2">
        <f>IF(E3759="","",IF(ISNUMBER(SEARCH("SUBSOLO",E3759)),IFERROR(-VALUE(LEFT(E3759,FIND("º",SUBSTITUTE(E3759,"°","º"))-1)),-1),IF(LEFT(E3759,6)="TÉRREO",0,IFERROR(VALUE(LEFT(E3759,FIND("º",SUBSTITUTE(E3759,"°","º"))-1)),""))))</f>
        <v/>
      </c>
      <c r="O3759" s="2">
        <f>IF(OR(F3759="",G3759=""),"",IF(G3759&lt;='RETRATO 2027'!$K$5,"CONCLUÍDA",IF(F3759&lt;='RETRATO 2027'!$K$5,"EM ANDAMENTO","A INICIAR")))</f>
        <v/>
      </c>
    </row>
    <row r="3760">
      <c r="M3760" s="2">
        <f>IF(C3760="","",IFERROR(INDEX($S$5:$S$304,MATCH(C3760,$R$5:$R$304,0))&amp;"","?"))</f>
        <v/>
      </c>
      <c r="N3760" s="2">
        <f>IF(E3760="","",IF(ISNUMBER(SEARCH("SUBSOLO",E3760)),IFERROR(-VALUE(LEFT(E3760,FIND("º",SUBSTITUTE(E3760,"°","º"))-1)),-1),IF(LEFT(E3760,6)="TÉRREO",0,IFERROR(VALUE(LEFT(E3760,FIND("º",SUBSTITUTE(E3760,"°","º"))-1)),""))))</f>
        <v/>
      </c>
      <c r="O3760" s="2">
        <f>IF(OR(F3760="",G3760=""),"",IF(G3760&lt;='RETRATO 2027'!$K$5,"CONCLUÍDA",IF(F3760&lt;='RETRATO 2027'!$K$5,"EM ANDAMENTO","A INICIAR")))</f>
        <v/>
      </c>
    </row>
    <row r="3761">
      <c r="M3761" s="2">
        <f>IF(C3761="","",IFERROR(INDEX($S$5:$S$304,MATCH(C3761,$R$5:$R$304,0))&amp;"","?"))</f>
        <v/>
      </c>
      <c r="N3761" s="2">
        <f>IF(E3761="","",IF(ISNUMBER(SEARCH("SUBSOLO",E3761)),IFERROR(-VALUE(LEFT(E3761,FIND("º",SUBSTITUTE(E3761,"°","º"))-1)),-1),IF(LEFT(E3761,6)="TÉRREO",0,IFERROR(VALUE(LEFT(E3761,FIND("º",SUBSTITUTE(E3761,"°","º"))-1)),""))))</f>
        <v/>
      </c>
      <c r="O3761" s="2">
        <f>IF(OR(F3761="",G3761=""),"",IF(G3761&lt;='RETRATO 2027'!$K$5,"CONCLUÍDA",IF(F3761&lt;='RETRATO 2027'!$K$5,"EM ANDAMENTO","A INICIAR")))</f>
        <v/>
      </c>
    </row>
    <row r="3762">
      <c r="M3762" s="2">
        <f>IF(C3762="","",IFERROR(INDEX($S$5:$S$304,MATCH(C3762,$R$5:$R$304,0))&amp;"","?"))</f>
        <v/>
      </c>
      <c r="N3762" s="2">
        <f>IF(E3762="","",IF(ISNUMBER(SEARCH("SUBSOLO",E3762)),IFERROR(-VALUE(LEFT(E3762,FIND("º",SUBSTITUTE(E3762,"°","º"))-1)),-1),IF(LEFT(E3762,6)="TÉRREO",0,IFERROR(VALUE(LEFT(E3762,FIND("º",SUBSTITUTE(E3762,"°","º"))-1)),""))))</f>
        <v/>
      </c>
      <c r="O3762" s="2">
        <f>IF(OR(F3762="",G3762=""),"",IF(G3762&lt;='RETRATO 2027'!$K$5,"CONCLUÍDA",IF(F3762&lt;='RETRATO 2027'!$K$5,"EM ANDAMENTO","A INICIAR")))</f>
        <v/>
      </c>
    </row>
    <row r="3763">
      <c r="M3763" s="2">
        <f>IF(C3763="","",IFERROR(INDEX($S$5:$S$304,MATCH(C3763,$R$5:$R$304,0))&amp;"","?"))</f>
        <v/>
      </c>
      <c r="N3763" s="2">
        <f>IF(E3763="","",IF(ISNUMBER(SEARCH("SUBSOLO",E3763)),IFERROR(-VALUE(LEFT(E3763,FIND("º",SUBSTITUTE(E3763,"°","º"))-1)),-1),IF(LEFT(E3763,6)="TÉRREO",0,IFERROR(VALUE(LEFT(E3763,FIND("º",SUBSTITUTE(E3763,"°","º"))-1)),""))))</f>
        <v/>
      </c>
      <c r="O3763" s="2">
        <f>IF(OR(F3763="",G3763=""),"",IF(G3763&lt;='RETRATO 2027'!$K$5,"CONCLUÍDA",IF(F3763&lt;='RETRATO 2027'!$K$5,"EM ANDAMENTO","A INICIAR")))</f>
        <v/>
      </c>
    </row>
    <row r="3764">
      <c r="M3764" s="2">
        <f>IF(C3764="","",IFERROR(INDEX($S$5:$S$304,MATCH(C3764,$R$5:$R$304,0))&amp;"","?"))</f>
        <v/>
      </c>
      <c r="N3764" s="2">
        <f>IF(E3764="","",IF(ISNUMBER(SEARCH("SUBSOLO",E3764)),IFERROR(-VALUE(LEFT(E3764,FIND("º",SUBSTITUTE(E3764,"°","º"))-1)),-1),IF(LEFT(E3764,6)="TÉRREO",0,IFERROR(VALUE(LEFT(E3764,FIND("º",SUBSTITUTE(E3764,"°","º"))-1)),""))))</f>
        <v/>
      </c>
      <c r="O3764" s="2">
        <f>IF(OR(F3764="",G3764=""),"",IF(G3764&lt;='RETRATO 2027'!$K$5,"CONCLUÍDA",IF(F3764&lt;='RETRATO 2027'!$K$5,"EM ANDAMENTO","A INICIAR")))</f>
        <v/>
      </c>
    </row>
    <row r="3765">
      <c r="M3765" s="2">
        <f>IF(C3765="","",IFERROR(INDEX($S$5:$S$304,MATCH(C3765,$R$5:$R$304,0))&amp;"","?"))</f>
        <v/>
      </c>
      <c r="N3765" s="2">
        <f>IF(E3765="","",IF(ISNUMBER(SEARCH("SUBSOLO",E3765)),IFERROR(-VALUE(LEFT(E3765,FIND("º",SUBSTITUTE(E3765,"°","º"))-1)),-1),IF(LEFT(E3765,6)="TÉRREO",0,IFERROR(VALUE(LEFT(E3765,FIND("º",SUBSTITUTE(E3765,"°","º"))-1)),""))))</f>
        <v/>
      </c>
      <c r="O3765" s="2">
        <f>IF(OR(F3765="",G3765=""),"",IF(G3765&lt;='RETRATO 2027'!$K$5,"CONCLUÍDA",IF(F3765&lt;='RETRATO 2027'!$K$5,"EM ANDAMENTO","A INICIAR")))</f>
        <v/>
      </c>
    </row>
    <row r="3766">
      <c r="M3766" s="2">
        <f>IF(C3766="","",IFERROR(INDEX($S$5:$S$304,MATCH(C3766,$R$5:$R$304,0))&amp;"","?"))</f>
        <v/>
      </c>
      <c r="N3766" s="2">
        <f>IF(E3766="","",IF(ISNUMBER(SEARCH("SUBSOLO",E3766)),IFERROR(-VALUE(LEFT(E3766,FIND("º",SUBSTITUTE(E3766,"°","º"))-1)),-1),IF(LEFT(E3766,6)="TÉRREO",0,IFERROR(VALUE(LEFT(E3766,FIND("º",SUBSTITUTE(E3766,"°","º"))-1)),""))))</f>
        <v/>
      </c>
      <c r="O3766" s="2">
        <f>IF(OR(F3766="",G3766=""),"",IF(G3766&lt;='RETRATO 2027'!$K$5,"CONCLUÍDA",IF(F3766&lt;='RETRATO 2027'!$K$5,"EM ANDAMENTO","A INICIAR")))</f>
        <v/>
      </c>
    </row>
    <row r="3767">
      <c r="M3767" s="2">
        <f>IF(C3767="","",IFERROR(INDEX($S$5:$S$304,MATCH(C3767,$R$5:$R$304,0))&amp;"","?"))</f>
        <v/>
      </c>
      <c r="N3767" s="2">
        <f>IF(E3767="","",IF(ISNUMBER(SEARCH("SUBSOLO",E3767)),IFERROR(-VALUE(LEFT(E3767,FIND("º",SUBSTITUTE(E3767,"°","º"))-1)),-1),IF(LEFT(E3767,6)="TÉRREO",0,IFERROR(VALUE(LEFT(E3767,FIND("º",SUBSTITUTE(E3767,"°","º"))-1)),""))))</f>
        <v/>
      </c>
      <c r="O3767" s="2">
        <f>IF(OR(F3767="",G3767=""),"",IF(G3767&lt;='RETRATO 2027'!$K$5,"CONCLUÍDA",IF(F3767&lt;='RETRATO 2027'!$K$5,"EM ANDAMENTO","A INICIAR")))</f>
        <v/>
      </c>
    </row>
    <row r="3768">
      <c r="M3768" s="2">
        <f>IF(C3768="","",IFERROR(INDEX($S$5:$S$304,MATCH(C3768,$R$5:$R$304,0))&amp;"","?"))</f>
        <v/>
      </c>
      <c r="N3768" s="2">
        <f>IF(E3768="","",IF(ISNUMBER(SEARCH("SUBSOLO",E3768)),IFERROR(-VALUE(LEFT(E3768,FIND("º",SUBSTITUTE(E3768,"°","º"))-1)),-1),IF(LEFT(E3768,6)="TÉRREO",0,IFERROR(VALUE(LEFT(E3768,FIND("º",SUBSTITUTE(E3768,"°","º"))-1)),""))))</f>
        <v/>
      </c>
      <c r="O3768" s="2">
        <f>IF(OR(F3768="",G3768=""),"",IF(G3768&lt;='RETRATO 2027'!$K$5,"CONCLUÍDA",IF(F3768&lt;='RETRATO 2027'!$K$5,"EM ANDAMENTO","A INICIAR")))</f>
        <v/>
      </c>
    </row>
    <row r="3769">
      <c r="M3769" s="2">
        <f>IF(C3769="","",IFERROR(INDEX($S$5:$S$304,MATCH(C3769,$R$5:$R$304,0))&amp;"","?"))</f>
        <v/>
      </c>
      <c r="N3769" s="2">
        <f>IF(E3769="","",IF(ISNUMBER(SEARCH("SUBSOLO",E3769)),IFERROR(-VALUE(LEFT(E3769,FIND("º",SUBSTITUTE(E3769,"°","º"))-1)),-1),IF(LEFT(E3769,6)="TÉRREO",0,IFERROR(VALUE(LEFT(E3769,FIND("º",SUBSTITUTE(E3769,"°","º"))-1)),""))))</f>
        <v/>
      </c>
      <c r="O3769" s="2">
        <f>IF(OR(F3769="",G3769=""),"",IF(G3769&lt;='RETRATO 2027'!$K$5,"CONCLUÍDA",IF(F3769&lt;='RETRATO 2027'!$K$5,"EM ANDAMENTO","A INICIAR")))</f>
        <v/>
      </c>
    </row>
    <row r="3770">
      <c r="M3770" s="2">
        <f>IF(C3770="","",IFERROR(INDEX($S$5:$S$304,MATCH(C3770,$R$5:$R$304,0))&amp;"","?"))</f>
        <v/>
      </c>
      <c r="N3770" s="2">
        <f>IF(E3770="","",IF(ISNUMBER(SEARCH("SUBSOLO",E3770)),IFERROR(-VALUE(LEFT(E3770,FIND("º",SUBSTITUTE(E3770,"°","º"))-1)),-1),IF(LEFT(E3770,6)="TÉRREO",0,IFERROR(VALUE(LEFT(E3770,FIND("º",SUBSTITUTE(E3770,"°","º"))-1)),""))))</f>
        <v/>
      </c>
      <c r="O3770" s="2">
        <f>IF(OR(F3770="",G3770=""),"",IF(G3770&lt;='RETRATO 2027'!$K$5,"CONCLUÍDA",IF(F3770&lt;='RETRATO 2027'!$K$5,"EM ANDAMENTO","A INICIAR")))</f>
        <v/>
      </c>
    </row>
    <row r="3771">
      <c r="M3771" s="2">
        <f>IF(C3771="","",IFERROR(INDEX($S$5:$S$304,MATCH(C3771,$R$5:$R$304,0))&amp;"","?"))</f>
        <v/>
      </c>
      <c r="N3771" s="2">
        <f>IF(E3771="","",IF(ISNUMBER(SEARCH("SUBSOLO",E3771)),IFERROR(-VALUE(LEFT(E3771,FIND("º",SUBSTITUTE(E3771,"°","º"))-1)),-1),IF(LEFT(E3771,6)="TÉRREO",0,IFERROR(VALUE(LEFT(E3771,FIND("º",SUBSTITUTE(E3771,"°","º"))-1)),""))))</f>
        <v/>
      </c>
      <c r="O3771" s="2">
        <f>IF(OR(F3771="",G3771=""),"",IF(G3771&lt;='RETRATO 2027'!$K$5,"CONCLUÍDA",IF(F3771&lt;='RETRATO 2027'!$K$5,"EM ANDAMENTO","A INICIAR")))</f>
        <v/>
      </c>
    </row>
    <row r="3772">
      <c r="M3772" s="2">
        <f>IF(C3772="","",IFERROR(INDEX($S$5:$S$304,MATCH(C3772,$R$5:$R$304,0))&amp;"","?"))</f>
        <v/>
      </c>
      <c r="N3772" s="2">
        <f>IF(E3772="","",IF(ISNUMBER(SEARCH("SUBSOLO",E3772)),IFERROR(-VALUE(LEFT(E3772,FIND("º",SUBSTITUTE(E3772,"°","º"))-1)),-1),IF(LEFT(E3772,6)="TÉRREO",0,IFERROR(VALUE(LEFT(E3772,FIND("º",SUBSTITUTE(E3772,"°","º"))-1)),""))))</f>
        <v/>
      </c>
      <c r="O3772" s="2">
        <f>IF(OR(F3772="",G3772=""),"",IF(G3772&lt;='RETRATO 2027'!$K$5,"CONCLUÍDA",IF(F3772&lt;='RETRATO 2027'!$K$5,"EM ANDAMENTO","A INICIAR")))</f>
        <v/>
      </c>
    </row>
    <row r="3773">
      <c r="M3773" s="2">
        <f>IF(C3773="","",IFERROR(INDEX($S$5:$S$304,MATCH(C3773,$R$5:$R$304,0))&amp;"","?"))</f>
        <v/>
      </c>
      <c r="N3773" s="2">
        <f>IF(E3773="","",IF(ISNUMBER(SEARCH("SUBSOLO",E3773)),IFERROR(-VALUE(LEFT(E3773,FIND("º",SUBSTITUTE(E3773,"°","º"))-1)),-1),IF(LEFT(E3773,6)="TÉRREO",0,IFERROR(VALUE(LEFT(E3773,FIND("º",SUBSTITUTE(E3773,"°","º"))-1)),""))))</f>
        <v/>
      </c>
      <c r="O3773" s="2">
        <f>IF(OR(F3773="",G3773=""),"",IF(G3773&lt;='RETRATO 2027'!$K$5,"CONCLUÍDA",IF(F3773&lt;='RETRATO 2027'!$K$5,"EM ANDAMENTO","A INICIAR")))</f>
        <v/>
      </c>
    </row>
    <row r="3774">
      <c r="M3774" s="2">
        <f>IF(C3774="","",IFERROR(INDEX($S$5:$S$304,MATCH(C3774,$R$5:$R$304,0))&amp;"","?"))</f>
        <v/>
      </c>
      <c r="N3774" s="2">
        <f>IF(E3774="","",IF(ISNUMBER(SEARCH("SUBSOLO",E3774)),IFERROR(-VALUE(LEFT(E3774,FIND("º",SUBSTITUTE(E3774,"°","º"))-1)),-1),IF(LEFT(E3774,6)="TÉRREO",0,IFERROR(VALUE(LEFT(E3774,FIND("º",SUBSTITUTE(E3774,"°","º"))-1)),""))))</f>
        <v/>
      </c>
      <c r="O3774" s="2">
        <f>IF(OR(F3774="",G3774=""),"",IF(G3774&lt;='RETRATO 2027'!$K$5,"CONCLUÍDA",IF(F3774&lt;='RETRATO 2027'!$K$5,"EM ANDAMENTO","A INICIAR")))</f>
        <v/>
      </c>
    </row>
    <row r="3775">
      <c r="M3775" s="2">
        <f>IF(C3775="","",IFERROR(INDEX($S$5:$S$304,MATCH(C3775,$R$5:$R$304,0))&amp;"","?"))</f>
        <v/>
      </c>
      <c r="N3775" s="2">
        <f>IF(E3775="","",IF(ISNUMBER(SEARCH("SUBSOLO",E3775)),IFERROR(-VALUE(LEFT(E3775,FIND("º",SUBSTITUTE(E3775,"°","º"))-1)),-1),IF(LEFT(E3775,6)="TÉRREO",0,IFERROR(VALUE(LEFT(E3775,FIND("º",SUBSTITUTE(E3775,"°","º"))-1)),""))))</f>
        <v/>
      </c>
      <c r="O3775" s="2">
        <f>IF(OR(F3775="",G3775=""),"",IF(G3775&lt;='RETRATO 2027'!$K$5,"CONCLUÍDA",IF(F3775&lt;='RETRATO 2027'!$K$5,"EM ANDAMENTO","A INICIAR")))</f>
        <v/>
      </c>
    </row>
    <row r="3776">
      <c r="M3776" s="2">
        <f>IF(C3776="","",IFERROR(INDEX($S$5:$S$304,MATCH(C3776,$R$5:$R$304,0))&amp;"","?"))</f>
        <v/>
      </c>
      <c r="N3776" s="2">
        <f>IF(E3776="","",IF(ISNUMBER(SEARCH("SUBSOLO",E3776)),IFERROR(-VALUE(LEFT(E3776,FIND("º",SUBSTITUTE(E3776,"°","º"))-1)),-1),IF(LEFT(E3776,6)="TÉRREO",0,IFERROR(VALUE(LEFT(E3776,FIND("º",SUBSTITUTE(E3776,"°","º"))-1)),""))))</f>
        <v/>
      </c>
      <c r="O3776" s="2">
        <f>IF(OR(F3776="",G3776=""),"",IF(G3776&lt;='RETRATO 2027'!$K$5,"CONCLUÍDA",IF(F3776&lt;='RETRATO 2027'!$K$5,"EM ANDAMENTO","A INICIAR")))</f>
        <v/>
      </c>
    </row>
    <row r="3777">
      <c r="M3777" s="2">
        <f>IF(C3777="","",IFERROR(INDEX($S$5:$S$304,MATCH(C3777,$R$5:$R$304,0))&amp;"","?"))</f>
        <v/>
      </c>
      <c r="N3777" s="2">
        <f>IF(E3777="","",IF(ISNUMBER(SEARCH("SUBSOLO",E3777)),IFERROR(-VALUE(LEFT(E3777,FIND("º",SUBSTITUTE(E3777,"°","º"))-1)),-1),IF(LEFT(E3777,6)="TÉRREO",0,IFERROR(VALUE(LEFT(E3777,FIND("º",SUBSTITUTE(E3777,"°","º"))-1)),""))))</f>
        <v/>
      </c>
      <c r="O3777" s="2">
        <f>IF(OR(F3777="",G3777=""),"",IF(G3777&lt;='RETRATO 2027'!$K$5,"CONCLUÍDA",IF(F3777&lt;='RETRATO 2027'!$K$5,"EM ANDAMENTO","A INICIAR")))</f>
        <v/>
      </c>
    </row>
    <row r="3778">
      <c r="M3778" s="2">
        <f>IF(C3778="","",IFERROR(INDEX($S$5:$S$304,MATCH(C3778,$R$5:$R$304,0))&amp;"","?"))</f>
        <v/>
      </c>
      <c r="N3778" s="2">
        <f>IF(E3778="","",IF(ISNUMBER(SEARCH("SUBSOLO",E3778)),IFERROR(-VALUE(LEFT(E3778,FIND("º",SUBSTITUTE(E3778,"°","º"))-1)),-1),IF(LEFT(E3778,6)="TÉRREO",0,IFERROR(VALUE(LEFT(E3778,FIND("º",SUBSTITUTE(E3778,"°","º"))-1)),""))))</f>
        <v/>
      </c>
      <c r="O3778" s="2">
        <f>IF(OR(F3778="",G3778=""),"",IF(G3778&lt;='RETRATO 2027'!$K$5,"CONCLUÍDA",IF(F3778&lt;='RETRATO 2027'!$K$5,"EM ANDAMENTO","A INICIAR")))</f>
        <v/>
      </c>
    </row>
    <row r="3779">
      <c r="M3779" s="2">
        <f>IF(C3779="","",IFERROR(INDEX($S$5:$S$304,MATCH(C3779,$R$5:$R$304,0))&amp;"","?"))</f>
        <v/>
      </c>
      <c r="N3779" s="2">
        <f>IF(E3779="","",IF(ISNUMBER(SEARCH("SUBSOLO",E3779)),IFERROR(-VALUE(LEFT(E3779,FIND("º",SUBSTITUTE(E3779,"°","º"))-1)),-1),IF(LEFT(E3779,6)="TÉRREO",0,IFERROR(VALUE(LEFT(E3779,FIND("º",SUBSTITUTE(E3779,"°","º"))-1)),""))))</f>
        <v/>
      </c>
      <c r="O3779" s="2">
        <f>IF(OR(F3779="",G3779=""),"",IF(G3779&lt;='RETRATO 2027'!$K$5,"CONCLUÍDA",IF(F3779&lt;='RETRATO 2027'!$K$5,"EM ANDAMENTO","A INICIAR")))</f>
        <v/>
      </c>
    </row>
    <row r="3780">
      <c r="M3780" s="2">
        <f>IF(C3780="","",IFERROR(INDEX($S$5:$S$304,MATCH(C3780,$R$5:$R$304,0))&amp;"","?"))</f>
        <v/>
      </c>
      <c r="N3780" s="2">
        <f>IF(E3780="","",IF(ISNUMBER(SEARCH("SUBSOLO",E3780)),IFERROR(-VALUE(LEFT(E3780,FIND("º",SUBSTITUTE(E3780,"°","º"))-1)),-1),IF(LEFT(E3780,6)="TÉRREO",0,IFERROR(VALUE(LEFT(E3780,FIND("º",SUBSTITUTE(E3780,"°","º"))-1)),""))))</f>
        <v/>
      </c>
      <c r="O3780" s="2">
        <f>IF(OR(F3780="",G3780=""),"",IF(G3780&lt;='RETRATO 2027'!$K$5,"CONCLUÍDA",IF(F3780&lt;='RETRATO 2027'!$K$5,"EM ANDAMENTO","A INICIAR")))</f>
        <v/>
      </c>
    </row>
    <row r="3781">
      <c r="M3781" s="2">
        <f>IF(C3781="","",IFERROR(INDEX($S$5:$S$304,MATCH(C3781,$R$5:$R$304,0))&amp;"","?"))</f>
        <v/>
      </c>
      <c r="N3781" s="2">
        <f>IF(E3781="","",IF(ISNUMBER(SEARCH("SUBSOLO",E3781)),IFERROR(-VALUE(LEFT(E3781,FIND("º",SUBSTITUTE(E3781,"°","º"))-1)),-1),IF(LEFT(E3781,6)="TÉRREO",0,IFERROR(VALUE(LEFT(E3781,FIND("º",SUBSTITUTE(E3781,"°","º"))-1)),""))))</f>
        <v/>
      </c>
      <c r="O3781" s="2">
        <f>IF(OR(F3781="",G3781=""),"",IF(G3781&lt;='RETRATO 2027'!$K$5,"CONCLUÍDA",IF(F3781&lt;='RETRATO 2027'!$K$5,"EM ANDAMENTO","A INICIAR")))</f>
        <v/>
      </c>
    </row>
    <row r="3782">
      <c r="M3782" s="2">
        <f>IF(C3782="","",IFERROR(INDEX($S$5:$S$304,MATCH(C3782,$R$5:$R$304,0))&amp;"","?"))</f>
        <v/>
      </c>
      <c r="N3782" s="2">
        <f>IF(E3782="","",IF(ISNUMBER(SEARCH("SUBSOLO",E3782)),IFERROR(-VALUE(LEFT(E3782,FIND("º",SUBSTITUTE(E3782,"°","º"))-1)),-1),IF(LEFT(E3782,6)="TÉRREO",0,IFERROR(VALUE(LEFT(E3782,FIND("º",SUBSTITUTE(E3782,"°","º"))-1)),""))))</f>
        <v/>
      </c>
      <c r="O3782" s="2">
        <f>IF(OR(F3782="",G3782=""),"",IF(G3782&lt;='RETRATO 2027'!$K$5,"CONCLUÍDA",IF(F3782&lt;='RETRATO 2027'!$K$5,"EM ANDAMENTO","A INICIAR")))</f>
        <v/>
      </c>
    </row>
    <row r="3783">
      <c r="M3783" s="2">
        <f>IF(C3783="","",IFERROR(INDEX($S$5:$S$304,MATCH(C3783,$R$5:$R$304,0))&amp;"","?"))</f>
        <v/>
      </c>
      <c r="N3783" s="2">
        <f>IF(E3783="","",IF(ISNUMBER(SEARCH("SUBSOLO",E3783)),IFERROR(-VALUE(LEFT(E3783,FIND("º",SUBSTITUTE(E3783,"°","º"))-1)),-1),IF(LEFT(E3783,6)="TÉRREO",0,IFERROR(VALUE(LEFT(E3783,FIND("º",SUBSTITUTE(E3783,"°","º"))-1)),""))))</f>
        <v/>
      </c>
      <c r="O3783" s="2">
        <f>IF(OR(F3783="",G3783=""),"",IF(G3783&lt;='RETRATO 2027'!$K$5,"CONCLUÍDA",IF(F3783&lt;='RETRATO 2027'!$K$5,"EM ANDAMENTO","A INICIAR")))</f>
        <v/>
      </c>
    </row>
    <row r="3784">
      <c r="M3784" s="2">
        <f>IF(C3784="","",IFERROR(INDEX($S$5:$S$304,MATCH(C3784,$R$5:$R$304,0))&amp;"","?"))</f>
        <v/>
      </c>
      <c r="N3784" s="2">
        <f>IF(E3784="","",IF(ISNUMBER(SEARCH("SUBSOLO",E3784)),IFERROR(-VALUE(LEFT(E3784,FIND("º",SUBSTITUTE(E3784,"°","º"))-1)),-1),IF(LEFT(E3784,6)="TÉRREO",0,IFERROR(VALUE(LEFT(E3784,FIND("º",SUBSTITUTE(E3784,"°","º"))-1)),""))))</f>
        <v/>
      </c>
      <c r="O3784" s="2">
        <f>IF(OR(F3784="",G3784=""),"",IF(G3784&lt;='RETRATO 2027'!$K$5,"CONCLUÍDA",IF(F3784&lt;='RETRATO 2027'!$K$5,"EM ANDAMENTO","A INICIAR")))</f>
        <v/>
      </c>
    </row>
    <row r="3785">
      <c r="M3785" s="2">
        <f>IF(C3785="","",IFERROR(INDEX($S$5:$S$304,MATCH(C3785,$R$5:$R$304,0))&amp;"","?"))</f>
        <v/>
      </c>
      <c r="N3785" s="2">
        <f>IF(E3785="","",IF(ISNUMBER(SEARCH("SUBSOLO",E3785)),IFERROR(-VALUE(LEFT(E3785,FIND("º",SUBSTITUTE(E3785,"°","º"))-1)),-1),IF(LEFT(E3785,6)="TÉRREO",0,IFERROR(VALUE(LEFT(E3785,FIND("º",SUBSTITUTE(E3785,"°","º"))-1)),""))))</f>
        <v/>
      </c>
      <c r="O3785" s="2">
        <f>IF(OR(F3785="",G3785=""),"",IF(G3785&lt;='RETRATO 2027'!$K$5,"CONCLUÍDA",IF(F3785&lt;='RETRATO 2027'!$K$5,"EM ANDAMENTO","A INICIAR")))</f>
        <v/>
      </c>
    </row>
    <row r="3786">
      <c r="M3786" s="2">
        <f>IF(C3786="","",IFERROR(INDEX($S$5:$S$304,MATCH(C3786,$R$5:$R$304,0))&amp;"","?"))</f>
        <v/>
      </c>
      <c r="N3786" s="2">
        <f>IF(E3786="","",IF(ISNUMBER(SEARCH("SUBSOLO",E3786)),IFERROR(-VALUE(LEFT(E3786,FIND("º",SUBSTITUTE(E3786,"°","º"))-1)),-1),IF(LEFT(E3786,6)="TÉRREO",0,IFERROR(VALUE(LEFT(E3786,FIND("º",SUBSTITUTE(E3786,"°","º"))-1)),""))))</f>
        <v/>
      </c>
      <c r="O3786" s="2">
        <f>IF(OR(F3786="",G3786=""),"",IF(G3786&lt;='RETRATO 2027'!$K$5,"CONCLUÍDA",IF(F3786&lt;='RETRATO 2027'!$K$5,"EM ANDAMENTO","A INICIAR")))</f>
        <v/>
      </c>
    </row>
    <row r="3787">
      <c r="M3787" s="2">
        <f>IF(C3787="","",IFERROR(INDEX($S$5:$S$304,MATCH(C3787,$R$5:$R$304,0))&amp;"","?"))</f>
        <v/>
      </c>
      <c r="N3787" s="2">
        <f>IF(E3787="","",IF(ISNUMBER(SEARCH("SUBSOLO",E3787)),IFERROR(-VALUE(LEFT(E3787,FIND("º",SUBSTITUTE(E3787,"°","º"))-1)),-1),IF(LEFT(E3787,6)="TÉRREO",0,IFERROR(VALUE(LEFT(E3787,FIND("º",SUBSTITUTE(E3787,"°","º"))-1)),""))))</f>
        <v/>
      </c>
      <c r="O3787" s="2">
        <f>IF(OR(F3787="",G3787=""),"",IF(G3787&lt;='RETRATO 2027'!$K$5,"CONCLUÍDA",IF(F3787&lt;='RETRATO 2027'!$K$5,"EM ANDAMENTO","A INICIAR")))</f>
        <v/>
      </c>
    </row>
    <row r="3788">
      <c r="M3788" s="2">
        <f>IF(C3788="","",IFERROR(INDEX($S$5:$S$304,MATCH(C3788,$R$5:$R$304,0))&amp;"","?"))</f>
        <v/>
      </c>
      <c r="N3788" s="2">
        <f>IF(E3788="","",IF(ISNUMBER(SEARCH("SUBSOLO",E3788)),IFERROR(-VALUE(LEFT(E3788,FIND("º",SUBSTITUTE(E3788,"°","º"))-1)),-1),IF(LEFT(E3788,6)="TÉRREO",0,IFERROR(VALUE(LEFT(E3788,FIND("º",SUBSTITUTE(E3788,"°","º"))-1)),""))))</f>
        <v/>
      </c>
      <c r="O3788" s="2">
        <f>IF(OR(F3788="",G3788=""),"",IF(G3788&lt;='RETRATO 2027'!$K$5,"CONCLUÍDA",IF(F3788&lt;='RETRATO 2027'!$K$5,"EM ANDAMENTO","A INICIAR")))</f>
        <v/>
      </c>
    </row>
    <row r="3789">
      <c r="M3789" s="2">
        <f>IF(C3789="","",IFERROR(INDEX($S$5:$S$304,MATCH(C3789,$R$5:$R$304,0))&amp;"","?"))</f>
        <v/>
      </c>
      <c r="N3789" s="2">
        <f>IF(E3789="","",IF(ISNUMBER(SEARCH("SUBSOLO",E3789)),IFERROR(-VALUE(LEFT(E3789,FIND("º",SUBSTITUTE(E3789,"°","º"))-1)),-1),IF(LEFT(E3789,6)="TÉRREO",0,IFERROR(VALUE(LEFT(E3789,FIND("º",SUBSTITUTE(E3789,"°","º"))-1)),""))))</f>
        <v/>
      </c>
      <c r="O3789" s="2">
        <f>IF(OR(F3789="",G3789=""),"",IF(G3789&lt;='RETRATO 2027'!$K$5,"CONCLUÍDA",IF(F3789&lt;='RETRATO 2027'!$K$5,"EM ANDAMENTO","A INICIAR")))</f>
        <v/>
      </c>
    </row>
    <row r="3790">
      <c r="M3790" s="2">
        <f>IF(C3790="","",IFERROR(INDEX($S$5:$S$304,MATCH(C3790,$R$5:$R$304,0))&amp;"","?"))</f>
        <v/>
      </c>
      <c r="N3790" s="2">
        <f>IF(E3790="","",IF(ISNUMBER(SEARCH("SUBSOLO",E3790)),IFERROR(-VALUE(LEFT(E3790,FIND("º",SUBSTITUTE(E3790,"°","º"))-1)),-1),IF(LEFT(E3790,6)="TÉRREO",0,IFERROR(VALUE(LEFT(E3790,FIND("º",SUBSTITUTE(E3790,"°","º"))-1)),""))))</f>
        <v/>
      </c>
      <c r="O3790" s="2">
        <f>IF(OR(F3790="",G3790=""),"",IF(G3790&lt;='RETRATO 2027'!$K$5,"CONCLUÍDA",IF(F3790&lt;='RETRATO 2027'!$K$5,"EM ANDAMENTO","A INICIAR")))</f>
        <v/>
      </c>
    </row>
    <row r="3791">
      <c r="M3791" s="2">
        <f>IF(C3791="","",IFERROR(INDEX($S$5:$S$304,MATCH(C3791,$R$5:$R$304,0))&amp;"","?"))</f>
        <v/>
      </c>
      <c r="N3791" s="2">
        <f>IF(E3791="","",IF(ISNUMBER(SEARCH("SUBSOLO",E3791)),IFERROR(-VALUE(LEFT(E3791,FIND("º",SUBSTITUTE(E3791,"°","º"))-1)),-1),IF(LEFT(E3791,6)="TÉRREO",0,IFERROR(VALUE(LEFT(E3791,FIND("º",SUBSTITUTE(E3791,"°","º"))-1)),""))))</f>
        <v/>
      </c>
      <c r="O3791" s="2">
        <f>IF(OR(F3791="",G3791=""),"",IF(G3791&lt;='RETRATO 2027'!$K$5,"CONCLUÍDA",IF(F3791&lt;='RETRATO 2027'!$K$5,"EM ANDAMENTO","A INICIAR")))</f>
        <v/>
      </c>
    </row>
    <row r="3792">
      <c r="M3792" s="2">
        <f>IF(C3792="","",IFERROR(INDEX($S$5:$S$304,MATCH(C3792,$R$5:$R$304,0))&amp;"","?"))</f>
        <v/>
      </c>
      <c r="N3792" s="2">
        <f>IF(E3792="","",IF(ISNUMBER(SEARCH("SUBSOLO",E3792)),IFERROR(-VALUE(LEFT(E3792,FIND("º",SUBSTITUTE(E3792,"°","º"))-1)),-1),IF(LEFT(E3792,6)="TÉRREO",0,IFERROR(VALUE(LEFT(E3792,FIND("º",SUBSTITUTE(E3792,"°","º"))-1)),""))))</f>
        <v/>
      </c>
      <c r="O3792" s="2">
        <f>IF(OR(F3792="",G3792=""),"",IF(G3792&lt;='RETRATO 2027'!$K$5,"CONCLUÍDA",IF(F3792&lt;='RETRATO 2027'!$K$5,"EM ANDAMENTO","A INICIAR")))</f>
        <v/>
      </c>
    </row>
    <row r="3793">
      <c r="M3793" s="2">
        <f>IF(C3793="","",IFERROR(INDEX($S$5:$S$304,MATCH(C3793,$R$5:$R$304,0))&amp;"","?"))</f>
        <v/>
      </c>
      <c r="N3793" s="2">
        <f>IF(E3793="","",IF(ISNUMBER(SEARCH("SUBSOLO",E3793)),IFERROR(-VALUE(LEFT(E3793,FIND("º",SUBSTITUTE(E3793,"°","º"))-1)),-1),IF(LEFT(E3793,6)="TÉRREO",0,IFERROR(VALUE(LEFT(E3793,FIND("º",SUBSTITUTE(E3793,"°","º"))-1)),""))))</f>
        <v/>
      </c>
      <c r="O3793" s="2">
        <f>IF(OR(F3793="",G3793=""),"",IF(G3793&lt;='RETRATO 2027'!$K$5,"CONCLUÍDA",IF(F3793&lt;='RETRATO 2027'!$K$5,"EM ANDAMENTO","A INICIAR")))</f>
        <v/>
      </c>
    </row>
    <row r="3794">
      <c r="M3794" s="2">
        <f>IF(C3794="","",IFERROR(INDEX($S$5:$S$304,MATCH(C3794,$R$5:$R$304,0))&amp;"","?"))</f>
        <v/>
      </c>
      <c r="N3794" s="2">
        <f>IF(E3794="","",IF(ISNUMBER(SEARCH("SUBSOLO",E3794)),IFERROR(-VALUE(LEFT(E3794,FIND("º",SUBSTITUTE(E3794,"°","º"))-1)),-1),IF(LEFT(E3794,6)="TÉRREO",0,IFERROR(VALUE(LEFT(E3794,FIND("º",SUBSTITUTE(E3794,"°","º"))-1)),""))))</f>
        <v/>
      </c>
      <c r="O3794" s="2">
        <f>IF(OR(F3794="",G3794=""),"",IF(G3794&lt;='RETRATO 2027'!$K$5,"CONCLUÍDA",IF(F3794&lt;='RETRATO 2027'!$K$5,"EM ANDAMENTO","A INICIAR")))</f>
        <v/>
      </c>
    </row>
    <row r="3795">
      <c r="M3795" s="2">
        <f>IF(C3795="","",IFERROR(INDEX($S$5:$S$304,MATCH(C3795,$R$5:$R$304,0))&amp;"","?"))</f>
        <v/>
      </c>
      <c r="N3795" s="2">
        <f>IF(E3795="","",IF(ISNUMBER(SEARCH("SUBSOLO",E3795)),IFERROR(-VALUE(LEFT(E3795,FIND("º",SUBSTITUTE(E3795,"°","º"))-1)),-1),IF(LEFT(E3795,6)="TÉRREO",0,IFERROR(VALUE(LEFT(E3795,FIND("º",SUBSTITUTE(E3795,"°","º"))-1)),""))))</f>
        <v/>
      </c>
      <c r="O3795" s="2">
        <f>IF(OR(F3795="",G3795=""),"",IF(G3795&lt;='RETRATO 2027'!$K$5,"CONCLUÍDA",IF(F3795&lt;='RETRATO 2027'!$K$5,"EM ANDAMENTO","A INICIAR")))</f>
        <v/>
      </c>
    </row>
    <row r="3796">
      <c r="M3796" s="2">
        <f>IF(C3796="","",IFERROR(INDEX($S$5:$S$304,MATCH(C3796,$R$5:$R$304,0))&amp;"","?"))</f>
        <v/>
      </c>
      <c r="N3796" s="2">
        <f>IF(E3796="","",IF(ISNUMBER(SEARCH("SUBSOLO",E3796)),IFERROR(-VALUE(LEFT(E3796,FIND("º",SUBSTITUTE(E3796,"°","º"))-1)),-1),IF(LEFT(E3796,6)="TÉRREO",0,IFERROR(VALUE(LEFT(E3796,FIND("º",SUBSTITUTE(E3796,"°","º"))-1)),""))))</f>
        <v/>
      </c>
      <c r="O3796" s="2">
        <f>IF(OR(F3796="",G3796=""),"",IF(G3796&lt;='RETRATO 2027'!$K$5,"CONCLUÍDA",IF(F3796&lt;='RETRATO 2027'!$K$5,"EM ANDAMENTO","A INICIAR")))</f>
        <v/>
      </c>
    </row>
    <row r="3797">
      <c r="M3797" s="2">
        <f>IF(C3797="","",IFERROR(INDEX($S$5:$S$304,MATCH(C3797,$R$5:$R$304,0))&amp;"","?"))</f>
        <v/>
      </c>
      <c r="N3797" s="2">
        <f>IF(E3797="","",IF(ISNUMBER(SEARCH("SUBSOLO",E3797)),IFERROR(-VALUE(LEFT(E3797,FIND("º",SUBSTITUTE(E3797,"°","º"))-1)),-1),IF(LEFT(E3797,6)="TÉRREO",0,IFERROR(VALUE(LEFT(E3797,FIND("º",SUBSTITUTE(E3797,"°","º"))-1)),""))))</f>
        <v/>
      </c>
      <c r="O3797" s="2">
        <f>IF(OR(F3797="",G3797=""),"",IF(G3797&lt;='RETRATO 2027'!$K$5,"CONCLUÍDA",IF(F3797&lt;='RETRATO 2027'!$K$5,"EM ANDAMENTO","A INICIAR")))</f>
        <v/>
      </c>
    </row>
    <row r="3798">
      <c r="M3798" s="2">
        <f>IF(C3798="","",IFERROR(INDEX($S$5:$S$304,MATCH(C3798,$R$5:$R$304,0))&amp;"","?"))</f>
        <v/>
      </c>
      <c r="N3798" s="2">
        <f>IF(E3798="","",IF(ISNUMBER(SEARCH("SUBSOLO",E3798)),IFERROR(-VALUE(LEFT(E3798,FIND("º",SUBSTITUTE(E3798,"°","º"))-1)),-1),IF(LEFT(E3798,6)="TÉRREO",0,IFERROR(VALUE(LEFT(E3798,FIND("º",SUBSTITUTE(E3798,"°","º"))-1)),""))))</f>
        <v/>
      </c>
      <c r="O3798" s="2">
        <f>IF(OR(F3798="",G3798=""),"",IF(G3798&lt;='RETRATO 2027'!$K$5,"CONCLUÍDA",IF(F3798&lt;='RETRATO 2027'!$K$5,"EM ANDAMENTO","A INICIAR")))</f>
        <v/>
      </c>
    </row>
    <row r="3799">
      <c r="M3799" s="2">
        <f>IF(C3799="","",IFERROR(INDEX($S$5:$S$304,MATCH(C3799,$R$5:$R$304,0))&amp;"","?"))</f>
        <v/>
      </c>
      <c r="N3799" s="2">
        <f>IF(E3799="","",IF(ISNUMBER(SEARCH("SUBSOLO",E3799)),IFERROR(-VALUE(LEFT(E3799,FIND("º",SUBSTITUTE(E3799,"°","º"))-1)),-1),IF(LEFT(E3799,6)="TÉRREO",0,IFERROR(VALUE(LEFT(E3799,FIND("º",SUBSTITUTE(E3799,"°","º"))-1)),""))))</f>
        <v/>
      </c>
      <c r="O3799" s="2">
        <f>IF(OR(F3799="",G3799=""),"",IF(G3799&lt;='RETRATO 2027'!$K$5,"CONCLUÍDA",IF(F3799&lt;='RETRATO 2027'!$K$5,"EM ANDAMENTO","A INICIAR")))</f>
        <v/>
      </c>
    </row>
    <row r="3800">
      <c r="M3800" s="2">
        <f>IF(C3800="","",IFERROR(INDEX($S$5:$S$304,MATCH(C3800,$R$5:$R$304,0))&amp;"","?"))</f>
        <v/>
      </c>
      <c r="N3800" s="2">
        <f>IF(E3800="","",IF(ISNUMBER(SEARCH("SUBSOLO",E3800)),IFERROR(-VALUE(LEFT(E3800,FIND("º",SUBSTITUTE(E3800,"°","º"))-1)),-1),IF(LEFT(E3800,6)="TÉRREO",0,IFERROR(VALUE(LEFT(E3800,FIND("º",SUBSTITUTE(E3800,"°","º"))-1)),""))))</f>
        <v/>
      </c>
      <c r="O3800" s="2">
        <f>IF(OR(F3800="",G3800=""),"",IF(G3800&lt;='RETRATO 2027'!$K$5,"CONCLUÍDA",IF(F3800&lt;='RETRATO 2027'!$K$5,"EM ANDAMENTO","A INICIAR")))</f>
        <v/>
      </c>
    </row>
    <row r="3801">
      <c r="M3801" s="2">
        <f>IF(C3801="","",IFERROR(INDEX($S$5:$S$304,MATCH(C3801,$R$5:$R$304,0))&amp;"","?"))</f>
        <v/>
      </c>
      <c r="N3801" s="2">
        <f>IF(E3801="","",IF(ISNUMBER(SEARCH("SUBSOLO",E3801)),IFERROR(-VALUE(LEFT(E3801,FIND("º",SUBSTITUTE(E3801,"°","º"))-1)),-1),IF(LEFT(E3801,6)="TÉRREO",0,IFERROR(VALUE(LEFT(E3801,FIND("º",SUBSTITUTE(E3801,"°","º"))-1)),""))))</f>
        <v/>
      </c>
      <c r="O3801" s="2">
        <f>IF(OR(F3801="",G3801=""),"",IF(G3801&lt;='RETRATO 2027'!$K$5,"CONCLUÍDA",IF(F3801&lt;='RETRATO 2027'!$K$5,"EM ANDAMENTO","A INICIAR")))</f>
        <v/>
      </c>
    </row>
    <row r="3802">
      <c r="M3802" s="2">
        <f>IF(C3802="","",IFERROR(INDEX($S$5:$S$304,MATCH(C3802,$R$5:$R$304,0))&amp;"","?"))</f>
        <v/>
      </c>
      <c r="N3802" s="2">
        <f>IF(E3802="","",IF(ISNUMBER(SEARCH("SUBSOLO",E3802)),IFERROR(-VALUE(LEFT(E3802,FIND("º",SUBSTITUTE(E3802,"°","º"))-1)),-1),IF(LEFT(E3802,6)="TÉRREO",0,IFERROR(VALUE(LEFT(E3802,FIND("º",SUBSTITUTE(E3802,"°","º"))-1)),""))))</f>
        <v/>
      </c>
      <c r="O3802" s="2">
        <f>IF(OR(F3802="",G3802=""),"",IF(G3802&lt;='RETRATO 2027'!$K$5,"CONCLUÍDA",IF(F3802&lt;='RETRATO 2027'!$K$5,"EM ANDAMENTO","A INICIAR")))</f>
        <v/>
      </c>
    </row>
    <row r="3803">
      <c r="M3803" s="2">
        <f>IF(C3803="","",IFERROR(INDEX($S$5:$S$304,MATCH(C3803,$R$5:$R$304,0))&amp;"","?"))</f>
        <v/>
      </c>
      <c r="N3803" s="2">
        <f>IF(E3803="","",IF(ISNUMBER(SEARCH("SUBSOLO",E3803)),IFERROR(-VALUE(LEFT(E3803,FIND("º",SUBSTITUTE(E3803,"°","º"))-1)),-1),IF(LEFT(E3803,6)="TÉRREO",0,IFERROR(VALUE(LEFT(E3803,FIND("º",SUBSTITUTE(E3803,"°","º"))-1)),""))))</f>
        <v/>
      </c>
      <c r="O3803" s="2">
        <f>IF(OR(F3803="",G3803=""),"",IF(G3803&lt;='RETRATO 2027'!$K$5,"CONCLUÍDA",IF(F3803&lt;='RETRATO 2027'!$K$5,"EM ANDAMENTO","A INICIAR")))</f>
        <v/>
      </c>
    </row>
    <row r="3804">
      <c r="M3804" s="2">
        <f>IF(C3804="","",IFERROR(INDEX($S$5:$S$304,MATCH(C3804,$R$5:$R$304,0))&amp;"","?"))</f>
        <v/>
      </c>
      <c r="N3804" s="2">
        <f>IF(E3804="","",IF(ISNUMBER(SEARCH("SUBSOLO",E3804)),IFERROR(-VALUE(LEFT(E3804,FIND("º",SUBSTITUTE(E3804,"°","º"))-1)),-1),IF(LEFT(E3804,6)="TÉRREO",0,IFERROR(VALUE(LEFT(E3804,FIND("º",SUBSTITUTE(E3804,"°","º"))-1)),""))))</f>
        <v/>
      </c>
      <c r="O3804" s="2">
        <f>IF(OR(F3804="",G3804=""),"",IF(G3804&lt;='RETRATO 2027'!$K$5,"CONCLUÍDA",IF(F3804&lt;='RETRATO 2027'!$K$5,"EM ANDAMENTO","A INICIAR")))</f>
        <v/>
      </c>
    </row>
    <row r="3805">
      <c r="M3805" s="2">
        <f>IF(C3805="","",IFERROR(INDEX($S$5:$S$304,MATCH(C3805,$R$5:$R$304,0))&amp;"","?"))</f>
        <v/>
      </c>
      <c r="N3805" s="2">
        <f>IF(E3805="","",IF(ISNUMBER(SEARCH("SUBSOLO",E3805)),IFERROR(-VALUE(LEFT(E3805,FIND("º",SUBSTITUTE(E3805,"°","º"))-1)),-1),IF(LEFT(E3805,6)="TÉRREO",0,IFERROR(VALUE(LEFT(E3805,FIND("º",SUBSTITUTE(E3805,"°","º"))-1)),""))))</f>
        <v/>
      </c>
      <c r="O3805" s="2">
        <f>IF(OR(F3805="",G3805=""),"",IF(G3805&lt;='RETRATO 2027'!$K$5,"CONCLUÍDA",IF(F3805&lt;='RETRATO 2027'!$K$5,"EM ANDAMENTO","A INICIAR")))</f>
        <v/>
      </c>
    </row>
    <row r="3806">
      <c r="M3806" s="2">
        <f>IF(C3806="","",IFERROR(INDEX($S$5:$S$304,MATCH(C3806,$R$5:$R$304,0))&amp;"","?"))</f>
        <v/>
      </c>
      <c r="N3806" s="2">
        <f>IF(E3806="","",IF(ISNUMBER(SEARCH("SUBSOLO",E3806)),IFERROR(-VALUE(LEFT(E3806,FIND("º",SUBSTITUTE(E3806,"°","º"))-1)),-1),IF(LEFT(E3806,6)="TÉRREO",0,IFERROR(VALUE(LEFT(E3806,FIND("º",SUBSTITUTE(E3806,"°","º"))-1)),""))))</f>
        <v/>
      </c>
      <c r="O3806" s="2">
        <f>IF(OR(F3806="",G3806=""),"",IF(G3806&lt;='RETRATO 2027'!$K$5,"CONCLUÍDA",IF(F3806&lt;='RETRATO 2027'!$K$5,"EM ANDAMENTO","A INICIAR")))</f>
        <v/>
      </c>
    </row>
    <row r="3807">
      <c r="M3807" s="2">
        <f>IF(C3807="","",IFERROR(INDEX($S$5:$S$304,MATCH(C3807,$R$5:$R$304,0))&amp;"","?"))</f>
        <v/>
      </c>
      <c r="N3807" s="2">
        <f>IF(E3807="","",IF(ISNUMBER(SEARCH("SUBSOLO",E3807)),IFERROR(-VALUE(LEFT(E3807,FIND("º",SUBSTITUTE(E3807,"°","º"))-1)),-1),IF(LEFT(E3807,6)="TÉRREO",0,IFERROR(VALUE(LEFT(E3807,FIND("º",SUBSTITUTE(E3807,"°","º"))-1)),""))))</f>
        <v/>
      </c>
      <c r="O3807" s="2">
        <f>IF(OR(F3807="",G3807=""),"",IF(G3807&lt;='RETRATO 2027'!$K$5,"CONCLUÍDA",IF(F3807&lt;='RETRATO 2027'!$K$5,"EM ANDAMENTO","A INICIAR")))</f>
        <v/>
      </c>
    </row>
    <row r="3808">
      <c r="M3808" s="2">
        <f>IF(C3808="","",IFERROR(INDEX($S$5:$S$304,MATCH(C3808,$R$5:$R$304,0))&amp;"","?"))</f>
        <v/>
      </c>
      <c r="N3808" s="2">
        <f>IF(E3808="","",IF(ISNUMBER(SEARCH("SUBSOLO",E3808)),IFERROR(-VALUE(LEFT(E3808,FIND("º",SUBSTITUTE(E3808,"°","º"))-1)),-1),IF(LEFT(E3808,6)="TÉRREO",0,IFERROR(VALUE(LEFT(E3808,FIND("º",SUBSTITUTE(E3808,"°","º"))-1)),""))))</f>
        <v/>
      </c>
      <c r="O3808" s="2">
        <f>IF(OR(F3808="",G3808=""),"",IF(G3808&lt;='RETRATO 2027'!$K$5,"CONCLUÍDA",IF(F3808&lt;='RETRATO 2027'!$K$5,"EM ANDAMENTO","A INICIAR")))</f>
        <v/>
      </c>
    </row>
    <row r="3809">
      <c r="M3809" s="2">
        <f>IF(C3809="","",IFERROR(INDEX($S$5:$S$304,MATCH(C3809,$R$5:$R$304,0))&amp;"","?"))</f>
        <v/>
      </c>
      <c r="N3809" s="2">
        <f>IF(E3809="","",IF(ISNUMBER(SEARCH("SUBSOLO",E3809)),IFERROR(-VALUE(LEFT(E3809,FIND("º",SUBSTITUTE(E3809,"°","º"))-1)),-1),IF(LEFT(E3809,6)="TÉRREO",0,IFERROR(VALUE(LEFT(E3809,FIND("º",SUBSTITUTE(E3809,"°","º"))-1)),""))))</f>
        <v/>
      </c>
      <c r="O3809" s="2">
        <f>IF(OR(F3809="",G3809=""),"",IF(G3809&lt;='RETRATO 2027'!$K$5,"CONCLUÍDA",IF(F3809&lt;='RETRATO 2027'!$K$5,"EM ANDAMENTO","A INICIAR")))</f>
        <v/>
      </c>
    </row>
    <row r="3810">
      <c r="M3810" s="2">
        <f>IF(C3810="","",IFERROR(INDEX($S$5:$S$304,MATCH(C3810,$R$5:$R$304,0))&amp;"","?"))</f>
        <v/>
      </c>
      <c r="N3810" s="2">
        <f>IF(E3810="","",IF(ISNUMBER(SEARCH("SUBSOLO",E3810)),IFERROR(-VALUE(LEFT(E3810,FIND("º",SUBSTITUTE(E3810,"°","º"))-1)),-1),IF(LEFT(E3810,6)="TÉRREO",0,IFERROR(VALUE(LEFT(E3810,FIND("º",SUBSTITUTE(E3810,"°","º"))-1)),""))))</f>
        <v/>
      </c>
      <c r="O3810" s="2">
        <f>IF(OR(F3810="",G3810=""),"",IF(G3810&lt;='RETRATO 2027'!$K$5,"CONCLUÍDA",IF(F3810&lt;='RETRATO 2027'!$K$5,"EM ANDAMENTO","A INICIAR")))</f>
        <v/>
      </c>
    </row>
    <row r="3811">
      <c r="M3811" s="2">
        <f>IF(C3811="","",IFERROR(INDEX($S$5:$S$304,MATCH(C3811,$R$5:$R$304,0))&amp;"","?"))</f>
        <v/>
      </c>
      <c r="N3811" s="2">
        <f>IF(E3811="","",IF(ISNUMBER(SEARCH("SUBSOLO",E3811)),IFERROR(-VALUE(LEFT(E3811,FIND("º",SUBSTITUTE(E3811,"°","º"))-1)),-1),IF(LEFT(E3811,6)="TÉRREO",0,IFERROR(VALUE(LEFT(E3811,FIND("º",SUBSTITUTE(E3811,"°","º"))-1)),""))))</f>
        <v/>
      </c>
      <c r="O3811" s="2">
        <f>IF(OR(F3811="",G3811=""),"",IF(G3811&lt;='RETRATO 2027'!$K$5,"CONCLUÍDA",IF(F3811&lt;='RETRATO 2027'!$K$5,"EM ANDAMENTO","A INICIAR")))</f>
        <v/>
      </c>
    </row>
    <row r="3812">
      <c r="M3812" s="2">
        <f>IF(C3812="","",IFERROR(INDEX($S$5:$S$304,MATCH(C3812,$R$5:$R$304,0))&amp;"","?"))</f>
        <v/>
      </c>
      <c r="N3812" s="2">
        <f>IF(E3812="","",IF(ISNUMBER(SEARCH("SUBSOLO",E3812)),IFERROR(-VALUE(LEFT(E3812,FIND("º",SUBSTITUTE(E3812,"°","º"))-1)),-1),IF(LEFT(E3812,6)="TÉRREO",0,IFERROR(VALUE(LEFT(E3812,FIND("º",SUBSTITUTE(E3812,"°","º"))-1)),""))))</f>
        <v/>
      </c>
      <c r="O3812" s="2">
        <f>IF(OR(F3812="",G3812=""),"",IF(G3812&lt;='RETRATO 2027'!$K$5,"CONCLUÍDA",IF(F3812&lt;='RETRATO 2027'!$K$5,"EM ANDAMENTO","A INICIAR")))</f>
        <v/>
      </c>
    </row>
    <row r="3813">
      <c r="M3813" s="2">
        <f>IF(C3813="","",IFERROR(INDEX($S$5:$S$304,MATCH(C3813,$R$5:$R$304,0))&amp;"","?"))</f>
        <v/>
      </c>
      <c r="N3813" s="2">
        <f>IF(E3813="","",IF(ISNUMBER(SEARCH("SUBSOLO",E3813)),IFERROR(-VALUE(LEFT(E3813,FIND("º",SUBSTITUTE(E3813,"°","º"))-1)),-1),IF(LEFT(E3813,6)="TÉRREO",0,IFERROR(VALUE(LEFT(E3813,FIND("º",SUBSTITUTE(E3813,"°","º"))-1)),""))))</f>
        <v/>
      </c>
      <c r="O3813" s="2">
        <f>IF(OR(F3813="",G3813=""),"",IF(G3813&lt;='RETRATO 2027'!$K$5,"CONCLUÍDA",IF(F3813&lt;='RETRATO 2027'!$K$5,"EM ANDAMENTO","A INICIAR")))</f>
        <v/>
      </c>
    </row>
    <row r="3814">
      <c r="M3814" s="2">
        <f>IF(C3814="","",IFERROR(INDEX($S$5:$S$304,MATCH(C3814,$R$5:$R$304,0))&amp;"","?"))</f>
        <v/>
      </c>
      <c r="N3814" s="2">
        <f>IF(E3814="","",IF(ISNUMBER(SEARCH("SUBSOLO",E3814)),IFERROR(-VALUE(LEFT(E3814,FIND("º",SUBSTITUTE(E3814,"°","º"))-1)),-1),IF(LEFT(E3814,6)="TÉRREO",0,IFERROR(VALUE(LEFT(E3814,FIND("º",SUBSTITUTE(E3814,"°","º"))-1)),""))))</f>
        <v/>
      </c>
      <c r="O3814" s="2">
        <f>IF(OR(F3814="",G3814=""),"",IF(G3814&lt;='RETRATO 2027'!$K$5,"CONCLUÍDA",IF(F3814&lt;='RETRATO 2027'!$K$5,"EM ANDAMENTO","A INICIAR")))</f>
        <v/>
      </c>
    </row>
    <row r="3815">
      <c r="M3815" s="2">
        <f>IF(C3815="","",IFERROR(INDEX($S$5:$S$304,MATCH(C3815,$R$5:$R$304,0))&amp;"","?"))</f>
        <v/>
      </c>
      <c r="N3815" s="2">
        <f>IF(E3815="","",IF(ISNUMBER(SEARCH("SUBSOLO",E3815)),IFERROR(-VALUE(LEFT(E3815,FIND("º",SUBSTITUTE(E3815,"°","º"))-1)),-1),IF(LEFT(E3815,6)="TÉRREO",0,IFERROR(VALUE(LEFT(E3815,FIND("º",SUBSTITUTE(E3815,"°","º"))-1)),""))))</f>
        <v/>
      </c>
      <c r="O3815" s="2">
        <f>IF(OR(F3815="",G3815=""),"",IF(G3815&lt;='RETRATO 2027'!$K$5,"CONCLUÍDA",IF(F3815&lt;='RETRATO 2027'!$K$5,"EM ANDAMENTO","A INICIAR")))</f>
        <v/>
      </c>
    </row>
    <row r="3816">
      <c r="M3816" s="2">
        <f>IF(C3816="","",IFERROR(INDEX($S$5:$S$304,MATCH(C3816,$R$5:$R$304,0))&amp;"","?"))</f>
        <v/>
      </c>
      <c r="N3816" s="2">
        <f>IF(E3816="","",IF(ISNUMBER(SEARCH("SUBSOLO",E3816)),IFERROR(-VALUE(LEFT(E3816,FIND("º",SUBSTITUTE(E3816,"°","º"))-1)),-1),IF(LEFT(E3816,6)="TÉRREO",0,IFERROR(VALUE(LEFT(E3816,FIND("º",SUBSTITUTE(E3816,"°","º"))-1)),""))))</f>
        <v/>
      </c>
      <c r="O3816" s="2">
        <f>IF(OR(F3816="",G3816=""),"",IF(G3816&lt;='RETRATO 2027'!$K$5,"CONCLUÍDA",IF(F3816&lt;='RETRATO 2027'!$K$5,"EM ANDAMENTO","A INICIAR")))</f>
        <v/>
      </c>
    </row>
    <row r="3817">
      <c r="M3817" s="2">
        <f>IF(C3817="","",IFERROR(INDEX($S$5:$S$304,MATCH(C3817,$R$5:$R$304,0))&amp;"","?"))</f>
        <v/>
      </c>
      <c r="N3817" s="2">
        <f>IF(E3817="","",IF(ISNUMBER(SEARCH("SUBSOLO",E3817)),IFERROR(-VALUE(LEFT(E3817,FIND("º",SUBSTITUTE(E3817,"°","º"))-1)),-1),IF(LEFT(E3817,6)="TÉRREO",0,IFERROR(VALUE(LEFT(E3817,FIND("º",SUBSTITUTE(E3817,"°","º"))-1)),""))))</f>
        <v/>
      </c>
      <c r="O3817" s="2">
        <f>IF(OR(F3817="",G3817=""),"",IF(G3817&lt;='RETRATO 2027'!$K$5,"CONCLUÍDA",IF(F3817&lt;='RETRATO 2027'!$K$5,"EM ANDAMENTO","A INICIAR")))</f>
        <v/>
      </c>
    </row>
    <row r="3818">
      <c r="M3818" s="2">
        <f>IF(C3818="","",IFERROR(INDEX($S$5:$S$304,MATCH(C3818,$R$5:$R$304,0))&amp;"","?"))</f>
        <v/>
      </c>
      <c r="N3818" s="2">
        <f>IF(E3818="","",IF(ISNUMBER(SEARCH("SUBSOLO",E3818)),IFERROR(-VALUE(LEFT(E3818,FIND("º",SUBSTITUTE(E3818,"°","º"))-1)),-1),IF(LEFT(E3818,6)="TÉRREO",0,IFERROR(VALUE(LEFT(E3818,FIND("º",SUBSTITUTE(E3818,"°","º"))-1)),""))))</f>
        <v/>
      </c>
      <c r="O3818" s="2">
        <f>IF(OR(F3818="",G3818=""),"",IF(G3818&lt;='RETRATO 2027'!$K$5,"CONCLUÍDA",IF(F3818&lt;='RETRATO 2027'!$K$5,"EM ANDAMENTO","A INICIAR")))</f>
        <v/>
      </c>
    </row>
    <row r="3819">
      <c r="M3819" s="2">
        <f>IF(C3819="","",IFERROR(INDEX($S$5:$S$304,MATCH(C3819,$R$5:$R$304,0))&amp;"","?"))</f>
        <v/>
      </c>
      <c r="N3819" s="2">
        <f>IF(E3819="","",IF(ISNUMBER(SEARCH("SUBSOLO",E3819)),IFERROR(-VALUE(LEFT(E3819,FIND("º",SUBSTITUTE(E3819,"°","º"))-1)),-1),IF(LEFT(E3819,6)="TÉRREO",0,IFERROR(VALUE(LEFT(E3819,FIND("º",SUBSTITUTE(E3819,"°","º"))-1)),""))))</f>
        <v/>
      </c>
      <c r="O3819" s="2">
        <f>IF(OR(F3819="",G3819=""),"",IF(G3819&lt;='RETRATO 2027'!$K$5,"CONCLUÍDA",IF(F3819&lt;='RETRATO 2027'!$K$5,"EM ANDAMENTO","A INICIAR")))</f>
        <v/>
      </c>
    </row>
    <row r="3820">
      <c r="M3820" s="2">
        <f>IF(C3820="","",IFERROR(INDEX($S$5:$S$304,MATCH(C3820,$R$5:$R$304,0))&amp;"","?"))</f>
        <v/>
      </c>
      <c r="N3820" s="2">
        <f>IF(E3820="","",IF(ISNUMBER(SEARCH("SUBSOLO",E3820)),IFERROR(-VALUE(LEFT(E3820,FIND("º",SUBSTITUTE(E3820,"°","º"))-1)),-1),IF(LEFT(E3820,6)="TÉRREO",0,IFERROR(VALUE(LEFT(E3820,FIND("º",SUBSTITUTE(E3820,"°","º"))-1)),""))))</f>
        <v/>
      </c>
      <c r="O3820" s="2">
        <f>IF(OR(F3820="",G3820=""),"",IF(G3820&lt;='RETRATO 2027'!$K$5,"CONCLUÍDA",IF(F3820&lt;='RETRATO 2027'!$K$5,"EM ANDAMENTO","A INICIAR")))</f>
        <v/>
      </c>
    </row>
    <row r="3821">
      <c r="M3821" s="2">
        <f>IF(C3821="","",IFERROR(INDEX($S$5:$S$304,MATCH(C3821,$R$5:$R$304,0))&amp;"","?"))</f>
        <v/>
      </c>
      <c r="N3821" s="2">
        <f>IF(E3821="","",IF(ISNUMBER(SEARCH("SUBSOLO",E3821)),IFERROR(-VALUE(LEFT(E3821,FIND("º",SUBSTITUTE(E3821,"°","º"))-1)),-1),IF(LEFT(E3821,6)="TÉRREO",0,IFERROR(VALUE(LEFT(E3821,FIND("º",SUBSTITUTE(E3821,"°","º"))-1)),""))))</f>
        <v/>
      </c>
      <c r="O3821" s="2">
        <f>IF(OR(F3821="",G3821=""),"",IF(G3821&lt;='RETRATO 2027'!$K$5,"CONCLUÍDA",IF(F3821&lt;='RETRATO 2027'!$K$5,"EM ANDAMENTO","A INICIAR")))</f>
        <v/>
      </c>
    </row>
    <row r="3822">
      <c r="M3822" s="2">
        <f>IF(C3822="","",IFERROR(INDEX($S$5:$S$304,MATCH(C3822,$R$5:$R$304,0))&amp;"","?"))</f>
        <v/>
      </c>
      <c r="N3822" s="2">
        <f>IF(E3822="","",IF(ISNUMBER(SEARCH("SUBSOLO",E3822)),IFERROR(-VALUE(LEFT(E3822,FIND("º",SUBSTITUTE(E3822,"°","º"))-1)),-1),IF(LEFT(E3822,6)="TÉRREO",0,IFERROR(VALUE(LEFT(E3822,FIND("º",SUBSTITUTE(E3822,"°","º"))-1)),""))))</f>
        <v/>
      </c>
      <c r="O3822" s="2">
        <f>IF(OR(F3822="",G3822=""),"",IF(G3822&lt;='RETRATO 2027'!$K$5,"CONCLUÍDA",IF(F3822&lt;='RETRATO 2027'!$K$5,"EM ANDAMENTO","A INICIAR")))</f>
        <v/>
      </c>
    </row>
    <row r="3823">
      <c r="M3823" s="2">
        <f>IF(C3823="","",IFERROR(INDEX($S$5:$S$304,MATCH(C3823,$R$5:$R$304,0))&amp;"","?"))</f>
        <v/>
      </c>
      <c r="N3823" s="2">
        <f>IF(E3823="","",IF(ISNUMBER(SEARCH("SUBSOLO",E3823)),IFERROR(-VALUE(LEFT(E3823,FIND("º",SUBSTITUTE(E3823,"°","º"))-1)),-1),IF(LEFT(E3823,6)="TÉRREO",0,IFERROR(VALUE(LEFT(E3823,FIND("º",SUBSTITUTE(E3823,"°","º"))-1)),""))))</f>
        <v/>
      </c>
      <c r="O3823" s="2">
        <f>IF(OR(F3823="",G3823=""),"",IF(G3823&lt;='RETRATO 2027'!$K$5,"CONCLUÍDA",IF(F3823&lt;='RETRATO 2027'!$K$5,"EM ANDAMENTO","A INICIAR")))</f>
        <v/>
      </c>
    </row>
    <row r="3824">
      <c r="M3824" s="2">
        <f>IF(C3824="","",IFERROR(INDEX($S$5:$S$304,MATCH(C3824,$R$5:$R$304,0))&amp;"","?"))</f>
        <v/>
      </c>
      <c r="N3824" s="2">
        <f>IF(E3824="","",IF(ISNUMBER(SEARCH("SUBSOLO",E3824)),IFERROR(-VALUE(LEFT(E3824,FIND("º",SUBSTITUTE(E3824,"°","º"))-1)),-1),IF(LEFT(E3824,6)="TÉRREO",0,IFERROR(VALUE(LEFT(E3824,FIND("º",SUBSTITUTE(E3824,"°","º"))-1)),""))))</f>
        <v/>
      </c>
      <c r="O3824" s="2">
        <f>IF(OR(F3824="",G3824=""),"",IF(G3824&lt;='RETRATO 2027'!$K$5,"CONCLUÍDA",IF(F3824&lt;='RETRATO 2027'!$K$5,"EM ANDAMENTO","A INICIAR")))</f>
        <v/>
      </c>
    </row>
    <row r="3825">
      <c r="M3825" s="2">
        <f>IF(C3825="","",IFERROR(INDEX($S$5:$S$304,MATCH(C3825,$R$5:$R$304,0))&amp;"","?"))</f>
        <v/>
      </c>
      <c r="N3825" s="2">
        <f>IF(E3825="","",IF(ISNUMBER(SEARCH("SUBSOLO",E3825)),IFERROR(-VALUE(LEFT(E3825,FIND("º",SUBSTITUTE(E3825,"°","º"))-1)),-1),IF(LEFT(E3825,6)="TÉRREO",0,IFERROR(VALUE(LEFT(E3825,FIND("º",SUBSTITUTE(E3825,"°","º"))-1)),""))))</f>
        <v/>
      </c>
      <c r="O3825" s="2">
        <f>IF(OR(F3825="",G3825=""),"",IF(G3825&lt;='RETRATO 2027'!$K$5,"CONCLUÍDA",IF(F3825&lt;='RETRATO 2027'!$K$5,"EM ANDAMENTO","A INICIAR")))</f>
        <v/>
      </c>
    </row>
    <row r="3826">
      <c r="M3826" s="2">
        <f>IF(C3826="","",IFERROR(INDEX($S$5:$S$304,MATCH(C3826,$R$5:$R$304,0))&amp;"","?"))</f>
        <v/>
      </c>
      <c r="N3826" s="2">
        <f>IF(E3826="","",IF(ISNUMBER(SEARCH("SUBSOLO",E3826)),IFERROR(-VALUE(LEFT(E3826,FIND("º",SUBSTITUTE(E3826,"°","º"))-1)),-1),IF(LEFT(E3826,6)="TÉRREO",0,IFERROR(VALUE(LEFT(E3826,FIND("º",SUBSTITUTE(E3826,"°","º"))-1)),""))))</f>
        <v/>
      </c>
      <c r="O3826" s="2">
        <f>IF(OR(F3826="",G3826=""),"",IF(G3826&lt;='RETRATO 2027'!$K$5,"CONCLUÍDA",IF(F3826&lt;='RETRATO 2027'!$K$5,"EM ANDAMENTO","A INICIAR")))</f>
        <v/>
      </c>
    </row>
    <row r="3827">
      <c r="M3827" s="2">
        <f>IF(C3827="","",IFERROR(INDEX($S$5:$S$304,MATCH(C3827,$R$5:$R$304,0))&amp;"","?"))</f>
        <v/>
      </c>
      <c r="N3827" s="2">
        <f>IF(E3827="","",IF(ISNUMBER(SEARCH("SUBSOLO",E3827)),IFERROR(-VALUE(LEFT(E3827,FIND("º",SUBSTITUTE(E3827,"°","º"))-1)),-1),IF(LEFT(E3827,6)="TÉRREO",0,IFERROR(VALUE(LEFT(E3827,FIND("º",SUBSTITUTE(E3827,"°","º"))-1)),""))))</f>
        <v/>
      </c>
      <c r="O3827" s="2">
        <f>IF(OR(F3827="",G3827=""),"",IF(G3827&lt;='RETRATO 2027'!$K$5,"CONCLUÍDA",IF(F3827&lt;='RETRATO 2027'!$K$5,"EM ANDAMENTO","A INICIAR")))</f>
        <v/>
      </c>
    </row>
    <row r="3828">
      <c r="M3828" s="2">
        <f>IF(C3828="","",IFERROR(INDEX($S$5:$S$304,MATCH(C3828,$R$5:$R$304,0))&amp;"","?"))</f>
        <v/>
      </c>
      <c r="N3828" s="2">
        <f>IF(E3828="","",IF(ISNUMBER(SEARCH("SUBSOLO",E3828)),IFERROR(-VALUE(LEFT(E3828,FIND("º",SUBSTITUTE(E3828,"°","º"))-1)),-1),IF(LEFT(E3828,6)="TÉRREO",0,IFERROR(VALUE(LEFT(E3828,FIND("º",SUBSTITUTE(E3828,"°","º"))-1)),""))))</f>
        <v/>
      </c>
      <c r="O3828" s="2">
        <f>IF(OR(F3828="",G3828=""),"",IF(G3828&lt;='RETRATO 2027'!$K$5,"CONCLUÍDA",IF(F3828&lt;='RETRATO 2027'!$K$5,"EM ANDAMENTO","A INICIAR")))</f>
        <v/>
      </c>
    </row>
    <row r="3829">
      <c r="M3829" s="2">
        <f>IF(C3829="","",IFERROR(INDEX($S$5:$S$304,MATCH(C3829,$R$5:$R$304,0))&amp;"","?"))</f>
        <v/>
      </c>
      <c r="N3829" s="2">
        <f>IF(E3829="","",IF(ISNUMBER(SEARCH("SUBSOLO",E3829)),IFERROR(-VALUE(LEFT(E3829,FIND("º",SUBSTITUTE(E3829,"°","º"))-1)),-1),IF(LEFT(E3829,6)="TÉRREO",0,IFERROR(VALUE(LEFT(E3829,FIND("º",SUBSTITUTE(E3829,"°","º"))-1)),""))))</f>
        <v/>
      </c>
      <c r="O3829" s="2">
        <f>IF(OR(F3829="",G3829=""),"",IF(G3829&lt;='RETRATO 2027'!$K$5,"CONCLUÍDA",IF(F3829&lt;='RETRATO 2027'!$K$5,"EM ANDAMENTO","A INICIAR")))</f>
        <v/>
      </c>
    </row>
    <row r="3830">
      <c r="M3830" s="2">
        <f>IF(C3830="","",IFERROR(INDEX($S$5:$S$304,MATCH(C3830,$R$5:$R$304,0))&amp;"","?"))</f>
        <v/>
      </c>
      <c r="N3830" s="2">
        <f>IF(E3830="","",IF(ISNUMBER(SEARCH("SUBSOLO",E3830)),IFERROR(-VALUE(LEFT(E3830,FIND("º",SUBSTITUTE(E3830,"°","º"))-1)),-1),IF(LEFT(E3830,6)="TÉRREO",0,IFERROR(VALUE(LEFT(E3830,FIND("º",SUBSTITUTE(E3830,"°","º"))-1)),""))))</f>
        <v/>
      </c>
      <c r="O3830" s="2">
        <f>IF(OR(F3830="",G3830=""),"",IF(G3830&lt;='RETRATO 2027'!$K$5,"CONCLUÍDA",IF(F3830&lt;='RETRATO 2027'!$K$5,"EM ANDAMENTO","A INICIAR")))</f>
        <v/>
      </c>
    </row>
    <row r="3831">
      <c r="M3831" s="2">
        <f>IF(C3831="","",IFERROR(INDEX($S$5:$S$304,MATCH(C3831,$R$5:$R$304,0))&amp;"","?"))</f>
        <v/>
      </c>
      <c r="N3831" s="2">
        <f>IF(E3831="","",IF(ISNUMBER(SEARCH("SUBSOLO",E3831)),IFERROR(-VALUE(LEFT(E3831,FIND("º",SUBSTITUTE(E3831,"°","º"))-1)),-1),IF(LEFT(E3831,6)="TÉRREO",0,IFERROR(VALUE(LEFT(E3831,FIND("º",SUBSTITUTE(E3831,"°","º"))-1)),""))))</f>
        <v/>
      </c>
      <c r="O3831" s="2">
        <f>IF(OR(F3831="",G3831=""),"",IF(G3831&lt;='RETRATO 2027'!$K$5,"CONCLUÍDA",IF(F3831&lt;='RETRATO 2027'!$K$5,"EM ANDAMENTO","A INICIAR")))</f>
        <v/>
      </c>
    </row>
    <row r="3832">
      <c r="M3832" s="2">
        <f>IF(C3832="","",IFERROR(INDEX($S$5:$S$304,MATCH(C3832,$R$5:$R$304,0))&amp;"","?"))</f>
        <v/>
      </c>
      <c r="N3832" s="2">
        <f>IF(E3832="","",IF(ISNUMBER(SEARCH("SUBSOLO",E3832)),IFERROR(-VALUE(LEFT(E3832,FIND("º",SUBSTITUTE(E3832,"°","º"))-1)),-1),IF(LEFT(E3832,6)="TÉRREO",0,IFERROR(VALUE(LEFT(E3832,FIND("º",SUBSTITUTE(E3832,"°","º"))-1)),""))))</f>
        <v/>
      </c>
      <c r="O3832" s="2">
        <f>IF(OR(F3832="",G3832=""),"",IF(G3832&lt;='RETRATO 2027'!$K$5,"CONCLUÍDA",IF(F3832&lt;='RETRATO 2027'!$K$5,"EM ANDAMENTO","A INICIAR")))</f>
        <v/>
      </c>
    </row>
    <row r="3833">
      <c r="M3833" s="2">
        <f>IF(C3833="","",IFERROR(INDEX($S$5:$S$304,MATCH(C3833,$R$5:$R$304,0))&amp;"","?"))</f>
        <v/>
      </c>
      <c r="N3833" s="2">
        <f>IF(E3833="","",IF(ISNUMBER(SEARCH("SUBSOLO",E3833)),IFERROR(-VALUE(LEFT(E3833,FIND("º",SUBSTITUTE(E3833,"°","º"))-1)),-1),IF(LEFT(E3833,6)="TÉRREO",0,IFERROR(VALUE(LEFT(E3833,FIND("º",SUBSTITUTE(E3833,"°","º"))-1)),""))))</f>
        <v/>
      </c>
      <c r="O3833" s="2">
        <f>IF(OR(F3833="",G3833=""),"",IF(G3833&lt;='RETRATO 2027'!$K$5,"CONCLUÍDA",IF(F3833&lt;='RETRATO 2027'!$K$5,"EM ANDAMENTO","A INICIAR")))</f>
        <v/>
      </c>
    </row>
    <row r="3834">
      <c r="M3834" s="2">
        <f>IF(C3834="","",IFERROR(INDEX($S$5:$S$304,MATCH(C3834,$R$5:$R$304,0))&amp;"","?"))</f>
        <v/>
      </c>
      <c r="N3834" s="2">
        <f>IF(E3834="","",IF(ISNUMBER(SEARCH("SUBSOLO",E3834)),IFERROR(-VALUE(LEFT(E3834,FIND("º",SUBSTITUTE(E3834,"°","º"))-1)),-1),IF(LEFT(E3834,6)="TÉRREO",0,IFERROR(VALUE(LEFT(E3834,FIND("º",SUBSTITUTE(E3834,"°","º"))-1)),""))))</f>
        <v/>
      </c>
      <c r="O3834" s="2">
        <f>IF(OR(F3834="",G3834=""),"",IF(G3834&lt;='RETRATO 2027'!$K$5,"CONCLUÍDA",IF(F3834&lt;='RETRATO 2027'!$K$5,"EM ANDAMENTO","A INICIAR")))</f>
        <v/>
      </c>
    </row>
    <row r="3835">
      <c r="M3835" s="2">
        <f>IF(C3835="","",IFERROR(INDEX($S$5:$S$304,MATCH(C3835,$R$5:$R$304,0))&amp;"","?"))</f>
        <v/>
      </c>
      <c r="N3835" s="2">
        <f>IF(E3835="","",IF(ISNUMBER(SEARCH("SUBSOLO",E3835)),IFERROR(-VALUE(LEFT(E3835,FIND("º",SUBSTITUTE(E3835,"°","º"))-1)),-1),IF(LEFT(E3835,6)="TÉRREO",0,IFERROR(VALUE(LEFT(E3835,FIND("º",SUBSTITUTE(E3835,"°","º"))-1)),""))))</f>
        <v/>
      </c>
      <c r="O3835" s="2">
        <f>IF(OR(F3835="",G3835=""),"",IF(G3835&lt;='RETRATO 2027'!$K$5,"CONCLUÍDA",IF(F3835&lt;='RETRATO 2027'!$K$5,"EM ANDAMENTO","A INICIAR")))</f>
        <v/>
      </c>
    </row>
    <row r="3836">
      <c r="M3836" s="2">
        <f>IF(C3836="","",IFERROR(INDEX($S$5:$S$304,MATCH(C3836,$R$5:$R$304,0))&amp;"","?"))</f>
        <v/>
      </c>
      <c r="N3836" s="2">
        <f>IF(E3836="","",IF(ISNUMBER(SEARCH("SUBSOLO",E3836)),IFERROR(-VALUE(LEFT(E3836,FIND("º",SUBSTITUTE(E3836,"°","º"))-1)),-1),IF(LEFT(E3836,6)="TÉRREO",0,IFERROR(VALUE(LEFT(E3836,FIND("º",SUBSTITUTE(E3836,"°","º"))-1)),""))))</f>
        <v/>
      </c>
      <c r="O3836" s="2">
        <f>IF(OR(F3836="",G3836=""),"",IF(G3836&lt;='RETRATO 2027'!$K$5,"CONCLUÍDA",IF(F3836&lt;='RETRATO 2027'!$K$5,"EM ANDAMENTO","A INICIAR")))</f>
        <v/>
      </c>
    </row>
    <row r="3837">
      <c r="M3837" s="2">
        <f>IF(C3837="","",IFERROR(INDEX($S$5:$S$304,MATCH(C3837,$R$5:$R$304,0))&amp;"","?"))</f>
        <v/>
      </c>
      <c r="N3837" s="2">
        <f>IF(E3837="","",IF(ISNUMBER(SEARCH("SUBSOLO",E3837)),IFERROR(-VALUE(LEFT(E3837,FIND("º",SUBSTITUTE(E3837,"°","º"))-1)),-1),IF(LEFT(E3837,6)="TÉRREO",0,IFERROR(VALUE(LEFT(E3837,FIND("º",SUBSTITUTE(E3837,"°","º"))-1)),""))))</f>
        <v/>
      </c>
      <c r="O3837" s="2">
        <f>IF(OR(F3837="",G3837=""),"",IF(G3837&lt;='RETRATO 2027'!$K$5,"CONCLUÍDA",IF(F3837&lt;='RETRATO 2027'!$K$5,"EM ANDAMENTO","A INICIAR")))</f>
        <v/>
      </c>
    </row>
    <row r="3838">
      <c r="M3838" s="2">
        <f>IF(C3838="","",IFERROR(INDEX($S$5:$S$304,MATCH(C3838,$R$5:$R$304,0))&amp;"","?"))</f>
        <v/>
      </c>
      <c r="N3838" s="2">
        <f>IF(E3838="","",IF(ISNUMBER(SEARCH("SUBSOLO",E3838)),IFERROR(-VALUE(LEFT(E3838,FIND("º",SUBSTITUTE(E3838,"°","º"))-1)),-1),IF(LEFT(E3838,6)="TÉRREO",0,IFERROR(VALUE(LEFT(E3838,FIND("º",SUBSTITUTE(E3838,"°","º"))-1)),""))))</f>
        <v/>
      </c>
      <c r="O3838" s="2">
        <f>IF(OR(F3838="",G3838=""),"",IF(G3838&lt;='RETRATO 2027'!$K$5,"CONCLUÍDA",IF(F3838&lt;='RETRATO 2027'!$K$5,"EM ANDAMENTO","A INICIAR")))</f>
        <v/>
      </c>
    </row>
    <row r="3839">
      <c r="M3839" s="2">
        <f>IF(C3839="","",IFERROR(INDEX($S$5:$S$304,MATCH(C3839,$R$5:$R$304,0))&amp;"","?"))</f>
        <v/>
      </c>
      <c r="N3839" s="2">
        <f>IF(E3839="","",IF(ISNUMBER(SEARCH("SUBSOLO",E3839)),IFERROR(-VALUE(LEFT(E3839,FIND("º",SUBSTITUTE(E3839,"°","º"))-1)),-1),IF(LEFT(E3839,6)="TÉRREO",0,IFERROR(VALUE(LEFT(E3839,FIND("º",SUBSTITUTE(E3839,"°","º"))-1)),""))))</f>
        <v/>
      </c>
      <c r="O3839" s="2">
        <f>IF(OR(F3839="",G3839=""),"",IF(G3839&lt;='RETRATO 2027'!$K$5,"CONCLUÍDA",IF(F3839&lt;='RETRATO 2027'!$K$5,"EM ANDAMENTO","A INICIAR")))</f>
        <v/>
      </c>
    </row>
    <row r="3840">
      <c r="M3840" s="2">
        <f>IF(C3840="","",IFERROR(INDEX($S$5:$S$304,MATCH(C3840,$R$5:$R$304,0))&amp;"","?"))</f>
        <v/>
      </c>
      <c r="N3840" s="2">
        <f>IF(E3840="","",IF(ISNUMBER(SEARCH("SUBSOLO",E3840)),IFERROR(-VALUE(LEFT(E3840,FIND("º",SUBSTITUTE(E3840,"°","º"))-1)),-1),IF(LEFT(E3840,6)="TÉRREO",0,IFERROR(VALUE(LEFT(E3840,FIND("º",SUBSTITUTE(E3840,"°","º"))-1)),""))))</f>
        <v/>
      </c>
      <c r="O3840" s="2">
        <f>IF(OR(F3840="",G3840=""),"",IF(G3840&lt;='RETRATO 2027'!$K$5,"CONCLUÍDA",IF(F3840&lt;='RETRATO 2027'!$K$5,"EM ANDAMENTO","A INICIAR")))</f>
        <v/>
      </c>
    </row>
    <row r="3841">
      <c r="M3841" s="2">
        <f>IF(C3841="","",IFERROR(INDEX($S$5:$S$304,MATCH(C3841,$R$5:$R$304,0))&amp;"","?"))</f>
        <v/>
      </c>
      <c r="N3841" s="2">
        <f>IF(E3841="","",IF(ISNUMBER(SEARCH("SUBSOLO",E3841)),IFERROR(-VALUE(LEFT(E3841,FIND("º",SUBSTITUTE(E3841,"°","º"))-1)),-1),IF(LEFT(E3841,6)="TÉRREO",0,IFERROR(VALUE(LEFT(E3841,FIND("º",SUBSTITUTE(E3841,"°","º"))-1)),""))))</f>
        <v/>
      </c>
      <c r="O3841" s="2">
        <f>IF(OR(F3841="",G3841=""),"",IF(G3841&lt;='RETRATO 2027'!$K$5,"CONCLUÍDA",IF(F3841&lt;='RETRATO 2027'!$K$5,"EM ANDAMENTO","A INICIAR")))</f>
        <v/>
      </c>
    </row>
    <row r="3842">
      <c r="M3842" s="2">
        <f>IF(C3842="","",IFERROR(INDEX($S$5:$S$304,MATCH(C3842,$R$5:$R$304,0))&amp;"","?"))</f>
        <v/>
      </c>
      <c r="N3842" s="2">
        <f>IF(E3842="","",IF(ISNUMBER(SEARCH("SUBSOLO",E3842)),IFERROR(-VALUE(LEFT(E3842,FIND("º",SUBSTITUTE(E3842,"°","º"))-1)),-1),IF(LEFT(E3842,6)="TÉRREO",0,IFERROR(VALUE(LEFT(E3842,FIND("º",SUBSTITUTE(E3842,"°","º"))-1)),""))))</f>
        <v/>
      </c>
      <c r="O3842" s="2">
        <f>IF(OR(F3842="",G3842=""),"",IF(G3842&lt;='RETRATO 2027'!$K$5,"CONCLUÍDA",IF(F3842&lt;='RETRATO 2027'!$K$5,"EM ANDAMENTO","A INICIAR")))</f>
        <v/>
      </c>
    </row>
    <row r="3843">
      <c r="M3843" s="2">
        <f>IF(C3843="","",IFERROR(INDEX($S$5:$S$304,MATCH(C3843,$R$5:$R$304,0))&amp;"","?"))</f>
        <v/>
      </c>
      <c r="N3843" s="2">
        <f>IF(E3843="","",IF(ISNUMBER(SEARCH("SUBSOLO",E3843)),IFERROR(-VALUE(LEFT(E3843,FIND("º",SUBSTITUTE(E3843,"°","º"))-1)),-1),IF(LEFT(E3843,6)="TÉRREO",0,IFERROR(VALUE(LEFT(E3843,FIND("º",SUBSTITUTE(E3843,"°","º"))-1)),""))))</f>
        <v/>
      </c>
      <c r="O3843" s="2">
        <f>IF(OR(F3843="",G3843=""),"",IF(G3843&lt;='RETRATO 2027'!$K$5,"CONCLUÍDA",IF(F3843&lt;='RETRATO 2027'!$K$5,"EM ANDAMENTO","A INICIAR")))</f>
        <v/>
      </c>
    </row>
    <row r="3844">
      <c r="M3844" s="2">
        <f>IF(C3844="","",IFERROR(INDEX($S$5:$S$304,MATCH(C3844,$R$5:$R$304,0))&amp;"","?"))</f>
        <v/>
      </c>
      <c r="N3844" s="2">
        <f>IF(E3844="","",IF(ISNUMBER(SEARCH("SUBSOLO",E3844)),IFERROR(-VALUE(LEFT(E3844,FIND("º",SUBSTITUTE(E3844,"°","º"))-1)),-1),IF(LEFT(E3844,6)="TÉRREO",0,IFERROR(VALUE(LEFT(E3844,FIND("º",SUBSTITUTE(E3844,"°","º"))-1)),""))))</f>
        <v/>
      </c>
      <c r="O3844" s="2">
        <f>IF(OR(F3844="",G3844=""),"",IF(G3844&lt;='RETRATO 2027'!$K$5,"CONCLUÍDA",IF(F3844&lt;='RETRATO 2027'!$K$5,"EM ANDAMENTO","A INICIAR")))</f>
        <v/>
      </c>
    </row>
    <row r="3845">
      <c r="M3845" s="2">
        <f>IF(C3845="","",IFERROR(INDEX($S$5:$S$304,MATCH(C3845,$R$5:$R$304,0))&amp;"","?"))</f>
        <v/>
      </c>
      <c r="N3845" s="2">
        <f>IF(E3845="","",IF(ISNUMBER(SEARCH("SUBSOLO",E3845)),IFERROR(-VALUE(LEFT(E3845,FIND("º",SUBSTITUTE(E3845,"°","º"))-1)),-1),IF(LEFT(E3845,6)="TÉRREO",0,IFERROR(VALUE(LEFT(E3845,FIND("º",SUBSTITUTE(E3845,"°","º"))-1)),""))))</f>
        <v/>
      </c>
      <c r="O3845" s="2">
        <f>IF(OR(F3845="",G3845=""),"",IF(G3845&lt;='RETRATO 2027'!$K$5,"CONCLUÍDA",IF(F3845&lt;='RETRATO 2027'!$K$5,"EM ANDAMENTO","A INICIAR")))</f>
        <v/>
      </c>
    </row>
    <row r="3846">
      <c r="M3846" s="2">
        <f>IF(C3846="","",IFERROR(INDEX($S$5:$S$304,MATCH(C3846,$R$5:$R$304,0))&amp;"","?"))</f>
        <v/>
      </c>
      <c r="N3846" s="2">
        <f>IF(E3846="","",IF(ISNUMBER(SEARCH("SUBSOLO",E3846)),IFERROR(-VALUE(LEFT(E3846,FIND("º",SUBSTITUTE(E3846,"°","º"))-1)),-1),IF(LEFT(E3846,6)="TÉRREO",0,IFERROR(VALUE(LEFT(E3846,FIND("º",SUBSTITUTE(E3846,"°","º"))-1)),""))))</f>
        <v/>
      </c>
      <c r="O3846" s="2">
        <f>IF(OR(F3846="",G3846=""),"",IF(G3846&lt;='RETRATO 2027'!$K$5,"CONCLUÍDA",IF(F3846&lt;='RETRATO 2027'!$K$5,"EM ANDAMENTO","A INICIAR")))</f>
        <v/>
      </c>
    </row>
    <row r="3847">
      <c r="M3847" s="2">
        <f>IF(C3847="","",IFERROR(INDEX($S$5:$S$304,MATCH(C3847,$R$5:$R$304,0))&amp;"","?"))</f>
        <v/>
      </c>
      <c r="N3847" s="2">
        <f>IF(E3847="","",IF(ISNUMBER(SEARCH("SUBSOLO",E3847)),IFERROR(-VALUE(LEFT(E3847,FIND("º",SUBSTITUTE(E3847,"°","º"))-1)),-1),IF(LEFT(E3847,6)="TÉRREO",0,IFERROR(VALUE(LEFT(E3847,FIND("º",SUBSTITUTE(E3847,"°","º"))-1)),""))))</f>
        <v/>
      </c>
      <c r="O3847" s="2">
        <f>IF(OR(F3847="",G3847=""),"",IF(G3847&lt;='RETRATO 2027'!$K$5,"CONCLUÍDA",IF(F3847&lt;='RETRATO 2027'!$K$5,"EM ANDAMENTO","A INICIAR")))</f>
        <v/>
      </c>
    </row>
    <row r="3848">
      <c r="M3848" s="2">
        <f>IF(C3848="","",IFERROR(INDEX($S$5:$S$304,MATCH(C3848,$R$5:$R$304,0))&amp;"","?"))</f>
        <v/>
      </c>
      <c r="N3848" s="2">
        <f>IF(E3848="","",IF(ISNUMBER(SEARCH("SUBSOLO",E3848)),IFERROR(-VALUE(LEFT(E3848,FIND("º",SUBSTITUTE(E3848,"°","º"))-1)),-1),IF(LEFT(E3848,6)="TÉRREO",0,IFERROR(VALUE(LEFT(E3848,FIND("º",SUBSTITUTE(E3848,"°","º"))-1)),""))))</f>
        <v/>
      </c>
      <c r="O3848" s="2">
        <f>IF(OR(F3848="",G3848=""),"",IF(G3848&lt;='RETRATO 2027'!$K$5,"CONCLUÍDA",IF(F3848&lt;='RETRATO 2027'!$K$5,"EM ANDAMENTO","A INICIAR")))</f>
        <v/>
      </c>
    </row>
    <row r="3849">
      <c r="M3849" s="2">
        <f>IF(C3849="","",IFERROR(INDEX($S$5:$S$304,MATCH(C3849,$R$5:$R$304,0))&amp;"","?"))</f>
        <v/>
      </c>
      <c r="N3849" s="2">
        <f>IF(E3849="","",IF(ISNUMBER(SEARCH("SUBSOLO",E3849)),IFERROR(-VALUE(LEFT(E3849,FIND("º",SUBSTITUTE(E3849,"°","º"))-1)),-1),IF(LEFT(E3849,6)="TÉRREO",0,IFERROR(VALUE(LEFT(E3849,FIND("º",SUBSTITUTE(E3849,"°","º"))-1)),""))))</f>
        <v/>
      </c>
      <c r="O3849" s="2">
        <f>IF(OR(F3849="",G3849=""),"",IF(G3849&lt;='RETRATO 2027'!$K$5,"CONCLUÍDA",IF(F3849&lt;='RETRATO 2027'!$K$5,"EM ANDAMENTO","A INICIAR")))</f>
        <v/>
      </c>
    </row>
    <row r="3850">
      <c r="M3850" s="2">
        <f>IF(C3850="","",IFERROR(INDEX($S$5:$S$304,MATCH(C3850,$R$5:$R$304,0))&amp;"","?"))</f>
        <v/>
      </c>
      <c r="N3850" s="2">
        <f>IF(E3850="","",IF(ISNUMBER(SEARCH("SUBSOLO",E3850)),IFERROR(-VALUE(LEFT(E3850,FIND("º",SUBSTITUTE(E3850,"°","º"))-1)),-1),IF(LEFT(E3850,6)="TÉRREO",0,IFERROR(VALUE(LEFT(E3850,FIND("º",SUBSTITUTE(E3850,"°","º"))-1)),""))))</f>
        <v/>
      </c>
      <c r="O3850" s="2">
        <f>IF(OR(F3850="",G3850=""),"",IF(G3850&lt;='RETRATO 2027'!$K$5,"CONCLUÍDA",IF(F3850&lt;='RETRATO 2027'!$K$5,"EM ANDAMENTO","A INICIAR")))</f>
        <v/>
      </c>
    </row>
    <row r="3851">
      <c r="M3851" s="2">
        <f>IF(C3851="","",IFERROR(INDEX($S$5:$S$304,MATCH(C3851,$R$5:$R$304,0))&amp;"","?"))</f>
        <v/>
      </c>
      <c r="N3851" s="2">
        <f>IF(E3851="","",IF(ISNUMBER(SEARCH("SUBSOLO",E3851)),IFERROR(-VALUE(LEFT(E3851,FIND("º",SUBSTITUTE(E3851,"°","º"))-1)),-1),IF(LEFT(E3851,6)="TÉRREO",0,IFERROR(VALUE(LEFT(E3851,FIND("º",SUBSTITUTE(E3851,"°","º"))-1)),""))))</f>
        <v/>
      </c>
      <c r="O3851" s="2">
        <f>IF(OR(F3851="",G3851=""),"",IF(G3851&lt;='RETRATO 2027'!$K$5,"CONCLUÍDA",IF(F3851&lt;='RETRATO 2027'!$K$5,"EM ANDAMENTO","A INICIAR")))</f>
        <v/>
      </c>
    </row>
    <row r="3852">
      <c r="M3852" s="2">
        <f>IF(C3852="","",IFERROR(INDEX($S$5:$S$304,MATCH(C3852,$R$5:$R$304,0))&amp;"","?"))</f>
        <v/>
      </c>
      <c r="N3852" s="2">
        <f>IF(E3852="","",IF(ISNUMBER(SEARCH("SUBSOLO",E3852)),IFERROR(-VALUE(LEFT(E3852,FIND("º",SUBSTITUTE(E3852,"°","º"))-1)),-1),IF(LEFT(E3852,6)="TÉRREO",0,IFERROR(VALUE(LEFT(E3852,FIND("º",SUBSTITUTE(E3852,"°","º"))-1)),""))))</f>
        <v/>
      </c>
      <c r="O3852" s="2">
        <f>IF(OR(F3852="",G3852=""),"",IF(G3852&lt;='RETRATO 2027'!$K$5,"CONCLUÍDA",IF(F3852&lt;='RETRATO 2027'!$K$5,"EM ANDAMENTO","A INICIAR")))</f>
        <v/>
      </c>
    </row>
    <row r="3853">
      <c r="M3853" s="2">
        <f>IF(C3853="","",IFERROR(INDEX($S$5:$S$304,MATCH(C3853,$R$5:$R$304,0))&amp;"","?"))</f>
        <v/>
      </c>
      <c r="N3853" s="2">
        <f>IF(E3853="","",IF(ISNUMBER(SEARCH("SUBSOLO",E3853)),IFERROR(-VALUE(LEFT(E3853,FIND("º",SUBSTITUTE(E3853,"°","º"))-1)),-1),IF(LEFT(E3853,6)="TÉRREO",0,IFERROR(VALUE(LEFT(E3853,FIND("º",SUBSTITUTE(E3853,"°","º"))-1)),""))))</f>
        <v/>
      </c>
      <c r="O3853" s="2">
        <f>IF(OR(F3853="",G3853=""),"",IF(G3853&lt;='RETRATO 2027'!$K$5,"CONCLUÍDA",IF(F3853&lt;='RETRATO 2027'!$K$5,"EM ANDAMENTO","A INICIAR")))</f>
        <v/>
      </c>
    </row>
    <row r="3854">
      <c r="M3854" s="2">
        <f>IF(C3854="","",IFERROR(INDEX($S$5:$S$304,MATCH(C3854,$R$5:$R$304,0))&amp;"","?"))</f>
        <v/>
      </c>
      <c r="N3854" s="2">
        <f>IF(E3854="","",IF(ISNUMBER(SEARCH("SUBSOLO",E3854)),IFERROR(-VALUE(LEFT(E3854,FIND("º",SUBSTITUTE(E3854,"°","º"))-1)),-1),IF(LEFT(E3854,6)="TÉRREO",0,IFERROR(VALUE(LEFT(E3854,FIND("º",SUBSTITUTE(E3854,"°","º"))-1)),""))))</f>
        <v/>
      </c>
      <c r="O3854" s="2">
        <f>IF(OR(F3854="",G3854=""),"",IF(G3854&lt;='RETRATO 2027'!$K$5,"CONCLUÍDA",IF(F3854&lt;='RETRATO 2027'!$K$5,"EM ANDAMENTO","A INICIAR")))</f>
        <v/>
      </c>
    </row>
    <row r="3855">
      <c r="M3855" s="2">
        <f>IF(C3855="","",IFERROR(INDEX($S$5:$S$304,MATCH(C3855,$R$5:$R$304,0))&amp;"","?"))</f>
        <v/>
      </c>
      <c r="N3855" s="2">
        <f>IF(E3855="","",IF(ISNUMBER(SEARCH("SUBSOLO",E3855)),IFERROR(-VALUE(LEFT(E3855,FIND("º",SUBSTITUTE(E3855,"°","º"))-1)),-1),IF(LEFT(E3855,6)="TÉRREO",0,IFERROR(VALUE(LEFT(E3855,FIND("º",SUBSTITUTE(E3855,"°","º"))-1)),""))))</f>
        <v/>
      </c>
      <c r="O3855" s="2">
        <f>IF(OR(F3855="",G3855=""),"",IF(G3855&lt;='RETRATO 2027'!$K$5,"CONCLUÍDA",IF(F3855&lt;='RETRATO 2027'!$K$5,"EM ANDAMENTO","A INICIAR")))</f>
        <v/>
      </c>
    </row>
    <row r="3856">
      <c r="M3856" s="2">
        <f>IF(C3856="","",IFERROR(INDEX($S$5:$S$304,MATCH(C3856,$R$5:$R$304,0))&amp;"","?"))</f>
        <v/>
      </c>
      <c r="N3856" s="2">
        <f>IF(E3856="","",IF(ISNUMBER(SEARCH("SUBSOLO",E3856)),IFERROR(-VALUE(LEFT(E3856,FIND("º",SUBSTITUTE(E3856,"°","º"))-1)),-1),IF(LEFT(E3856,6)="TÉRREO",0,IFERROR(VALUE(LEFT(E3856,FIND("º",SUBSTITUTE(E3856,"°","º"))-1)),""))))</f>
        <v/>
      </c>
      <c r="O3856" s="2">
        <f>IF(OR(F3856="",G3856=""),"",IF(G3856&lt;='RETRATO 2027'!$K$5,"CONCLUÍDA",IF(F3856&lt;='RETRATO 2027'!$K$5,"EM ANDAMENTO","A INICIAR")))</f>
        <v/>
      </c>
    </row>
    <row r="3857">
      <c r="M3857" s="2">
        <f>IF(C3857="","",IFERROR(INDEX($S$5:$S$304,MATCH(C3857,$R$5:$R$304,0))&amp;"","?"))</f>
        <v/>
      </c>
      <c r="N3857" s="2">
        <f>IF(E3857="","",IF(ISNUMBER(SEARCH("SUBSOLO",E3857)),IFERROR(-VALUE(LEFT(E3857,FIND("º",SUBSTITUTE(E3857,"°","º"))-1)),-1),IF(LEFT(E3857,6)="TÉRREO",0,IFERROR(VALUE(LEFT(E3857,FIND("º",SUBSTITUTE(E3857,"°","º"))-1)),""))))</f>
        <v/>
      </c>
      <c r="O3857" s="2">
        <f>IF(OR(F3857="",G3857=""),"",IF(G3857&lt;='RETRATO 2027'!$K$5,"CONCLUÍDA",IF(F3857&lt;='RETRATO 2027'!$K$5,"EM ANDAMENTO","A INICIAR")))</f>
        <v/>
      </c>
    </row>
    <row r="3858">
      <c r="M3858" s="2">
        <f>IF(C3858="","",IFERROR(INDEX($S$5:$S$304,MATCH(C3858,$R$5:$R$304,0))&amp;"","?"))</f>
        <v/>
      </c>
      <c r="N3858" s="2">
        <f>IF(E3858="","",IF(ISNUMBER(SEARCH("SUBSOLO",E3858)),IFERROR(-VALUE(LEFT(E3858,FIND("º",SUBSTITUTE(E3858,"°","º"))-1)),-1),IF(LEFT(E3858,6)="TÉRREO",0,IFERROR(VALUE(LEFT(E3858,FIND("º",SUBSTITUTE(E3858,"°","º"))-1)),""))))</f>
        <v/>
      </c>
      <c r="O3858" s="2">
        <f>IF(OR(F3858="",G3858=""),"",IF(G3858&lt;='RETRATO 2027'!$K$5,"CONCLUÍDA",IF(F3858&lt;='RETRATO 2027'!$K$5,"EM ANDAMENTO","A INICIAR")))</f>
        <v/>
      </c>
    </row>
    <row r="3859">
      <c r="M3859" s="2">
        <f>IF(C3859="","",IFERROR(INDEX($S$5:$S$304,MATCH(C3859,$R$5:$R$304,0))&amp;"","?"))</f>
        <v/>
      </c>
      <c r="N3859" s="2">
        <f>IF(E3859="","",IF(ISNUMBER(SEARCH("SUBSOLO",E3859)),IFERROR(-VALUE(LEFT(E3859,FIND("º",SUBSTITUTE(E3859,"°","º"))-1)),-1),IF(LEFT(E3859,6)="TÉRREO",0,IFERROR(VALUE(LEFT(E3859,FIND("º",SUBSTITUTE(E3859,"°","º"))-1)),""))))</f>
        <v/>
      </c>
      <c r="O3859" s="2">
        <f>IF(OR(F3859="",G3859=""),"",IF(G3859&lt;='RETRATO 2027'!$K$5,"CONCLUÍDA",IF(F3859&lt;='RETRATO 2027'!$K$5,"EM ANDAMENTO","A INICIAR")))</f>
        <v/>
      </c>
    </row>
    <row r="3860">
      <c r="M3860" s="2">
        <f>IF(C3860="","",IFERROR(INDEX($S$5:$S$304,MATCH(C3860,$R$5:$R$304,0))&amp;"","?"))</f>
        <v/>
      </c>
      <c r="N3860" s="2">
        <f>IF(E3860="","",IF(ISNUMBER(SEARCH("SUBSOLO",E3860)),IFERROR(-VALUE(LEFT(E3860,FIND("º",SUBSTITUTE(E3860,"°","º"))-1)),-1),IF(LEFT(E3860,6)="TÉRREO",0,IFERROR(VALUE(LEFT(E3860,FIND("º",SUBSTITUTE(E3860,"°","º"))-1)),""))))</f>
        <v/>
      </c>
      <c r="O3860" s="2">
        <f>IF(OR(F3860="",G3860=""),"",IF(G3860&lt;='RETRATO 2027'!$K$5,"CONCLUÍDA",IF(F3860&lt;='RETRATO 2027'!$K$5,"EM ANDAMENTO","A INICIAR")))</f>
        <v/>
      </c>
    </row>
    <row r="3861">
      <c r="M3861" s="2">
        <f>IF(C3861="","",IFERROR(INDEX($S$5:$S$304,MATCH(C3861,$R$5:$R$304,0))&amp;"","?"))</f>
        <v/>
      </c>
      <c r="N3861" s="2">
        <f>IF(E3861="","",IF(ISNUMBER(SEARCH("SUBSOLO",E3861)),IFERROR(-VALUE(LEFT(E3861,FIND("º",SUBSTITUTE(E3861,"°","º"))-1)),-1),IF(LEFT(E3861,6)="TÉRREO",0,IFERROR(VALUE(LEFT(E3861,FIND("º",SUBSTITUTE(E3861,"°","º"))-1)),""))))</f>
        <v/>
      </c>
      <c r="O3861" s="2">
        <f>IF(OR(F3861="",G3861=""),"",IF(G3861&lt;='RETRATO 2027'!$K$5,"CONCLUÍDA",IF(F3861&lt;='RETRATO 2027'!$K$5,"EM ANDAMENTO","A INICIAR")))</f>
        <v/>
      </c>
    </row>
    <row r="3862">
      <c r="M3862" s="2">
        <f>IF(C3862="","",IFERROR(INDEX($S$5:$S$304,MATCH(C3862,$R$5:$R$304,0))&amp;"","?"))</f>
        <v/>
      </c>
      <c r="N3862" s="2">
        <f>IF(E3862="","",IF(ISNUMBER(SEARCH("SUBSOLO",E3862)),IFERROR(-VALUE(LEFT(E3862,FIND("º",SUBSTITUTE(E3862,"°","º"))-1)),-1),IF(LEFT(E3862,6)="TÉRREO",0,IFERROR(VALUE(LEFT(E3862,FIND("º",SUBSTITUTE(E3862,"°","º"))-1)),""))))</f>
        <v/>
      </c>
      <c r="O3862" s="2">
        <f>IF(OR(F3862="",G3862=""),"",IF(G3862&lt;='RETRATO 2027'!$K$5,"CONCLUÍDA",IF(F3862&lt;='RETRATO 2027'!$K$5,"EM ANDAMENTO","A INICIAR")))</f>
        <v/>
      </c>
    </row>
    <row r="3863">
      <c r="M3863" s="2">
        <f>IF(C3863="","",IFERROR(INDEX($S$5:$S$304,MATCH(C3863,$R$5:$R$304,0))&amp;"","?"))</f>
        <v/>
      </c>
      <c r="N3863" s="2">
        <f>IF(E3863="","",IF(ISNUMBER(SEARCH("SUBSOLO",E3863)),IFERROR(-VALUE(LEFT(E3863,FIND("º",SUBSTITUTE(E3863,"°","º"))-1)),-1),IF(LEFT(E3863,6)="TÉRREO",0,IFERROR(VALUE(LEFT(E3863,FIND("º",SUBSTITUTE(E3863,"°","º"))-1)),""))))</f>
        <v/>
      </c>
      <c r="O3863" s="2">
        <f>IF(OR(F3863="",G3863=""),"",IF(G3863&lt;='RETRATO 2027'!$K$5,"CONCLUÍDA",IF(F3863&lt;='RETRATO 2027'!$K$5,"EM ANDAMENTO","A INICIAR")))</f>
        <v/>
      </c>
    </row>
    <row r="3864">
      <c r="M3864" s="2">
        <f>IF(C3864="","",IFERROR(INDEX($S$5:$S$304,MATCH(C3864,$R$5:$R$304,0))&amp;"","?"))</f>
        <v/>
      </c>
      <c r="N3864" s="2">
        <f>IF(E3864="","",IF(ISNUMBER(SEARCH("SUBSOLO",E3864)),IFERROR(-VALUE(LEFT(E3864,FIND("º",SUBSTITUTE(E3864,"°","º"))-1)),-1),IF(LEFT(E3864,6)="TÉRREO",0,IFERROR(VALUE(LEFT(E3864,FIND("º",SUBSTITUTE(E3864,"°","º"))-1)),""))))</f>
        <v/>
      </c>
      <c r="O3864" s="2">
        <f>IF(OR(F3864="",G3864=""),"",IF(G3864&lt;='RETRATO 2027'!$K$5,"CONCLUÍDA",IF(F3864&lt;='RETRATO 2027'!$K$5,"EM ANDAMENTO","A INICIAR")))</f>
        <v/>
      </c>
    </row>
    <row r="3865">
      <c r="M3865" s="2">
        <f>IF(C3865="","",IFERROR(INDEX($S$5:$S$304,MATCH(C3865,$R$5:$R$304,0))&amp;"","?"))</f>
        <v/>
      </c>
      <c r="N3865" s="2">
        <f>IF(E3865="","",IF(ISNUMBER(SEARCH("SUBSOLO",E3865)),IFERROR(-VALUE(LEFT(E3865,FIND("º",SUBSTITUTE(E3865,"°","º"))-1)),-1),IF(LEFT(E3865,6)="TÉRREO",0,IFERROR(VALUE(LEFT(E3865,FIND("º",SUBSTITUTE(E3865,"°","º"))-1)),""))))</f>
        <v/>
      </c>
      <c r="O3865" s="2">
        <f>IF(OR(F3865="",G3865=""),"",IF(G3865&lt;='RETRATO 2027'!$K$5,"CONCLUÍDA",IF(F3865&lt;='RETRATO 2027'!$K$5,"EM ANDAMENTO","A INICIAR")))</f>
        <v/>
      </c>
    </row>
    <row r="3866">
      <c r="M3866" s="2">
        <f>IF(C3866="","",IFERROR(INDEX($S$5:$S$304,MATCH(C3866,$R$5:$R$304,0))&amp;"","?"))</f>
        <v/>
      </c>
      <c r="N3866" s="2">
        <f>IF(E3866="","",IF(ISNUMBER(SEARCH("SUBSOLO",E3866)),IFERROR(-VALUE(LEFT(E3866,FIND("º",SUBSTITUTE(E3866,"°","º"))-1)),-1),IF(LEFT(E3866,6)="TÉRREO",0,IFERROR(VALUE(LEFT(E3866,FIND("º",SUBSTITUTE(E3866,"°","º"))-1)),""))))</f>
        <v/>
      </c>
      <c r="O3866" s="2">
        <f>IF(OR(F3866="",G3866=""),"",IF(G3866&lt;='RETRATO 2027'!$K$5,"CONCLUÍDA",IF(F3866&lt;='RETRATO 2027'!$K$5,"EM ANDAMENTO","A INICIAR")))</f>
        <v/>
      </c>
    </row>
    <row r="3867">
      <c r="M3867" s="2">
        <f>IF(C3867="","",IFERROR(INDEX($S$5:$S$304,MATCH(C3867,$R$5:$R$304,0))&amp;"","?"))</f>
        <v/>
      </c>
      <c r="N3867" s="2">
        <f>IF(E3867="","",IF(ISNUMBER(SEARCH("SUBSOLO",E3867)),IFERROR(-VALUE(LEFT(E3867,FIND("º",SUBSTITUTE(E3867,"°","º"))-1)),-1),IF(LEFT(E3867,6)="TÉRREO",0,IFERROR(VALUE(LEFT(E3867,FIND("º",SUBSTITUTE(E3867,"°","º"))-1)),""))))</f>
        <v/>
      </c>
      <c r="O3867" s="2">
        <f>IF(OR(F3867="",G3867=""),"",IF(G3867&lt;='RETRATO 2027'!$K$5,"CONCLUÍDA",IF(F3867&lt;='RETRATO 2027'!$K$5,"EM ANDAMENTO","A INICIAR")))</f>
        <v/>
      </c>
    </row>
    <row r="3868">
      <c r="M3868" s="2">
        <f>IF(C3868="","",IFERROR(INDEX($S$5:$S$304,MATCH(C3868,$R$5:$R$304,0))&amp;"","?"))</f>
        <v/>
      </c>
      <c r="N3868" s="2">
        <f>IF(E3868="","",IF(ISNUMBER(SEARCH("SUBSOLO",E3868)),IFERROR(-VALUE(LEFT(E3868,FIND("º",SUBSTITUTE(E3868,"°","º"))-1)),-1),IF(LEFT(E3868,6)="TÉRREO",0,IFERROR(VALUE(LEFT(E3868,FIND("º",SUBSTITUTE(E3868,"°","º"))-1)),""))))</f>
        <v/>
      </c>
      <c r="O3868" s="2">
        <f>IF(OR(F3868="",G3868=""),"",IF(G3868&lt;='RETRATO 2027'!$K$5,"CONCLUÍDA",IF(F3868&lt;='RETRATO 2027'!$K$5,"EM ANDAMENTO","A INICIAR")))</f>
        <v/>
      </c>
    </row>
    <row r="3869">
      <c r="M3869" s="2">
        <f>IF(C3869="","",IFERROR(INDEX($S$5:$S$304,MATCH(C3869,$R$5:$R$304,0))&amp;"","?"))</f>
        <v/>
      </c>
      <c r="N3869" s="2">
        <f>IF(E3869="","",IF(ISNUMBER(SEARCH("SUBSOLO",E3869)),IFERROR(-VALUE(LEFT(E3869,FIND("º",SUBSTITUTE(E3869,"°","º"))-1)),-1),IF(LEFT(E3869,6)="TÉRREO",0,IFERROR(VALUE(LEFT(E3869,FIND("º",SUBSTITUTE(E3869,"°","º"))-1)),""))))</f>
        <v/>
      </c>
      <c r="O3869" s="2">
        <f>IF(OR(F3869="",G3869=""),"",IF(G3869&lt;='RETRATO 2027'!$K$5,"CONCLUÍDA",IF(F3869&lt;='RETRATO 2027'!$K$5,"EM ANDAMENTO","A INICIAR")))</f>
        <v/>
      </c>
    </row>
    <row r="3870">
      <c r="M3870" s="2">
        <f>IF(C3870="","",IFERROR(INDEX($S$5:$S$304,MATCH(C3870,$R$5:$R$304,0))&amp;"","?"))</f>
        <v/>
      </c>
      <c r="N3870" s="2">
        <f>IF(E3870="","",IF(ISNUMBER(SEARCH("SUBSOLO",E3870)),IFERROR(-VALUE(LEFT(E3870,FIND("º",SUBSTITUTE(E3870,"°","º"))-1)),-1),IF(LEFT(E3870,6)="TÉRREO",0,IFERROR(VALUE(LEFT(E3870,FIND("º",SUBSTITUTE(E3870,"°","º"))-1)),""))))</f>
        <v/>
      </c>
      <c r="O3870" s="2">
        <f>IF(OR(F3870="",G3870=""),"",IF(G3870&lt;='RETRATO 2027'!$K$5,"CONCLUÍDA",IF(F3870&lt;='RETRATO 2027'!$K$5,"EM ANDAMENTO","A INICIAR")))</f>
        <v/>
      </c>
    </row>
    <row r="3871">
      <c r="M3871" s="2">
        <f>IF(C3871="","",IFERROR(INDEX($S$5:$S$304,MATCH(C3871,$R$5:$R$304,0))&amp;"","?"))</f>
        <v/>
      </c>
      <c r="N3871" s="2">
        <f>IF(E3871="","",IF(ISNUMBER(SEARCH("SUBSOLO",E3871)),IFERROR(-VALUE(LEFT(E3871,FIND("º",SUBSTITUTE(E3871,"°","º"))-1)),-1),IF(LEFT(E3871,6)="TÉRREO",0,IFERROR(VALUE(LEFT(E3871,FIND("º",SUBSTITUTE(E3871,"°","º"))-1)),""))))</f>
        <v/>
      </c>
      <c r="O3871" s="2">
        <f>IF(OR(F3871="",G3871=""),"",IF(G3871&lt;='RETRATO 2027'!$K$5,"CONCLUÍDA",IF(F3871&lt;='RETRATO 2027'!$K$5,"EM ANDAMENTO","A INICIAR")))</f>
        <v/>
      </c>
    </row>
    <row r="3872">
      <c r="M3872" s="2">
        <f>IF(C3872="","",IFERROR(INDEX($S$5:$S$304,MATCH(C3872,$R$5:$R$304,0))&amp;"","?"))</f>
        <v/>
      </c>
      <c r="N3872" s="2">
        <f>IF(E3872="","",IF(ISNUMBER(SEARCH("SUBSOLO",E3872)),IFERROR(-VALUE(LEFT(E3872,FIND("º",SUBSTITUTE(E3872,"°","º"))-1)),-1),IF(LEFT(E3872,6)="TÉRREO",0,IFERROR(VALUE(LEFT(E3872,FIND("º",SUBSTITUTE(E3872,"°","º"))-1)),""))))</f>
        <v/>
      </c>
      <c r="O3872" s="2">
        <f>IF(OR(F3872="",G3872=""),"",IF(G3872&lt;='RETRATO 2027'!$K$5,"CONCLUÍDA",IF(F3872&lt;='RETRATO 2027'!$K$5,"EM ANDAMENTO","A INICIAR")))</f>
        <v/>
      </c>
    </row>
    <row r="3873">
      <c r="M3873" s="2">
        <f>IF(C3873="","",IFERROR(INDEX($S$5:$S$304,MATCH(C3873,$R$5:$R$304,0))&amp;"","?"))</f>
        <v/>
      </c>
      <c r="N3873" s="2">
        <f>IF(E3873="","",IF(ISNUMBER(SEARCH("SUBSOLO",E3873)),IFERROR(-VALUE(LEFT(E3873,FIND("º",SUBSTITUTE(E3873,"°","º"))-1)),-1),IF(LEFT(E3873,6)="TÉRREO",0,IFERROR(VALUE(LEFT(E3873,FIND("º",SUBSTITUTE(E3873,"°","º"))-1)),""))))</f>
        <v/>
      </c>
      <c r="O3873" s="2">
        <f>IF(OR(F3873="",G3873=""),"",IF(G3873&lt;='RETRATO 2027'!$K$5,"CONCLUÍDA",IF(F3873&lt;='RETRATO 2027'!$K$5,"EM ANDAMENTO","A INICIAR")))</f>
        <v/>
      </c>
    </row>
    <row r="3874">
      <c r="M3874" s="2">
        <f>IF(C3874="","",IFERROR(INDEX($S$5:$S$304,MATCH(C3874,$R$5:$R$304,0))&amp;"","?"))</f>
        <v/>
      </c>
      <c r="N3874" s="2">
        <f>IF(E3874="","",IF(ISNUMBER(SEARCH("SUBSOLO",E3874)),IFERROR(-VALUE(LEFT(E3874,FIND("º",SUBSTITUTE(E3874,"°","º"))-1)),-1),IF(LEFT(E3874,6)="TÉRREO",0,IFERROR(VALUE(LEFT(E3874,FIND("º",SUBSTITUTE(E3874,"°","º"))-1)),""))))</f>
        <v/>
      </c>
      <c r="O3874" s="2">
        <f>IF(OR(F3874="",G3874=""),"",IF(G3874&lt;='RETRATO 2027'!$K$5,"CONCLUÍDA",IF(F3874&lt;='RETRATO 2027'!$K$5,"EM ANDAMENTO","A INICIAR")))</f>
        <v/>
      </c>
    </row>
    <row r="3875">
      <c r="M3875" s="2">
        <f>IF(C3875="","",IFERROR(INDEX($S$5:$S$304,MATCH(C3875,$R$5:$R$304,0))&amp;"","?"))</f>
        <v/>
      </c>
      <c r="N3875" s="2">
        <f>IF(E3875="","",IF(ISNUMBER(SEARCH("SUBSOLO",E3875)),IFERROR(-VALUE(LEFT(E3875,FIND("º",SUBSTITUTE(E3875,"°","º"))-1)),-1),IF(LEFT(E3875,6)="TÉRREO",0,IFERROR(VALUE(LEFT(E3875,FIND("º",SUBSTITUTE(E3875,"°","º"))-1)),""))))</f>
        <v/>
      </c>
      <c r="O3875" s="2">
        <f>IF(OR(F3875="",G3875=""),"",IF(G3875&lt;='RETRATO 2027'!$K$5,"CONCLUÍDA",IF(F3875&lt;='RETRATO 2027'!$K$5,"EM ANDAMENTO","A INICIAR")))</f>
        <v/>
      </c>
    </row>
    <row r="3876">
      <c r="M3876" s="2">
        <f>IF(C3876="","",IFERROR(INDEX($S$5:$S$304,MATCH(C3876,$R$5:$R$304,0))&amp;"","?"))</f>
        <v/>
      </c>
      <c r="N3876" s="2">
        <f>IF(E3876="","",IF(ISNUMBER(SEARCH("SUBSOLO",E3876)),IFERROR(-VALUE(LEFT(E3876,FIND("º",SUBSTITUTE(E3876,"°","º"))-1)),-1),IF(LEFT(E3876,6)="TÉRREO",0,IFERROR(VALUE(LEFT(E3876,FIND("º",SUBSTITUTE(E3876,"°","º"))-1)),""))))</f>
        <v/>
      </c>
      <c r="O3876" s="2">
        <f>IF(OR(F3876="",G3876=""),"",IF(G3876&lt;='RETRATO 2027'!$K$5,"CONCLUÍDA",IF(F3876&lt;='RETRATO 2027'!$K$5,"EM ANDAMENTO","A INICIAR")))</f>
        <v/>
      </c>
    </row>
    <row r="3877">
      <c r="M3877" s="2">
        <f>IF(C3877="","",IFERROR(INDEX($S$5:$S$304,MATCH(C3877,$R$5:$R$304,0))&amp;"","?"))</f>
        <v/>
      </c>
      <c r="N3877" s="2">
        <f>IF(E3877="","",IF(ISNUMBER(SEARCH("SUBSOLO",E3877)),IFERROR(-VALUE(LEFT(E3877,FIND("º",SUBSTITUTE(E3877,"°","º"))-1)),-1),IF(LEFT(E3877,6)="TÉRREO",0,IFERROR(VALUE(LEFT(E3877,FIND("º",SUBSTITUTE(E3877,"°","º"))-1)),""))))</f>
        <v/>
      </c>
      <c r="O3877" s="2">
        <f>IF(OR(F3877="",G3877=""),"",IF(G3877&lt;='RETRATO 2027'!$K$5,"CONCLUÍDA",IF(F3877&lt;='RETRATO 2027'!$K$5,"EM ANDAMENTO","A INICIAR")))</f>
        <v/>
      </c>
    </row>
    <row r="3878">
      <c r="M3878" s="2">
        <f>IF(C3878="","",IFERROR(INDEX($S$5:$S$304,MATCH(C3878,$R$5:$R$304,0))&amp;"","?"))</f>
        <v/>
      </c>
      <c r="N3878" s="2">
        <f>IF(E3878="","",IF(ISNUMBER(SEARCH("SUBSOLO",E3878)),IFERROR(-VALUE(LEFT(E3878,FIND("º",SUBSTITUTE(E3878,"°","º"))-1)),-1),IF(LEFT(E3878,6)="TÉRREO",0,IFERROR(VALUE(LEFT(E3878,FIND("º",SUBSTITUTE(E3878,"°","º"))-1)),""))))</f>
        <v/>
      </c>
      <c r="O3878" s="2">
        <f>IF(OR(F3878="",G3878=""),"",IF(G3878&lt;='RETRATO 2027'!$K$5,"CONCLUÍDA",IF(F3878&lt;='RETRATO 2027'!$K$5,"EM ANDAMENTO","A INICIAR")))</f>
        <v/>
      </c>
    </row>
    <row r="3879">
      <c r="M3879" s="2">
        <f>IF(C3879="","",IFERROR(INDEX($S$5:$S$304,MATCH(C3879,$R$5:$R$304,0))&amp;"","?"))</f>
        <v/>
      </c>
      <c r="N3879" s="2">
        <f>IF(E3879="","",IF(ISNUMBER(SEARCH("SUBSOLO",E3879)),IFERROR(-VALUE(LEFT(E3879,FIND("º",SUBSTITUTE(E3879,"°","º"))-1)),-1),IF(LEFT(E3879,6)="TÉRREO",0,IFERROR(VALUE(LEFT(E3879,FIND("º",SUBSTITUTE(E3879,"°","º"))-1)),""))))</f>
        <v/>
      </c>
      <c r="O3879" s="2">
        <f>IF(OR(F3879="",G3879=""),"",IF(G3879&lt;='RETRATO 2027'!$K$5,"CONCLUÍDA",IF(F3879&lt;='RETRATO 2027'!$K$5,"EM ANDAMENTO","A INICIAR")))</f>
        <v/>
      </c>
    </row>
    <row r="3880">
      <c r="M3880" s="2">
        <f>IF(C3880="","",IFERROR(INDEX($S$5:$S$304,MATCH(C3880,$R$5:$R$304,0))&amp;"","?"))</f>
        <v/>
      </c>
      <c r="N3880" s="2">
        <f>IF(E3880="","",IF(ISNUMBER(SEARCH("SUBSOLO",E3880)),IFERROR(-VALUE(LEFT(E3880,FIND("º",SUBSTITUTE(E3880,"°","º"))-1)),-1),IF(LEFT(E3880,6)="TÉRREO",0,IFERROR(VALUE(LEFT(E3880,FIND("º",SUBSTITUTE(E3880,"°","º"))-1)),""))))</f>
        <v/>
      </c>
      <c r="O3880" s="2">
        <f>IF(OR(F3880="",G3880=""),"",IF(G3880&lt;='RETRATO 2027'!$K$5,"CONCLUÍDA",IF(F3880&lt;='RETRATO 2027'!$K$5,"EM ANDAMENTO","A INICIAR")))</f>
        <v/>
      </c>
    </row>
    <row r="3881">
      <c r="M3881" s="2">
        <f>IF(C3881="","",IFERROR(INDEX($S$5:$S$304,MATCH(C3881,$R$5:$R$304,0))&amp;"","?"))</f>
        <v/>
      </c>
      <c r="N3881" s="2">
        <f>IF(E3881="","",IF(ISNUMBER(SEARCH("SUBSOLO",E3881)),IFERROR(-VALUE(LEFT(E3881,FIND("º",SUBSTITUTE(E3881,"°","º"))-1)),-1),IF(LEFT(E3881,6)="TÉRREO",0,IFERROR(VALUE(LEFT(E3881,FIND("º",SUBSTITUTE(E3881,"°","º"))-1)),""))))</f>
        <v/>
      </c>
      <c r="O3881" s="2">
        <f>IF(OR(F3881="",G3881=""),"",IF(G3881&lt;='RETRATO 2027'!$K$5,"CONCLUÍDA",IF(F3881&lt;='RETRATO 2027'!$K$5,"EM ANDAMENTO","A INICIAR")))</f>
        <v/>
      </c>
    </row>
    <row r="3882">
      <c r="M3882" s="2">
        <f>IF(C3882="","",IFERROR(INDEX($S$5:$S$304,MATCH(C3882,$R$5:$R$304,0))&amp;"","?"))</f>
        <v/>
      </c>
      <c r="N3882" s="2">
        <f>IF(E3882="","",IF(ISNUMBER(SEARCH("SUBSOLO",E3882)),IFERROR(-VALUE(LEFT(E3882,FIND("º",SUBSTITUTE(E3882,"°","º"))-1)),-1),IF(LEFT(E3882,6)="TÉRREO",0,IFERROR(VALUE(LEFT(E3882,FIND("º",SUBSTITUTE(E3882,"°","º"))-1)),""))))</f>
        <v/>
      </c>
      <c r="O3882" s="2">
        <f>IF(OR(F3882="",G3882=""),"",IF(G3882&lt;='RETRATO 2027'!$K$5,"CONCLUÍDA",IF(F3882&lt;='RETRATO 2027'!$K$5,"EM ANDAMENTO","A INICIAR")))</f>
        <v/>
      </c>
    </row>
    <row r="3883">
      <c r="M3883" s="2">
        <f>IF(C3883="","",IFERROR(INDEX($S$5:$S$304,MATCH(C3883,$R$5:$R$304,0))&amp;"","?"))</f>
        <v/>
      </c>
      <c r="N3883" s="2">
        <f>IF(E3883="","",IF(ISNUMBER(SEARCH("SUBSOLO",E3883)),IFERROR(-VALUE(LEFT(E3883,FIND("º",SUBSTITUTE(E3883,"°","º"))-1)),-1),IF(LEFT(E3883,6)="TÉRREO",0,IFERROR(VALUE(LEFT(E3883,FIND("º",SUBSTITUTE(E3883,"°","º"))-1)),""))))</f>
        <v/>
      </c>
      <c r="O3883" s="2">
        <f>IF(OR(F3883="",G3883=""),"",IF(G3883&lt;='RETRATO 2027'!$K$5,"CONCLUÍDA",IF(F3883&lt;='RETRATO 2027'!$K$5,"EM ANDAMENTO","A INICIAR")))</f>
        <v/>
      </c>
    </row>
    <row r="3884">
      <c r="M3884" s="2">
        <f>IF(C3884="","",IFERROR(INDEX($S$5:$S$304,MATCH(C3884,$R$5:$R$304,0))&amp;"","?"))</f>
        <v/>
      </c>
      <c r="N3884" s="2">
        <f>IF(E3884="","",IF(ISNUMBER(SEARCH("SUBSOLO",E3884)),IFERROR(-VALUE(LEFT(E3884,FIND("º",SUBSTITUTE(E3884,"°","º"))-1)),-1),IF(LEFT(E3884,6)="TÉRREO",0,IFERROR(VALUE(LEFT(E3884,FIND("º",SUBSTITUTE(E3884,"°","º"))-1)),""))))</f>
        <v/>
      </c>
      <c r="O3884" s="2">
        <f>IF(OR(F3884="",G3884=""),"",IF(G3884&lt;='RETRATO 2027'!$K$5,"CONCLUÍDA",IF(F3884&lt;='RETRATO 2027'!$K$5,"EM ANDAMENTO","A INICIAR")))</f>
        <v/>
      </c>
    </row>
    <row r="3885">
      <c r="M3885" s="2">
        <f>IF(C3885="","",IFERROR(INDEX($S$5:$S$304,MATCH(C3885,$R$5:$R$304,0))&amp;"","?"))</f>
        <v/>
      </c>
      <c r="N3885" s="2">
        <f>IF(E3885="","",IF(ISNUMBER(SEARCH("SUBSOLO",E3885)),IFERROR(-VALUE(LEFT(E3885,FIND("º",SUBSTITUTE(E3885,"°","º"))-1)),-1),IF(LEFT(E3885,6)="TÉRREO",0,IFERROR(VALUE(LEFT(E3885,FIND("º",SUBSTITUTE(E3885,"°","º"))-1)),""))))</f>
        <v/>
      </c>
      <c r="O3885" s="2">
        <f>IF(OR(F3885="",G3885=""),"",IF(G3885&lt;='RETRATO 2027'!$K$5,"CONCLUÍDA",IF(F3885&lt;='RETRATO 2027'!$K$5,"EM ANDAMENTO","A INICIAR")))</f>
        <v/>
      </c>
    </row>
    <row r="3886">
      <c r="M3886" s="2">
        <f>IF(C3886="","",IFERROR(INDEX($S$5:$S$304,MATCH(C3886,$R$5:$R$304,0))&amp;"","?"))</f>
        <v/>
      </c>
      <c r="N3886" s="2">
        <f>IF(E3886="","",IF(ISNUMBER(SEARCH("SUBSOLO",E3886)),IFERROR(-VALUE(LEFT(E3886,FIND("º",SUBSTITUTE(E3886,"°","º"))-1)),-1),IF(LEFT(E3886,6)="TÉRREO",0,IFERROR(VALUE(LEFT(E3886,FIND("º",SUBSTITUTE(E3886,"°","º"))-1)),""))))</f>
        <v/>
      </c>
      <c r="O3886" s="2">
        <f>IF(OR(F3886="",G3886=""),"",IF(G3886&lt;='RETRATO 2027'!$K$5,"CONCLUÍDA",IF(F3886&lt;='RETRATO 2027'!$K$5,"EM ANDAMENTO","A INICIAR")))</f>
        <v/>
      </c>
    </row>
    <row r="3887">
      <c r="M3887" s="2">
        <f>IF(C3887="","",IFERROR(INDEX($S$5:$S$304,MATCH(C3887,$R$5:$R$304,0))&amp;"","?"))</f>
        <v/>
      </c>
      <c r="N3887" s="2">
        <f>IF(E3887="","",IF(ISNUMBER(SEARCH("SUBSOLO",E3887)),IFERROR(-VALUE(LEFT(E3887,FIND("º",SUBSTITUTE(E3887,"°","º"))-1)),-1),IF(LEFT(E3887,6)="TÉRREO",0,IFERROR(VALUE(LEFT(E3887,FIND("º",SUBSTITUTE(E3887,"°","º"))-1)),""))))</f>
        <v/>
      </c>
      <c r="O3887" s="2">
        <f>IF(OR(F3887="",G3887=""),"",IF(G3887&lt;='RETRATO 2027'!$K$5,"CONCLUÍDA",IF(F3887&lt;='RETRATO 2027'!$K$5,"EM ANDAMENTO","A INICIAR")))</f>
        <v/>
      </c>
    </row>
    <row r="3888">
      <c r="M3888" s="2">
        <f>IF(C3888="","",IFERROR(INDEX($S$5:$S$304,MATCH(C3888,$R$5:$R$304,0))&amp;"","?"))</f>
        <v/>
      </c>
      <c r="N3888" s="2">
        <f>IF(E3888="","",IF(ISNUMBER(SEARCH("SUBSOLO",E3888)),IFERROR(-VALUE(LEFT(E3888,FIND("º",SUBSTITUTE(E3888,"°","º"))-1)),-1),IF(LEFT(E3888,6)="TÉRREO",0,IFERROR(VALUE(LEFT(E3888,FIND("º",SUBSTITUTE(E3888,"°","º"))-1)),""))))</f>
        <v/>
      </c>
      <c r="O3888" s="2">
        <f>IF(OR(F3888="",G3888=""),"",IF(G3888&lt;='RETRATO 2027'!$K$5,"CONCLUÍDA",IF(F3888&lt;='RETRATO 2027'!$K$5,"EM ANDAMENTO","A INICIAR")))</f>
        <v/>
      </c>
    </row>
    <row r="3889">
      <c r="M3889" s="2">
        <f>IF(C3889="","",IFERROR(INDEX($S$5:$S$304,MATCH(C3889,$R$5:$R$304,0))&amp;"","?"))</f>
        <v/>
      </c>
      <c r="N3889" s="2">
        <f>IF(E3889="","",IF(ISNUMBER(SEARCH("SUBSOLO",E3889)),IFERROR(-VALUE(LEFT(E3889,FIND("º",SUBSTITUTE(E3889,"°","º"))-1)),-1),IF(LEFT(E3889,6)="TÉRREO",0,IFERROR(VALUE(LEFT(E3889,FIND("º",SUBSTITUTE(E3889,"°","º"))-1)),""))))</f>
        <v/>
      </c>
      <c r="O3889" s="2">
        <f>IF(OR(F3889="",G3889=""),"",IF(G3889&lt;='RETRATO 2027'!$K$5,"CONCLUÍDA",IF(F3889&lt;='RETRATO 2027'!$K$5,"EM ANDAMENTO","A INICIAR")))</f>
        <v/>
      </c>
    </row>
    <row r="3890">
      <c r="M3890" s="2">
        <f>IF(C3890="","",IFERROR(INDEX($S$5:$S$304,MATCH(C3890,$R$5:$R$304,0))&amp;"","?"))</f>
        <v/>
      </c>
      <c r="N3890" s="2">
        <f>IF(E3890="","",IF(ISNUMBER(SEARCH("SUBSOLO",E3890)),IFERROR(-VALUE(LEFT(E3890,FIND("º",SUBSTITUTE(E3890,"°","º"))-1)),-1),IF(LEFT(E3890,6)="TÉRREO",0,IFERROR(VALUE(LEFT(E3890,FIND("º",SUBSTITUTE(E3890,"°","º"))-1)),""))))</f>
        <v/>
      </c>
      <c r="O3890" s="2">
        <f>IF(OR(F3890="",G3890=""),"",IF(G3890&lt;='RETRATO 2027'!$K$5,"CONCLUÍDA",IF(F3890&lt;='RETRATO 2027'!$K$5,"EM ANDAMENTO","A INICIAR")))</f>
        <v/>
      </c>
    </row>
    <row r="3891">
      <c r="M3891" s="2">
        <f>IF(C3891="","",IFERROR(INDEX($S$5:$S$304,MATCH(C3891,$R$5:$R$304,0))&amp;"","?"))</f>
        <v/>
      </c>
      <c r="N3891" s="2">
        <f>IF(E3891="","",IF(ISNUMBER(SEARCH("SUBSOLO",E3891)),IFERROR(-VALUE(LEFT(E3891,FIND("º",SUBSTITUTE(E3891,"°","º"))-1)),-1),IF(LEFT(E3891,6)="TÉRREO",0,IFERROR(VALUE(LEFT(E3891,FIND("º",SUBSTITUTE(E3891,"°","º"))-1)),""))))</f>
        <v/>
      </c>
      <c r="O3891" s="2">
        <f>IF(OR(F3891="",G3891=""),"",IF(G3891&lt;='RETRATO 2027'!$K$5,"CONCLUÍDA",IF(F3891&lt;='RETRATO 2027'!$K$5,"EM ANDAMENTO","A INICIAR")))</f>
        <v/>
      </c>
    </row>
    <row r="3892">
      <c r="M3892" s="2">
        <f>IF(C3892="","",IFERROR(INDEX($S$5:$S$304,MATCH(C3892,$R$5:$R$304,0))&amp;"","?"))</f>
        <v/>
      </c>
      <c r="N3892" s="2">
        <f>IF(E3892="","",IF(ISNUMBER(SEARCH("SUBSOLO",E3892)),IFERROR(-VALUE(LEFT(E3892,FIND("º",SUBSTITUTE(E3892,"°","º"))-1)),-1),IF(LEFT(E3892,6)="TÉRREO",0,IFERROR(VALUE(LEFT(E3892,FIND("º",SUBSTITUTE(E3892,"°","º"))-1)),""))))</f>
        <v/>
      </c>
      <c r="O3892" s="2">
        <f>IF(OR(F3892="",G3892=""),"",IF(G3892&lt;='RETRATO 2027'!$K$5,"CONCLUÍDA",IF(F3892&lt;='RETRATO 2027'!$K$5,"EM ANDAMENTO","A INICIAR")))</f>
        <v/>
      </c>
    </row>
    <row r="3893">
      <c r="M3893" s="2">
        <f>IF(C3893="","",IFERROR(INDEX($S$5:$S$304,MATCH(C3893,$R$5:$R$304,0))&amp;"","?"))</f>
        <v/>
      </c>
      <c r="N3893" s="2">
        <f>IF(E3893="","",IF(ISNUMBER(SEARCH("SUBSOLO",E3893)),IFERROR(-VALUE(LEFT(E3893,FIND("º",SUBSTITUTE(E3893,"°","º"))-1)),-1),IF(LEFT(E3893,6)="TÉRREO",0,IFERROR(VALUE(LEFT(E3893,FIND("º",SUBSTITUTE(E3893,"°","º"))-1)),""))))</f>
        <v/>
      </c>
      <c r="O3893" s="2">
        <f>IF(OR(F3893="",G3893=""),"",IF(G3893&lt;='RETRATO 2027'!$K$5,"CONCLUÍDA",IF(F3893&lt;='RETRATO 2027'!$K$5,"EM ANDAMENTO","A INICIAR")))</f>
        <v/>
      </c>
    </row>
    <row r="3894">
      <c r="M3894" s="2">
        <f>IF(C3894="","",IFERROR(INDEX($S$5:$S$304,MATCH(C3894,$R$5:$R$304,0))&amp;"","?"))</f>
        <v/>
      </c>
      <c r="N3894" s="2">
        <f>IF(E3894="","",IF(ISNUMBER(SEARCH("SUBSOLO",E3894)),IFERROR(-VALUE(LEFT(E3894,FIND("º",SUBSTITUTE(E3894,"°","º"))-1)),-1),IF(LEFT(E3894,6)="TÉRREO",0,IFERROR(VALUE(LEFT(E3894,FIND("º",SUBSTITUTE(E3894,"°","º"))-1)),""))))</f>
        <v/>
      </c>
      <c r="O3894" s="2">
        <f>IF(OR(F3894="",G3894=""),"",IF(G3894&lt;='RETRATO 2027'!$K$5,"CONCLUÍDA",IF(F3894&lt;='RETRATO 2027'!$K$5,"EM ANDAMENTO","A INICIAR")))</f>
        <v/>
      </c>
    </row>
    <row r="3895">
      <c r="M3895" s="2">
        <f>IF(C3895="","",IFERROR(INDEX($S$5:$S$304,MATCH(C3895,$R$5:$R$304,0))&amp;"","?"))</f>
        <v/>
      </c>
      <c r="N3895" s="2">
        <f>IF(E3895="","",IF(ISNUMBER(SEARCH("SUBSOLO",E3895)),IFERROR(-VALUE(LEFT(E3895,FIND("º",SUBSTITUTE(E3895,"°","º"))-1)),-1),IF(LEFT(E3895,6)="TÉRREO",0,IFERROR(VALUE(LEFT(E3895,FIND("º",SUBSTITUTE(E3895,"°","º"))-1)),""))))</f>
        <v/>
      </c>
      <c r="O3895" s="2">
        <f>IF(OR(F3895="",G3895=""),"",IF(G3895&lt;='RETRATO 2027'!$K$5,"CONCLUÍDA",IF(F3895&lt;='RETRATO 2027'!$K$5,"EM ANDAMENTO","A INICIAR")))</f>
        <v/>
      </c>
    </row>
    <row r="3896">
      <c r="M3896" s="2">
        <f>IF(C3896="","",IFERROR(INDEX($S$5:$S$304,MATCH(C3896,$R$5:$R$304,0))&amp;"","?"))</f>
        <v/>
      </c>
      <c r="N3896" s="2">
        <f>IF(E3896="","",IF(ISNUMBER(SEARCH("SUBSOLO",E3896)),IFERROR(-VALUE(LEFT(E3896,FIND("º",SUBSTITUTE(E3896,"°","º"))-1)),-1),IF(LEFT(E3896,6)="TÉRREO",0,IFERROR(VALUE(LEFT(E3896,FIND("º",SUBSTITUTE(E3896,"°","º"))-1)),""))))</f>
        <v/>
      </c>
      <c r="O3896" s="2">
        <f>IF(OR(F3896="",G3896=""),"",IF(G3896&lt;='RETRATO 2027'!$K$5,"CONCLUÍDA",IF(F3896&lt;='RETRATO 2027'!$K$5,"EM ANDAMENTO","A INICIAR")))</f>
        <v/>
      </c>
    </row>
    <row r="3897">
      <c r="M3897" s="2">
        <f>IF(C3897="","",IFERROR(INDEX($S$5:$S$304,MATCH(C3897,$R$5:$R$304,0))&amp;"","?"))</f>
        <v/>
      </c>
      <c r="N3897" s="2">
        <f>IF(E3897="","",IF(ISNUMBER(SEARCH("SUBSOLO",E3897)),IFERROR(-VALUE(LEFT(E3897,FIND("º",SUBSTITUTE(E3897,"°","º"))-1)),-1),IF(LEFT(E3897,6)="TÉRREO",0,IFERROR(VALUE(LEFT(E3897,FIND("º",SUBSTITUTE(E3897,"°","º"))-1)),""))))</f>
        <v/>
      </c>
      <c r="O3897" s="2">
        <f>IF(OR(F3897="",G3897=""),"",IF(G3897&lt;='RETRATO 2027'!$K$5,"CONCLUÍDA",IF(F3897&lt;='RETRATO 2027'!$K$5,"EM ANDAMENTO","A INICIAR")))</f>
        <v/>
      </c>
    </row>
    <row r="3898">
      <c r="M3898" s="2">
        <f>IF(C3898="","",IFERROR(INDEX($S$5:$S$304,MATCH(C3898,$R$5:$R$304,0))&amp;"","?"))</f>
        <v/>
      </c>
      <c r="N3898" s="2">
        <f>IF(E3898="","",IF(ISNUMBER(SEARCH("SUBSOLO",E3898)),IFERROR(-VALUE(LEFT(E3898,FIND("º",SUBSTITUTE(E3898,"°","º"))-1)),-1),IF(LEFT(E3898,6)="TÉRREO",0,IFERROR(VALUE(LEFT(E3898,FIND("º",SUBSTITUTE(E3898,"°","º"))-1)),""))))</f>
        <v/>
      </c>
      <c r="O3898" s="2">
        <f>IF(OR(F3898="",G3898=""),"",IF(G3898&lt;='RETRATO 2027'!$K$5,"CONCLUÍDA",IF(F3898&lt;='RETRATO 2027'!$K$5,"EM ANDAMENTO","A INICIAR")))</f>
        <v/>
      </c>
    </row>
    <row r="3899">
      <c r="M3899" s="2">
        <f>IF(C3899="","",IFERROR(INDEX($S$5:$S$304,MATCH(C3899,$R$5:$R$304,0))&amp;"","?"))</f>
        <v/>
      </c>
      <c r="N3899" s="2">
        <f>IF(E3899="","",IF(ISNUMBER(SEARCH("SUBSOLO",E3899)),IFERROR(-VALUE(LEFT(E3899,FIND("º",SUBSTITUTE(E3899,"°","º"))-1)),-1),IF(LEFT(E3899,6)="TÉRREO",0,IFERROR(VALUE(LEFT(E3899,FIND("º",SUBSTITUTE(E3899,"°","º"))-1)),""))))</f>
        <v/>
      </c>
      <c r="O3899" s="2">
        <f>IF(OR(F3899="",G3899=""),"",IF(G3899&lt;='RETRATO 2027'!$K$5,"CONCLUÍDA",IF(F3899&lt;='RETRATO 2027'!$K$5,"EM ANDAMENTO","A INICIAR")))</f>
        <v/>
      </c>
    </row>
    <row r="3900">
      <c r="M3900" s="2">
        <f>IF(C3900="","",IFERROR(INDEX($S$5:$S$304,MATCH(C3900,$R$5:$R$304,0))&amp;"","?"))</f>
        <v/>
      </c>
      <c r="N3900" s="2">
        <f>IF(E3900="","",IF(ISNUMBER(SEARCH("SUBSOLO",E3900)),IFERROR(-VALUE(LEFT(E3900,FIND("º",SUBSTITUTE(E3900,"°","º"))-1)),-1),IF(LEFT(E3900,6)="TÉRREO",0,IFERROR(VALUE(LEFT(E3900,FIND("º",SUBSTITUTE(E3900,"°","º"))-1)),""))))</f>
        <v/>
      </c>
      <c r="O3900" s="2">
        <f>IF(OR(F3900="",G3900=""),"",IF(G3900&lt;='RETRATO 2027'!$K$5,"CONCLUÍDA",IF(F3900&lt;='RETRATO 2027'!$K$5,"EM ANDAMENTO","A INICIAR")))</f>
        <v/>
      </c>
    </row>
    <row r="3901">
      <c r="M3901" s="2">
        <f>IF(C3901="","",IFERROR(INDEX($S$5:$S$304,MATCH(C3901,$R$5:$R$304,0))&amp;"","?"))</f>
        <v/>
      </c>
      <c r="N3901" s="2">
        <f>IF(E3901="","",IF(ISNUMBER(SEARCH("SUBSOLO",E3901)),IFERROR(-VALUE(LEFT(E3901,FIND("º",SUBSTITUTE(E3901,"°","º"))-1)),-1),IF(LEFT(E3901,6)="TÉRREO",0,IFERROR(VALUE(LEFT(E3901,FIND("º",SUBSTITUTE(E3901,"°","º"))-1)),""))))</f>
        <v/>
      </c>
      <c r="O3901" s="2">
        <f>IF(OR(F3901="",G3901=""),"",IF(G3901&lt;='RETRATO 2027'!$K$5,"CONCLUÍDA",IF(F3901&lt;='RETRATO 2027'!$K$5,"EM ANDAMENTO","A INICIAR")))</f>
        <v/>
      </c>
    </row>
    <row r="3902">
      <c r="M3902" s="2">
        <f>IF(C3902="","",IFERROR(INDEX($S$5:$S$304,MATCH(C3902,$R$5:$R$304,0))&amp;"","?"))</f>
        <v/>
      </c>
      <c r="N3902" s="2">
        <f>IF(E3902="","",IF(ISNUMBER(SEARCH("SUBSOLO",E3902)),IFERROR(-VALUE(LEFT(E3902,FIND("º",SUBSTITUTE(E3902,"°","º"))-1)),-1),IF(LEFT(E3902,6)="TÉRREO",0,IFERROR(VALUE(LEFT(E3902,FIND("º",SUBSTITUTE(E3902,"°","º"))-1)),""))))</f>
        <v/>
      </c>
      <c r="O3902" s="2">
        <f>IF(OR(F3902="",G3902=""),"",IF(G3902&lt;='RETRATO 2027'!$K$5,"CONCLUÍDA",IF(F3902&lt;='RETRATO 2027'!$K$5,"EM ANDAMENTO","A INICIAR")))</f>
        <v/>
      </c>
    </row>
    <row r="3903">
      <c r="M3903" s="2">
        <f>IF(C3903="","",IFERROR(INDEX($S$5:$S$304,MATCH(C3903,$R$5:$R$304,0))&amp;"","?"))</f>
        <v/>
      </c>
      <c r="N3903" s="2">
        <f>IF(E3903="","",IF(ISNUMBER(SEARCH("SUBSOLO",E3903)),IFERROR(-VALUE(LEFT(E3903,FIND("º",SUBSTITUTE(E3903,"°","º"))-1)),-1),IF(LEFT(E3903,6)="TÉRREO",0,IFERROR(VALUE(LEFT(E3903,FIND("º",SUBSTITUTE(E3903,"°","º"))-1)),""))))</f>
        <v/>
      </c>
      <c r="O3903" s="2">
        <f>IF(OR(F3903="",G3903=""),"",IF(G3903&lt;='RETRATO 2027'!$K$5,"CONCLUÍDA",IF(F3903&lt;='RETRATO 2027'!$K$5,"EM ANDAMENTO","A INICIAR")))</f>
        <v/>
      </c>
    </row>
    <row r="3904">
      <c r="M3904" s="2">
        <f>IF(C3904="","",IFERROR(INDEX($S$5:$S$304,MATCH(C3904,$R$5:$R$304,0))&amp;"","?"))</f>
        <v/>
      </c>
      <c r="N3904" s="2">
        <f>IF(E3904="","",IF(ISNUMBER(SEARCH("SUBSOLO",E3904)),IFERROR(-VALUE(LEFT(E3904,FIND("º",SUBSTITUTE(E3904,"°","º"))-1)),-1),IF(LEFT(E3904,6)="TÉRREO",0,IFERROR(VALUE(LEFT(E3904,FIND("º",SUBSTITUTE(E3904,"°","º"))-1)),""))))</f>
        <v/>
      </c>
      <c r="O3904" s="2">
        <f>IF(OR(F3904="",G3904=""),"",IF(G3904&lt;='RETRATO 2027'!$K$5,"CONCLUÍDA",IF(F3904&lt;='RETRATO 2027'!$K$5,"EM ANDAMENTO","A INICIAR")))</f>
        <v/>
      </c>
    </row>
    <row r="3905">
      <c r="M3905" s="2">
        <f>IF(C3905="","",IFERROR(INDEX($S$5:$S$304,MATCH(C3905,$R$5:$R$304,0))&amp;"","?"))</f>
        <v/>
      </c>
      <c r="N3905" s="2">
        <f>IF(E3905="","",IF(ISNUMBER(SEARCH("SUBSOLO",E3905)),IFERROR(-VALUE(LEFT(E3905,FIND("º",SUBSTITUTE(E3905,"°","º"))-1)),-1),IF(LEFT(E3905,6)="TÉRREO",0,IFERROR(VALUE(LEFT(E3905,FIND("º",SUBSTITUTE(E3905,"°","º"))-1)),""))))</f>
        <v/>
      </c>
      <c r="O3905" s="2">
        <f>IF(OR(F3905="",G3905=""),"",IF(G3905&lt;='RETRATO 2027'!$K$5,"CONCLUÍDA",IF(F3905&lt;='RETRATO 2027'!$K$5,"EM ANDAMENTO","A INICIAR")))</f>
        <v/>
      </c>
    </row>
    <row r="3906">
      <c r="M3906" s="2">
        <f>IF(C3906="","",IFERROR(INDEX($S$5:$S$304,MATCH(C3906,$R$5:$R$304,0))&amp;"","?"))</f>
        <v/>
      </c>
      <c r="N3906" s="2">
        <f>IF(E3906="","",IF(ISNUMBER(SEARCH("SUBSOLO",E3906)),IFERROR(-VALUE(LEFT(E3906,FIND("º",SUBSTITUTE(E3906,"°","º"))-1)),-1),IF(LEFT(E3906,6)="TÉRREO",0,IFERROR(VALUE(LEFT(E3906,FIND("º",SUBSTITUTE(E3906,"°","º"))-1)),""))))</f>
        <v/>
      </c>
      <c r="O3906" s="2">
        <f>IF(OR(F3906="",G3906=""),"",IF(G3906&lt;='RETRATO 2027'!$K$5,"CONCLUÍDA",IF(F3906&lt;='RETRATO 2027'!$K$5,"EM ANDAMENTO","A INICIAR")))</f>
        <v/>
      </c>
    </row>
    <row r="3907">
      <c r="M3907" s="2">
        <f>IF(C3907="","",IFERROR(INDEX($S$5:$S$304,MATCH(C3907,$R$5:$R$304,0))&amp;"","?"))</f>
        <v/>
      </c>
      <c r="N3907" s="2">
        <f>IF(E3907="","",IF(ISNUMBER(SEARCH("SUBSOLO",E3907)),IFERROR(-VALUE(LEFT(E3907,FIND("º",SUBSTITUTE(E3907,"°","º"))-1)),-1),IF(LEFT(E3907,6)="TÉRREO",0,IFERROR(VALUE(LEFT(E3907,FIND("º",SUBSTITUTE(E3907,"°","º"))-1)),""))))</f>
        <v/>
      </c>
      <c r="O3907" s="2">
        <f>IF(OR(F3907="",G3907=""),"",IF(G3907&lt;='RETRATO 2027'!$K$5,"CONCLUÍDA",IF(F3907&lt;='RETRATO 2027'!$K$5,"EM ANDAMENTO","A INICIAR")))</f>
        <v/>
      </c>
    </row>
    <row r="3908">
      <c r="M3908" s="2">
        <f>IF(C3908="","",IFERROR(INDEX($S$5:$S$304,MATCH(C3908,$R$5:$R$304,0))&amp;"","?"))</f>
        <v/>
      </c>
      <c r="N3908" s="2">
        <f>IF(E3908="","",IF(ISNUMBER(SEARCH("SUBSOLO",E3908)),IFERROR(-VALUE(LEFT(E3908,FIND("º",SUBSTITUTE(E3908,"°","º"))-1)),-1),IF(LEFT(E3908,6)="TÉRREO",0,IFERROR(VALUE(LEFT(E3908,FIND("º",SUBSTITUTE(E3908,"°","º"))-1)),""))))</f>
        <v/>
      </c>
      <c r="O3908" s="2">
        <f>IF(OR(F3908="",G3908=""),"",IF(G3908&lt;='RETRATO 2027'!$K$5,"CONCLUÍDA",IF(F3908&lt;='RETRATO 2027'!$K$5,"EM ANDAMENTO","A INICIAR")))</f>
        <v/>
      </c>
    </row>
    <row r="3909">
      <c r="M3909" s="2">
        <f>IF(C3909="","",IFERROR(INDEX($S$5:$S$304,MATCH(C3909,$R$5:$R$304,0))&amp;"","?"))</f>
        <v/>
      </c>
      <c r="N3909" s="2">
        <f>IF(E3909="","",IF(ISNUMBER(SEARCH("SUBSOLO",E3909)),IFERROR(-VALUE(LEFT(E3909,FIND("º",SUBSTITUTE(E3909,"°","º"))-1)),-1),IF(LEFT(E3909,6)="TÉRREO",0,IFERROR(VALUE(LEFT(E3909,FIND("º",SUBSTITUTE(E3909,"°","º"))-1)),""))))</f>
        <v/>
      </c>
      <c r="O3909" s="2">
        <f>IF(OR(F3909="",G3909=""),"",IF(G3909&lt;='RETRATO 2027'!$K$5,"CONCLUÍDA",IF(F3909&lt;='RETRATO 2027'!$K$5,"EM ANDAMENTO","A INICIAR")))</f>
        <v/>
      </c>
    </row>
    <row r="3910">
      <c r="M3910" s="2">
        <f>IF(C3910="","",IFERROR(INDEX($S$5:$S$304,MATCH(C3910,$R$5:$R$304,0))&amp;"","?"))</f>
        <v/>
      </c>
      <c r="N3910" s="2">
        <f>IF(E3910="","",IF(ISNUMBER(SEARCH("SUBSOLO",E3910)),IFERROR(-VALUE(LEFT(E3910,FIND("º",SUBSTITUTE(E3910,"°","º"))-1)),-1),IF(LEFT(E3910,6)="TÉRREO",0,IFERROR(VALUE(LEFT(E3910,FIND("º",SUBSTITUTE(E3910,"°","º"))-1)),""))))</f>
        <v/>
      </c>
      <c r="O3910" s="2">
        <f>IF(OR(F3910="",G3910=""),"",IF(G3910&lt;='RETRATO 2027'!$K$5,"CONCLUÍDA",IF(F3910&lt;='RETRATO 2027'!$K$5,"EM ANDAMENTO","A INICIAR")))</f>
        <v/>
      </c>
    </row>
    <row r="3911">
      <c r="M3911" s="2">
        <f>IF(C3911="","",IFERROR(INDEX($S$5:$S$304,MATCH(C3911,$R$5:$R$304,0))&amp;"","?"))</f>
        <v/>
      </c>
      <c r="N3911" s="2">
        <f>IF(E3911="","",IF(ISNUMBER(SEARCH("SUBSOLO",E3911)),IFERROR(-VALUE(LEFT(E3911,FIND("º",SUBSTITUTE(E3911,"°","º"))-1)),-1),IF(LEFT(E3911,6)="TÉRREO",0,IFERROR(VALUE(LEFT(E3911,FIND("º",SUBSTITUTE(E3911,"°","º"))-1)),""))))</f>
        <v/>
      </c>
      <c r="O3911" s="2">
        <f>IF(OR(F3911="",G3911=""),"",IF(G3911&lt;='RETRATO 2027'!$K$5,"CONCLUÍDA",IF(F3911&lt;='RETRATO 2027'!$K$5,"EM ANDAMENTO","A INICIAR")))</f>
        <v/>
      </c>
    </row>
    <row r="3912">
      <c r="M3912" s="2">
        <f>IF(C3912="","",IFERROR(INDEX($S$5:$S$304,MATCH(C3912,$R$5:$R$304,0))&amp;"","?"))</f>
        <v/>
      </c>
      <c r="N3912" s="2">
        <f>IF(E3912="","",IF(ISNUMBER(SEARCH("SUBSOLO",E3912)),IFERROR(-VALUE(LEFT(E3912,FIND("º",SUBSTITUTE(E3912,"°","º"))-1)),-1),IF(LEFT(E3912,6)="TÉRREO",0,IFERROR(VALUE(LEFT(E3912,FIND("º",SUBSTITUTE(E3912,"°","º"))-1)),""))))</f>
        <v/>
      </c>
      <c r="O3912" s="2">
        <f>IF(OR(F3912="",G3912=""),"",IF(G3912&lt;='RETRATO 2027'!$K$5,"CONCLUÍDA",IF(F3912&lt;='RETRATO 2027'!$K$5,"EM ANDAMENTO","A INICIAR")))</f>
        <v/>
      </c>
    </row>
    <row r="3913">
      <c r="M3913" s="2">
        <f>IF(C3913="","",IFERROR(INDEX($S$5:$S$304,MATCH(C3913,$R$5:$R$304,0))&amp;"","?"))</f>
        <v/>
      </c>
      <c r="N3913" s="2">
        <f>IF(E3913="","",IF(ISNUMBER(SEARCH("SUBSOLO",E3913)),IFERROR(-VALUE(LEFT(E3913,FIND("º",SUBSTITUTE(E3913,"°","º"))-1)),-1),IF(LEFT(E3913,6)="TÉRREO",0,IFERROR(VALUE(LEFT(E3913,FIND("º",SUBSTITUTE(E3913,"°","º"))-1)),""))))</f>
        <v/>
      </c>
      <c r="O3913" s="2">
        <f>IF(OR(F3913="",G3913=""),"",IF(G3913&lt;='RETRATO 2027'!$K$5,"CONCLUÍDA",IF(F3913&lt;='RETRATO 2027'!$K$5,"EM ANDAMENTO","A INICIAR")))</f>
        <v/>
      </c>
    </row>
    <row r="3914">
      <c r="M3914" s="2">
        <f>IF(C3914="","",IFERROR(INDEX($S$5:$S$304,MATCH(C3914,$R$5:$R$304,0))&amp;"","?"))</f>
        <v/>
      </c>
      <c r="N3914" s="2">
        <f>IF(E3914="","",IF(ISNUMBER(SEARCH("SUBSOLO",E3914)),IFERROR(-VALUE(LEFT(E3914,FIND("º",SUBSTITUTE(E3914,"°","º"))-1)),-1),IF(LEFT(E3914,6)="TÉRREO",0,IFERROR(VALUE(LEFT(E3914,FIND("º",SUBSTITUTE(E3914,"°","º"))-1)),""))))</f>
        <v/>
      </c>
      <c r="O3914" s="2">
        <f>IF(OR(F3914="",G3914=""),"",IF(G3914&lt;='RETRATO 2027'!$K$5,"CONCLUÍDA",IF(F3914&lt;='RETRATO 2027'!$K$5,"EM ANDAMENTO","A INICIAR")))</f>
        <v/>
      </c>
    </row>
    <row r="3915">
      <c r="M3915" s="2">
        <f>IF(C3915="","",IFERROR(INDEX($S$5:$S$304,MATCH(C3915,$R$5:$R$304,0))&amp;"","?"))</f>
        <v/>
      </c>
      <c r="N3915" s="2">
        <f>IF(E3915="","",IF(ISNUMBER(SEARCH("SUBSOLO",E3915)),IFERROR(-VALUE(LEFT(E3915,FIND("º",SUBSTITUTE(E3915,"°","º"))-1)),-1),IF(LEFT(E3915,6)="TÉRREO",0,IFERROR(VALUE(LEFT(E3915,FIND("º",SUBSTITUTE(E3915,"°","º"))-1)),""))))</f>
        <v/>
      </c>
      <c r="O3915" s="2">
        <f>IF(OR(F3915="",G3915=""),"",IF(G3915&lt;='RETRATO 2027'!$K$5,"CONCLUÍDA",IF(F3915&lt;='RETRATO 2027'!$K$5,"EM ANDAMENTO","A INICIAR")))</f>
        <v/>
      </c>
    </row>
    <row r="3916">
      <c r="M3916" s="2">
        <f>IF(C3916="","",IFERROR(INDEX($S$5:$S$304,MATCH(C3916,$R$5:$R$304,0))&amp;"","?"))</f>
        <v/>
      </c>
      <c r="N3916" s="2">
        <f>IF(E3916="","",IF(ISNUMBER(SEARCH("SUBSOLO",E3916)),IFERROR(-VALUE(LEFT(E3916,FIND("º",SUBSTITUTE(E3916,"°","º"))-1)),-1),IF(LEFT(E3916,6)="TÉRREO",0,IFERROR(VALUE(LEFT(E3916,FIND("º",SUBSTITUTE(E3916,"°","º"))-1)),""))))</f>
        <v/>
      </c>
      <c r="O3916" s="2">
        <f>IF(OR(F3916="",G3916=""),"",IF(G3916&lt;='RETRATO 2027'!$K$5,"CONCLUÍDA",IF(F3916&lt;='RETRATO 2027'!$K$5,"EM ANDAMENTO","A INICIAR")))</f>
        <v/>
      </c>
    </row>
    <row r="3917">
      <c r="M3917" s="2">
        <f>IF(C3917="","",IFERROR(INDEX($S$5:$S$304,MATCH(C3917,$R$5:$R$304,0))&amp;"","?"))</f>
        <v/>
      </c>
      <c r="N3917" s="2">
        <f>IF(E3917="","",IF(ISNUMBER(SEARCH("SUBSOLO",E3917)),IFERROR(-VALUE(LEFT(E3917,FIND("º",SUBSTITUTE(E3917,"°","º"))-1)),-1),IF(LEFT(E3917,6)="TÉRREO",0,IFERROR(VALUE(LEFT(E3917,FIND("º",SUBSTITUTE(E3917,"°","º"))-1)),""))))</f>
        <v/>
      </c>
      <c r="O3917" s="2">
        <f>IF(OR(F3917="",G3917=""),"",IF(G3917&lt;='RETRATO 2027'!$K$5,"CONCLUÍDA",IF(F3917&lt;='RETRATO 2027'!$K$5,"EM ANDAMENTO","A INICIAR")))</f>
        <v/>
      </c>
    </row>
    <row r="3918">
      <c r="M3918" s="2">
        <f>IF(C3918="","",IFERROR(INDEX($S$5:$S$304,MATCH(C3918,$R$5:$R$304,0))&amp;"","?"))</f>
        <v/>
      </c>
      <c r="N3918" s="2">
        <f>IF(E3918="","",IF(ISNUMBER(SEARCH("SUBSOLO",E3918)),IFERROR(-VALUE(LEFT(E3918,FIND("º",SUBSTITUTE(E3918,"°","º"))-1)),-1),IF(LEFT(E3918,6)="TÉRREO",0,IFERROR(VALUE(LEFT(E3918,FIND("º",SUBSTITUTE(E3918,"°","º"))-1)),""))))</f>
        <v/>
      </c>
      <c r="O3918" s="2">
        <f>IF(OR(F3918="",G3918=""),"",IF(G3918&lt;='RETRATO 2027'!$K$5,"CONCLUÍDA",IF(F3918&lt;='RETRATO 2027'!$K$5,"EM ANDAMENTO","A INICIAR")))</f>
        <v/>
      </c>
    </row>
    <row r="3919">
      <c r="M3919" s="2">
        <f>IF(C3919="","",IFERROR(INDEX($S$5:$S$304,MATCH(C3919,$R$5:$R$304,0))&amp;"","?"))</f>
        <v/>
      </c>
      <c r="N3919" s="2">
        <f>IF(E3919="","",IF(ISNUMBER(SEARCH("SUBSOLO",E3919)),IFERROR(-VALUE(LEFT(E3919,FIND("º",SUBSTITUTE(E3919,"°","º"))-1)),-1),IF(LEFT(E3919,6)="TÉRREO",0,IFERROR(VALUE(LEFT(E3919,FIND("º",SUBSTITUTE(E3919,"°","º"))-1)),""))))</f>
        <v/>
      </c>
      <c r="O3919" s="2">
        <f>IF(OR(F3919="",G3919=""),"",IF(G3919&lt;='RETRATO 2027'!$K$5,"CONCLUÍDA",IF(F3919&lt;='RETRATO 2027'!$K$5,"EM ANDAMENTO","A INICIAR")))</f>
        <v/>
      </c>
    </row>
    <row r="3920">
      <c r="M3920" s="2">
        <f>IF(C3920="","",IFERROR(INDEX($S$5:$S$304,MATCH(C3920,$R$5:$R$304,0))&amp;"","?"))</f>
        <v/>
      </c>
      <c r="N3920" s="2">
        <f>IF(E3920="","",IF(ISNUMBER(SEARCH("SUBSOLO",E3920)),IFERROR(-VALUE(LEFT(E3920,FIND("º",SUBSTITUTE(E3920,"°","º"))-1)),-1),IF(LEFT(E3920,6)="TÉRREO",0,IFERROR(VALUE(LEFT(E3920,FIND("º",SUBSTITUTE(E3920,"°","º"))-1)),""))))</f>
        <v/>
      </c>
      <c r="O3920" s="2">
        <f>IF(OR(F3920="",G3920=""),"",IF(G3920&lt;='RETRATO 2027'!$K$5,"CONCLUÍDA",IF(F3920&lt;='RETRATO 2027'!$K$5,"EM ANDAMENTO","A INICIAR")))</f>
        <v/>
      </c>
    </row>
    <row r="3921">
      <c r="M3921" s="2">
        <f>IF(C3921="","",IFERROR(INDEX($S$5:$S$304,MATCH(C3921,$R$5:$R$304,0))&amp;"","?"))</f>
        <v/>
      </c>
      <c r="N3921" s="2">
        <f>IF(E3921="","",IF(ISNUMBER(SEARCH("SUBSOLO",E3921)),IFERROR(-VALUE(LEFT(E3921,FIND("º",SUBSTITUTE(E3921,"°","º"))-1)),-1),IF(LEFT(E3921,6)="TÉRREO",0,IFERROR(VALUE(LEFT(E3921,FIND("º",SUBSTITUTE(E3921,"°","º"))-1)),""))))</f>
        <v/>
      </c>
      <c r="O3921" s="2">
        <f>IF(OR(F3921="",G3921=""),"",IF(G3921&lt;='RETRATO 2027'!$K$5,"CONCLUÍDA",IF(F3921&lt;='RETRATO 2027'!$K$5,"EM ANDAMENTO","A INICIAR")))</f>
        <v/>
      </c>
    </row>
    <row r="3922">
      <c r="M3922" s="2">
        <f>IF(C3922="","",IFERROR(INDEX($S$5:$S$304,MATCH(C3922,$R$5:$R$304,0))&amp;"","?"))</f>
        <v/>
      </c>
      <c r="N3922" s="2">
        <f>IF(E3922="","",IF(ISNUMBER(SEARCH("SUBSOLO",E3922)),IFERROR(-VALUE(LEFT(E3922,FIND("º",SUBSTITUTE(E3922,"°","º"))-1)),-1),IF(LEFT(E3922,6)="TÉRREO",0,IFERROR(VALUE(LEFT(E3922,FIND("º",SUBSTITUTE(E3922,"°","º"))-1)),""))))</f>
        <v/>
      </c>
      <c r="O3922" s="2">
        <f>IF(OR(F3922="",G3922=""),"",IF(G3922&lt;='RETRATO 2027'!$K$5,"CONCLUÍDA",IF(F3922&lt;='RETRATO 2027'!$K$5,"EM ANDAMENTO","A INICIAR")))</f>
        <v/>
      </c>
    </row>
    <row r="3923">
      <c r="M3923" s="2">
        <f>IF(C3923="","",IFERROR(INDEX($S$5:$S$304,MATCH(C3923,$R$5:$R$304,0))&amp;"","?"))</f>
        <v/>
      </c>
      <c r="N3923" s="2">
        <f>IF(E3923="","",IF(ISNUMBER(SEARCH("SUBSOLO",E3923)),IFERROR(-VALUE(LEFT(E3923,FIND("º",SUBSTITUTE(E3923,"°","º"))-1)),-1),IF(LEFT(E3923,6)="TÉRREO",0,IFERROR(VALUE(LEFT(E3923,FIND("º",SUBSTITUTE(E3923,"°","º"))-1)),""))))</f>
        <v/>
      </c>
      <c r="O3923" s="2">
        <f>IF(OR(F3923="",G3923=""),"",IF(G3923&lt;='RETRATO 2027'!$K$5,"CONCLUÍDA",IF(F3923&lt;='RETRATO 2027'!$K$5,"EM ANDAMENTO","A INICIAR")))</f>
        <v/>
      </c>
    </row>
    <row r="3924">
      <c r="M3924" s="2">
        <f>IF(C3924="","",IFERROR(INDEX($S$5:$S$304,MATCH(C3924,$R$5:$R$304,0))&amp;"","?"))</f>
        <v/>
      </c>
      <c r="N3924" s="2">
        <f>IF(E3924="","",IF(ISNUMBER(SEARCH("SUBSOLO",E3924)),IFERROR(-VALUE(LEFT(E3924,FIND("º",SUBSTITUTE(E3924,"°","º"))-1)),-1),IF(LEFT(E3924,6)="TÉRREO",0,IFERROR(VALUE(LEFT(E3924,FIND("º",SUBSTITUTE(E3924,"°","º"))-1)),""))))</f>
        <v/>
      </c>
      <c r="O3924" s="2">
        <f>IF(OR(F3924="",G3924=""),"",IF(G3924&lt;='RETRATO 2027'!$K$5,"CONCLUÍDA",IF(F3924&lt;='RETRATO 2027'!$K$5,"EM ANDAMENTO","A INICIAR")))</f>
        <v/>
      </c>
    </row>
    <row r="3925">
      <c r="M3925" s="2">
        <f>IF(C3925="","",IFERROR(INDEX($S$5:$S$304,MATCH(C3925,$R$5:$R$304,0))&amp;"","?"))</f>
        <v/>
      </c>
      <c r="N3925" s="2">
        <f>IF(E3925="","",IF(ISNUMBER(SEARCH("SUBSOLO",E3925)),IFERROR(-VALUE(LEFT(E3925,FIND("º",SUBSTITUTE(E3925,"°","º"))-1)),-1),IF(LEFT(E3925,6)="TÉRREO",0,IFERROR(VALUE(LEFT(E3925,FIND("º",SUBSTITUTE(E3925,"°","º"))-1)),""))))</f>
        <v/>
      </c>
      <c r="O3925" s="2">
        <f>IF(OR(F3925="",G3925=""),"",IF(G3925&lt;='RETRATO 2027'!$K$5,"CONCLUÍDA",IF(F3925&lt;='RETRATO 2027'!$K$5,"EM ANDAMENTO","A INICIAR")))</f>
        <v/>
      </c>
    </row>
    <row r="3926">
      <c r="M3926" s="2">
        <f>IF(C3926="","",IFERROR(INDEX($S$5:$S$304,MATCH(C3926,$R$5:$R$304,0))&amp;"","?"))</f>
        <v/>
      </c>
      <c r="N3926" s="2">
        <f>IF(E3926="","",IF(ISNUMBER(SEARCH("SUBSOLO",E3926)),IFERROR(-VALUE(LEFT(E3926,FIND("º",SUBSTITUTE(E3926,"°","º"))-1)),-1),IF(LEFT(E3926,6)="TÉRREO",0,IFERROR(VALUE(LEFT(E3926,FIND("º",SUBSTITUTE(E3926,"°","º"))-1)),""))))</f>
        <v/>
      </c>
      <c r="O3926" s="2">
        <f>IF(OR(F3926="",G3926=""),"",IF(G3926&lt;='RETRATO 2027'!$K$5,"CONCLUÍDA",IF(F3926&lt;='RETRATO 2027'!$K$5,"EM ANDAMENTO","A INICIAR")))</f>
        <v/>
      </c>
    </row>
    <row r="3927">
      <c r="M3927" s="2">
        <f>IF(C3927="","",IFERROR(INDEX($S$5:$S$304,MATCH(C3927,$R$5:$R$304,0))&amp;"","?"))</f>
        <v/>
      </c>
      <c r="N3927" s="2">
        <f>IF(E3927="","",IF(ISNUMBER(SEARCH("SUBSOLO",E3927)),IFERROR(-VALUE(LEFT(E3927,FIND("º",SUBSTITUTE(E3927,"°","º"))-1)),-1),IF(LEFT(E3927,6)="TÉRREO",0,IFERROR(VALUE(LEFT(E3927,FIND("º",SUBSTITUTE(E3927,"°","º"))-1)),""))))</f>
        <v/>
      </c>
      <c r="O3927" s="2">
        <f>IF(OR(F3927="",G3927=""),"",IF(G3927&lt;='RETRATO 2027'!$K$5,"CONCLUÍDA",IF(F3927&lt;='RETRATO 2027'!$K$5,"EM ANDAMENTO","A INICIAR")))</f>
        <v/>
      </c>
    </row>
    <row r="3928">
      <c r="M3928" s="2">
        <f>IF(C3928="","",IFERROR(INDEX($S$5:$S$304,MATCH(C3928,$R$5:$R$304,0))&amp;"","?"))</f>
        <v/>
      </c>
      <c r="N3928" s="2">
        <f>IF(E3928="","",IF(ISNUMBER(SEARCH("SUBSOLO",E3928)),IFERROR(-VALUE(LEFT(E3928,FIND("º",SUBSTITUTE(E3928,"°","º"))-1)),-1),IF(LEFT(E3928,6)="TÉRREO",0,IFERROR(VALUE(LEFT(E3928,FIND("º",SUBSTITUTE(E3928,"°","º"))-1)),""))))</f>
        <v/>
      </c>
      <c r="O3928" s="2">
        <f>IF(OR(F3928="",G3928=""),"",IF(G3928&lt;='RETRATO 2027'!$K$5,"CONCLUÍDA",IF(F3928&lt;='RETRATO 2027'!$K$5,"EM ANDAMENTO","A INICIAR")))</f>
        <v/>
      </c>
    </row>
    <row r="3929">
      <c r="M3929" s="2">
        <f>IF(C3929="","",IFERROR(INDEX($S$5:$S$304,MATCH(C3929,$R$5:$R$304,0))&amp;"","?"))</f>
        <v/>
      </c>
      <c r="N3929" s="2">
        <f>IF(E3929="","",IF(ISNUMBER(SEARCH("SUBSOLO",E3929)),IFERROR(-VALUE(LEFT(E3929,FIND("º",SUBSTITUTE(E3929,"°","º"))-1)),-1),IF(LEFT(E3929,6)="TÉRREO",0,IFERROR(VALUE(LEFT(E3929,FIND("º",SUBSTITUTE(E3929,"°","º"))-1)),""))))</f>
        <v/>
      </c>
      <c r="O3929" s="2">
        <f>IF(OR(F3929="",G3929=""),"",IF(G3929&lt;='RETRATO 2027'!$K$5,"CONCLUÍDA",IF(F3929&lt;='RETRATO 2027'!$K$5,"EM ANDAMENTO","A INICIAR")))</f>
        <v/>
      </c>
    </row>
    <row r="3930">
      <c r="M3930" s="2">
        <f>IF(C3930="","",IFERROR(INDEX($S$5:$S$304,MATCH(C3930,$R$5:$R$304,0))&amp;"","?"))</f>
        <v/>
      </c>
      <c r="N3930" s="2">
        <f>IF(E3930="","",IF(ISNUMBER(SEARCH("SUBSOLO",E3930)),IFERROR(-VALUE(LEFT(E3930,FIND("º",SUBSTITUTE(E3930,"°","º"))-1)),-1),IF(LEFT(E3930,6)="TÉRREO",0,IFERROR(VALUE(LEFT(E3930,FIND("º",SUBSTITUTE(E3930,"°","º"))-1)),""))))</f>
        <v/>
      </c>
      <c r="O3930" s="2">
        <f>IF(OR(F3930="",G3930=""),"",IF(G3930&lt;='RETRATO 2027'!$K$5,"CONCLUÍDA",IF(F3930&lt;='RETRATO 2027'!$K$5,"EM ANDAMENTO","A INICIAR")))</f>
        <v/>
      </c>
    </row>
    <row r="3931">
      <c r="M3931" s="2">
        <f>IF(C3931="","",IFERROR(INDEX($S$5:$S$304,MATCH(C3931,$R$5:$R$304,0))&amp;"","?"))</f>
        <v/>
      </c>
      <c r="N3931" s="2">
        <f>IF(E3931="","",IF(ISNUMBER(SEARCH("SUBSOLO",E3931)),IFERROR(-VALUE(LEFT(E3931,FIND("º",SUBSTITUTE(E3931,"°","º"))-1)),-1),IF(LEFT(E3931,6)="TÉRREO",0,IFERROR(VALUE(LEFT(E3931,FIND("º",SUBSTITUTE(E3931,"°","º"))-1)),""))))</f>
        <v/>
      </c>
      <c r="O3931" s="2">
        <f>IF(OR(F3931="",G3931=""),"",IF(G3931&lt;='RETRATO 2027'!$K$5,"CONCLUÍDA",IF(F3931&lt;='RETRATO 2027'!$K$5,"EM ANDAMENTO","A INICIAR")))</f>
        <v/>
      </c>
    </row>
    <row r="3932">
      <c r="M3932" s="2">
        <f>IF(C3932="","",IFERROR(INDEX($S$5:$S$304,MATCH(C3932,$R$5:$R$304,0))&amp;"","?"))</f>
        <v/>
      </c>
      <c r="N3932" s="2">
        <f>IF(E3932="","",IF(ISNUMBER(SEARCH("SUBSOLO",E3932)),IFERROR(-VALUE(LEFT(E3932,FIND("º",SUBSTITUTE(E3932,"°","º"))-1)),-1),IF(LEFT(E3932,6)="TÉRREO",0,IFERROR(VALUE(LEFT(E3932,FIND("º",SUBSTITUTE(E3932,"°","º"))-1)),""))))</f>
        <v/>
      </c>
      <c r="O3932" s="2">
        <f>IF(OR(F3932="",G3932=""),"",IF(G3932&lt;='RETRATO 2027'!$K$5,"CONCLUÍDA",IF(F3932&lt;='RETRATO 2027'!$K$5,"EM ANDAMENTO","A INICIAR")))</f>
        <v/>
      </c>
    </row>
    <row r="3933">
      <c r="M3933" s="2">
        <f>IF(C3933="","",IFERROR(INDEX($S$5:$S$304,MATCH(C3933,$R$5:$R$304,0))&amp;"","?"))</f>
        <v/>
      </c>
      <c r="N3933" s="2">
        <f>IF(E3933="","",IF(ISNUMBER(SEARCH("SUBSOLO",E3933)),IFERROR(-VALUE(LEFT(E3933,FIND("º",SUBSTITUTE(E3933,"°","º"))-1)),-1),IF(LEFT(E3933,6)="TÉRREO",0,IFERROR(VALUE(LEFT(E3933,FIND("º",SUBSTITUTE(E3933,"°","º"))-1)),""))))</f>
        <v/>
      </c>
      <c r="O3933" s="2">
        <f>IF(OR(F3933="",G3933=""),"",IF(G3933&lt;='RETRATO 2027'!$K$5,"CONCLUÍDA",IF(F3933&lt;='RETRATO 2027'!$K$5,"EM ANDAMENTO","A INICIAR")))</f>
        <v/>
      </c>
    </row>
    <row r="3934">
      <c r="M3934" s="2">
        <f>IF(C3934="","",IFERROR(INDEX($S$5:$S$304,MATCH(C3934,$R$5:$R$304,0))&amp;"","?"))</f>
        <v/>
      </c>
      <c r="N3934" s="2">
        <f>IF(E3934="","",IF(ISNUMBER(SEARCH("SUBSOLO",E3934)),IFERROR(-VALUE(LEFT(E3934,FIND("º",SUBSTITUTE(E3934,"°","º"))-1)),-1),IF(LEFT(E3934,6)="TÉRREO",0,IFERROR(VALUE(LEFT(E3934,FIND("º",SUBSTITUTE(E3934,"°","º"))-1)),""))))</f>
        <v/>
      </c>
      <c r="O3934" s="2">
        <f>IF(OR(F3934="",G3934=""),"",IF(G3934&lt;='RETRATO 2027'!$K$5,"CONCLUÍDA",IF(F3934&lt;='RETRATO 2027'!$K$5,"EM ANDAMENTO","A INICIAR")))</f>
        <v/>
      </c>
    </row>
    <row r="3935">
      <c r="M3935" s="2">
        <f>IF(C3935="","",IFERROR(INDEX($S$5:$S$304,MATCH(C3935,$R$5:$R$304,0))&amp;"","?"))</f>
        <v/>
      </c>
      <c r="N3935" s="2">
        <f>IF(E3935="","",IF(ISNUMBER(SEARCH("SUBSOLO",E3935)),IFERROR(-VALUE(LEFT(E3935,FIND("º",SUBSTITUTE(E3935,"°","º"))-1)),-1),IF(LEFT(E3935,6)="TÉRREO",0,IFERROR(VALUE(LEFT(E3935,FIND("º",SUBSTITUTE(E3935,"°","º"))-1)),""))))</f>
        <v/>
      </c>
      <c r="O3935" s="2">
        <f>IF(OR(F3935="",G3935=""),"",IF(G3935&lt;='RETRATO 2027'!$K$5,"CONCLUÍDA",IF(F3935&lt;='RETRATO 2027'!$K$5,"EM ANDAMENTO","A INICIAR")))</f>
        <v/>
      </c>
    </row>
    <row r="3936">
      <c r="M3936" s="2">
        <f>IF(C3936="","",IFERROR(INDEX($S$5:$S$304,MATCH(C3936,$R$5:$R$304,0))&amp;"","?"))</f>
        <v/>
      </c>
      <c r="N3936" s="2">
        <f>IF(E3936="","",IF(ISNUMBER(SEARCH("SUBSOLO",E3936)),IFERROR(-VALUE(LEFT(E3936,FIND("º",SUBSTITUTE(E3936,"°","º"))-1)),-1),IF(LEFT(E3936,6)="TÉRREO",0,IFERROR(VALUE(LEFT(E3936,FIND("º",SUBSTITUTE(E3936,"°","º"))-1)),""))))</f>
        <v/>
      </c>
      <c r="O3936" s="2">
        <f>IF(OR(F3936="",G3936=""),"",IF(G3936&lt;='RETRATO 2027'!$K$5,"CONCLUÍDA",IF(F3936&lt;='RETRATO 2027'!$K$5,"EM ANDAMENTO","A INICIAR")))</f>
        <v/>
      </c>
    </row>
    <row r="3937">
      <c r="M3937" s="2">
        <f>IF(C3937="","",IFERROR(INDEX($S$5:$S$304,MATCH(C3937,$R$5:$R$304,0))&amp;"","?"))</f>
        <v/>
      </c>
      <c r="N3937" s="2">
        <f>IF(E3937="","",IF(ISNUMBER(SEARCH("SUBSOLO",E3937)),IFERROR(-VALUE(LEFT(E3937,FIND("º",SUBSTITUTE(E3937,"°","º"))-1)),-1),IF(LEFT(E3937,6)="TÉRREO",0,IFERROR(VALUE(LEFT(E3937,FIND("º",SUBSTITUTE(E3937,"°","º"))-1)),""))))</f>
        <v/>
      </c>
      <c r="O3937" s="2">
        <f>IF(OR(F3937="",G3937=""),"",IF(G3937&lt;='RETRATO 2027'!$K$5,"CONCLUÍDA",IF(F3937&lt;='RETRATO 2027'!$K$5,"EM ANDAMENTO","A INICIAR")))</f>
        <v/>
      </c>
    </row>
    <row r="3938">
      <c r="M3938" s="2">
        <f>IF(C3938="","",IFERROR(INDEX($S$5:$S$304,MATCH(C3938,$R$5:$R$304,0))&amp;"","?"))</f>
        <v/>
      </c>
      <c r="N3938" s="2">
        <f>IF(E3938="","",IF(ISNUMBER(SEARCH("SUBSOLO",E3938)),IFERROR(-VALUE(LEFT(E3938,FIND("º",SUBSTITUTE(E3938,"°","º"))-1)),-1),IF(LEFT(E3938,6)="TÉRREO",0,IFERROR(VALUE(LEFT(E3938,FIND("º",SUBSTITUTE(E3938,"°","º"))-1)),""))))</f>
        <v/>
      </c>
      <c r="O3938" s="2">
        <f>IF(OR(F3938="",G3938=""),"",IF(G3938&lt;='RETRATO 2027'!$K$5,"CONCLUÍDA",IF(F3938&lt;='RETRATO 2027'!$K$5,"EM ANDAMENTO","A INICIAR")))</f>
        <v/>
      </c>
    </row>
    <row r="3939">
      <c r="M3939" s="2">
        <f>IF(C3939="","",IFERROR(INDEX($S$5:$S$304,MATCH(C3939,$R$5:$R$304,0))&amp;"","?"))</f>
        <v/>
      </c>
      <c r="N3939" s="2">
        <f>IF(E3939="","",IF(ISNUMBER(SEARCH("SUBSOLO",E3939)),IFERROR(-VALUE(LEFT(E3939,FIND("º",SUBSTITUTE(E3939,"°","º"))-1)),-1),IF(LEFT(E3939,6)="TÉRREO",0,IFERROR(VALUE(LEFT(E3939,FIND("º",SUBSTITUTE(E3939,"°","º"))-1)),""))))</f>
        <v/>
      </c>
      <c r="O3939" s="2">
        <f>IF(OR(F3939="",G3939=""),"",IF(G3939&lt;='RETRATO 2027'!$K$5,"CONCLUÍDA",IF(F3939&lt;='RETRATO 2027'!$K$5,"EM ANDAMENTO","A INICIAR")))</f>
        <v/>
      </c>
    </row>
    <row r="3940">
      <c r="M3940" s="2">
        <f>IF(C3940="","",IFERROR(INDEX($S$5:$S$304,MATCH(C3940,$R$5:$R$304,0))&amp;"","?"))</f>
        <v/>
      </c>
      <c r="N3940" s="2">
        <f>IF(E3940="","",IF(ISNUMBER(SEARCH("SUBSOLO",E3940)),IFERROR(-VALUE(LEFT(E3940,FIND("º",SUBSTITUTE(E3940,"°","º"))-1)),-1),IF(LEFT(E3940,6)="TÉRREO",0,IFERROR(VALUE(LEFT(E3940,FIND("º",SUBSTITUTE(E3940,"°","º"))-1)),""))))</f>
        <v/>
      </c>
      <c r="O3940" s="2">
        <f>IF(OR(F3940="",G3940=""),"",IF(G3940&lt;='RETRATO 2027'!$K$5,"CONCLUÍDA",IF(F3940&lt;='RETRATO 2027'!$K$5,"EM ANDAMENTO","A INICIAR")))</f>
        <v/>
      </c>
    </row>
    <row r="3941">
      <c r="M3941" s="2">
        <f>IF(C3941="","",IFERROR(INDEX($S$5:$S$304,MATCH(C3941,$R$5:$R$304,0))&amp;"","?"))</f>
        <v/>
      </c>
      <c r="N3941" s="2">
        <f>IF(E3941="","",IF(ISNUMBER(SEARCH("SUBSOLO",E3941)),IFERROR(-VALUE(LEFT(E3941,FIND("º",SUBSTITUTE(E3941,"°","º"))-1)),-1),IF(LEFT(E3941,6)="TÉRREO",0,IFERROR(VALUE(LEFT(E3941,FIND("º",SUBSTITUTE(E3941,"°","º"))-1)),""))))</f>
        <v/>
      </c>
      <c r="O3941" s="2">
        <f>IF(OR(F3941="",G3941=""),"",IF(G3941&lt;='RETRATO 2027'!$K$5,"CONCLUÍDA",IF(F3941&lt;='RETRATO 2027'!$K$5,"EM ANDAMENTO","A INICIAR")))</f>
        <v/>
      </c>
    </row>
    <row r="3942">
      <c r="M3942" s="2">
        <f>IF(C3942="","",IFERROR(INDEX($S$5:$S$304,MATCH(C3942,$R$5:$R$304,0))&amp;"","?"))</f>
        <v/>
      </c>
      <c r="N3942" s="2">
        <f>IF(E3942="","",IF(ISNUMBER(SEARCH("SUBSOLO",E3942)),IFERROR(-VALUE(LEFT(E3942,FIND("º",SUBSTITUTE(E3942,"°","º"))-1)),-1),IF(LEFT(E3942,6)="TÉRREO",0,IFERROR(VALUE(LEFT(E3942,FIND("º",SUBSTITUTE(E3942,"°","º"))-1)),""))))</f>
        <v/>
      </c>
      <c r="O3942" s="2">
        <f>IF(OR(F3942="",G3942=""),"",IF(G3942&lt;='RETRATO 2027'!$K$5,"CONCLUÍDA",IF(F3942&lt;='RETRATO 2027'!$K$5,"EM ANDAMENTO","A INICIAR")))</f>
        <v/>
      </c>
    </row>
    <row r="3943">
      <c r="M3943" s="2">
        <f>IF(C3943="","",IFERROR(INDEX($S$5:$S$304,MATCH(C3943,$R$5:$R$304,0))&amp;"","?"))</f>
        <v/>
      </c>
      <c r="N3943" s="2">
        <f>IF(E3943="","",IF(ISNUMBER(SEARCH("SUBSOLO",E3943)),IFERROR(-VALUE(LEFT(E3943,FIND("º",SUBSTITUTE(E3943,"°","º"))-1)),-1),IF(LEFT(E3943,6)="TÉRREO",0,IFERROR(VALUE(LEFT(E3943,FIND("º",SUBSTITUTE(E3943,"°","º"))-1)),""))))</f>
        <v/>
      </c>
      <c r="O3943" s="2">
        <f>IF(OR(F3943="",G3943=""),"",IF(G3943&lt;='RETRATO 2027'!$K$5,"CONCLUÍDA",IF(F3943&lt;='RETRATO 2027'!$K$5,"EM ANDAMENTO","A INICIAR")))</f>
        <v/>
      </c>
    </row>
    <row r="3944">
      <c r="M3944" s="2">
        <f>IF(C3944="","",IFERROR(INDEX($S$5:$S$304,MATCH(C3944,$R$5:$R$304,0))&amp;"","?"))</f>
        <v/>
      </c>
      <c r="N3944" s="2">
        <f>IF(E3944="","",IF(ISNUMBER(SEARCH("SUBSOLO",E3944)),IFERROR(-VALUE(LEFT(E3944,FIND("º",SUBSTITUTE(E3944,"°","º"))-1)),-1),IF(LEFT(E3944,6)="TÉRREO",0,IFERROR(VALUE(LEFT(E3944,FIND("º",SUBSTITUTE(E3944,"°","º"))-1)),""))))</f>
        <v/>
      </c>
      <c r="O3944" s="2">
        <f>IF(OR(F3944="",G3944=""),"",IF(G3944&lt;='RETRATO 2027'!$K$5,"CONCLUÍDA",IF(F3944&lt;='RETRATO 2027'!$K$5,"EM ANDAMENTO","A INICIAR")))</f>
        <v/>
      </c>
    </row>
    <row r="3945">
      <c r="M3945" s="2">
        <f>IF(C3945="","",IFERROR(INDEX($S$5:$S$304,MATCH(C3945,$R$5:$R$304,0))&amp;"","?"))</f>
        <v/>
      </c>
      <c r="N3945" s="2">
        <f>IF(E3945="","",IF(ISNUMBER(SEARCH("SUBSOLO",E3945)),IFERROR(-VALUE(LEFT(E3945,FIND("º",SUBSTITUTE(E3945,"°","º"))-1)),-1),IF(LEFT(E3945,6)="TÉRREO",0,IFERROR(VALUE(LEFT(E3945,FIND("º",SUBSTITUTE(E3945,"°","º"))-1)),""))))</f>
        <v/>
      </c>
      <c r="O3945" s="2">
        <f>IF(OR(F3945="",G3945=""),"",IF(G3945&lt;='RETRATO 2027'!$K$5,"CONCLUÍDA",IF(F3945&lt;='RETRATO 2027'!$K$5,"EM ANDAMENTO","A INICIAR")))</f>
        <v/>
      </c>
    </row>
    <row r="3946">
      <c r="M3946" s="2">
        <f>IF(C3946="","",IFERROR(INDEX($S$5:$S$304,MATCH(C3946,$R$5:$R$304,0))&amp;"","?"))</f>
        <v/>
      </c>
      <c r="N3946" s="2">
        <f>IF(E3946="","",IF(ISNUMBER(SEARCH("SUBSOLO",E3946)),IFERROR(-VALUE(LEFT(E3946,FIND("º",SUBSTITUTE(E3946,"°","º"))-1)),-1),IF(LEFT(E3946,6)="TÉRREO",0,IFERROR(VALUE(LEFT(E3946,FIND("º",SUBSTITUTE(E3946,"°","º"))-1)),""))))</f>
        <v/>
      </c>
      <c r="O3946" s="2">
        <f>IF(OR(F3946="",G3946=""),"",IF(G3946&lt;='RETRATO 2027'!$K$5,"CONCLUÍDA",IF(F3946&lt;='RETRATO 2027'!$K$5,"EM ANDAMENTO","A INICIAR")))</f>
        <v/>
      </c>
    </row>
    <row r="3947">
      <c r="M3947" s="2">
        <f>IF(C3947="","",IFERROR(INDEX($S$5:$S$304,MATCH(C3947,$R$5:$R$304,0))&amp;"","?"))</f>
        <v/>
      </c>
      <c r="N3947" s="2">
        <f>IF(E3947="","",IF(ISNUMBER(SEARCH("SUBSOLO",E3947)),IFERROR(-VALUE(LEFT(E3947,FIND("º",SUBSTITUTE(E3947,"°","º"))-1)),-1),IF(LEFT(E3947,6)="TÉRREO",0,IFERROR(VALUE(LEFT(E3947,FIND("º",SUBSTITUTE(E3947,"°","º"))-1)),""))))</f>
        <v/>
      </c>
      <c r="O3947" s="2">
        <f>IF(OR(F3947="",G3947=""),"",IF(G3947&lt;='RETRATO 2027'!$K$5,"CONCLUÍDA",IF(F3947&lt;='RETRATO 2027'!$K$5,"EM ANDAMENTO","A INICIAR")))</f>
        <v/>
      </c>
    </row>
    <row r="3948">
      <c r="M3948" s="2">
        <f>IF(C3948="","",IFERROR(INDEX($S$5:$S$304,MATCH(C3948,$R$5:$R$304,0))&amp;"","?"))</f>
        <v/>
      </c>
      <c r="N3948" s="2">
        <f>IF(E3948="","",IF(ISNUMBER(SEARCH("SUBSOLO",E3948)),IFERROR(-VALUE(LEFT(E3948,FIND("º",SUBSTITUTE(E3948,"°","º"))-1)),-1),IF(LEFT(E3948,6)="TÉRREO",0,IFERROR(VALUE(LEFT(E3948,FIND("º",SUBSTITUTE(E3948,"°","º"))-1)),""))))</f>
        <v/>
      </c>
      <c r="O3948" s="2">
        <f>IF(OR(F3948="",G3948=""),"",IF(G3948&lt;='RETRATO 2027'!$K$5,"CONCLUÍDA",IF(F3948&lt;='RETRATO 2027'!$K$5,"EM ANDAMENTO","A INICIAR")))</f>
        <v/>
      </c>
    </row>
    <row r="3949">
      <c r="M3949" s="2">
        <f>IF(C3949="","",IFERROR(INDEX($S$5:$S$304,MATCH(C3949,$R$5:$R$304,0))&amp;"","?"))</f>
        <v/>
      </c>
      <c r="N3949" s="2">
        <f>IF(E3949="","",IF(ISNUMBER(SEARCH("SUBSOLO",E3949)),IFERROR(-VALUE(LEFT(E3949,FIND("º",SUBSTITUTE(E3949,"°","º"))-1)),-1),IF(LEFT(E3949,6)="TÉRREO",0,IFERROR(VALUE(LEFT(E3949,FIND("º",SUBSTITUTE(E3949,"°","º"))-1)),""))))</f>
        <v/>
      </c>
      <c r="O3949" s="2">
        <f>IF(OR(F3949="",G3949=""),"",IF(G3949&lt;='RETRATO 2027'!$K$5,"CONCLUÍDA",IF(F3949&lt;='RETRATO 2027'!$K$5,"EM ANDAMENTO","A INICIAR")))</f>
        <v/>
      </c>
    </row>
    <row r="3950">
      <c r="M3950" s="2">
        <f>IF(C3950="","",IFERROR(INDEX($S$5:$S$304,MATCH(C3950,$R$5:$R$304,0))&amp;"","?"))</f>
        <v/>
      </c>
      <c r="N3950" s="2">
        <f>IF(E3950="","",IF(ISNUMBER(SEARCH("SUBSOLO",E3950)),IFERROR(-VALUE(LEFT(E3950,FIND("º",SUBSTITUTE(E3950,"°","º"))-1)),-1),IF(LEFT(E3950,6)="TÉRREO",0,IFERROR(VALUE(LEFT(E3950,FIND("º",SUBSTITUTE(E3950,"°","º"))-1)),""))))</f>
        <v/>
      </c>
      <c r="O3950" s="2">
        <f>IF(OR(F3950="",G3950=""),"",IF(G3950&lt;='RETRATO 2027'!$K$5,"CONCLUÍDA",IF(F3950&lt;='RETRATO 2027'!$K$5,"EM ANDAMENTO","A INICIAR")))</f>
        <v/>
      </c>
    </row>
    <row r="3951">
      <c r="M3951" s="2">
        <f>IF(C3951="","",IFERROR(INDEX($S$5:$S$304,MATCH(C3951,$R$5:$R$304,0))&amp;"","?"))</f>
        <v/>
      </c>
      <c r="N3951" s="2">
        <f>IF(E3951="","",IF(ISNUMBER(SEARCH("SUBSOLO",E3951)),IFERROR(-VALUE(LEFT(E3951,FIND("º",SUBSTITUTE(E3951,"°","º"))-1)),-1),IF(LEFT(E3951,6)="TÉRREO",0,IFERROR(VALUE(LEFT(E3951,FIND("º",SUBSTITUTE(E3951,"°","º"))-1)),""))))</f>
        <v/>
      </c>
      <c r="O3951" s="2">
        <f>IF(OR(F3951="",G3951=""),"",IF(G3951&lt;='RETRATO 2027'!$K$5,"CONCLUÍDA",IF(F3951&lt;='RETRATO 2027'!$K$5,"EM ANDAMENTO","A INICIAR")))</f>
        <v/>
      </c>
    </row>
    <row r="3952">
      <c r="M3952" s="2">
        <f>IF(C3952="","",IFERROR(INDEX($S$5:$S$304,MATCH(C3952,$R$5:$R$304,0))&amp;"","?"))</f>
        <v/>
      </c>
      <c r="N3952" s="2">
        <f>IF(E3952="","",IF(ISNUMBER(SEARCH("SUBSOLO",E3952)),IFERROR(-VALUE(LEFT(E3952,FIND("º",SUBSTITUTE(E3952,"°","º"))-1)),-1),IF(LEFT(E3952,6)="TÉRREO",0,IFERROR(VALUE(LEFT(E3952,FIND("º",SUBSTITUTE(E3952,"°","º"))-1)),""))))</f>
        <v/>
      </c>
      <c r="O3952" s="2">
        <f>IF(OR(F3952="",G3952=""),"",IF(G3952&lt;='RETRATO 2027'!$K$5,"CONCLUÍDA",IF(F3952&lt;='RETRATO 2027'!$K$5,"EM ANDAMENTO","A INICIAR")))</f>
        <v/>
      </c>
    </row>
    <row r="3953">
      <c r="M3953" s="2">
        <f>IF(C3953="","",IFERROR(INDEX($S$5:$S$304,MATCH(C3953,$R$5:$R$304,0))&amp;"","?"))</f>
        <v/>
      </c>
      <c r="N3953" s="2">
        <f>IF(E3953="","",IF(ISNUMBER(SEARCH("SUBSOLO",E3953)),IFERROR(-VALUE(LEFT(E3953,FIND("º",SUBSTITUTE(E3953,"°","º"))-1)),-1),IF(LEFT(E3953,6)="TÉRREO",0,IFERROR(VALUE(LEFT(E3953,FIND("º",SUBSTITUTE(E3953,"°","º"))-1)),""))))</f>
        <v/>
      </c>
      <c r="O3953" s="2">
        <f>IF(OR(F3953="",G3953=""),"",IF(G3953&lt;='RETRATO 2027'!$K$5,"CONCLUÍDA",IF(F3953&lt;='RETRATO 2027'!$K$5,"EM ANDAMENTO","A INICIAR")))</f>
        <v/>
      </c>
    </row>
    <row r="3954">
      <c r="M3954" s="2">
        <f>IF(C3954="","",IFERROR(INDEX($S$5:$S$304,MATCH(C3954,$R$5:$R$304,0))&amp;"","?"))</f>
        <v/>
      </c>
      <c r="N3954" s="2">
        <f>IF(E3954="","",IF(ISNUMBER(SEARCH("SUBSOLO",E3954)),IFERROR(-VALUE(LEFT(E3954,FIND("º",SUBSTITUTE(E3954,"°","º"))-1)),-1),IF(LEFT(E3954,6)="TÉRREO",0,IFERROR(VALUE(LEFT(E3954,FIND("º",SUBSTITUTE(E3954,"°","º"))-1)),""))))</f>
        <v/>
      </c>
      <c r="O3954" s="2">
        <f>IF(OR(F3954="",G3954=""),"",IF(G3954&lt;='RETRATO 2027'!$K$5,"CONCLUÍDA",IF(F3954&lt;='RETRATO 2027'!$K$5,"EM ANDAMENTO","A INICIAR")))</f>
        <v/>
      </c>
    </row>
    <row r="3955">
      <c r="M3955" s="2">
        <f>IF(C3955="","",IFERROR(INDEX($S$5:$S$304,MATCH(C3955,$R$5:$R$304,0))&amp;"","?"))</f>
        <v/>
      </c>
      <c r="N3955" s="2">
        <f>IF(E3955="","",IF(ISNUMBER(SEARCH("SUBSOLO",E3955)),IFERROR(-VALUE(LEFT(E3955,FIND("º",SUBSTITUTE(E3955,"°","º"))-1)),-1),IF(LEFT(E3955,6)="TÉRREO",0,IFERROR(VALUE(LEFT(E3955,FIND("º",SUBSTITUTE(E3955,"°","º"))-1)),""))))</f>
        <v/>
      </c>
      <c r="O3955" s="2">
        <f>IF(OR(F3955="",G3955=""),"",IF(G3955&lt;='RETRATO 2027'!$K$5,"CONCLUÍDA",IF(F3955&lt;='RETRATO 2027'!$K$5,"EM ANDAMENTO","A INICIAR")))</f>
        <v/>
      </c>
    </row>
    <row r="3956">
      <c r="M3956" s="2">
        <f>IF(C3956="","",IFERROR(INDEX($S$5:$S$304,MATCH(C3956,$R$5:$R$304,0))&amp;"","?"))</f>
        <v/>
      </c>
      <c r="N3956" s="2">
        <f>IF(E3956="","",IF(ISNUMBER(SEARCH("SUBSOLO",E3956)),IFERROR(-VALUE(LEFT(E3956,FIND("º",SUBSTITUTE(E3956,"°","º"))-1)),-1),IF(LEFT(E3956,6)="TÉRREO",0,IFERROR(VALUE(LEFT(E3956,FIND("º",SUBSTITUTE(E3956,"°","º"))-1)),""))))</f>
        <v/>
      </c>
      <c r="O3956" s="2">
        <f>IF(OR(F3956="",G3956=""),"",IF(G3956&lt;='RETRATO 2027'!$K$5,"CONCLUÍDA",IF(F3956&lt;='RETRATO 2027'!$K$5,"EM ANDAMENTO","A INICIAR")))</f>
        <v/>
      </c>
    </row>
    <row r="3957">
      <c r="M3957" s="2">
        <f>IF(C3957="","",IFERROR(INDEX($S$5:$S$304,MATCH(C3957,$R$5:$R$304,0))&amp;"","?"))</f>
        <v/>
      </c>
      <c r="N3957" s="2">
        <f>IF(E3957="","",IF(ISNUMBER(SEARCH("SUBSOLO",E3957)),IFERROR(-VALUE(LEFT(E3957,FIND("º",SUBSTITUTE(E3957,"°","º"))-1)),-1),IF(LEFT(E3957,6)="TÉRREO",0,IFERROR(VALUE(LEFT(E3957,FIND("º",SUBSTITUTE(E3957,"°","º"))-1)),""))))</f>
        <v/>
      </c>
      <c r="O3957" s="2">
        <f>IF(OR(F3957="",G3957=""),"",IF(G3957&lt;='RETRATO 2027'!$K$5,"CONCLUÍDA",IF(F3957&lt;='RETRATO 2027'!$K$5,"EM ANDAMENTO","A INICIAR")))</f>
        <v/>
      </c>
    </row>
    <row r="3958">
      <c r="M3958" s="2">
        <f>IF(C3958="","",IFERROR(INDEX($S$5:$S$304,MATCH(C3958,$R$5:$R$304,0))&amp;"","?"))</f>
        <v/>
      </c>
      <c r="N3958" s="2">
        <f>IF(E3958="","",IF(ISNUMBER(SEARCH("SUBSOLO",E3958)),IFERROR(-VALUE(LEFT(E3958,FIND("º",SUBSTITUTE(E3958,"°","º"))-1)),-1),IF(LEFT(E3958,6)="TÉRREO",0,IFERROR(VALUE(LEFT(E3958,FIND("º",SUBSTITUTE(E3958,"°","º"))-1)),""))))</f>
        <v/>
      </c>
      <c r="O3958" s="2">
        <f>IF(OR(F3958="",G3958=""),"",IF(G3958&lt;='RETRATO 2027'!$K$5,"CONCLUÍDA",IF(F3958&lt;='RETRATO 2027'!$K$5,"EM ANDAMENTO","A INICIAR")))</f>
        <v/>
      </c>
    </row>
    <row r="3959">
      <c r="M3959" s="2">
        <f>IF(C3959="","",IFERROR(INDEX($S$5:$S$304,MATCH(C3959,$R$5:$R$304,0))&amp;"","?"))</f>
        <v/>
      </c>
      <c r="N3959" s="2">
        <f>IF(E3959="","",IF(ISNUMBER(SEARCH("SUBSOLO",E3959)),IFERROR(-VALUE(LEFT(E3959,FIND("º",SUBSTITUTE(E3959,"°","º"))-1)),-1),IF(LEFT(E3959,6)="TÉRREO",0,IFERROR(VALUE(LEFT(E3959,FIND("º",SUBSTITUTE(E3959,"°","º"))-1)),""))))</f>
        <v/>
      </c>
      <c r="O3959" s="2">
        <f>IF(OR(F3959="",G3959=""),"",IF(G3959&lt;='RETRATO 2027'!$K$5,"CONCLUÍDA",IF(F3959&lt;='RETRATO 2027'!$K$5,"EM ANDAMENTO","A INICIAR")))</f>
        <v/>
      </c>
    </row>
    <row r="3960">
      <c r="M3960" s="2">
        <f>IF(C3960="","",IFERROR(INDEX($S$5:$S$304,MATCH(C3960,$R$5:$R$304,0))&amp;"","?"))</f>
        <v/>
      </c>
      <c r="N3960" s="2">
        <f>IF(E3960="","",IF(ISNUMBER(SEARCH("SUBSOLO",E3960)),IFERROR(-VALUE(LEFT(E3960,FIND("º",SUBSTITUTE(E3960,"°","º"))-1)),-1),IF(LEFT(E3960,6)="TÉRREO",0,IFERROR(VALUE(LEFT(E3960,FIND("º",SUBSTITUTE(E3960,"°","º"))-1)),""))))</f>
        <v/>
      </c>
      <c r="O3960" s="2">
        <f>IF(OR(F3960="",G3960=""),"",IF(G3960&lt;='RETRATO 2027'!$K$5,"CONCLUÍDA",IF(F3960&lt;='RETRATO 2027'!$K$5,"EM ANDAMENTO","A INICIAR")))</f>
        <v/>
      </c>
    </row>
    <row r="3961">
      <c r="M3961" s="2">
        <f>IF(C3961="","",IFERROR(INDEX($S$5:$S$304,MATCH(C3961,$R$5:$R$304,0))&amp;"","?"))</f>
        <v/>
      </c>
      <c r="N3961" s="2">
        <f>IF(E3961="","",IF(ISNUMBER(SEARCH("SUBSOLO",E3961)),IFERROR(-VALUE(LEFT(E3961,FIND("º",SUBSTITUTE(E3961,"°","º"))-1)),-1),IF(LEFT(E3961,6)="TÉRREO",0,IFERROR(VALUE(LEFT(E3961,FIND("º",SUBSTITUTE(E3961,"°","º"))-1)),""))))</f>
        <v/>
      </c>
      <c r="O3961" s="2">
        <f>IF(OR(F3961="",G3961=""),"",IF(G3961&lt;='RETRATO 2027'!$K$5,"CONCLUÍDA",IF(F3961&lt;='RETRATO 2027'!$K$5,"EM ANDAMENTO","A INICIAR")))</f>
        <v/>
      </c>
    </row>
    <row r="3962">
      <c r="M3962" s="2">
        <f>IF(C3962="","",IFERROR(INDEX($S$5:$S$304,MATCH(C3962,$R$5:$R$304,0))&amp;"","?"))</f>
        <v/>
      </c>
      <c r="N3962" s="2">
        <f>IF(E3962="","",IF(ISNUMBER(SEARCH("SUBSOLO",E3962)),IFERROR(-VALUE(LEFT(E3962,FIND("º",SUBSTITUTE(E3962,"°","º"))-1)),-1),IF(LEFT(E3962,6)="TÉRREO",0,IFERROR(VALUE(LEFT(E3962,FIND("º",SUBSTITUTE(E3962,"°","º"))-1)),""))))</f>
        <v/>
      </c>
      <c r="O3962" s="2">
        <f>IF(OR(F3962="",G3962=""),"",IF(G3962&lt;='RETRATO 2027'!$K$5,"CONCLUÍDA",IF(F3962&lt;='RETRATO 2027'!$K$5,"EM ANDAMENTO","A INICIAR")))</f>
        <v/>
      </c>
    </row>
    <row r="3963">
      <c r="M3963" s="2">
        <f>IF(C3963="","",IFERROR(INDEX($S$5:$S$304,MATCH(C3963,$R$5:$R$304,0))&amp;"","?"))</f>
        <v/>
      </c>
      <c r="N3963" s="2">
        <f>IF(E3963="","",IF(ISNUMBER(SEARCH("SUBSOLO",E3963)),IFERROR(-VALUE(LEFT(E3963,FIND("º",SUBSTITUTE(E3963,"°","º"))-1)),-1),IF(LEFT(E3963,6)="TÉRREO",0,IFERROR(VALUE(LEFT(E3963,FIND("º",SUBSTITUTE(E3963,"°","º"))-1)),""))))</f>
        <v/>
      </c>
      <c r="O3963" s="2">
        <f>IF(OR(F3963="",G3963=""),"",IF(G3963&lt;='RETRATO 2027'!$K$5,"CONCLUÍDA",IF(F3963&lt;='RETRATO 2027'!$K$5,"EM ANDAMENTO","A INICIAR")))</f>
        <v/>
      </c>
    </row>
    <row r="3964">
      <c r="M3964" s="2">
        <f>IF(C3964="","",IFERROR(INDEX($S$5:$S$304,MATCH(C3964,$R$5:$R$304,0))&amp;"","?"))</f>
        <v/>
      </c>
      <c r="N3964" s="2">
        <f>IF(E3964="","",IF(ISNUMBER(SEARCH("SUBSOLO",E3964)),IFERROR(-VALUE(LEFT(E3964,FIND("º",SUBSTITUTE(E3964,"°","º"))-1)),-1),IF(LEFT(E3964,6)="TÉRREO",0,IFERROR(VALUE(LEFT(E3964,FIND("º",SUBSTITUTE(E3964,"°","º"))-1)),""))))</f>
        <v/>
      </c>
      <c r="O3964" s="2">
        <f>IF(OR(F3964="",G3964=""),"",IF(G3964&lt;='RETRATO 2027'!$K$5,"CONCLUÍDA",IF(F3964&lt;='RETRATO 2027'!$K$5,"EM ANDAMENTO","A INICIAR")))</f>
        <v/>
      </c>
    </row>
    <row r="3965">
      <c r="M3965" s="2">
        <f>IF(C3965="","",IFERROR(INDEX($S$5:$S$304,MATCH(C3965,$R$5:$R$304,0))&amp;"","?"))</f>
        <v/>
      </c>
      <c r="N3965" s="2">
        <f>IF(E3965="","",IF(ISNUMBER(SEARCH("SUBSOLO",E3965)),IFERROR(-VALUE(LEFT(E3965,FIND("º",SUBSTITUTE(E3965,"°","º"))-1)),-1),IF(LEFT(E3965,6)="TÉRREO",0,IFERROR(VALUE(LEFT(E3965,FIND("º",SUBSTITUTE(E3965,"°","º"))-1)),""))))</f>
        <v/>
      </c>
      <c r="O3965" s="2">
        <f>IF(OR(F3965="",G3965=""),"",IF(G3965&lt;='RETRATO 2027'!$K$5,"CONCLUÍDA",IF(F3965&lt;='RETRATO 2027'!$K$5,"EM ANDAMENTO","A INICIAR")))</f>
        <v/>
      </c>
    </row>
    <row r="3966">
      <c r="M3966" s="2">
        <f>IF(C3966="","",IFERROR(INDEX($S$5:$S$304,MATCH(C3966,$R$5:$R$304,0))&amp;"","?"))</f>
        <v/>
      </c>
      <c r="N3966" s="2">
        <f>IF(E3966="","",IF(ISNUMBER(SEARCH("SUBSOLO",E3966)),IFERROR(-VALUE(LEFT(E3966,FIND("º",SUBSTITUTE(E3966,"°","º"))-1)),-1),IF(LEFT(E3966,6)="TÉRREO",0,IFERROR(VALUE(LEFT(E3966,FIND("º",SUBSTITUTE(E3966,"°","º"))-1)),""))))</f>
        <v/>
      </c>
      <c r="O3966" s="2">
        <f>IF(OR(F3966="",G3966=""),"",IF(G3966&lt;='RETRATO 2027'!$K$5,"CONCLUÍDA",IF(F3966&lt;='RETRATO 2027'!$K$5,"EM ANDAMENTO","A INICIAR")))</f>
        <v/>
      </c>
    </row>
    <row r="3967">
      <c r="M3967" s="2">
        <f>IF(C3967="","",IFERROR(INDEX($S$5:$S$304,MATCH(C3967,$R$5:$R$304,0))&amp;"","?"))</f>
        <v/>
      </c>
      <c r="N3967" s="2">
        <f>IF(E3967="","",IF(ISNUMBER(SEARCH("SUBSOLO",E3967)),IFERROR(-VALUE(LEFT(E3967,FIND("º",SUBSTITUTE(E3967,"°","º"))-1)),-1),IF(LEFT(E3967,6)="TÉRREO",0,IFERROR(VALUE(LEFT(E3967,FIND("º",SUBSTITUTE(E3967,"°","º"))-1)),""))))</f>
        <v/>
      </c>
      <c r="O3967" s="2">
        <f>IF(OR(F3967="",G3967=""),"",IF(G3967&lt;='RETRATO 2027'!$K$5,"CONCLUÍDA",IF(F3967&lt;='RETRATO 2027'!$K$5,"EM ANDAMENTO","A INICIAR")))</f>
        <v/>
      </c>
    </row>
    <row r="3968">
      <c r="M3968" s="2">
        <f>IF(C3968="","",IFERROR(INDEX($S$5:$S$304,MATCH(C3968,$R$5:$R$304,0))&amp;"","?"))</f>
        <v/>
      </c>
      <c r="N3968" s="2">
        <f>IF(E3968="","",IF(ISNUMBER(SEARCH("SUBSOLO",E3968)),IFERROR(-VALUE(LEFT(E3968,FIND("º",SUBSTITUTE(E3968,"°","º"))-1)),-1),IF(LEFT(E3968,6)="TÉRREO",0,IFERROR(VALUE(LEFT(E3968,FIND("º",SUBSTITUTE(E3968,"°","º"))-1)),""))))</f>
        <v/>
      </c>
      <c r="O3968" s="2">
        <f>IF(OR(F3968="",G3968=""),"",IF(G3968&lt;='RETRATO 2027'!$K$5,"CONCLUÍDA",IF(F3968&lt;='RETRATO 2027'!$K$5,"EM ANDAMENTO","A INICIAR")))</f>
        <v/>
      </c>
    </row>
    <row r="3969">
      <c r="M3969" s="2">
        <f>IF(C3969="","",IFERROR(INDEX($S$5:$S$304,MATCH(C3969,$R$5:$R$304,0))&amp;"","?"))</f>
        <v/>
      </c>
      <c r="N3969" s="2">
        <f>IF(E3969="","",IF(ISNUMBER(SEARCH("SUBSOLO",E3969)),IFERROR(-VALUE(LEFT(E3969,FIND("º",SUBSTITUTE(E3969,"°","º"))-1)),-1),IF(LEFT(E3969,6)="TÉRREO",0,IFERROR(VALUE(LEFT(E3969,FIND("º",SUBSTITUTE(E3969,"°","º"))-1)),""))))</f>
        <v/>
      </c>
      <c r="O3969" s="2">
        <f>IF(OR(F3969="",G3969=""),"",IF(G3969&lt;='RETRATO 2027'!$K$5,"CONCLUÍDA",IF(F3969&lt;='RETRATO 2027'!$K$5,"EM ANDAMENTO","A INICIAR")))</f>
        <v/>
      </c>
    </row>
    <row r="3970">
      <c r="M3970" s="2">
        <f>IF(C3970="","",IFERROR(INDEX($S$5:$S$304,MATCH(C3970,$R$5:$R$304,0))&amp;"","?"))</f>
        <v/>
      </c>
      <c r="N3970" s="2">
        <f>IF(E3970="","",IF(ISNUMBER(SEARCH("SUBSOLO",E3970)),IFERROR(-VALUE(LEFT(E3970,FIND("º",SUBSTITUTE(E3970,"°","º"))-1)),-1),IF(LEFT(E3970,6)="TÉRREO",0,IFERROR(VALUE(LEFT(E3970,FIND("º",SUBSTITUTE(E3970,"°","º"))-1)),""))))</f>
        <v/>
      </c>
      <c r="O3970" s="2">
        <f>IF(OR(F3970="",G3970=""),"",IF(G3970&lt;='RETRATO 2027'!$K$5,"CONCLUÍDA",IF(F3970&lt;='RETRATO 2027'!$K$5,"EM ANDAMENTO","A INICIAR")))</f>
        <v/>
      </c>
    </row>
    <row r="3971">
      <c r="M3971" s="2">
        <f>IF(C3971="","",IFERROR(INDEX($S$5:$S$304,MATCH(C3971,$R$5:$R$304,0))&amp;"","?"))</f>
        <v/>
      </c>
      <c r="N3971" s="2">
        <f>IF(E3971="","",IF(ISNUMBER(SEARCH("SUBSOLO",E3971)),IFERROR(-VALUE(LEFT(E3971,FIND("º",SUBSTITUTE(E3971,"°","º"))-1)),-1),IF(LEFT(E3971,6)="TÉRREO",0,IFERROR(VALUE(LEFT(E3971,FIND("º",SUBSTITUTE(E3971,"°","º"))-1)),""))))</f>
        <v/>
      </c>
      <c r="O3971" s="2">
        <f>IF(OR(F3971="",G3971=""),"",IF(G3971&lt;='RETRATO 2027'!$K$5,"CONCLUÍDA",IF(F3971&lt;='RETRATO 2027'!$K$5,"EM ANDAMENTO","A INICIAR")))</f>
        <v/>
      </c>
    </row>
    <row r="3972">
      <c r="M3972" s="2">
        <f>IF(C3972="","",IFERROR(INDEX($S$5:$S$304,MATCH(C3972,$R$5:$R$304,0))&amp;"","?"))</f>
        <v/>
      </c>
      <c r="N3972" s="2">
        <f>IF(E3972="","",IF(ISNUMBER(SEARCH("SUBSOLO",E3972)),IFERROR(-VALUE(LEFT(E3972,FIND("º",SUBSTITUTE(E3972,"°","º"))-1)),-1),IF(LEFT(E3972,6)="TÉRREO",0,IFERROR(VALUE(LEFT(E3972,FIND("º",SUBSTITUTE(E3972,"°","º"))-1)),""))))</f>
        <v/>
      </c>
      <c r="O3972" s="2">
        <f>IF(OR(F3972="",G3972=""),"",IF(G3972&lt;='RETRATO 2027'!$K$5,"CONCLUÍDA",IF(F3972&lt;='RETRATO 2027'!$K$5,"EM ANDAMENTO","A INICIAR")))</f>
        <v/>
      </c>
    </row>
    <row r="3973">
      <c r="M3973" s="2">
        <f>IF(C3973="","",IFERROR(INDEX($S$5:$S$304,MATCH(C3973,$R$5:$R$304,0))&amp;"","?"))</f>
        <v/>
      </c>
      <c r="N3973" s="2">
        <f>IF(E3973="","",IF(ISNUMBER(SEARCH("SUBSOLO",E3973)),IFERROR(-VALUE(LEFT(E3973,FIND("º",SUBSTITUTE(E3973,"°","º"))-1)),-1),IF(LEFT(E3973,6)="TÉRREO",0,IFERROR(VALUE(LEFT(E3973,FIND("º",SUBSTITUTE(E3973,"°","º"))-1)),""))))</f>
        <v/>
      </c>
      <c r="O3973" s="2">
        <f>IF(OR(F3973="",G3973=""),"",IF(G3973&lt;='RETRATO 2027'!$K$5,"CONCLUÍDA",IF(F3973&lt;='RETRATO 2027'!$K$5,"EM ANDAMENTO","A INICIAR")))</f>
        <v/>
      </c>
    </row>
    <row r="3974">
      <c r="M3974" s="2">
        <f>IF(C3974="","",IFERROR(INDEX($S$5:$S$304,MATCH(C3974,$R$5:$R$304,0))&amp;"","?"))</f>
        <v/>
      </c>
      <c r="N3974" s="2">
        <f>IF(E3974="","",IF(ISNUMBER(SEARCH("SUBSOLO",E3974)),IFERROR(-VALUE(LEFT(E3974,FIND("º",SUBSTITUTE(E3974,"°","º"))-1)),-1),IF(LEFT(E3974,6)="TÉRREO",0,IFERROR(VALUE(LEFT(E3974,FIND("º",SUBSTITUTE(E3974,"°","º"))-1)),""))))</f>
        <v/>
      </c>
      <c r="O3974" s="2">
        <f>IF(OR(F3974="",G3974=""),"",IF(G3974&lt;='RETRATO 2027'!$K$5,"CONCLUÍDA",IF(F3974&lt;='RETRATO 2027'!$K$5,"EM ANDAMENTO","A INICIAR")))</f>
        <v/>
      </c>
    </row>
    <row r="3975">
      <c r="M3975" s="2">
        <f>IF(C3975="","",IFERROR(INDEX($S$5:$S$304,MATCH(C3975,$R$5:$R$304,0))&amp;"","?"))</f>
        <v/>
      </c>
      <c r="N3975" s="2">
        <f>IF(E3975="","",IF(ISNUMBER(SEARCH("SUBSOLO",E3975)),IFERROR(-VALUE(LEFT(E3975,FIND("º",SUBSTITUTE(E3975,"°","º"))-1)),-1),IF(LEFT(E3975,6)="TÉRREO",0,IFERROR(VALUE(LEFT(E3975,FIND("º",SUBSTITUTE(E3975,"°","º"))-1)),""))))</f>
        <v/>
      </c>
      <c r="O3975" s="2">
        <f>IF(OR(F3975="",G3975=""),"",IF(G3975&lt;='RETRATO 2027'!$K$5,"CONCLUÍDA",IF(F3975&lt;='RETRATO 2027'!$K$5,"EM ANDAMENTO","A INICIAR")))</f>
        <v/>
      </c>
    </row>
    <row r="3976">
      <c r="M3976" s="2">
        <f>IF(C3976="","",IFERROR(INDEX($S$5:$S$304,MATCH(C3976,$R$5:$R$304,0))&amp;"","?"))</f>
        <v/>
      </c>
      <c r="N3976" s="2">
        <f>IF(E3976="","",IF(ISNUMBER(SEARCH("SUBSOLO",E3976)),IFERROR(-VALUE(LEFT(E3976,FIND("º",SUBSTITUTE(E3976,"°","º"))-1)),-1),IF(LEFT(E3976,6)="TÉRREO",0,IFERROR(VALUE(LEFT(E3976,FIND("º",SUBSTITUTE(E3976,"°","º"))-1)),""))))</f>
        <v/>
      </c>
      <c r="O3976" s="2">
        <f>IF(OR(F3976="",G3976=""),"",IF(G3976&lt;='RETRATO 2027'!$K$5,"CONCLUÍDA",IF(F3976&lt;='RETRATO 2027'!$K$5,"EM ANDAMENTO","A INICIAR")))</f>
        <v/>
      </c>
    </row>
    <row r="3977">
      <c r="M3977" s="2">
        <f>IF(C3977="","",IFERROR(INDEX($S$5:$S$304,MATCH(C3977,$R$5:$R$304,0))&amp;"","?"))</f>
        <v/>
      </c>
      <c r="N3977" s="2">
        <f>IF(E3977="","",IF(ISNUMBER(SEARCH("SUBSOLO",E3977)),IFERROR(-VALUE(LEFT(E3977,FIND("º",SUBSTITUTE(E3977,"°","º"))-1)),-1),IF(LEFT(E3977,6)="TÉRREO",0,IFERROR(VALUE(LEFT(E3977,FIND("º",SUBSTITUTE(E3977,"°","º"))-1)),""))))</f>
        <v/>
      </c>
      <c r="O3977" s="2">
        <f>IF(OR(F3977="",G3977=""),"",IF(G3977&lt;='RETRATO 2027'!$K$5,"CONCLUÍDA",IF(F3977&lt;='RETRATO 2027'!$K$5,"EM ANDAMENTO","A INICIAR")))</f>
        <v/>
      </c>
    </row>
    <row r="3978">
      <c r="M3978" s="2">
        <f>IF(C3978="","",IFERROR(INDEX($S$5:$S$304,MATCH(C3978,$R$5:$R$304,0))&amp;"","?"))</f>
        <v/>
      </c>
      <c r="N3978" s="2">
        <f>IF(E3978="","",IF(ISNUMBER(SEARCH("SUBSOLO",E3978)),IFERROR(-VALUE(LEFT(E3978,FIND("º",SUBSTITUTE(E3978,"°","º"))-1)),-1),IF(LEFT(E3978,6)="TÉRREO",0,IFERROR(VALUE(LEFT(E3978,FIND("º",SUBSTITUTE(E3978,"°","º"))-1)),""))))</f>
        <v/>
      </c>
      <c r="O3978" s="2">
        <f>IF(OR(F3978="",G3978=""),"",IF(G3978&lt;='RETRATO 2027'!$K$5,"CONCLUÍDA",IF(F3978&lt;='RETRATO 2027'!$K$5,"EM ANDAMENTO","A INICIAR")))</f>
        <v/>
      </c>
    </row>
    <row r="3979">
      <c r="M3979" s="2">
        <f>IF(C3979="","",IFERROR(INDEX($S$5:$S$304,MATCH(C3979,$R$5:$R$304,0))&amp;"","?"))</f>
        <v/>
      </c>
      <c r="N3979" s="2">
        <f>IF(E3979="","",IF(ISNUMBER(SEARCH("SUBSOLO",E3979)),IFERROR(-VALUE(LEFT(E3979,FIND("º",SUBSTITUTE(E3979,"°","º"))-1)),-1),IF(LEFT(E3979,6)="TÉRREO",0,IFERROR(VALUE(LEFT(E3979,FIND("º",SUBSTITUTE(E3979,"°","º"))-1)),""))))</f>
        <v/>
      </c>
      <c r="O3979" s="2">
        <f>IF(OR(F3979="",G3979=""),"",IF(G3979&lt;='RETRATO 2027'!$K$5,"CONCLUÍDA",IF(F3979&lt;='RETRATO 2027'!$K$5,"EM ANDAMENTO","A INICIAR")))</f>
        <v/>
      </c>
    </row>
    <row r="3980">
      <c r="M3980" s="2">
        <f>IF(C3980="","",IFERROR(INDEX($S$5:$S$304,MATCH(C3980,$R$5:$R$304,0))&amp;"","?"))</f>
        <v/>
      </c>
      <c r="N3980" s="2">
        <f>IF(E3980="","",IF(ISNUMBER(SEARCH("SUBSOLO",E3980)),IFERROR(-VALUE(LEFT(E3980,FIND("º",SUBSTITUTE(E3980,"°","º"))-1)),-1),IF(LEFT(E3980,6)="TÉRREO",0,IFERROR(VALUE(LEFT(E3980,FIND("º",SUBSTITUTE(E3980,"°","º"))-1)),""))))</f>
        <v/>
      </c>
      <c r="O3980" s="2">
        <f>IF(OR(F3980="",G3980=""),"",IF(G3980&lt;='RETRATO 2027'!$K$5,"CONCLUÍDA",IF(F3980&lt;='RETRATO 2027'!$K$5,"EM ANDAMENTO","A INICIAR")))</f>
        <v/>
      </c>
    </row>
    <row r="3981">
      <c r="M3981" s="2">
        <f>IF(C3981="","",IFERROR(INDEX($S$5:$S$304,MATCH(C3981,$R$5:$R$304,0))&amp;"","?"))</f>
        <v/>
      </c>
      <c r="N3981" s="2">
        <f>IF(E3981="","",IF(ISNUMBER(SEARCH("SUBSOLO",E3981)),IFERROR(-VALUE(LEFT(E3981,FIND("º",SUBSTITUTE(E3981,"°","º"))-1)),-1),IF(LEFT(E3981,6)="TÉRREO",0,IFERROR(VALUE(LEFT(E3981,FIND("º",SUBSTITUTE(E3981,"°","º"))-1)),""))))</f>
        <v/>
      </c>
      <c r="O3981" s="2">
        <f>IF(OR(F3981="",G3981=""),"",IF(G3981&lt;='RETRATO 2027'!$K$5,"CONCLUÍDA",IF(F3981&lt;='RETRATO 2027'!$K$5,"EM ANDAMENTO","A INICIAR")))</f>
        <v/>
      </c>
    </row>
    <row r="3982">
      <c r="M3982" s="2">
        <f>IF(C3982="","",IFERROR(INDEX($S$5:$S$304,MATCH(C3982,$R$5:$R$304,0))&amp;"","?"))</f>
        <v/>
      </c>
      <c r="N3982" s="2">
        <f>IF(E3982="","",IF(ISNUMBER(SEARCH("SUBSOLO",E3982)),IFERROR(-VALUE(LEFT(E3982,FIND("º",SUBSTITUTE(E3982,"°","º"))-1)),-1),IF(LEFT(E3982,6)="TÉRREO",0,IFERROR(VALUE(LEFT(E3982,FIND("º",SUBSTITUTE(E3982,"°","º"))-1)),""))))</f>
        <v/>
      </c>
      <c r="O3982" s="2">
        <f>IF(OR(F3982="",G3982=""),"",IF(G3982&lt;='RETRATO 2027'!$K$5,"CONCLUÍDA",IF(F3982&lt;='RETRATO 2027'!$K$5,"EM ANDAMENTO","A INICIAR")))</f>
        <v/>
      </c>
    </row>
    <row r="3983">
      <c r="M3983" s="2">
        <f>IF(C3983="","",IFERROR(INDEX($S$5:$S$304,MATCH(C3983,$R$5:$R$304,0))&amp;"","?"))</f>
        <v/>
      </c>
      <c r="N3983" s="2">
        <f>IF(E3983="","",IF(ISNUMBER(SEARCH("SUBSOLO",E3983)),IFERROR(-VALUE(LEFT(E3983,FIND("º",SUBSTITUTE(E3983,"°","º"))-1)),-1),IF(LEFT(E3983,6)="TÉRREO",0,IFERROR(VALUE(LEFT(E3983,FIND("º",SUBSTITUTE(E3983,"°","º"))-1)),""))))</f>
        <v/>
      </c>
      <c r="O3983" s="2">
        <f>IF(OR(F3983="",G3983=""),"",IF(G3983&lt;='RETRATO 2027'!$K$5,"CONCLUÍDA",IF(F3983&lt;='RETRATO 2027'!$K$5,"EM ANDAMENTO","A INICIAR")))</f>
        <v/>
      </c>
    </row>
    <row r="3984">
      <c r="M3984" s="2">
        <f>IF(C3984="","",IFERROR(INDEX($S$5:$S$304,MATCH(C3984,$R$5:$R$304,0))&amp;"","?"))</f>
        <v/>
      </c>
      <c r="N3984" s="2">
        <f>IF(E3984="","",IF(ISNUMBER(SEARCH("SUBSOLO",E3984)),IFERROR(-VALUE(LEFT(E3984,FIND("º",SUBSTITUTE(E3984,"°","º"))-1)),-1),IF(LEFT(E3984,6)="TÉRREO",0,IFERROR(VALUE(LEFT(E3984,FIND("º",SUBSTITUTE(E3984,"°","º"))-1)),""))))</f>
        <v/>
      </c>
      <c r="O3984" s="2">
        <f>IF(OR(F3984="",G3984=""),"",IF(G3984&lt;='RETRATO 2027'!$K$5,"CONCLUÍDA",IF(F3984&lt;='RETRATO 2027'!$K$5,"EM ANDAMENTO","A INICIAR")))</f>
        <v/>
      </c>
    </row>
    <row r="3985">
      <c r="M3985" s="2">
        <f>IF(C3985="","",IFERROR(INDEX($S$5:$S$304,MATCH(C3985,$R$5:$R$304,0))&amp;"","?"))</f>
        <v/>
      </c>
      <c r="N3985" s="2">
        <f>IF(E3985="","",IF(ISNUMBER(SEARCH("SUBSOLO",E3985)),IFERROR(-VALUE(LEFT(E3985,FIND("º",SUBSTITUTE(E3985,"°","º"))-1)),-1),IF(LEFT(E3985,6)="TÉRREO",0,IFERROR(VALUE(LEFT(E3985,FIND("º",SUBSTITUTE(E3985,"°","º"))-1)),""))))</f>
        <v/>
      </c>
      <c r="O3985" s="2">
        <f>IF(OR(F3985="",G3985=""),"",IF(G3985&lt;='RETRATO 2027'!$K$5,"CONCLUÍDA",IF(F3985&lt;='RETRATO 2027'!$K$5,"EM ANDAMENTO","A INICIAR")))</f>
        <v/>
      </c>
    </row>
    <row r="3986">
      <c r="M3986" s="2">
        <f>IF(C3986="","",IFERROR(INDEX($S$5:$S$304,MATCH(C3986,$R$5:$R$304,0))&amp;"","?"))</f>
        <v/>
      </c>
      <c r="N3986" s="2">
        <f>IF(E3986="","",IF(ISNUMBER(SEARCH("SUBSOLO",E3986)),IFERROR(-VALUE(LEFT(E3986,FIND("º",SUBSTITUTE(E3986,"°","º"))-1)),-1),IF(LEFT(E3986,6)="TÉRREO",0,IFERROR(VALUE(LEFT(E3986,FIND("º",SUBSTITUTE(E3986,"°","º"))-1)),""))))</f>
        <v/>
      </c>
      <c r="O3986" s="2">
        <f>IF(OR(F3986="",G3986=""),"",IF(G3986&lt;='RETRATO 2027'!$K$5,"CONCLUÍDA",IF(F3986&lt;='RETRATO 2027'!$K$5,"EM ANDAMENTO","A INICIAR")))</f>
        <v/>
      </c>
    </row>
    <row r="3987">
      <c r="M3987" s="2">
        <f>IF(C3987="","",IFERROR(INDEX($S$5:$S$304,MATCH(C3987,$R$5:$R$304,0))&amp;"","?"))</f>
        <v/>
      </c>
      <c r="N3987" s="2">
        <f>IF(E3987="","",IF(ISNUMBER(SEARCH("SUBSOLO",E3987)),IFERROR(-VALUE(LEFT(E3987,FIND("º",SUBSTITUTE(E3987,"°","º"))-1)),-1),IF(LEFT(E3987,6)="TÉRREO",0,IFERROR(VALUE(LEFT(E3987,FIND("º",SUBSTITUTE(E3987,"°","º"))-1)),""))))</f>
        <v/>
      </c>
      <c r="O3987" s="2">
        <f>IF(OR(F3987="",G3987=""),"",IF(G3987&lt;='RETRATO 2027'!$K$5,"CONCLUÍDA",IF(F3987&lt;='RETRATO 2027'!$K$5,"EM ANDAMENTO","A INICIAR")))</f>
        <v/>
      </c>
    </row>
    <row r="3988">
      <c r="M3988" s="2">
        <f>IF(C3988="","",IFERROR(INDEX($S$5:$S$304,MATCH(C3988,$R$5:$R$304,0))&amp;"","?"))</f>
        <v/>
      </c>
      <c r="N3988" s="2">
        <f>IF(E3988="","",IF(ISNUMBER(SEARCH("SUBSOLO",E3988)),IFERROR(-VALUE(LEFT(E3988,FIND("º",SUBSTITUTE(E3988,"°","º"))-1)),-1),IF(LEFT(E3988,6)="TÉRREO",0,IFERROR(VALUE(LEFT(E3988,FIND("º",SUBSTITUTE(E3988,"°","º"))-1)),""))))</f>
        <v/>
      </c>
      <c r="O3988" s="2">
        <f>IF(OR(F3988="",G3988=""),"",IF(G3988&lt;='RETRATO 2027'!$K$5,"CONCLUÍDA",IF(F3988&lt;='RETRATO 2027'!$K$5,"EM ANDAMENTO","A INICIAR")))</f>
        <v/>
      </c>
    </row>
    <row r="3989">
      <c r="M3989" s="2">
        <f>IF(C3989="","",IFERROR(INDEX($S$5:$S$304,MATCH(C3989,$R$5:$R$304,0))&amp;"","?"))</f>
        <v/>
      </c>
      <c r="N3989" s="2">
        <f>IF(E3989="","",IF(ISNUMBER(SEARCH("SUBSOLO",E3989)),IFERROR(-VALUE(LEFT(E3989,FIND("º",SUBSTITUTE(E3989,"°","º"))-1)),-1),IF(LEFT(E3989,6)="TÉRREO",0,IFERROR(VALUE(LEFT(E3989,FIND("º",SUBSTITUTE(E3989,"°","º"))-1)),""))))</f>
        <v/>
      </c>
      <c r="O3989" s="2">
        <f>IF(OR(F3989="",G3989=""),"",IF(G3989&lt;='RETRATO 2027'!$K$5,"CONCLUÍDA",IF(F3989&lt;='RETRATO 2027'!$K$5,"EM ANDAMENTO","A INICIAR")))</f>
        <v/>
      </c>
    </row>
    <row r="3990">
      <c r="M3990" s="2">
        <f>IF(C3990="","",IFERROR(INDEX($S$5:$S$304,MATCH(C3990,$R$5:$R$304,0))&amp;"","?"))</f>
        <v/>
      </c>
      <c r="N3990" s="2">
        <f>IF(E3990="","",IF(ISNUMBER(SEARCH("SUBSOLO",E3990)),IFERROR(-VALUE(LEFT(E3990,FIND("º",SUBSTITUTE(E3990,"°","º"))-1)),-1),IF(LEFT(E3990,6)="TÉRREO",0,IFERROR(VALUE(LEFT(E3990,FIND("º",SUBSTITUTE(E3990,"°","º"))-1)),""))))</f>
        <v/>
      </c>
      <c r="O3990" s="2">
        <f>IF(OR(F3990="",G3990=""),"",IF(G3990&lt;='RETRATO 2027'!$K$5,"CONCLUÍDA",IF(F3990&lt;='RETRATO 2027'!$K$5,"EM ANDAMENTO","A INICIAR")))</f>
        <v/>
      </c>
    </row>
    <row r="3991">
      <c r="M3991" s="2">
        <f>IF(C3991="","",IFERROR(INDEX($S$5:$S$304,MATCH(C3991,$R$5:$R$304,0))&amp;"","?"))</f>
        <v/>
      </c>
      <c r="N3991" s="2">
        <f>IF(E3991="","",IF(ISNUMBER(SEARCH("SUBSOLO",E3991)),IFERROR(-VALUE(LEFT(E3991,FIND("º",SUBSTITUTE(E3991,"°","º"))-1)),-1),IF(LEFT(E3991,6)="TÉRREO",0,IFERROR(VALUE(LEFT(E3991,FIND("º",SUBSTITUTE(E3991,"°","º"))-1)),""))))</f>
        <v/>
      </c>
      <c r="O3991" s="2">
        <f>IF(OR(F3991="",G3991=""),"",IF(G3991&lt;='RETRATO 2027'!$K$5,"CONCLUÍDA",IF(F3991&lt;='RETRATO 2027'!$K$5,"EM ANDAMENTO","A INICIAR")))</f>
        <v/>
      </c>
    </row>
    <row r="3992">
      <c r="M3992" s="2">
        <f>IF(C3992="","",IFERROR(INDEX($S$5:$S$304,MATCH(C3992,$R$5:$R$304,0))&amp;"","?"))</f>
        <v/>
      </c>
      <c r="N3992" s="2">
        <f>IF(E3992="","",IF(ISNUMBER(SEARCH("SUBSOLO",E3992)),IFERROR(-VALUE(LEFT(E3992,FIND("º",SUBSTITUTE(E3992,"°","º"))-1)),-1),IF(LEFT(E3992,6)="TÉRREO",0,IFERROR(VALUE(LEFT(E3992,FIND("º",SUBSTITUTE(E3992,"°","º"))-1)),""))))</f>
        <v/>
      </c>
      <c r="O3992" s="2">
        <f>IF(OR(F3992="",G3992=""),"",IF(G3992&lt;='RETRATO 2027'!$K$5,"CONCLUÍDA",IF(F3992&lt;='RETRATO 2027'!$K$5,"EM ANDAMENTO","A INICIAR")))</f>
        <v/>
      </c>
    </row>
    <row r="3993">
      <c r="M3993" s="2">
        <f>IF(C3993="","",IFERROR(INDEX($S$5:$S$304,MATCH(C3993,$R$5:$R$304,0))&amp;"","?"))</f>
        <v/>
      </c>
      <c r="N3993" s="2">
        <f>IF(E3993="","",IF(ISNUMBER(SEARCH("SUBSOLO",E3993)),IFERROR(-VALUE(LEFT(E3993,FIND("º",SUBSTITUTE(E3993,"°","º"))-1)),-1),IF(LEFT(E3993,6)="TÉRREO",0,IFERROR(VALUE(LEFT(E3993,FIND("º",SUBSTITUTE(E3993,"°","º"))-1)),""))))</f>
        <v/>
      </c>
      <c r="O3993" s="2">
        <f>IF(OR(F3993="",G3993=""),"",IF(G3993&lt;='RETRATO 2027'!$K$5,"CONCLUÍDA",IF(F3993&lt;='RETRATO 2027'!$K$5,"EM ANDAMENTO","A INICIAR")))</f>
        <v/>
      </c>
    </row>
    <row r="3994">
      <c r="M3994" s="2">
        <f>IF(C3994="","",IFERROR(INDEX($S$5:$S$304,MATCH(C3994,$R$5:$R$304,0))&amp;"","?"))</f>
        <v/>
      </c>
      <c r="N3994" s="2">
        <f>IF(E3994="","",IF(ISNUMBER(SEARCH("SUBSOLO",E3994)),IFERROR(-VALUE(LEFT(E3994,FIND("º",SUBSTITUTE(E3994,"°","º"))-1)),-1),IF(LEFT(E3994,6)="TÉRREO",0,IFERROR(VALUE(LEFT(E3994,FIND("º",SUBSTITUTE(E3994,"°","º"))-1)),""))))</f>
        <v/>
      </c>
      <c r="O3994" s="2">
        <f>IF(OR(F3994="",G3994=""),"",IF(G3994&lt;='RETRATO 2027'!$K$5,"CONCLUÍDA",IF(F3994&lt;='RETRATO 2027'!$K$5,"EM ANDAMENTO","A INICIAR")))</f>
        <v/>
      </c>
    </row>
    <row r="3995">
      <c r="M3995" s="2">
        <f>IF(C3995="","",IFERROR(INDEX($S$5:$S$304,MATCH(C3995,$R$5:$R$304,0))&amp;"","?"))</f>
        <v/>
      </c>
      <c r="N3995" s="2">
        <f>IF(E3995="","",IF(ISNUMBER(SEARCH("SUBSOLO",E3995)),IFERROR(-VALUE(LEFT(E3995,FIND("º",SUBSTITUTE(E3995,"°","º"))-1)),-1),IF(LEFT(E3995,6)="TÉRREO",0,IFERROR(VALUE(LEFT(E3995,FIND("º",SUBSTITUTE(E3995,"°","º"))-1)),""))))</f>
        <v/>
      </c>
      <c r="O3995" s="2">
        <f>IF(OR(F3995="",G3995=""),"",IF(G3995&lt;='RETRATO 2027'!$K$5,"CONCLUÍDA",IF(F3995&lt;='RETRATO 2027'!$K$5,"EM ANDAMENTO","A INICIAR")))</f>
        <v/>
      </c>
    </row>
    <row r="3996">
      <c r="M3996" s="2">
        <f>IF(C3996="","",IFERROR(INDEX($S$5:$S$304,MATCH(C3996,$R$5:$R$304,0))&amp;"","?"))</f>
        <v/>
      </c>
      <c r="N3996" s="2">
        <f>IF(E3996="","",IF(ISNUMBER(SEARCH("SUBSOLO",E3996)),IFERROR(-VALUE(LEFT(E3996,FIND("º",SUBSTITUTE(E3996,"°","º"))-1)),-1),IF(LEFT(E3996,6)="TÉRREO",0,IFERROR(VALUE(LEFT(E3996,FIND("º",SUBSTITUTE(E3996,"°","º"))-1)),""))))</f>
        <v/>
      </c>
      <c r="O3996" s="2">
        <f>IF(OR(F3996="",G3996=""),"",IF(G3996&lt;='RETRATO 2027'!$K$5,"CONCLUÍDA",IF(F3996&lt;='RETRATO 2027'!$K$5,"EM ANDAMENTO","A INICIAR")))</f>
        <v/>
      </c>
    </row>
    <row r="3997">
      <c r="M3997" s="2">
        <f>IF(C3997="","",IFERROR(INDEX($S$5:$S$304,MATCH(C3997,$R$5:$R$304,0))&amp;"","?"))</f>
        <v/>
      </c>
      <c r="N3997" s="2">
        <f>IF(E3997="","",IF(ISNUMBER(SEARCH("SUBSOLO",E3997)),IFERROR(-VALUE(LEFT(E3997,FIND("º",SUBSTITUTE(E3997,"°","º"))-1)),-1),IF(LEFT(E3997,6)="TÉRREO",0,IFERROR(VALUE(LEFT(E3997,FIND("º",SUBSTITUTE(E3997,"°","º"))-1)),""))))</f>
        <v/>
      </c>
      <c r="O3997" s="2">
        <f>IF(OR(F3997="",G3997=""),"",IF(G3997&lt;='RETRATO 2027'!$K$5,"CONCLUÍDA",IF(F3997&lt;='RETRATO 2027'!$K$5,"EM ANDAMENTO","A INICIAR")))</f>
        <v/>
      </c>
    </row>
    <row r="3998">
      <c r="M3998" s="2">
        <f>IF(C3998="","",IFERROR(INDEX($S$5:$S$304,MATCH(C3998,$R$5:$R$304,0))&amp;"","?"))</f>
        <v/>
      </c>
      <c r="N3998" s="2">
        <f>IF(E3998="","",IF(ISNUMBER(SEARCH("SUBSOLO",E3998)),IFERROR(-VALUE(LEFT(E3998,FIND("º",SUBSTITUTE(E3998,"°","º"))-1)),-1),IF(LEFT(E3998,6)="TÉRREO",0,IFERROR(VALUE(LEFT(E3998,FIND("º",SUBSTITUTE(E3998,"°","º"))-1)),""))))</f>
        <v/>
      </c>
      <c r="O3998" s="2">
        <f>IF(OR(F3998="",G3998=""),"",IF(G3998&lt;='RETRATO 2027'!$K$5,"CONCLUÍDA",IF(F3998&lt;='RETRATO 2027'!$K$5,"EM ANDAMENTO","A INICIAR")))</f>
        <v/>
      </c>
    </row>
    <row r="3999">
      <c r="M3999" s="2">
        <f>IF(C3999="","",IFERROR(INDEX($S$5:$S$304,MATCH(C3999,$R$5:$R$304,0))&amp;"","?"))</f>
        <v/>
      </c>
      <c r="N3999" s="2">
        <f>IF(E3999="","",IF(ISNUMBER(SEARCH("SUBSOLO",E3999)),IFERROR(-VALUE(LEFT(E3999,FIND("º",SUBSTITUTE(E3999,"°","º"))-1)),-1),IF(LEFT(E3999,6)="TÉRREO",0,IFERROR(VALUE(LEFT(E3999,FIND("º",SUBSTITUTE(E3999,"°","º"))-1)),""))))</f>
        <v/>
      </c>
      <c r="O3999" s="2">
        <f>IF(OR(F3999="",G3999=""),"",IF(G3999&lt;='RETRATO 2027'!$K$5,"CONCLUÍDA",IF(F3999&lt;='RETRATO 2027'!$K$5,"EM ANDAMENTO","A INICIAR")))</f>
        <v/>
      </c>
    </row>
    <row r="4000">
      <c r="M4000" s="2">
        <f>IF(C4000="","",IFERROR(INDEX($S$5:$S$304,MATCH(C4000,$R$5:$R$304,0))&amp;"","?"))</f>
        <v/>
      </c>
      <c r="N4000" s="2">
        <f>IF(E4000="","",IF(ISNUMBER(SEARCH("SUBSOLO",E4000)),IFERROR(-VALUE(LEFT(E4000,FIND("º",SUBSTITUTE(E4000,"°","º"))-1)),-1),IF(LEFT(E4000,6)="TÉRREO",0,IFERROR(VALUE(LEFT(E4000,FIND("º",SUBSTITUTE(E4000,"°","º"))-1)),""))))</f>
        <v/>
      </c>
      <c r="O4000" s="2">
        <f>IF(OR(F4000="",G4000=""),"",IF(G4000&lt;='RETRATO 2027'!$K$5,"CONCLUÍDA",IF(F4000&lt;='RETRATO 2027'!$K$5,"EM ANDAMENTO","A INICIAR")))</f>
        <v/>
      </c>
    </row>
    <row r="4001">
      <c r="M4001" s="2">
        <f>IF(C4001="","",IFERROR(INDEX($S$5:$S$304,MATCH(C4001,$R$5:$R$304,0))&amp;"","?"))</f>
        <v/>
      </c>
      <c r="N4001" s="2">
        <f>IF(E4001="","",IF(ISNUMBER(SEARCH("SUBSOLO",E4001)),IFERROR(-VALUE(LEFT(E4001,FIND("º",SUBSTITUTE(E4001,"°","º"))-1)),-1),IF(LEFT(E4001,6)="TÉRREO",0,IFERROR(VALUE(LEFT(E4001,FIND("º",SUBSTITUTE(E4001,"°","º"))-1)),""))))</f>
        <v/>
      </c>
      <c r="O4001" s="2">
        <f>IF(OR(F4001="",G4001=""),"",IF(G4001&lt;='RETRATO 2027'!$K$5,"CONCLUÍDA",IF(F4001&lt;='RETRATO 2027'!$K$5,"EM ANDAMENTO","A INICIAR")))</f>
        <v/>
      </c>
    </row>
    <row r="4002">
      <c r="M4002" s="2">
        <f>IF(C4002="","",IFERROR(INDEX($S$5:$S$304,MATCH(C4002,$R$5:$R$304,0))&amp;"","?"))</f>
        <v/>
      </c>
      <c r="N4002" s="2">
        <f>IF(E4002="","",IF(ISNUMBER(SEARCH("SUBSOLO",E4002)),IFERROR(-VALUE(LEFT(E4002,FIND("º",SUBSTITUTE(E4002,"°","º"))-1)),-1),IF(LEFT(E4002,6)="TÉRREO",0,IFERROR(VALUE(LEFT(E4002,FIND("º",SUBSTITUTE(E4002,"°","º"))-1)),""))))</f>
        <v/>
      </c>
      <c r="O4002" s="2">
        <f>IF(OR(F4002="",G4002=""),"",IF(G4002&lt;='RETRATO 2027'!$K$5,"CONCLUÍDA",IF(F4002&lt;='RETRATO 2027'!$K$5,"EM ANDAMENTO","A INICIAR")))</f>
        <v/>
      </c>
    </row>
    <row r="4003">
      <c r="M4003" s="2">
        <f>IF(C4003="","",IFERROR(INDEX($S$5:$S$304,MATCH(C4003,$R$5:$R$304,0))&amp;"","?"))</f>
        <v/>
      </c>
      <c r="N4003" s="2">
        <f>IF(E4003="","",IF(ISNUMBER(SEARCH("SUBSOLO",E4003)),IFERROR(-VALUE(LEFT(E4003,FIND("º",SUBSTITUTE(E4003,"°","º"))-1)),-1),IF(LEFT(E4003,6)="TÉRREO",0,IFERROR(VALUE(LEFT(E4003,FIND("º",SUBSTITUTE(E4003,"°","º"))-1)),""))))</f>
        <v/>
      </c>
      <c r="O4003" s="2">
        <f>IF(OR(F4003="",G4003=""),"",IF(G4003&lt;='RETRATO 2027'!$K$5,"CONCLUÍDA",IF(F4003&lt;='RETRATO 2027'!$K$5,"EM ANDAMENTO","A INICIAR")))</f>
        <v/>
      </c>
    </row>
    <row r="4004">
      <c r="M4004" s="2">
        <f>IF(C4004="","",IFERROR(INDEX($S$5:$S$304,MATCH(C4004,$R$5:$R$304,0))&amp;"","?"))</f>
        <v/>
      </c>
      <c r="N4004" s="2">
        <f>IF(E4004="","",IF(ISNUMBER(SEARCH("SUBSOLO",E4004)),IFERROR(-VALUE(LEFT(E4004,FIND("º",SUBSTITUTE(E4004,"°","º"))-1)),-1),IF(LEFT(E4004,6)="TÉRREO",0,IFERROR(VALUE(LEFT(E4004,FIND("º",SUBSTITUTE(E4004,"°","º"))-1)),""))))</f>
        <v/>
      </c>
      <c r="O4004" s="2">
        <f>IF(OR(F4004="",G4004=""),"",IF(G4004&lt;='RETRATO 2027'!$K$5,"CONCLUÍDA",IF(F4004&lt;='RETRATO 2027'!$K$5,"EM ANDAMENTO","A INICIAR")))</f>
        <v/>
      </c>
    </row>
    <row r="4005">
      <c r="M4005" s="2">
        <f>IF(C4005="","",IFERROR(INDEX($S$5:$S$304,MATCH(C4005,$R$5:$R$304,0))&amp;"","?"))</f>
        <v/>
      </c>
      <c r="N4005" s="2">
        <f>IF(E4005="","",IF(ISNUMBER(SEARCH("SUBSOLO",E4005)),IFERROR(-VALUE(LEFT(E4005,FIND("º",SUBSTITUTE(E4005,"°","º"))-1)),-1),IF(LEFT(E4005,6)="TÉRREO",0,IFERROR(VALUE(LEFT(E4005,FIND("º",SUBSTITUTE(E4005,"°","º"))-1)),""))))</f>
        <v/>
      </c>
      <c r="O4005" s="2">
        <f>IF(OR(F4005="",G4005=""),"",IF(G4005&lt;='RETRATO 2027'!$K$5,"CONCLUÍDA",IF(F4005&lt;='RETRATO 2027'!$K$5,"EM ANDAMENTO","A INICIAR")))</f>
        <v/>
      </c>
    </row>
    <row r="4006">
      <c r="M4006" s="2">
        <f>IF(C4006="","",IFERROR(INDEX($S$5:$S$304,MATCH(C4006,$R$5:$R$304,0))&amp;"","?"))</f>
        <v/>
      </c>
      <c r="N4006" s="2">
        <f>IF(E4006="","",IF(ISNUMBER(SEARCH("SUBSOLO",E4006)),IFERROR(-VALUE(LEFT(E4006,FIND("º",SUBSTITUTE(E4006,"°","º"))-1)),-1),IF(LEFT(E4006,6)="TÉRREO",0,IFERROR(VALUE(LEFT(E4006,FIND("º",SUBSTITUTE(E4006,"°","º"))-1)),""))))</f>
        <v/>
      </c>
      <c r="O4006" s="2">
        <f>IF(OR(F4006="",G4006=""),"",IF(G4006&lt;='RETRATO 2027'!$K$5,"CONCLUÍDA",IF(F4006&lt;='RETRATO 2027'!$K$5,"EM ANDAMENTO","A INICIAR")))</f>
        <v/>
      </c>
    </row>
    <row r="4007">
      <c r="M4007" s="2">
        <f>IF(C4007="","",IFERROR(INDEX($S$5:$S$304,MATCH(C4007,$R$5:$R$304,0))&amp;"","?"))</f>
        <v/>
      </c>
      <c r="N4007" s="2">
        <f>IF(E4007="","",IF(ISNUMBER(SEARCH("SUBSOLO",E4007)),IFERROR(-VALUE(LEFT(E4007,FIND("º",SUBSTITUTE(E4007,"°","º"))-1)),-1),IF(LEFT(E4007,6)="TÉRREO",0,IFERROR(VALUE(LEFT(E4007,FIND("º",SUBSTITUTE(E4007,"°","º"))-1)),""))))</f>
        <v/>
      </c>
      <c r="O4007" s="2">
        <f>IF(OR(F4007="",G4007=""),"",IF(G4007&lt;='RETRATO 2027'!$K$5,"CONCLUÍDA",IF(F4007&lt;='RETRATO 2027'!$K$5,"EM ANDAMENTO","A INICIAR")))</f>
        <v/>
      </c>
    </row>
    <row r="4008">
      <c r="M4008" s="2">
        <f>IF(C4008="","",IFERROR(INDEX($S$5:$S$304,MATCH(C4008,$R$5:$R$304,0))&amp;"","?"))</f>
        <v/>
      </c>
      <c r="N4008" s="2">
        <f>IF(E4008="","",IF(ISNUMBER(SEARCH("SUBSOLO",E4008)),IFERROR(-VALUE(LEFT(E4008,FIND("º",SUBSTITUTE(E4008,"°","º"))-1)),-1),IF(LEFT(E4008,6)="TÉRREO",0,IFERROR(VALUE(LEFT(E4008,FIND("º",SUBSTITUTE(E4008,"°","º"))-1)),""))))</f>
        <v/>
      </c>
      <c r="O4008" s="2">
        <f>IF(OR(F4008="",G4008=""),"",IF(G4008&lt;='RETRATO 2027'!$K$5,"CONCLUÍDA",IF(F4008&lt;='RETRATO 2027'!$K$5,"EM ANDAMENTO","A INICIAR")))</f>
        <v/>
      </c>
    </row>
    <row r="4009">
      <c r="M4009" s="2">
        <f>IF(C4009="","",IFERROR(INDEX($S$5:$S$304,MATCH(C4009,$R$5:$R$304,0))&amp;"","?"))</f>
        <v/>
      </c>
      <c r="N4009" s="2">
        <f>IF(E4009="","",IF(ISNUMBER(SEARCH("SUBSOLO",E4009)),IFERROR(-VALUE(LEFT(E4009,FIND("º",SUBSTITUTE(E4009,"°","º"))-1)),-1),IF(LEFT(E4009,6)="TÉRREO",0,IFERROR(VALUE(LEFT(E4009,FIND("º",SUBSTITUTE(E4009,"°","º"))-1)),""))))</f>
        <v/>
      </c>
      <c r="O4009" s="2">
        <f>IF(OR(F4009="",G4009=""),"",IF(G4009&lt;='RETRATO 2027'!$K$5,"CONCLUÍDA",IF(F4009&lt;='RETRATO 2027'!$K$5,"EM ANDAMENTO","A INICIAR")))</f>
        <v/>
      </c>
    </row>
    <row r="4010">
      <c r="M4010" s="2">
        <f>IF(C4010="","",IFERROR(INDEX($S$5:$S$304,MATCH(C4010,$R$5:$R$304,0))&amp;"","?"))</f>
        <v/>
      </c>
      <c r="N4010" s="2">
        <f>IF(E4010="","",IF(ISNUMBER(SEARCH("SUBSOLO",E4010)),IFERROR(-VALUE(LEFT(E4010,FIND("º",SUBSTITUTE(E4010,"°","º"))-1)),-1),IF(LEFT(E4010,6)="TÉRREO",0,IFERROR(VALUE(LEFT(E4010,FIND("º",SUBSTITUTE(E4010,"°","º"))-1)),""))))</f>
        <v/>
      </c>
      <c r="O4010" s="2">
        <f>IF(OR(F4010="",G4010=""),"",IF(G4010&lt;='RETRATO 2027'!$K$5,"CONCLUÍDA",IF(F4010&lt;='RETRATO 2027'!$K$5,"EM ANDAMENTO","A INICIAR")))</f>
        <v/>
      </c>
    </row>
    <row r="4011">
      <c r="M4011" s="2">
        <f>IF(C4011="","",IFERROR(INDEX($S$5:$S$304,MATCH(C4011,$R$5:$R$304,0))&amp;"","?"))</f>
        <v/>
      </c>
      <c r="N4011" s="2">
        <f>IF(E4011="","",IF(ISNUMBER(SEARCH("SUBSOLO",E4011)),IFERROR(-VALUE(LEFT(E4011,FIND("º",SUBSTITUTE(E4011,"°","º"))-1)),-1),IF(LEFT(E4011,6)="TÉRREO",0,IFERROR(VALUE(LEFT(E4011,FIND("º",SUBSTITUTE(E4011,"°","º"))-1)),""))))</f>
        <v/>
      </c>
      <c r="O4011" s="2">
        <f>IF(OR(F4011="",G4011=""),"",IF(G4011&lt;='RETRATO 2027'!$K$5,"CONCLUÍDA",IF(F4011&lt;='RETRATO 2027'!$K$5,"EM ANDAMENTO","A INICIAR")))</f>
        <v/>
      </c>
    </row>
    <row r="4012">
      <c r="M4012" s="2">
        <f>IF(C4012="","",IFERROR(INDEX($S$5:$S$304,MATCH(C4012,$R$5:$R$304,0))&amp;"","?"))</f>
        <v/>
      </c>
      <c r="N4012" s="2">
        <f>IF(E4012="","",IF(ISNUMBER(SEARCH("SUBSOLO",E4012)),IFERROR(-VALUE(LEFT(E4012,FIND("º",SUBSTITUTE(E4012,"°","º"))-1)),-1),IF(LEFT(E4012,6)="TÉRREO",0,IFERROR(VALUE(LEFT(E4012,FIND("º",SUBSTITUTE(E4012,"°","º"))-1)),""))))</f>
        <v/>
      </c>
      <c r="O4012" s="2">
        <f>IF(OR(F4012="",G4012=""),"",IF(G4012&lt;='RETRATO 2027'!$K$5,"CONCLUÍDA",IF(F4012&lt;='RETRATO 2027'!$K$5,"EM ANDAMENTO","A INICIAR")))</f>
        <v/>
      </c>
    </row>
    <row r="4013">
      <c r="M4013" s="2">
        <f>IF(C4013="","",IFERROR(INDEX($S$5:$S$304,MATCH(C4013,$R$5:$R$304,0))&amp;"","?"))</f>
        <v/>
      </c>
      <c r="N4013" s="2">
        <f>IF(E4013="","",IF(ISNUMBER(SEARCH("SUBSOLO",E4013)),IFERROR(-VALUE(LEFT(E4013,FIND("º",SUBSTITUTE(E4013,"°","º"))-1)),-1),IF(LEFT(E4013,6)="TÉRREO",0,IFERROR(VALUE(LEFT(E4013,FIND("º",SUBSTITUTE(E4013,"°","º"))-1)),""))))</f>
        <v/>
      </c>
      <c r="O4013" s="2">
        <f>IF(OR(F4013="",G4013=""),"",IF(G4013&lt;='RETRATO 2027'!$K$5,"CONCLUÍDA",IF(F4013&lt;='RETRATO 2027'!$K$5,"EM ANDAMENTO","A INICIAR")))</f>
        <v/>
      </c>
    </row>
    <row r="4014">
      <c r="M4014" s="2">
        <f>IF(C4014="","",IFERROR(INDEX($S$5:$S$304,MATCH(C4014,$R$5:$R$304,0))&amp;"","?"))</f>
        <v/>
      </c>
      <c r="N4014" s="2">
        <f>IF(E4014="","",IF(ISNUMBER(SEARCH("SUBSOLO",E4014)),IFERROR(-VALUE(LEFT(E4014,FIND("º",SUBSTITUTE(E4014,"°","º"))-1)),-1),IF(LEFT(E4014,6)="TÉRREO",0,IFERROR(VALUE(LEFT(E4014,FIND("º",SUBSTITUTE(E4014,"°","º"))-1)),""))))</f>
        <v/>
      </c>
      <c r="O4014" s="2">
        <f>IF(OR(F4014="",G4014=""),"",IF(G4014&lt;='RETRATO 2027'!$K$5,"CONCLUÍDA",IF(F4014&lt;='RETRATO 2027'!$K$5,"EM ANDAMENTO","A INICIAR")))</f>
        <v/>
      </c>
    </row>
    <row r="4015">
      <c r="M4015" s="2">
        <f>IF(C4015="","",IFERROR(INDEX($S$5:$S$304,MATCH(C4015,$R$5:$R$304,0))&amp;"","?"))</f>
        <v/>
      </c>
      <c r="N4015" s="2">
        <f>IF(E4015="","",IF(ISNUMBER(SEARCH("SUBSOLO",E4015)),IFERROR(-VALUE(LEFT(E4015,FIND("º",SUBSTITUTE(E4015,"°","º"))-1)),-1),IF(LEFT(E4015,6)="TÉRREO",0,IFERROR(VALUE(LEFT(E4015,FIND("º",SUBSTITUTE(E4015,"°","º"))-1)),""))))</f>
        <v/>
      </c>
      <c r="O4015" s="2">
        <f>IF(OR(F4015="",G4015=""),"",IF(G4015&lt;='RETRATO 2027'!$K$5,"CONCLUÍDA",IF(F4015&lt;='RETRATO 2027'!$K$5,"EM ANDAMENTO","A INICIAR")))</f>
        <v/>
      </c>
    </row>
    <row r="4016">
      <c r="M4016" s="2">
        <f>IF(C4016="","",IFERROR(INDEX($S$5:$S$304,MATCH(C4016,$R$5:$R$304,0))&amp;"","?"))</f>
        <v/>
      </c>
      <c r="N4016" s="2">
        <f>IF(E4016="","",IF(ISNUMBER(SEARCH("SUBSOLO",E4016)),IFERROR(-VALUE(LEFT(E4016,FIND("º",SUBSTITUTE(E4016,"°","º"))-1)),-1),IF(LEFT(E4016,6)="TÉRREO",0,IFERROR(VALUE(LEFT(E4016,FIND("º",SUBSTITUTE(E4016,"°","º"))-1)),""))))</f>
        <v/>
      </c>
      <c r="O4016" s="2">
        <f>IF(OR(F4016="",G4016=""),"",IF(G4016&lt;='RETRATO 2027'!$K$5,"CONCLUÍDA",IF(F4016&lt;='RETRATO 2027'!$K$5,"EM ANDAMENTO","A INICIAR")))</f>
        <v/>
      </c>
    </row>
    <row r="4017">
      <c r="M4017" s="2">
        <f>IF(C4017="","",IFERROR(INDEX($S$5:$S$304,MATCH(C4017,$R$5:$R$304,0))&amp;"","?"))</f>
        <v/>
      </c>
      <c r="N4017" s="2">
        <f>IF(E4017="","",IF(ISNUMBER(SEARCH("SUBSOLO",E4017)),IFERROR(-VALUE(LEFT(E4017,FIND("º",SUBSTITUTE(E4017,"°","º"))-1)),-1),IF(LEFT(E4017,6)="TÉRREO",0,IFERROR(VALUE(LEFT(E4017,FIND("º",SUBSTITUTE(E4017,"°","º"))-1)),""))))</f>
        <v/>
      </c>
      <c r="O4017" s="2">
        <f>IF(OR(F4017="",G4017=""),"",IF(G4017&lt;='RETRATO 2027'!$K$5,"CONCLUÍDA",IF(F4017&lt;='RETRATO 2027'!$K$5,"EM ANDAMENTO","A INICIAR")))</f>
        <v/>
      </c>
    </row>
    <row r="4018">
      <c r="M4018" s="2">
        <f>IF(C4018="","",IFERROR(INDEX($S$5:$S$304,MATCH(C4018,$R$5:$R$304,0))&amp;"","?"))</f>
        <v/>
      </c>
      <c r="N4018" s="2">
        <f>IF(E4018="","",IF(ISNUMBER(SEARCH("SUBSOLO",E4018)),IFERROR(-VALUE(LEFT(E4018,FIND("º",SUBSTITUTE(E4018,"°","º"))-1)),-1),IF(LEFT(E4018,6)="TÉRREO",0,IFERROR(VALUE(LEFT(E4018,FIND("º",SUBSTITUTE(E4018,"°","º"))-1)),""))))</f>
        <v/>
      </c>
      <c r="O4018" s="2">
        <f>IF(OR(F4018="",G4018=""),"",IF(G4018&lt;='RETRATO 2027'!$K$5,"CONCLUÍDA",IF(F4018&lt;='RETRATO 2027'!$K$5,"EM ANDAMENTO","A INICIAR")))</f>
        <v/>
      </c>
    </row>
    <row r="4019">
      <c r="M4019" s="2">
        <f>IF(C4019="","",IFERROR(INDEX($S$5:$S$304,MATCH(C4019,$R$5:$R$304,0))&amp;"","?"))</f>
        <v/>
      </c>
      <c r="N4019" s="2">
        <f>IF(E4019="","",IF(ISNUMBER(SEARCH("SUBSOLO",E4019)),IFERROR(-VALUE(LEFT(E4019,FIND("º",SUBSTITUTE(E4019,"°","º"))-1)),-1),IF(LEFT(E4019,6)="TÉRREO",0,IFERROR(VALUE(LEFT(E4019,FIND("º",SUBSTITUTE(E4019,"°","º"))-1)),""))))</f>
        <v/>
      </c>
      <c r="O4019" s="2">
        <f>IF(OR(F4019="",G4019=""),"",IF(G4019&lt;='RETRATO 2027'!$K$5,"CONCLUÍDA",IF(F4019&lt;='RETRATO 2027'!$K$5,"EM ANDAMENTO","A INICIAR")))</f>
        <v/>
      </c>
    </row>
    <row r="4020">
      <c r="M4020" s="2">
        <f>IF(C4020="","",IFERROR(INDEX($S$5:$S$304,MATCH(C4020,$R$5:$R$304,0))&amp;"","?"))</f>
        <v/>
      </c>
      <c r="N4020" s="2">
        <f>IF(E4020="","",IF(ISNUMBER(SEARCH("SUBSOLO",E4020)),IFERROR(-VALUE(LEFT(E4020,FIND("º",SUBSTITUTE(E4020,"°","º"))-1)),-1),IF(LEFT(E4020,6)="TÉRREO",0,IFERROR(VALUE(LEFT(E4020,FIND("º",SUBSTITUTE(E4020,"°","º"))-1)),""))))</f>
        <v/>
      </c>
      <c r="O4020" s="2">
        <f>IF(OR(F4020="",G4020=""),"",IF(G4020&lt;='RETRATO 2027'!$K$5,"CONCLUÍDA",IF(F4020&lt;='RETRATO 2027'!$K$5,"EM ANDAMENTO","A INICIAR")))</f>
        <v/>
      </c>
    </row>
    <row r="4021">
      <c r="M4021" s="2">
        <f>IF(C4021="","",IFERROR(INDEX($S$5:$S$304,MATCH(C4021,$R$5:$R$304,0))&amp;"","?"))</f>
        <v/>
      </c>
      <c r="N4021" s="2">
        <f>IF(E4021="","",IF(ISNUMBER(SEARCH("SUBSOLO",E4021)),IFERROR(-VALUE(LEFT(E4021,FIND("º",SUBSTITUTE(E4021,"°","º"))-1)),-1),IF(LEFT(E4021,6)="TÉRREO",0,IFERROR(VALUE(LEFT(E4021,FIND("º",SUBSTITUTE(E4021,"°","º"))-1)),""))))</f>
        <v/>
      </c>
      <c r="O4021" s="2">
        <f>IF(OR(F4021="",G4021=""),"",IF(G4021&lt;='RETRATO 2027'!$K$5,"CONCLUÍDA",IF(F4021&lt;='RETRATO 2027'!$K$5,"EM ANDAMENTO","A INICIAR")))</f>
        <v/>
      </c>
    </row>
    <row r="4022">
      <c r="M4022" s="2">
        <f>IF(C4022="","",IFERROR(INDEX($S$5:$S$304,MATCH(C4022,$R$5:$R$304,0))&amp;"","?"))</f>
        <v/>
      </c>
      <c r="N4022" s="2">
        <f>IF(E4022="","",IF(ISNUMBER(SEARCH("SUBSOLO",E4022)),IFERROR(-VALUE(LEFT(E4022,FIND("º",SUBSTITUTE(E4022,"°","º"))-1)),-1),IF(LEFT(E4022,6)="TÉRREO",0,IFERROR(VALUE(LEFT(E4022,FIND("º",SUBSTITUTE(E4022,"°","º"))-1)),""))))</f>
        <v/>
      </c>
      <c r="O4022" s="2">
        <f>IF(OR(F4022="",G4022=""),"",IF(G4022&lt;='RETRATO 2027'!$K$5,"CONCLUÍDA",IF(F4022&lt;='RETRATO 2027'!$K$5,"EM ANDAMENTO","A INICIAR")))</f>
        <v/>
      </c>
    </row>
    <row r="4023">
      <c r="M4023" s="2">
        <f>IF(C4023="","",IFERROR(INDEX($S$5:$S$304,MATCH(C4023,$R$5:$R$304,0))&amp;"","?"))</f>
        <v/>
      </c>
      <c r="N4023" s="2">
        <f>IF(E4023="","",IF(ISNUMBER(SEARCH("SUBSOLO",E4023)),IFERROR(-VALUE(LEFT(E4023,FIND("º",SUBSTITUTE(E4023,"°","º"))-1)),-1),IF(LEFT(E4023,6)="TÉRREO",0,IFERROR(VALUE(LEFT(E4023,FIND("º",SUBSTITUTE(E4023,"°","º"))-1)),""))))</f>
        <v/>
      </c>
      <c r="O4023" s="2">
        <f>IF(OR(F4023="",G4023=""),"",IF(G4023&lt;='RETRATO 2027'!$K$5,"CONCLUÍDA",IF(F4023&lt;='RETRATO 2027'!$K$5,"EM ANDAMENTO","A INICIAR")))</f>
        <v/>
      </c>
    </row>
    <row r="4024">
      <c r="M4024" s="2">
        <f>IF(C4024="","",IFERROR(INDEX($S$5:$S$304,MATCH(C4024,$R$5:$R$304,0))&amp;"","?"))</f>
        <v/>
      </c>
      <c r="N4024" s="2">
        <f>IF(E4024="","",IF(ISNUMBER(SEARCH("SUBSOLO",E4024)),IFERROR(-VALUE(LEFT(E4024,FIND("º",SUBSTITUTE(E4024,"°","º"))-1)),-1),IF(LEFT(E4024,6)="TÉRREO",0,IFERROR(VALUE(LEFT(E4024,FIND("º",SUBSTITUTE(E4024,"°","º"))-1)),""))))</f>
        <v/>
      </c>
      <c r="O4024" s="2">
        <f>IF(OR(F4024="",G4024=""),"",IF(G4024&lt;='RETRATO 2027'!$K$5,"CONCLUÍDA",IF(F4024&lt;='RETRATO 2027'!$K$5,"EM ANDAMENTO","A INICIAR")))</f>
        <v/>
      </c>
    </row>
    <row r="4025">
      <c r="M4025" s="2">
        <f>IF(C4025="","",IFERROR(INDEX($S$5:$S$304,MATCH(C4025,$R$5:$R$304,0))&amp;"","?"))</f>
        <v/>
      </c>
      <c r="N4025" s="2">
        <f>IF(E4025="","",IF(ISNUMBER(SEARCH("SUBSOLO",E4025)),IFERROR(-VALUE(LEFT(E4025,FIND("º",SUBSTITUTE(E4025,"°","º"))-1)),-1),IF(LEFT(E4025,6)="TÉRREO",0,IFERROR(VALUE(LEFT(E4025,FIND("º",SUBSTITUTE(E4025,"°","º"))-1)),""))))</f>
        <v/>
      </c>
      <c r="O4025" s="2">
        <f>IF(OR(F4025="",G4025=""),"",IF(G4025&lt;='RETRATO 2027'!$K$5,"CONCLUÍDA",IF(F4025&lt;='RETRATO 2027'!$K$5,"EM ANDAMENTO","A INICIAR")))</f>
        <v/>
      </c>
    </row>
    <row r="4026">
      <c r="M4026" s="2">
        <f>IF(C4026="","",IFERROR(INDEX($S$5:$S$304,MATCH(C4026,$R$5:$R$304,0))&amp;"","?"))</f>
        <v/>
      </c>
      <c r="N4026" s="2">
        <f>IF(E4026="","",IF(ISNUMBER(SEARCH("SUBSOLO",E4026)),IFERROR(-VALUE(LEFT(E4026,FIND("º",SUBSTITUTE(E4026,"°","º"))-1)),-1),IF(LEFT(E4026,6)="TÉRREO",0,IFERROR(VALUE(LEFT(E4026,FIND("º",SUBSTITUTE(E4026,"°","º"))-1)),""))))</f>
        <v/>
      </c>
      <c r="O4026" s="2">
        <f>IF(OR(F4026="",G4026=""),"",IF(G4026&lt;='RETRATO 2027'!$K$5,"CONCLUÍDA",IF(F4026&lt;='RETRATO 2027'!$K$5,"EM ANDAMENTO","A INICIAR")))</f>
        <v/>
      </c>
    </row>
    <row r="4027">
      <c r="M4027" s="2">
        <f>IF(C4027="","",IFERROR(INDEX($S$5:$S$304,MATCH(C4027,$R$5:$R$304,0))&amp;"","?"))</f>
        <v/>
      </c>
      <c r="N4027" s="2">
        <f>IF(E4027="","",IF(ISNUMBER(SEARCH("SUBSOLO",E4027)),IFERROR(-VALUE(LEFT(E4027,FIND("º",SUBSTITUTE(E4027,"°","º"))-1)),-1),IF(LEFT(E4027,6)="TÉRREO",0,IFERROR(VALUE(LEFT(E4027,FIND("º",SUBSTITUTE(E4027,"°","º"))-1)),""))))</f>
        <v/>
      </c>
      <c r="O4027" s="2">
        <f>IF(OR(F4027="",G4027=""),"",IF(G4027&lt;='RETRATO 2027'!$K$5,"CONCLUÍDA",IF(F4027&lt;='RETRATO 2027'!$K$5,"EM ANDAMENTO","A INICIAR")))</f>
        <v/>
      </c>
    </row>
    <row r="4028">
      <c r="M4028" s="2">
        <f>IF(C4028="","",IFERROR(INDEX($S$5:$S$304,MATCH(C4028,$R$5:$R$304,0))&amp;"","?"))</f>
        <v/>
      </c>
      <c r="N4028" s="2">
        <f>IF(E4028="","",IF(ISNUMBER(SEARCH("SUBSOLO",E4028)),IFERROR(-VALUE(LEFT(E4028,FIND("º",SUBSTITUTE(E4028,"°","º"))-1)),-1),IF(LEFT(E4028,6)="TÉRREO",0,IFERROR(VALUE(LEFT(E4028,FIND("º",SUBSTITUTE(E4028,"°","º"))-1)),""))))</f>
        <v/>
      </c>
      <c r="O4028" s="2">
        <f>IF(OR(F4028="",G4028=""),"",IF(G4028&lt;='RETRATO 2027'!$K$5,"CONCLUÍDA",IF(F4028&lt;='RETRATO 2027'!$K$5,"EM ANDAMENTO","A INICIAR")))</f>
        <v/>
      </c>
    </row>
    <row r="4029">
      <c r="M4029" s="2">
        <f>IF(C4029="","",IFERROR(INDEX($S$5:$S$304,MATCH(C4029,$R$5:$R$304,0))&amp;"","?"))</f>
        <v/>
      </c>
      <c r="N4029" s="2">
        <f>IF(E4029="","",IF(ISNUMBER(SEARCH("SUBSOLO",E4029)),IFERROR(-VALUE(LEFT(E4029,FIND("º",SUBSTITUTE(E4029,"°","º"))-1)),-1),IF(LEFT(E4029,6)="TÉRREO",0,IFERROR(VALUE(LEFT(E4029,FIND("º",SUBSTITUTE(E4029,"°","º"))-1)),""))))</f>
        <v/>
      </c>
      <c r="O4029" s="2">
        <f>IF(OR(F4029="",G4029=""),"",IF(G4029&lt;='RETRATO 2027'!$K$5,"CONCLUÍDA",IF(F4029&lt;='RETRATO 2027'!$K$5,"EM ANDAMENTO","A INICIAR")))</f>
        <v/>
      </c>
    </row>
    <row r="4030">
      <c r="M4030" s="2">
        <f>IF(C4030="","",IFERROR(INDEX($S$5:$S$304,MATCH(C4030,$R$5:$R$304,0))&amp;"","?"))</f>
        <v/>
      </c>
      <c r="N4030" s="2">
        <f>IF(E4030="","",IF(ISNUMBER(SEARCH("SUBSOLO",E4030)),IFERROR(-VALUE(LEFT(E4030,FIND("º",SUBSTITUTE(E4030,"°","º"))-1)),-1),IF(LEFT(E4030,6)="TÉRREO",0,IFERROR(VALUE(LEFT(E4030,FIND("º",SUBSTITUTE(E4030,"°","º"))-1)),""))))</f>
        <v/>
      </c>
      <c r="O4030" s="2">
        <f>IF(OR(F4030="",G4030=""),"",IF(G4030&lt;='RETRATO 2027'!$K$5,"CONCLUÍDA",IF(F4030&lt;='RETRATO 2027'!$K$5,"EM ANDAMENTO","A INICIAR")))</f>
        <v/>
      </c>
    </row>
    <row r="4031">
      <c r="M4031" s="2">
        <f>IF(C4031="","",IFERROR(INDEX($S$5:$S$304,MATCH(C4031,$R$5:$R$304,0))&amp;"","?"))</f>
        <v/>
      </c>
      <c r="N4031" s="2">
        <f>IF(E4031="","",IF(ISNUMBER(SEARCH("SUBSOLO",E4031)),IFERROR(-VALUE(LEFT(E4031,FIND("º",SUBSTITUTE(E4031,"°","º"))-1)),-1),IF(LEFT(E4031,6)="TÉRREO",0,IFERROR(VALUE(LEFT(E4031,FIND("º",SUBSTITUTE(E4031,"°","º"))-1)),""))))</f>
        <v/>
      </c>
      <c r="O4031" s="2">
        <f>IF(OR(F4031="",G4031=""),"",IF(G4031&lt;='RETRATO 2027'!$K$5,"CONCLUÍDA",IF(F4031&lt;='RETRATO 2027'!$K$5,"EM ANDAMENTO","A INICIAR")))</f>
        <v/>
      </c>
    </row>
    <row r="4032">
      <c r="M4032" s="2">
        <f>IF(C4032="","",IFERROR(INDEX($S$5:$S$304,MATCH(C4032,$R$5:$R$304,0))&amp;"","?"))</f>
        <v/>
      </c>
      <c r="N4032" s="2">
        <f>IF(E4032="","",IF(ISNUMBER(SEARCH("SUBSOLO",E4032)),IFERROR(-VALUE(LEFT(E4032,FIND("º",SUBSTITUTE(E4032,"°","º"))-1)),-1),IF(LEFT(E4032,6)="TÉRREO",0,IFERROR(VALUE(LEFT(E4032,FIND("º",SUBSTITUTE(E4032,"°","º"))-1)),""))))</f>
        <v/>
      </c>
      <c r="O4032" s="2">
        <f>IF(OR(F4032="",G4032=""),"",IF(G4032&lt;='RETRATO 2027'!$K$5,"CONCLUÍDA",IF(F4032&lt;='RETRATO 2027'!$K$5,"EM ANDAMENTO","A INICIAR")))</f>
        <v/>
      </c>
    </row>
    <row r="4033">
      <c r="M4033" s="2">
        <f>IF(C4033="","",IFERROR(INDEX($S$5:$S$304,MATCH(C4033,$R$5:$R$304,0))&amp;"","?"))</f>
        <v/>
      </c>
      <c r="N4033" s="2">
        <f>IF(E4033="","",IF(ISNUMBER(SEARCH("SUBSOLO",E4033)),IFERROR(-VALUE(LEFT(E4033,FIND("º",SUBSTITUTE(E4033,"°","º"))-1)),-1),IF(LEFT(E4033,6)="TÉRREO",0,IFERROR(VALUE(LEFT(E4033,FIND("º",SUBSTITUTE(E4033,"°","º"))-1)),""))))</f>
        <v/>
      </c>
      <c r="O4033" s="2">
        <f>IF(OR(F4033="",G4033=""),"",IF(G4033&lt;='RETRATO 2027'!$K$5,"CONCLUÍDA",IF(F4033&lt;='RETRATO 2027'!$K$5,"EM ANDAMENTO","A INICIAR")))</f>
        <v/>
      </c>
    </row>
    <row r="4034">
      <c r="M4034" s="2">
        <f>IF(C4034="","",IFERROR(INDEX($S$5:$S$304,MATCH(C4034,$R$5:$R$304,0))&amp;"","?"))</f>
        <v/>
      </c>
      <c r="N4034" s="2">
        <f>IF(E4034="","",IF(ISNUMBER(SEARCH("SUBSOLO",E4034)),IFERROR(-VALUE(LEFT(E4034,FIND("º",SUBSTITUTE(E4034,"°","º"))-1)),-1),IF(LEFT(E4034,6)="TÉRREO",0,IFERROR(VALUE(LEFT(E4034,FIND("º",SUBSTITUTE(E4034,"°","º"))-1)),""))))</f>
        <v/>
      </c>
      <c r="O4034" s="2">
        <f>IF(OR(F4034="",G4034=""),"",IF(G4034&lt;='RETRATO 2027'!$K$5,"CONCLUÍDA",IF(F4034&lt;='RETRATO 2027'!$K$5,"EM ANDAMENTO","A INICIAR")))</f>
        <v/>
      </c>
    </row>
    <row r="4035">
      <c r="M4035" s="2">
        <f>IF(C4035="","",IFERROR(INDEX($S$5:$S$304,MATCH(C4035,$R$5:$R$304,0))&amp;"","?"))</f>
        <v/>
      </c>
      <c r="N4035" s="2">
        <f>IF(E4035="","",IF(ISNUMBER(SEARCH("SUBSOLO",E4035)),IFERROR(-VALUE(LEFT(E4035,FIND("º",SUBSTITUTE(E4035,"°","º"))-1)),-1),IF(LEFT(E4035,6)="TÉRREO",0,IFERROR(VALUE(LEFT(E4035,FIND("º",SUBSTITUTE(E4035,"°","º"))-1)),""))))</f>
        <v/>
      </c>
      <c r="O4035" s="2">
        <f>IF(OR(F4035="",G4035=""),"",IF(G4035&lt;='RETRATO 2027'!$K$5,"CONCLUÍDA",IF(F4035&lt;='RETRATO 2027'!$K$5,"EM ANDAMENTO","A INICIAR")))</f>
        <v/>
      </c>
    </row>
    <row r="4036">
      <c r="M4036" s="2">
        <f>IF(C4036="","",IFERROR(INDEX($S$5:$S$304,MATCH(C4036,$R$5:$R$304,0))&amp;"","?"))</f>
        <v/>
      </c>
      <c r="N4036" s="2">
        <f>IF(E4036="","",IF(ISNUMBER(SEARCH("SUBSOLO",E4036)),IFERROR(-VALUE(LEFT(E4036,FIND("º",SUBSTITUTE(E4036,"°","º"))-1)),-1),IF(LEFT(E4036,6)="TÉRREO",0,IFERROR(VALUE(LEFT(E4036,FIND("º",SUBSTITUTE(E4036,"°","º"))-1)),""))))</f>
        <v/>
      </c>
      <c r="O4036" s="2">
        <f>IF(OR(F4036="",G4036=""),"",IF(G4036&lt;='RETRATO 2027'!$K$5,"CONCLUÍDA",IF(F4036&lt;='RETRATO 2027'!$K$5,"EM ANDAMENTO","A INICIAR")))</f>
        <v/>
      </c>
    </row>
    <row r="4037">
      <c r="M4037" s="2">
        <f>IF(C4037="","",IFERROR(INDEX($S$5:$S$304,MATCH(C4037,$R$5:$R$304,0))&amp;"","?"))</f>
        <v/>
      </c>
      <c r="N4037" s="2">
        <f>IF(E4037="","",IF(ISNUMBER(SEARCH("SUBSOLO",E4037)),IFERROR(-VALUE(LEFT(E4037,FIND("º",SUBSTITUTE(E4037,"°","º"))-1)),-1),IF(LEFT(E4037,6)="TÉRREO",0,IFERROR(VALUE(LEFT(E4037,FIND("º",SUBSTITUTE(E4037,"°","º"))-1)),""))))</f>
        <v/>
      </c>
      <c r="O4037" s="2">
        <f>IF(OR(F4037="",G4037=""),"",IF(G4037&lt;='RETRATO 2027'!$K$5,"CONCLUÍDA",IF(F4037&lt;='RETRATO 2027'!$K$5,"EM ANDAMENTO","A INICIAR")))</f>
        <v/>
      </c>
    </row>
    <row r="4038">
      <c r="M4038" s="2">
        <f>IF(C4038="","",IFERROR(INDEX($S$5:$S$304,MATCH(C4038,$R$5:$R$304,0))&amp;"","?"))</f>
        <v/>
      </c>
      <c r="N4038" s="2">
        <f>IF(E4038="","",IF(ISNUMBER(SEARCH("SUBSOLO",E4038)),IFERROR(-VALUE(LEFT(E4038,FIND("º",SUBSTITUTE(E4038,"°","º"))-1)),-1),IF(LEFT(E4038,6)="TÉRREO",0,IFERROR(VALUE(LEFT(E4038,FIND("º",SUBSTITUTE(E4038,"°","º"))-1)),""))))</f>
        <v/>
      </c>
      <c r="O4038" s="2">
        <f>IF(OR(F4038="",G4038=""),"",IF(G4038&lt;='RETRATO 2027'!$K$5,"CONCLUÍDA",IF(F4038&lt;='RETRATO 2027'!$K$5,"EM ANDAMENTO","A INICIAR")))</f>
        <v/>
      </c>
    </row>
    <row r="4039">
      <c r="M4039" s="2">
        <f>IF(C4039="","",IFERROR(INDEX($S$5:$S$304,MATCH(C4039,$R$5:$R$304,0))&amp;"","?"))</f>
        <v/>
      </c>
      <c r="N4039" s="2">
        <f>IF(E4039="","",IF(ISNUMBER(SEARCH("SUBSOLO",E4039)),IFERROR(-VALUE(LEFT(E4039,FIND("º",SUBSTITUTE(E4039,"°","º"))-1)),-1),IF(LEFT(E4039,6)="TÉRREO",0,IFERROR(VALUE(LEFT(E4039,FIND("º",SUBSTITUTE(E4039,"°","º"))-1)),""))))</f>
        <v/>
      </c>
      <c r="O4039" s="2">
        <f>IF(OR(F4039="",G4039=""),"",IF(G4039&lt;='RETRATO 2027'!$K$5,"CONCLUÍDA",IF(F4039&lt;='RETRATO 2027'!$K$5,"EM ANDAMENTO","A INICIAR")))</f>
        <v/>
      </c>
    </row>
    <row r="4040">
      <c r="M4040" s="2">
        <f>IF(C4040="","",IFERROR(INDEX($S$5:$S$304,MATCH(C4040,$R$5:$R$304,0))&amp;"","?"))</f>
        <v/>
      </c>
      <c r="N4040" s="2">
        <f>IF(E4040="","",IF(ISNUMBER(SEARCH("SUBSOLO",E4040)),IFERROR(-VALUE(LEFT(E4040,FIND("º",SUBSTITUTE(E4040,"°","º"))-1)),-1),IF(LEFT(E4040,6)="TÉRREO",0,IFERROR(VALUE(LEFT(E4040,FIND("º",SUBSTITUTE(E4040,"°","º"))-1)),""))))</f>
        <v/>
      </c>
      <c r="O4040" s="2">
        <f>IF(OR(F4040="",G4040=""),"",IF(G4040&lt;='RETRATO 2027'!$K$5,"CONCLUÍDA",IF(F4040&lt;='RETRATO 2027'!$K$5,"EM ANDAMENTO","A INICIAR")))</f>
        <v/>
      </c>
    </row>
    <row r="4041">
      <c r="M4041" s="2">
        <f>IF(C4041="","",IFERROR(INDEX($S$5:$S$304,MATCH(C4041,$R$5:$R$304,0))&amp;"","?"))</f>
        <v/>
      </c>
      <c r="N4041" s="2">
        <f>IF(E4041="","",IF(ISNUMBER(SEARCH("SUBSOLO",E4041)),IFERROR(-VALUE(LEFT(E4041,FIND("º",SUBSTITUTE(E4041,"°","º"))-1)),-1),IF(LEFT(E4041,6)="TÉRREO",0,IFERROR(VALUE(LEFT(E4041,FIND("º",SUBSTITUTE(E4041,"°","º"))-1)),""))))</f>
        <v/>
      </c>
      <c r="O4041" s="2">
        <f>IF(OR(F4041="",G4041=""),"",IF(G4041&lt;='RETRATO 2027'!$K$5,"CONCLUÍDA",IF(F4041&lt;='RETRATO 2027'!$K$5,"EM ANDAMENTO","A INICIAR")))</f>
        <v/>
      </c>
    </row>
    <row r="4042">
      <c r="M4042" s="2">
        <f>IF(C4042="","",IFERROR(INDEX($S$5:$S$304,MATCH(C4042,$R$5:$R$304,0))&amp;"","?"))</f>
        <v/>
      </c>
      <c r="N4042" s="2">
        <f>IF(E4042="","",IF(ISNUMBER(SEARCH("SUBSOLO",E4042)),IFERROR(-VALUE(LEFT(E4042,FIND("º",SUBSTITUTE(E4042,"°","º"))-1)),-1),IF(LEFT(E4042,6)="TÉRREO",0,IFERROR(VALUE(LEFT(E4042,FIND("º",SUBSTITUTE(E4042,"°","º"))-1)),""))))</f>
        <v/>
      </c>
      <c r="O4042" s="2">
        <f>IF(OR(F4042="",G4042=""),"",IF(G4042&lt;='RETRATO 2027'!$K$5,"CONCLUÍDA",IF(F4042&lt;='RETRATO 2027'!$K$5,"EM ANDAMENTO","A INICIAR")))</f>
        <v/>
      </c>
    </row>
    <row r="4043">
      <c r="M4043" s="2">
        <f>IF(C4043="","",IFERROR(INDEX($S$5:$S$304,MATCH(C4043,$R$5:$R$304,0))&amp;"","?"))</f>
        <v/>
      </c>
      <c r="N4043" s="2">
        <f>IF(E4043="","",IF(ISNUMBER(SEARCH("SUBSOLO",E4043)),IFERROR(-VALUE(LEFT(E4043,FIND("º",SUBSTITUTE(E4043,"°","º"))-1)),-1),IF(LEFT(E4043,6)="TÉRREO",0,IFERROR(VALUE(LEFT(E4043,FIND("º",SUBSTITUTE(E4043,"°","º"))-1)),""))))</f>
        <v/>
      </c>
      <c r="O4043" s="2">
        <f>IF(OR(F4043="",G4043=""),"",IF(G4043&lt;='RETRATO 2027'!$K$5,"CONCLUÍDA",IF(F4043&lt;='RETRATO 2027'!$K$5,"EM ANDAMENTO","A INICIAR")))</f>
        <v/>
      </c>
    </row>
    <row r="4044">
      <c r="M4044" s="2">
        <f>IF(C4044="","",IFERROR(INDEX($S$5:$S$304,MATCH(C4044,$R$5:$R$304,0))&amp;"","?"))</f>
        <v/>
      </c>
      <c r="N4044" s="2">
        <f>IF(E4044="","",IF(ISNUMBER(SEARCH("SUBSOLO",E4044)),IFERROR(-VALUE(LEFT(E4044,FIND("º",SUBSTITUTE(E4044,"°","º"))-1)),-1),IF(LEFT(E4044,6)="TÉRREO",0,IFERROR(VALUE(LEFT(E4044,FIND("º",SUBSTITUTE(E4044,"°","º"))-1)),""))))</f>
        <v/>
      </c>
      <c r="O4044" s="2">
        <f>IF(OR(F4044="",G4044=""),"",IF(G4044&lt;='RETRATO 2027'!$K$5,"CONCLUÍDA",IF(F4044&lt;='RETRATO 2027'!$K$5,"EM ANDAMENTO","A INICIAR")))</f>
        <v/>
      </c>
    </row>
    <row r="4045">
      <c r="M4045" s="2">
        <f>IF(C4045="","",IFERROR(INDEX($S$5:$S$304,MATCH(C4045,$R$5:$R$304,0))&amp;"","?"))</f>
        <v/>
      </c>
      <c r="N4045" s="2">
        <f>IF(E4045="","",IF(ISNUMBER(SEARCH("SUBSOLO",E4045)),IFERROR(-VALUE(LEFT(E4045,FIND("º",SUBSTITUTE(E4045,"°","º"))-1)),-1),IF(LEFT(E4045,6)="TÉRREO",0,IFERROR(VALUE(LEFT(E4045,FIND("º",SUBSTITUTE(E4045,"°","º"))-1)),""))))</f>
        <v/>
      </c>
      <c r="O4045" s="2">
        <f>IF(OR(F4045="",G4045=""),"",IF(G4045&lt;='RETRATO 2027'!$K$5,"CONCLUÍDA",IF(F4045&lt;='RETRATO 2027'!$K$5,"EM ANDAMENTO","A INICIAR")))</f>
        <v/>
      </c>
    </row>
    <row r="4046">
      <c r="M4046" s="2">
        <f>IF(C4046="","",IFERROR(INDEX($S$5:$S$304,MATCH(C4046,$R$5:$R$304,0))&amp;"","?"))</f>
        <v/>
      </c>
      <c r="N4046" s="2">
        <f>IF(E4046="","",IF(ISNUMBER(SEARCH("SUBSOLO",E4046)),IFERROR(-VALUE(LEFT(E4046,FIND("º",SUBSTITUTE(E4046,"°","º"))-1)),-1),IF(LEFT(E4046,6)="TÉRREO",0,IFERROR(VALUE(LEFT(E4046,FIND("º",SUBSTITUTE(E4046,"°","º"))-1)),""))))</f>
        <v/>
      </c>
      <c r="O4046" s="2">
        <f>IF(OR(F4046="",G4046=""),"",IF(G4046&lt;='RETRATO 2027'!$K$5,"CONCLUÍDA",IF(F4046&lt;='RETRATO 2027'!$K$5,"EM ANDAMENTO","A INICIAR")))</f>
        <v/>
      </c>
    </row>
    <row r="4047">
      <c r="M4047" s="2">
        <f>IF(C4047="","",IFERROR(INDEX($S$5:$S$304,MATCH(C4047,$R$5:$R$304,0))&amp;"","?"))</f>
        <v/>
      </c>
      <c r="N4047" s="2">
        <f>IF(E4047="","",IF(ISNUMBER(SEARCH("SUBSOLO",E4047)),IFERROR(-VALUE(LEFT(E4047,FIND("º",SUBSTITUTE(E4047,"°","º"))-1)),-1),IF(LEFT(E4047,6)="TÉRREO",0,IFERROR(VALUE(LEFT(E4047,FIND("º",SUBSTITUTE(E4047,"°","º"))-1)),""))))</f>
        <v/>
      </c>
      <c r="O4047" s="2">
        <f>IF(OR(F4047="",G4047=""),"",IF(G4047&lt;='RETRATO 2027'!$K$5,"CONCLUÍDA",IF(F4047&lt;='RETRATO 2027'!$K$5,"EM ANDAMENTO","A INICIAR")))</f>
        <v/>
      </c>
    </row>
    <row r="4048">
      <c r="M4048" s="2">
        <f>IF(C4048="","",IFERROR(INDEX($S$5:$S$304,MATCH(C4048,$R$5:$R$304,0))&amp;"","?"))</f>
        <v/>
      </c>
      <c r="N4048" s="2">
        <f>IF(E4048="","",IF(ISNUMBER(SEARCH("SUBSOLO",E4048)),IFERROR(-VALUE(LEFT(E4048,FIND("º",SUBSTITUTE(E4048,"°","º"))-1)),-1),IF(LEFT(E4048,6)="TÉRREO",0,IFERROR(VALUE(LEFT(E4048,FIND("º",SUBSTITUTE(E4048,"°","º"))-1)),""))))</f>
        <v/>
      </c>
      <c r="O4048" s="2">
        <f>IF(OR(F4048="",G4048=""),"",IF(G4048&lt;='RETRATO 2027'!$K$5,"CONCLUÍDA",IF(F4048&lt;='RETRATO 2027'!$K$5,"EM ANDAMENTO","A INICIAR")))</f>
        <v/>
      </c>
    </row>
    <row r="4049">
      <c r="M4049" s="2">
        <f>IF(C4049="","",IFERROR(INDEX($S$5:$S$304,MATCH(C4049,$R$5:$R$304,0))&amp;"","?"))</f>
        <v/>
      </c>
      <c r="N4049" s="2">
        <f>IF(E4049="","",IF(ISNUMBER(SEARCH("SUBSOLO",E4049)),IFERROR(-VALUE(LEFT(E4049,FIND("º",SUBSTITUTE(E4049,"°","º"))-1)),-1),IF(LEFT(E4049,6)="TÉRREO",0,IFERROR(VALUE(LEFT(E4049,FIND("º",SUBSTITUTE(E4049,"°","º"))-1)),""))))</f>
        <v/>
      </c>
      <c r="O4049" s="2">
        <f>IF(OR(F4049="",G4049=""),"",IF(G4049&lt;='RETRATO 2027'!$K$5,"CONCLUÍDA",IF(F4049&lt;='RETRATO 2027'!$K$5,"EM ANDAMENTO","A INICIAR")))</f>
        <v/>
      </c>
    </row>
    <row r="4050">
      <c r="M4050" s="2">
        <f>IF(C4050="","",IFERROR(INDEX($S$5:$S$304,MATCH(C4050,$R$5:$R$304,0))&amp;"","?"))</f>
        <v/>
      </c>
      <c r="N4050" s="2">
        <f>IF(E4050="","",IF(ISNUMBER(SEARCH("SUBSOLO",E4050)),IFERROR(-VALUE(LEFT(E4050,FIND("º",SUBSTITUTE(E4050,"°","º"))-1)),-1),IF(LEFT(E4050,6)="TÉRREO",0,IFERROR(VALUE(LEFT(E4050,FIND("º",SUBSTITUTE(E4050,"°","º"))-1)),""))))</f>
        <v/>
      </c>
      <c r="O4050" s="2">
        <f>IF(OR(F4050="",G4050=""),"",IF(G4050&lt;='RETRATO 2027'!$K$5,"CONCLUÍDA",IF(F4050&lt;='RETRATO 2027'!$K$5,"EM ANDAMENTO","A INICIAR")))</f>
        <v/>
      </c>
    </row>
    <row r="4051">
      <c r="M4051" s="2">
        <f>IF(C4051="","",IFERROR(INDEX($S$5:$S$304,MATCH(C4051,$R$5:$R$304,0))&amp;"","?"))</f>
        <v/>
      </c>
      <c r="N4051" s="2">
        <f>IF(E4051="","",IF(ISNUMBER(SEARCH("SUBSOLO",E4051)),IFERROR(-VALUE(LEFT(E4051,FIND("º",SUBSTITUTE(E4051,"°","º"))-1)),-1),IF(LEFT(E4051,6)="TÉRREO",0,IFERROR(VALUE(LEFT(E4051,FIND("º",SUBSTITUTE(E4051,"°","º"))-1)),""))))</f>
        <v/>
      </c>
      <c r="O4051" s="2">
        <f>IF(OR(F4051="",G4051=""),"",IF(G4051&lt;='RETRATO 2027'!$K$5,"CONCLUÍDA",IF(F4051&lt;='RETRATO 2027'!$K$5,"EM ANDAMENTO","A INICIAR")))</f>
        <v/>
      </c>
    </row>
    <row r="4052">
      <c r="M4052" s="2">
        <f>IF(C4052="","",IFERROR(INDEX($S$5:$S$304,MATCH(C4052,$R$5:$R$304,0))&amp;"","?"))</f>
        <v/>
      </c>
      <c r="N4052" s="2">
        <f>IF(E4052="","",IF(ISNUMBER(SEARCH("SUBSOLO",E4052)),IFERROR(-VALUE(LEFT(E4052,FIND("º",SUBSTITUTE(E4052,"°","º"))-1)),-1),IF(LEFT(E4052,6)="TÉRREO",0,IFERROR(VALUE(LEFT(E4052,FIND("º",SUBSTITUTE(E4052,"°","º"))-1)),""))))</f>
        <v/>
      </c>
      <c r="O4052" s="2">
        <f>IF(OR(F4052="",G4052=""),"",IF(G4052&lt;='RETRATO 2027'!$K$5,"CONCLUÍDA",IF(F4052&lt;='RETRATO 2027'!$K$5,"EM ANDAMENTO","A INICIAR")))</f>
        <v/>
      </c>
    </row>
    <row r="4053">
      <c r="M4053" s="2">
        <f>IF(C4053="","",IFERROR(INDEX($S$5:$S$304,MATCH(C4053,$R$5:$R$304,0))&amp;"","?"))</f>
        <v/>
      </c>
      <c r="N4053" s="2">
        <f>IF(E4053="","",IF(ISNUMBER(SEARCH("SUBSOLO",E4053)),IFERROR(-VALUE(LEFT(E4053,FIND("º",SUBSTITUTE(E4053,"°","º"))-1)),-1),IF(LEFT(E4053,6)="TÉRREO",0,IFERROR(VALUE(LEFT(E4053,FIND("º",SUBSTITUTE(E4053,"°","º"))-1)),""))))</f>
        <v/>
      </c>
      <c r="O4053" s="2">
        <f>IF(OR(F4053="",G4053=""),"",IF(G4053&lt;='RETRATO 2027'!$K$5,"CONCLUÍDA",IF(F4053&lt;='RETRATO 2027'!$K$5,"EM ANDAMENTO","A INICIAR")))</f>
        <v/>
      </c>
    </row>
    <row r="4054">
      <c r="M4054" s="2">
        <f>IF(C4054="","",IFERROR(INDEX($S$5:$S$304,MATCH(C4054,$R$5:$R$304,0))&amp;"","?"))</f>
        <v/>
      </c>
      <c r="N4054" s="2">
        <f>IF(E4054="","",IF(ISNUMBER(SEARCH("SUBSOLO",E4054)),IFERROR(-VALUE(LEFT(E4054,FIND("º",SUBSTITUTE(E4054,"°","º"))-1)),-1),IF(LEFT(E4054,6)="TÉRREO",0,IFERROR(VALUE(LEFT(E4054,FIND("º",SUBSTITUTE(E4054,"°","º"))-1)),""))))</f>
        <v/>
      </c>
      <c r="O4054" s="2">
        <f>IF(OR(F4054="",G4054=""),"",IF(G4054&lt;='RETRATO 2027'!$K$5,"CONCLUÍDA",IF(F4054&lt;='RETRATO 2027'!$K$5,"EM ANDAMENTO","A INICIAR")))</f>
        <v/>
      </c>
    </row>
    <row r="4055">
      <c r="M4055" s="2">
        <f>IF(C4055="","",IFERROR(INDEX($S$5:$S$304,MATCH(C4055,$R$5:$R$304,0))&amp;"","?"))</f>
        <v/>
      </c>
      <c r="N4055" s="2">
        <f>IF(E4055="","",IF(ISNUMBER(SEARCH("SUBSOLO",E4055)),IFERROR(-VALUE(LEFT(E4055,FIND("º",SUBSTITUTE(E4055,"°","º"))-1)),-1),IF(LEFT(E4055,6)="TÉRREO",0,IFERROR(VALUE(LEFT(E4055,FIND("º",SUBSTITUTE(E4055,"°","º"))-1)),""))))</f>
        <v/>
      </c>
      <c r="O4055" s="2">
        <f>IF(OR(F4055="",G4055=""),"",IF(G4055&lt;='RETRATO 2027'!$K$5,"CONCLUÍDA",IF(F4055&lt;='RETRATO 2027'!$K$5,"EM ANDAMENTO","A INICIAR")))</f>
        <v/>
      </c>
    </row>
    <row r="4056">
      <c r="M4056" s="2">
        <f>IF(C4056="","",IFERROR(INDEX($S$5:$S$304,MATCH(C4056,$R$5:$R$304,0))&amp;"","?"))</f>
        <v/>
      </c>
      <c r="N4056" s="2">
        <f>IF(E4056="","",IF(ISNUMBER(SEARCH("SUBSOLO",E4056)),IFERROR(-VALUE(LEFT(E4056,FIND("º",SUBSTITUTE(E4056,"°","º"))-1)),-1),IF(LEFT(E4056,6)="TÉRREO",0,IFERROR(VALUE(LEFT(E4056,FIND("º",SUBSTITUTE(E4056,"°","º"))-1)),""))))</f>
        <v/>
      </c>
      <c r="O4056" s="2">
        <f>IF(OR(F4056="",G4056=""),"",IF(G4056&lt;='RETRATO 2027'!$K$5,"CONCLUÍDA",IF(F4056&lt;='RETRATO 2027'!$K$5,"EM ANDAMENTO","A INICIAR")))</f>
        <v/>
      </c>
    </row>
    <row r="4057">
      <c r="M4057" s="2">
        <f>IF(C4057="","",IFERROR(INDEX($S$5:$S$304,MATCH(C4057,$R$5:$R$304,0))&amp;"","?"))</f>
        <v/>
      </c>
      <c r="N4057" s="2">
        <f>IF(E4057="","",IF(ISNUMBER(SEARCH("SUBSOLO",E4057)),IFERROR(-VALUE(LEFT(E4057,FIND("º",SUBSTITUTE(E4057,"°","º"))-1)),-1),IF(LEFT(E4057,6)="TÉRREO",0,IFERROR(VALUE(LEFT(E4057,FIND("º",SUBSTITUTE(E4057,"°","º"))-1)),""))))</f>
        <v/>
      </c>
      <c r="O4057" s="2">
        <f>IF(OR(F4057="",G4057=""),"",IF(G4057&lt;='RETRATO 2027'!$K$5,"CONCLUÍDA",IF(F4057&lt;='RETRATO 2027'!$K$5,"EM ANDAMENTO","A INICIAR")))</f>
        <v/>
      </c>
    </row>
    <row r="4058">
      <c r="M4058" s="2">
        <f>IF(C4058="","",IFERROR(INDEX($S$5:$S$304,MATCH(C4058,$R$5:$R$304,0))&amp;"","?"))</f>
        <v/>
      </c>
      <c r="N4058" s="2">
        <f>IF(E4058="","",IF(ISNUMBER(SEARCH("SUBSOLO",E4058)),IFERROR(-VALUE(LEFT(E4058,FIND("º",SUBSTITUTE(E4058,"°","º"))-1)),-1),IF(LEFT(E4058,6)="TÉRREO",0,IFERROR(VALUE(LEFT(E4058,FIND("º",SUBSTITUTE(E4058,"°","º"))-1)),""))))</f>
        <v/>
      </c>
      <c r="O4058" s="2">
        <f>IF(OR(F4058="",G4058=""),"",IF(G4058&lt;='RETRATO 2027'!$K$5,"CONCLUÍDA",IF(F4058&lt;='RETRATO 2027'!$K$5,"EM ANDAMENTO","A INICIAR")))</f>
        <v/>
      </c>
    </row>
    <row r="4059">
      <c r="M4059" s="2">
        <f>IF(C4059="","",IFERROR(INDEX($S$5:$S$304,MATCH(C4059,$R$5:$R$304,0))&amp;"","?"))</f>
        <v/>
      </c>
      <c r="N4059" s="2">
        <f>IF(E4059="","",IF(ISNUMBER(SEARCH("SUBSOLO",E4059)),IFERROR(-VALUE(LEFT(E4059,FIND("º",SUBSTITUTE(E4059,"°","º"))-1)),-1),IF(LEFT(E4059,6)="TÉRREO",0,IFERROR(VALUE(LEFT(E4059,FIND("º",SUBSTITUTE(E4059,"°","º"))-1)),""))))</f>
        <v/>
      </c>
      <c r="O4059" s="2">
        <f>IF(OR(F4059="",G4059=""),"",IF(G4059&lt;='RETRATO 2027'!$K$5,"CONCLUÍDA",IF(F4059&lt;='RETRATO 2027'!$K$5,"EM ANDAMENTO","A INICIAR")))</f>
        <v/>
      </c>
    </row>
    <row r="4060">
      <c r="M4060" s="2">
        <f>IF(C4060="","",IFERROR(INDEX($S$5:$S$304,MATCH(C4060,$R$5:$R$304,0))&amp;"","?"))</f>
        <v/>
      </c>
      <c r="N4060" s="2">
        <f>IF(E4060="","",IF(ISNUMBER(SEARCH("SUBSOLO",E4060)),IFERROR(-VALUE(LEFT(E4060,FIND("º",SUBSTITUTE(E4060,"°","º"))-1)),-1),IF(LEFT(E4060,6)="TÉRREO",0,IFERROR(VALUE(LEFT(E4060,FIND("º",SUBSTITUTE(E4060,"°","º"))-1)),""))))</f>
        <v/>
      </c>
      <c r="O4060" s="2">
        <f>IF(OR(F4060="",G4060=""),"",IF(G4060&lt;='RETRATO 2027'!$K$5,"CONCLUÍDA",IF(F4060&lt;='RETRATO 2027'!$K$5,"EM ANDAMENTO","A INICIAR")))</f>
        <v/>
      </c>
    </row>
    <row r="4061">
      <c r="M4061" s="2">
        <f>IF(C4061="","",IFERROR(INDEX($S$5:$S$304,MATCH(C4061,$R$5:$R$304,0))&amp;"","?"))</f>
        <v/>
      </c>
      <c r="N4061" s="2">
        <f>IF(E4061="","",IF(ISNUMBER(SEARCH("SUBSOLO",E4061)),IFERROR(-VALUE(LEFT(E4061,FIND("º",SUBSTITUTE(E4061,"°","º"))-1)),-1),IF(LEFT(E4061,6)="TÉRREO",0,IFERROR(VALUE(LEFT(E4061,FIND("º",SUBSTITUTE(E4061,"°","º"))-1)),""))))</f>
        <v/>
      </c>
      <c r="O4061" s="2">
        <f>IF(OR(F4061="",G4061=""),"",IF(G4061&lt;='RETRATO 2027'!$K$5,"CONCLUÍDA",IF(F4061&lt;='RETRATO 2027'!$K$5,"EM ANDAMENTO","A INICIAR")))</f>
        <v/>
      </c>
    </row>
    <row r="4062">
      <c r="M4062" s="2">
        <f>IF(C4062="","",IFERROR(INDEX($S$5:$S$304,MATCH(C4062,$R$5:$R$304,0))&amp;"","?"))</f>
        <v/>
      </c>
      <c r="N4062" s="2">
        <f>IF(E4062="","",IF(ISNUMBER(SEARCH("SUBSOLO",E4062)),IFERROR(-VALUE(LEFT(E4062,FIND("º",SUBSTITUTE(E4062,"°","º"))-1)),-1),IF(LEFT(E4062,6)="TÉRREO",0,IFERROR(VALUE(LEFT(E4062,FIND("º",SUBSTITUTE(E4062,"°","º"))-1)),""))))</f>
        <v/>
      </c>
      <c r="O4062" s="2">
        <f>IF(OR(F4062="",G4062=""),"",IF(G4062&lt;='RETRATO 2027'!$K$5,"CONCLUÍDA",IF(F4062&lt;='RETRATO 2027'!$K$5,"EM ANDAMENTO","A INICIAR")))</f>
        <v/>
      </c>
    </row>
    <row r="4063">
      <c r="M4063" s="2">
        <f>IF(C4063="","",IFERROR(INDEX($S$5:$S$304,MATCH(C4063,$R$5:$R$304,0))&amp;"","?"))</f>
        <v/>
      </c>
      <c r="N4063" s="2">
        <f>IF(E4063="","",IF(ISNUMBER(SEARCH("SUBSOLO",E4063)),IFERROR(-VALUE(LEFT(E4063,FIND("º",SUBSTITUTE(E4063,"°","º"))-1)),-1),IF(LEFT(E4063,6)="TÉRREO",0,IFERROR(VALUE(LEFT(E4063,FIND("º",SUBSTITUTE(E4063,"°","º"))-1)),""))))</f>
        <v/>
      </c>
      <c r="O4063" s="2">
        <f>IF(OR(F4063="",G4063=""),"",IF(G4063&lt;='RETRATO 2027'!$K$5,"CONCLUÍDA",IF(F4063&lt;='RETRATO 2027'!$K$5,"EM ANDAMENTO","A INICIAR")))</f>
        <v/>
      </c>
    </row>
    <row r="4064">
      <c r="M4064" s="2">
        <f>IF(C4064="","",IFERROR(INDEX($S$5:$S$304,MATCH(C4064,$R$5:$R$304,0))&amp;"","?"))</f>
        <v/>
      </c>
      <c r="N4064" s="2">
        <f>IF(E4064="","",IF(ISNUMBER(SEARCH("SUBSOLO",E4064)),IFERROR(-VALUE(LEFT(E4064,FIND("º",SUBSTITUTE(E4064,"°","º"))-1)),-1),IF(LEFT(E4064,6)="TÉRREO",0,IFERROR(VALUE(LEFT(E4064,FIND("º",SUBSTITUTE(E4064,"°","º"))-1)),""))))</f>
        <v/>
      </c>
      <c r="O4064" s="2">
        <f>IF(OR(F4064="",G4064=""),"",IF(G4064&lt;='RETRATO 2027'!$K$5,"CONCLUÍDA",IF(F4064&lt;='RETRATO 2027'!$K$5,"EM ANDAMENTO","A INICIAR")))</f>
        <v/>
      </c>
    </row>
    <row r="4065">
      <c r="M4065" s="2">
        <f>IF(C4065="","",IFERROR(INDEX($S$5:$S$304,MATCH(C4065,$R$5:$R$304,0))&amp;"","?"))</f>
        <v/>
      </c>
      <c r="N4065" s="2">
        <f>IF(E4065="","",IF(ISNUMBER(SEARCH("SUBSOLO",E4065)),IFERROR(-VALUE(LEFT(E4065,FIND("º",SUBSTITUTE(E4065,"°","º"))-1)),-1),IF(LEFT(E4065,6)="TÉRREO",0,IFERROR(VALUE(LEFT(E4065,FIND("º",SUBSTITUTE(E4065,"°","º"))-1)),""))))</f>
        <v/>
      </c>
      <c r="O4065" s="2">
        <f>IF(OR(F4065="",G4065=""),"",IF(G4065&lt;='RETRATO 2027'!$K$5,"CONCLUÍDA",IF(F4065&lt;='RETRATO 2027'!$K$5,"EM ANDAMENTO","A INICIAR")))</f>
        <v/>
      </c>
    </row>
    <row r="4066">
      <c r="M4066" s="2">
        <f>IF(C4066="","",IFERROR(INDEX($S$5:$S$304,MATCH(C4066,$R$5:$R$304,0))&amp;"","?"))</f>
        <v/>
      </c>
      <c r="N4066" s="2">
        <f>IF(E4066="","",IF(ISNUMBER(SEARCH("SUBSOLO",E4066)),IFERROR(-VALUE(LEFT(E4066,FIND("º",SUBSTITUTE(E4066,"°","º"))-1)),-1),IF(LEFT(E4066,6)="TÉRREO",0,IFERROR(VALUE(LEFT(E4066,FIND("º",SUBSTITUTE(E4066,"°","º"))-1)),""))))</f>
        <v/>
      </c>
      <c r="O4066" s="2">
        <f>IF(OR(F4066="",G4066=""),"",IF(G4066&lt;='RETRATO 2027'!$K$5,"CONCLUÍDA",IF(F4066&lt;='RETRATO 2027'!$K$5,"EM ANDAMENTO","A INICIAR")))</f>
        <v/>
      </c>
    </row>
    <row r="4067">
      <c r="M4067" s="2">
        <f>IF(C4067="","",IFERROR(INDEX($S$5:$S$304,MATCH(C4067,$R$5:$R$304,0))&amp;"","?"))</f>
        <v/>
      </c>
      <c r="N4067" s="2">
        <f>IF(E4067="","",IF(ISNUMBER(SEARCH("SUBSOLO",E4067)),IFERROR(-VALUE(LEFT(E4067,FIND("º",SUBSTITUTE(E4067,"°","º"))-1)),-1),IF(LEFT(E4067,6)="TÉRREO",0,IFERROR(VALUE(LEFT(E4067,FIND("º",SUBSTITUTE(E4067,"°","º"))-1)),""))))</f>
        <v/>
      </c>
      <c r="O4067" s="2">
        <f>IF(OR(F4067="",G4067=""),"",IF(G4067&lt;='RETRATO 2027'!$K$5,"CONCLUÍDA",IF(F4067&lt;='RETRATO 2027'!$K$5,"EM ANDAMENTO","A INICIAR")))</f>
        <v/>
      </c>
    </row>
    <row r="4068">
      <c r="M4068" s="2">
        <f>IF(C4068="","",IFERROR(INDEX($S$5:$S$304,MATCH(C4068,$R$5:$R$304,0))&amp;"","?"))</f>
        <v/>
      </c>
      <c r="N4068" s="2">
        <f>IF(E4068="","",IF(ISNUMBER(SEARCH("SUBSOLO",E4068)),IFERROR(-VALUE(LEFT(E4068,FIND("º",SUBSTITUTE(E4068,"°","º"))-1)),-1),IF(LEFT(E4068,6)="TÉRREO",0,IFERROR(VALUE(LEFT(E4068,FIND("º",SUBSTITUTE(E4068,"°","º"))-1)),""))))</f>
        <v/>
      </c>
      <c r="O4068" s="2">
        <f>IF(OR(F4068="",G4068=""),"",IF(G4068&lt;='RETRATO 2027'!$K$5,"CONCLUÍDA",IF(F4068&lt;='RETRATO 2027'!$K$5,"EM ANDAMENTO","A INICIAR")))</f>
        <v/>
      </c>
    </row>
    <row r="4069">
      <c r="M4069" s="2">
        <f>IF(C4069="","",IFERROR(INDEX($S$5:$S$304,MATCH(C4069,$R$5:$R$304,0))&amp;"","?"))</f>
        <v/>
      </c>
      <c r="N4069" s="2">
        <f>IF(E4069="","",IF(ISNUMBER(SEARCH("SUBSOLO",E4069)),IFERROR(-VALUE(LEFT(E4069,FIND("º",SUBSTITUTE(E4069,"°","º"))-1)),-1),IF(LEFT(E4069,6)="TÉRREO",0,IFERROR(VALUE(LEFT(E4069,FIND("º",SUBSTITUTE(E4069,"°","º"))-1)),""))))</f>
        <v/>
      </c>
      <c r="O4069" s="2">
        <f>IF(OR(F4069="",G4069=""),"",IF(G4069&lt;='RETRATO 2027'!$K$5,"CONCLUÍDA",IF(F4069&lt;='RETRATO 2027'!$K$5,"EM ANDAMENTO","A INICIAR")))</f>
        <v/>
      </c>
    </row>
    <row r="4070">
      <c r="M4070" s="2">
        <f>IF(C4070="","",IFERROR(INDEX($S$5:$S$304,MATCH(C4070,$R$5:$R$304,0))&amp;"","?"))</f>
        <v/>
      </c>
      <c r="N4070" s="2">
        <f>IF(E4070="","",IF(ISNUMBER(SEARCH("SUBSOLO",E4070)),IFERROR(-VALUE(LEFT(E4070,FIND("º",SUBSTITUTE(E4070,"°","º"))-1)),-1),IF(LEFT(E4070,6)="TÉRREO",0,IFERROR(VALUE(LEFT(E4070,FIND("º",SUBSTITUTE(E4070,"°","º"))-1)),""))))</f>
        <v/>
      </c>
      <c r="O4070" s="2">
        <f>IF(OR(F4070="",G4070=""),"",IF(G4070&lt;='RETRATO 2027'!$K$5,"CONCLUÍDA",IF(F4070&lt;='RETRATO 2027'!$K$5,"EM ANDAMENTO","A INICIAR")))</f>
        <v/>
      </c>
    </row>
    <row r="4071">
      <c r="M4071" s="2">
        <f>IF(C4071="","",IFERROR(INDEX($S$5:$S$304,MATCH(C4071,$R$5:$R$304,0))&amp;"","?"))</f>
        <v/>
      </c>
      <c r="N4071" s="2">
        <f>IF(E4071="","",IF(ISNUMBER(SEARCH("SUBSOLO",E4071)),IFERROR(-VALUE(LEFT(E4071,FIND("º",SUBSTITUTE(E4071,"°","º"))-1)),-1),IF(LEFT(E4071,6)="TÉRREO",0,IFERROR(VALUE(LEFT(E4071,FIND("º",SUBSTITUTE(E4071,"°","º"))-1)),""))))</f>
        <v/>
      </c>
      <c r="O4071" s="2">
        <f>IF(OR(F4071="",G4071=""),"",IF(G4071&lt;='RETRATO 2027'!$K$5,"CONCLUÍDA",IF(F4071&lt;='RETRATO 2027'!$K$5,"EM ANDAMENTO","A INICIAR")))</f>
        <v/>
      </c>
    </row>
    <row r="4072">
      <c r="M4072" s="2">
        <f>IF(C4072="","",IFERROR(INDEX($S$5:$S$304,MATCH(C4072,$R$5:$R$304,0))&amp;"","?"))</f>
        <v/>
      </c>
      <c r="N4072" s="2">
        <f>IF(E4072="","",IF(ISNUMBER(SEARCH("SUBSOLO",E4072)),IFERROR(-VALUE(LEFT(E4072,FIND("º",SUBSTITUTE(E4072,"°","º"))-1)),-1),IF(LEFT(E4072,6)="TÉRREO",0,IFERROR(VALUE(LEFT(E4072,FIND("º",SUBSTITUTE(E4072,"°","º"))-1)),""))))</f>
        <v/>
      </c>
      <c r="O4072" s="2">
        <f>IF(OR(F4072="",G4072=""),"",IF(G4072&lt;='RETRATO 2027'!$K$5,"CONCLUÍDA",IF(F4072&lt;='RETRATO 2027'!$K$5,"EM ANDAMENTO","A INICIAR")))</f>
        <v/>
      </c>
    </row>
    <row r="4073">
      <c r="M4073" s="2">
        <f>IF(C4073="","",IFERROR(INDEX($S$5:$S$304,MATCH(C4073,$R$5:$R$304,0))&amp;"","?"))</f>
        <v/>
      </c>
      <c r="N4073" s="2">
        <f>IF(E4073="","",IF(ISNUMBER(SEARCH("SUBSOLO",E4073)),IFERROR(-VALUE(LEFT(E4073,FIND("º",SUBSTITUTE(E4073,"°","º"))-1)),-1),IF(LEFT(E4073,6)="TÉRREO",0,IFERROR(VALUE(LEFT(E4073,FIND("º",SUBSTITUTE(E4073,"°","º"))-1)),""))))</f>
        <v/>
      </c>
      <c r="O4073" s="2">
        <f>IF(OR(F4073="",G4073=""),"",IF(G4073&lt;='RETRATO 2027'!$K$5,"CONCLUÍDA",IF(F4073&lt;='RETRATO 2027'!$K$5,"EM ANDAMENTO","A INICIAR")))</f>
        <v/>
      </c>
    </row>
    <row r="4074">
      <c r="M4074" s="2">
        <f>IF(C4074="","",IFERROR(INDEX($S$5:$S$304,MATCH(C4074,$R$5:$R$304,0))&amp;"","?"))</f>
        <v/>
      </c>
      <c r="N4074" s="2">
        <f>IF(E4074="","",IF(ISNUMBER(SEARCH("SUBSOLO",E4074)),IFERROR(-VALUE(LEFT(E4074,FIND("º",SUBSTITUTE(E4074,"°","º"))-1)),-1),IF(LEFT(E4074,6)="TÉRREO",0,IFERROR(VALUE(LEFT(E4074,FIND("º",SUBSTITUTE(E4074,"°","º"))-1)),""))))</f>
        <v/>
      </c>
      <c r="O4074" s="2">
        <f>IF(OR(F4074="",G4074=""),"",IF(G4074&lt;='RETRATO 2027'!$K$5,"CONCLUÍDA",IF(F4074&lt;='RETRATO 2027'!$K$5,"EM ANDAMENTO","A INICIAR")))</f>
        <v/>
      </c>
    </row>
    <row r="4075">
      <c r="M4075" s="2">
        <f>IF(C4075="","",IFERROR(INDEX($S$5:$S$304,MATCH(C4075,$R$5:$R$304,0))&amp;"","?"))</f>
        <v/>
      </c>
      <c r="N4075" s="2">
        <f>IF(E4075="","",IF(ISNUMBER(SEARCH("SUBSOLO",E4075)),IFERROR(-VALUE(LEFT(E4075,FIND("º",SUBSTITUTE(E4075,"°","º"))-1)),-1),IF(LEFT(E4075,6)="TÉRREO",0,IFERROR(VALUE(LEFT(E4075,FIND("º",SUBSTITUTE(E4075,"°","º"))-1)),""))))</f>
        <v/>
      </c>
      <c r="O4075" s="2">
        <f>IF(OR(F4075="",G4075=""),"",IF(G4075&lt;='RETRATO 2027'!$K$5,"CONCLUÍDA",IF(F4075&lt;='RETRATO 2027'!$K$5,"EM ANDAMENTO","A INICIAR")))</f>
        <v/>
      </c>
    </row>
    <row r="4076">
      <c r="M4076" s="2">
        <f>IF(C4076="","",IFERROR(INDEX($S$5:$S$304,MATCH(C4076,$R$5:$R$304,0))&amp;"","?"))</f>
        <v/>
      </c>
      <c r="N4076" s="2">
        <f>IF(E4076="","",IF(ISNUMBER(SEARCH("SUBSOLO",E4076)),IFERROR(-VALUE(LEFT(E4076,FIND("º",SUBSTITUTE(E4076,"°","º"))-1)),-1),IF(LEFT(E4076,6)="TÉRREO",0,IFERROR(VALUE(LEFT(E4076,FIND("º",SUBSTITUTE(E4076,"°","º"))-1)),""))))</f>
        <v/>
      </c>
      <c r="O4076" s="2">
        <f>IF(OR(F4076="",G4076=""),"",IF(G4076&lt;='RETRATO 2027'!$K$5,"CONCLUÍDA",IF(F4076&lt;='RETRATO 2027'!$K$5,"EM ANDAMENTO","A INICIAR")))</f>
        <v/>
      </c>
    </row>
    <row r="4077">
      <c r="M4077" s="2">
        <f>IF(C4077="","",IFERROR(INDEX($S$5:$S$304,MATCH(C4077,$R$5:$R$304,0))&amp;"","?"))</f>
        <v/>
      </c>
      <c r="N4077" s="2">
        <f>IF(E4077="","",IF(ISNUMBER(SEARCH("SUBSOLO",E4077)),IFERROR(-VALUE(LEFT(E4077,FIND("º",SUBSTITUTE(E4077,"°","º"))-1)),-1),IF(LEFT(E4077,6)="TÉRREO",0,IFERROR(VALUE(LEFT(E4077,FIND("º",SUBSTITUTE(E4077,"°","º"))-1)),""))))</f>
        <v/>
      </c>
      <c r="O4077" s="2">
        <f>IF(OR(F4077="",G4077=""),"",IF(G4077&lt;='RETRATO 2027'!$K$5,"CONCLUÍDA",IF(F4077&lt;='RETRATO 2027'!$K$5,"EM ANDAMENTO","A INICIAR")))</f>
        <v/>
      </c>
    </row>
    <row r="4078">
      <c r="M4078" s="2">
        <f>IF(C4078="","",IFERROR(INDEX($S$5:$S$304,MATCH(C4078,$R$5:$R$304,0))&amp;"","?"))</f>
        <v/>
      </c>
      <c r="N4078" s="2">
        <f>IF(E4078="","",IF(ISNUMBER(SEARCH("SUBSOLO",E4078)),IFERROR(-VALUE(LEFT(E4078,FIND("º",SUBSTITUTE(E4078,"°","º"))-1)),-1),IF(LEFT(E4078,6)="TÉRREO",0,IFERROR(VALUE(LEFT(E4078,FIND("º",SUBSTITUTE(E4078,"°","º"))-1)),""))))</f>
        <v/>
      </c>
      <c r="O4078" s="2">
        <f>IF(OR(F4078="",G4078=""),"",IF(G4078&lt;='RETRATO 2027'!$K$5,"CONCLUÍDA",IF(F4078&lt;='RETRATO 2027'!$K$5,"EM ANDAMENTO","A INICIAR")))</f>
        <v/>
      </c>
    </row>
    <row r="4079">
      <c r="M4079" s="2">
        <f>IF(C4079="","",IFERROR(INDEX($S$5:$S$304,MATCH(C4079,$R$5:$R$304,0))&amp;"","?"))</f>
        <v/>
      </c>
      <c r="N4079" s="2">
        <f>IF(E4079="","",IF(ISNUMBER(SEARCH("SUBSOLO",E4079)),IFERROR(-VALUE(LEFT(E4079,FIND("º",SUBSTITUTE(E4079,"°","º"))-1)),-1),IF(LEFT(E4079,6)="TÉRREO",0,IFERROR(VALUE(LEFT(E4079,FIND("º",SUBSTITUTE(E4079,"°","º"))-1)),""))))</f>
        <v/>
      </c>
      <c r="O4079" s="2">
        <f>IF(OR(F4079="",G4079=""),"",IF(G4079&lt;='RETRATO 2027'!$K$5,"CONCLUÍDA",IF(F4079&lt;='RETRATO 2027'!$K$5,"EM ANDAMENTO","A INICIAR")))</f>
        <v/>
      </c>
    </row>
    <row r="4080">
      <c r="M4080" s="2">
        <f>IF(C4080="","",IFERROR(INDEX($S$5:$S$304,MATCH(C4080,$R$5:$R$304,0))&amp;"","?"))</f>
        <v/>
      </c>
      <c r="N4080" s="2">
        <f>IF(E4080="","",IF(ISNUMBER(SEARCH("SUBSOLO",E4080)),IFERROR(-VALUE(LEFT(E4080,FIND("º",SUBSTITUTE(E4080,"°","º"))-1)),-1),IF(LEFT(E4080,6)="TÉRREO",0,IFERROR(VALUE(LEFT(E4080,FIND("º",SUBSTITUTE(E4080,"°","º"))-1)),""))))</f>
        <v/>
      </c>
      <c r="O4080" s="2">
        <f>IF(OR(F4080="",G4080=""),"",IF(G4080&lt;='RETRATO 2027'!$K$5,"CONCLUÍDA",IF(F4080&lt;='RETRATO 2027'!$K$5,"EM ANDAMENTO","A INICIAR")))</f>
        <v/>
      </c>
    </row>
    <row r="4081">
      <c r="M4081" s="2">
        <f>IF(C4081="","",IFERROR(INDEX($S$5:$S$304,MATCH(C4081,$R$5:$R$304,0))&amp;"","?"))</f>
        <v/>
      </c>
      <c r="N4081" s="2">
        <f>IF(E4081="","",IF(ISNUMBER(SEARCH("SUBSOLO",E4081)),IFERROR(-VALUE(LEFT(E4081,FIND("º",SUBSTITUTE(E4081,"°","º"))-1)),-1),IF(LEFT(E4081,6)="TÉRREO",0,IFERROR(VALUE(LEFT(E4081,FIND("º",SUBSTITUTE(E4081,"°","º"))-1)),""))))</f>
        <v/>
      </c>
      <c r="O4081" s="2">
        <f>IF(OR(F4081="",G4081=""),"",IF(G4081&lt;='RETRATO 2027'!$K$5,"CONCLUÍDA",IF(F4081&lt;='RETRATO 2027'!$K$5,"EM ANDAMENTO","A INICIAR")))</f>
        <v/>
      </c>
    </row>
    <row r="4082">
      <c r="M4082" s="2">
        <f>IF(C4082="","",IFERROR(INDEX($S$5:$S$304,MATCH(C4082,$R$5:$R$304,0))&amp;"","?"))</f>
        <v/>
      </c>
      <c r="N4082" s="2">
        <f>IF(E4082="","",IF(ISNUMBER(SEARCH("SUBSOLO",E4082)),IFERROR(-VALUE(LEFT(E4082,FIND("º",SUBSTITUTE(E4082,"°","º"))-1)),-1),IF(LEFT(E4082,6)="TÉRREO",0,IFERROR(VALUE(LEFT(E4082,FIND("º",SUBSTITUTE(E4082,"°","º"))-1)),""))))</f>
        <v/>
      </c>
      <c r="O4082" s="2">
        <f>IF(OR(F4082="",G4082=""),"",IF(G4082&lt;='RETRATO 2027'!$K$5,"CONCLUÍDA",IF(F4082&lt;='RETRATO 2027'!$K$5,"EM ANDAMENTO","A INICIAR")))</f>
        <v/>
      </c>
    </row>
    <row r="4083">
      <c r="M4083" s="2">
        <f>IF(C4083="","",IFERROR(INDEX($S$5:$S$304,MATCH(C4083,$R$5:$R$304,0))&amp;"","?"))</f>
        <v/>
      </c>
      <c r="N4083" s="2">
        <f>IF(E4083="","",IF(ISNUMBER(SEARCH("SUBSOLO",E4083)),IFERROR(-VALUE(LEFT(E4083,FIND("º",SUBSTITUTE(E4083,"°","º"))-1)),-1),IF(LEFT(E4083,6)="TÉRREO",0,IFERROR(VALUE(LEFT(E4083,FIND("º",SUBSTITUTE(E4083,"°","º"))-1)),""))))</f>
        <v/>
      </c>
      <c r="O4083" s="2">
        <f>IF(OR(F4083="",G4083=""),"",IF(G4083&lt;='RETRATO 2027'!$K$5,"CONCLUÍDA",IF(F4083&lt;='RETRATO 2027'!$K$5,"EM ANDAMENTO","A INICIAR")))</f>
        <v/>
      </c>
    </row>
    <row r="4084">
      <c r="M4084" s="2">
        <f>IF(C4084="","",IFERROR(INDEX($S$5:$S$304,MATCH(C4084,$R$5:$R$304,0))&amp;"","?"))</f>
        <v/>
      </c>
      <c r="N4084" s="2">
        <f>IF(E4084="","",IF(ISNUMBER(SEARCH("SUBSOLO",E4084)),IFERROR(-VALUE(LEFT(E4084,FIND("º",SUBSTITUTE(E4084,"°","º"))-1)),-1),IF(LEFT(E4084,6)="TÉRREO",0,IFERROR(VALUE(LEFT(E4084,FIND("º",SUBSTITUTE(E4084,"°","º"))-1)),""))))</f>
        <v/>
      </c>
      <c r="O4084" s="2">
        <f>IF(OR(F4084="",G4084=""),"",IF(G4084&lt;='RETRATO 2027'!$K$5,"CONCLUÍDA",IF(F4084&lt;='RETRATO 2027'!$K$5,"EM ANDAMENTO","A INICIAR")))</f>
        <v/>
      </c>
    </row>
    <row r="4085">
      <c r="M4085" s="2">
        <f>IF(C4085="","",IFERROR(INDEX($S$5:$S$304,MATCH(C4085,$R$5:$R$304,0))&amp;"","?"))</f>
        <v/>
      </c>
      <c r="N4085" s="2">
        <f>IF(E4085="","",IF(ISNUMBER(SEARCH("SUBSOLO",E4085)),IFERROR(-VALUE(LEFT(E4085,FIND("º",SUBSTITUTE(E4085,"°","º"))-1)),-1),IF(LEFT(E4085,6)="TÉRREO",0,IFERROR(VALUE(LEFT(E4085,FIND("º",SUBSTITUTE(E4085,"°","º"))-1)),""))))</f>
        <v/>
      </c>
      <c r="O4085" s="2">
        <f>IF(OR(F4085="",G4085=""),"",IF(G4085&lt;='RETRATO 2027'!$K$5,"CONCLUÍDA",IF(F4085&lt;='RETRATO 2027'!$K$5,"EM ANDAMENTO","A INICIAR")))</f>
        <v/>
      </c>
    </row>
    <row r="4086">
      <c r="M4086" s="2">
        <f>IF(C4086="","",IFERROR(INDEX($S$5:$S$304,MATCH(C4086,$R$5:$R$304,0))&amp;"","?"))</f>
        <v/>
      </c>
      <c r="N4086" s="2">
        <f>IF(E4086="","",IF(ISNUMBER(SEARCH("SUBSOLO",E4086)),IFERROR(-VALUE(LEFT(E4086,FIND("º",SUBSTITUTE(E4086,"°","º"))-1)),-1),IF(LEFT(E4086,6)="TÉRREO",0,IFERROR(VALUE(LEFT(E4086,FIND("º",SUBSTITUTE(E4086,"°","º"))-1)),""))))</f>
        <v/>
      </c>
      <c r="O4086" s="2">
        <f>IF(OR(F4086="",G4086=""),"",IF(G4086&lt;='RETRATO 2027'!$K$5,"CONCLUÍDA",IF(F4086&lt;='RETRATO 2027'!$K$5,"EM ANDAMENTO","A INICIAR")))</f>
        <v/>
      </c>
    </row>
    <row r="4087">
      <c r="M4087" s="2">
        <f>IF(C4087="","",IFERROR(INDEX($S$5:$S$304,MATCH(C4087,$R$5:$R$304,0))&amp;"","?"))</f>
        <v/>
      </c>
      <c r="N4087" s="2">
        <f>IF(E4087="","",IF(ISNUMBER(SEARCH("SUBSOLO",E4087)),IFERROR(-VALUE(LEFT(E4087,FIND("º",SUBSTITUTE(E4087,"°","º"))-1)),-1),IF(LEFT(E4087,6)="TÉRREO",0,IFERROR(VALUE(LEFT(E4087,FIND("º",SUBSTITUTE(E4087,"°","º"))-1)),""))))</f>
        <v/>
      </c>
      <c r="O4087" s="2">
        <f>IF(OR(F4087="",G4087=""),"",IF(G4087&lt;='RETRATO 2027'!$K$5,"CONCLUÍDA",IF(F4087&lt;='RETRATO 2027'!$K$5,"EM ANDAMENTO","A INICIAR")))</f>
        <v/>
      </c>
    </row>
    <row r="4088">
      <c r="M4088" s="2">
        <f>IF(C4088="","",IFERROR(INDEX($S$5:$S$304,MATCH(C4088,$R$5:$R$304,0))&amp;"","?"))</f>
        <v/>
      </c>
      <c r="N4088" s="2">
        <f>IF(E4088="","",IF(ISNUMBER(SEARCH("SUBSOLO",E4088)),IFERROR(-VALUE(LEFT(E4088,FIND("º",SUBSTITUTE(E4088,"°","º"))-1)),-1),IF(LEFT(E4088,6)="TÉRREO",0,IFERROR(VALUE(LEFT(E4088,FIND("º",SUBSTITUTE(E4088,"°","º"))-1)),""))))</f>
        <v/>
      </c>
      <c r="O4088" s="2">
        <f>IF(OR(F4088="",G4088=""),"",IF(G4088&lt;='RETRATO 2027'!$K$5,"CONCLUÍDA",IF(F4088&lt;='RETRATO 2027'!$K$5,"EM ANDAMENTO","A INICIAR")))</f>
        <v/>
      </c>
    </row>
    <row r="4089">
      <c r="M4089" s="2">
        <f>IF(C4089="","",IFERROR(INDEX($S$5:$S$304,MATCH(C4089,$R$5:$R$304,0))&amp;"","?"))</f>
        <v/>
      </c>
      <c r="N4089" s="2">
        <f>IF(E4089="","",IF(ISNUMBER(SEARCH("SUBSOLO",E4089)),IFERROR(-VALUE(LEFT(E4089,FIND("º",SUBSTITUTE(E4089,"°","º"))-1)),-1),IF(LEFT(E4089,6)="TÉRREO",0,IFERROR(VALUE(LEFT(E4089,FIND("º",SUBSTITUTE(E4089,"°","º"))-1)),""))))</f>
        <v/>
      </c>
      <c r="O4089" s="2">
        <f>IF(OR(F4089="",G4089=""),"",IF(G4089&lt;='RETRATO 2027'!$K$5,"CONCLUÍDA",IF(F4089&lt;='RETRATO 2027'!$K$5,"EM ANDAMENTO","A INICIAR")))</f>
        <v/>
      </c>
    </row>
    <row r="4090">
      <c r="M4090" s="2">
        <f>IF(C4090="","",IFERROR(INDEX($S$5:$S$304,MATCH(C4090,$R$5:$R$304,0))&amp;"","?"))</f>
        <v/>
      </c>
      <c r="N4090" s="2">
        <f>IF(E4090="","",IF(ISNUMBER(SEARCH("SUBSOLO",E4090)),IFERROR(-VALUE(LEFT(E4090,FIND("º",SUBSTITUTE(E4090,"°","º"))-1)),-1),IF(LEFT(E4090,6)="TÉRREO",0,IFERROR(VALUE(LEFT(E4090,FIND("º",SUBSTITUTE(E4090,"°","º"))-1)),""))))</f>
        <v/>
      </c>
      <c r="O4090" s="2">
        <f>IF(OR(F4090="",G4090=""),"",IF(G4090&lt;='RETRATO 2027'!$K$5,"CONCLUÍDA",IF(F4090&lt;='RETRATO 2027'!$K$5,"EM ANDAMENTO","A INICIAR")))</f>
        <v/>
      </c>
    </row>
    <row r="4091">
      <c r="M4091" s="2">
        <f>IF(C4091="","",IFERROR(INDEX($S$5:$S$304,MATCH(C4091,$R$5:$R$304,0))&amp;"","?"))</f>
        <v/>
      </c>
      <c r="N4091" s="2">
        <f>IF(E4091="","",IF(ISNUMBER(SEARCH("SUBSOLO",E4091)),IFERROR(-VALUE(LEFT(E4091,FIND("º",SUBSTITUTE(E4091,"°","º"))-1)),-1),IF(LEFT(E4091,6)="TÉRREO",0,IFERROR(VALUE(LEFT(E4091,FIND("º",SUBSTITUTE(E4091,"°","º"))-1)),""))))</f>
        <v/>
      </c>
      <c r="O4091" s="2">
        <f>IF(OR(F4091="",G4091=""),"",IF(G4091&lt;='RETRATO 2027'!$K$5,"CONCLUÍDA",IF(F4091&lt;='RETRATO 2027'!$K$5,"EM ANDAMENTO","A INICIAR")))</f>
        <v/>
      </c>
    </row>
    <row r="4092">
      <c r="M4092" s="2">
        <f>IF(C4092="","",IFERROR(INDEX($S$5:$S$304,MATCH(C4092,$R$5:$R$304,0))&amp;"","?"))</f>
        <v/>
      </c>
      <c r="N4092" s="2">
        <f>IF(E4092="","",IF(ISNUMBER(SEARCH("SUBSOLO",E4092)),IFERROR(-VALUE(LEFT(E4092,FIND("º",SUBSTITUTE(E4092,"°","º"))-1)),-1),IF(LEFT(E4092,6)="TÉRREO",0,IFERROR(VALUE(LEFT(E4092,FIND("º",SUBSTITUTE(E4092,"°","º"))-1)),""))))</f>
        <v/>
      </c>
      <c r="O4092" s="2">
        <f>IF(OR(F4092="",G4092=""),"",IF(G4092&lt;='RETRATO 2027'!$K$5,"CONCLUÍDA",IF(F4092&lt;='RETRATO 2027'!$K$5,"EM ANDAMENTO","A INICIAR")))</f>
        <v/>
      </c>
    </row>
    <row r="4093">
      <c r="M4093" s="2">
        <f>IF(C4093="","",IFERROR(INDEX($S$5:$S$304,MATCH(C4093,$R$5:$R$304,0))&amp;"","?"))</f>
        <v/>
      </c>
      <c r="N4093" s="2">
        <f>IF(E4093="","",IF(ISNUMBER(SEARCH("SUBSOLO",E4093)),IFERROR(-VALUE(LEFT(E4093,FIND("º",SUBSTITUTE(E4093,"°","º"))-1)),-1),IF(LEFT(E4093,6)="TÉRREO",0,IFERROR(VALUE(LEFT(E4093,FIND("º",SUBSTITUTE(E4093,"°","º"))-1)),""))))</f>
        <v/>
      </c>
      <c r="O4093" s="2">
        <f>IF(OR(F4093="",G4093=""),"",IF(G4093&lt;='RETRATO 2027'!$K$5,"CONCLUÍDA",IF(F4093&lt;='RETRATO 2027'!$K$5,"EM ANDAMENTO","A INICIAR")))</f>
        <v/>
      </c>
    </row>
    <row r="4094">
      <c r="M4094" s="2">
        <f>IF(C4094="","",IFERROR(INDEX($S$5:$S$304,MATCH(C4094,$R$5:$R$304,0))&amp;"","?"))</f>
        <v/>
      </c>
      <c r="N4094" s="2">
        <f>IF(E4094="","",IF(ISNUMBER(SEARCH("SUBSOLO",E4094)),IFERROR(-VALUE(LEFT(E4094,FIND("º",SUBSTITUTE(E4094,"°","º"))-1)),-1),IF(LEFT(E4094,6)="TÉRREO",0,IFERROR(VALUE(LEFT(E4094,FIND("º",SUBSTITUTE(E4094,"°","º"))-1)),""))))</f>
        <v/>
      </c>
      <c r="O4094" s="2">
        <f>IF(OR(F4094="",G4094=""),"",IF(G4094&lt;='RETRATO 2027'!$K$5,"CONCLUÍDA",IF(F4094&lt;='RETRATO 2027'!$K$5,"EM ANDAMENTO","A INICIAR")))</f>
        <v/>
      </c>
    </row>
    <row r="4095">
      <c r="M4095" s="2">
        <f>IF(C4095="","",IFERROR(INDEX($S$5:$S$304,MATCH(C4095,$R$5:$R$304,0))&amp;"","?"))</f>
        <v/>
      </c>
      <c r="N4095" s="2">
        <f>IF(E4095="","",IF(ISNUMBER(SEARCH("SUBSOLO",E4095)),IFERROR(-VALUE(LEFT(E4095,FIND("º",SUBSTITUTE(E4095,"°","º"))-1)),-1),IF(LEFT(E4095,6)="TÉRREO",0,IFERROR(VALUE(LEFT(E4095,FIND("º",SUBSTITUTE(E4095,"°","º"))-1)),""))))</f>
        <v/>
      </c>
      <c r="O4095" s="2">
        <f>IF(OR(F4095="",G4095=""),"",IF(G4095&lt;='RETRATO 2027'!$K$5,"CONCLUÍDA",IF(F4095&lt;='RETRATO 2027'!$K$5,"EM ANDAMENTO","A INICIAR")))</f>
        <v/>
      </c>
    </row>
    <row r="4096">
      <c r="M4096" s="2">
        <f>IF(C4096="","",IFERROR(INDEX($S$5:$S$304,MATCH(C4096,$R$5:$R$304,0))&amp;"","?"))</f>
        <v/>
      </c>
      <c r="N4096" s="2">
        <f>IF(E4096="","",IF(ISNUMBER(SEARCH("SUBSOLO",E4096)),IFERROR(-VALUE(LEFT(E4096,FIND("º",SUBSTITUTE(E4096,"°","º"))-1)),-1),IF(LEFT(E4096,6)="TÉRREO",0,IFERROR(VALUE(LEFT(E4096,FIND("º",SUBSTITUTE(E4096,"°","º"))-1)),""))))</f>
        <v/>
      </c>
      <c r="O4096" s="2">
        <f>IF(OR(F4096="",G4096=""),"",IF(G4096&lt;='RETRATO 2027'!$K$5,"CONCLUÍDA",IF(F4096&lt;='RETRATO 2027'!$K$5,"EM ANDAMENTO","A INICIAR")))</f>
        <v/>
      </c>
    </row>
    <row r="4097">
      <c r="M4097" s="2">
        <f>IF(C4097="","",IFERROR(INDEX($S$5:$S$304,MATCH(C4097,$R$5:$R$304,0))&amp;"","?"))</f>
        <v/>
      </c>
      <c r="N4097" s="2">
        <f>IF(E4097="","",IF(ISNUMBER(SEARCH("SUBSOLO",E4097)),IFERROR(-VALUE(LEFT(E4097,FIND("º",SUBSTITUTE(E4097,"°","º"))-1)),-1),IF(LEFT(E4097,6)="TÉRREO",0,IFERROR(VALUE(LEFT(E4097,FIND("º",SUBSTITUTE(E4097,"°","º"))-1)),""))))</f>
        <v/>
      </c>
      <c r="O4097" s="2">
        <f>IF(OR(F4097="",G4097=""),"",IF(G4097&lt;='RETRATO 2027'!$K$5,"CONCLUÍDA",IF(F4097&lt;='RETRATO 2027'!$K$5,"EM ANDAMENTO","A INICIAR")))</f>
        <v/>
      </c>
    </row>
    <row r="4098">
      <c r="M4098" s="2">
        <f>IF(C4098="","",IFERROR(INDEX($S$5:$S$304,MATCH(C4098,$R$5:$R$304,0))&amp;"","?"))</f>
        <v/>
      </c>
      <c r="N4098" s="2">
        <f>IF(E4098="","",IF(ISNUMBER(SEARCH("SUBSOLO",E4098)),IFERROR(-VALUE(LEFT(E4098,FIND("º",SUBSTITUTE(E4098,"°","º"))-1)),-1),IF(LEFT(E4098,6)="TÉRREO",0,IFERROR(VALUE(LEFT(E4098,FIND("º",SUBSTITUTE(E4098,"°","º"))-1)),""))))</f>
        <v/>
      </c>
      <c r="O4098" s="2">
        <f>IF(OR(F4098="",G4098=""),"",IF(G4098&lt;='RETRATO 2027'!$K$5,"CONCLUÍDA",IF(F4098&lt;='RETRATO 2027'!$K$5,"EM ANDAMENTO","A INICIAR")))</f>
        <v/>
      </c>
    </row>
    <row r="4099">
      <c r="M4099" s="2">
        <f>IF(C4099="","",IFERROR(INDEX($S$5:$S$304,MATCH(C4099,$R$5:$R$304,0))&amp;"","?"))</f>
        <v/>
      </c>
      <c r="N4099" s="2">
        <f>IF(E4099="","",IF(ISNUMBER(SEARCH("SUBSOLO",E4099)),IFERROR(-VALUE(LEFT(E4099,FIND("º",SUBSTITUTE(E4099,"°","º"))-1)),-1),IF(LEFT(E4099,6)="TÉRREO",0,IFERROR(VALUE(LEFT(E4099,FIND("º",SUBSTITUTE(E4099,"°","º"))-1)),""))))</f>
        <v/>
      </c>
      <c r="O4099" s="2">
        <f>IF(OR(F4099="",G4099=""),"",IF(G4099&lt;='RETRATO 2027'!$K$5,"CONCLUÍDA",IF(F4099&lt;='RETRATO 2027'!$K$5,"EM ANDAMENTO","A INICIAR")))</f>
        <v/>
      </c>
    </row>
    <row r="4100">
      <c r="M4100" s="2">
        <f>IF(C4100="","",IFERROR(INDEX($S$5:$S$304,MATCH(C4100,$R$5:$R$304,0))&amp;"","?"))</f>
        <v/>
      </c>
      <c r="N4100" s="2">
        <f>IF(E4100="","",IF(ISNUMBER(SEARCH("SUBSOLO",E4100)),IFERROR(-VALUE(LEFT(E4100,FIND("º",SUBSTITUTE(E4100,"°","º"))-1)),-1),IF(LEFT(E4100,6)="TÉRREO",0,IFERROR(VALUE(LEFT(E4100,FIND("º",SUBSTITUTE(E4100,"°","º"))-1)),""))))</f>
        <v/>
      </c>
      <c r="O4100" s="2">
        <f>IF(OR(F4100="",G4100=""),"",IF(G4100&lt;='RETRATO 2027'!$K$5,"CONCLUÍDA",IF(F4100&lt;='RETRATO 2027'!$K$5,"EM ANDAMENTO","A INICIAR")))</f>
        <v/>
      </c>
    </row>
    <row r="4101">
      <c r="M4101" s="2">
        <f>IF(C4101="","",IFERROR(INDEX($S$5:$S$304,MATCH(C4101,$R$5:$R$304,0))&amp;"","?"))</f>
        <v/>
      </c>
      <c r="N4101" s="2">
        <f>IF(E4101="","",IF(ISNUMBER(SEARCH("SUBSOLO",E4101)),IFERROR(-VALUE(LEFT(E4101,FIND("º",SUBSTITUTE(E4101,"°","º"))-1)),-1),IF(LEFT(E4101,6)="TÉRREO",0,IFERROR(VALUE(LEFT(E4101,FIND("º",SUBSTITUTE(E4101,"°","º"))-1)),""))))</f>
        <v/>
      </c>
      <c r="O4101" s="2">
        <f>IF(OR(F4101="",G4101=""),"",IF(G4101&lt;='RETRATO 2027'!$K$5,"CONCLUÍDA",IF(F4101&lt;='RETRATO 2027'!$K$5,"EM ANDAMENTO","A INICIAR")))</f>
        <v/>
      </c>
    </row>
    <row r="4102">
      <c r="M4102" s="2">
        <f>IF(C4102="","",IFERROR(INDEX($S$5:$S$304,MATCH(C4102,$R$5:$R$304,0))&amp;"","?"))</f>
        <v/>
      </c>
      <c r="N4102" s="2">
        <f>IF(E4102="","",IF(ISNUMBER(SEARCH("SUBSOLO",E4102)),IFERROR(-VALUE(LEFT(E4102,FIND("º",SUBSTITUTE(E4102,"°","º"))-1)),-1),IF(LEFT(E4102,6)="TÉRREO",0,IFERROR(VALUE(LEFT(E4102,FIND("º",SUBSTITUTE(E4102,"°","º"))-1)),""))))</f>
        <v/>
      </c>
      <c r="O4102" s="2">
        <f>IF(OR(F4102="",G4102=""),"",IF(G4102&lt;='RETRATO 2027'!$K$5,"CONCLUÍDA",IF(F4102&lt;='RETRATO 2027'!$K$5,"EM ANDAMENTO","A INICIAR")))</f>
        <v/>
      </c>
    </row>
    <row r="4103">
      <c r="M4103" s="2">
        <f>IF(C4103="","",IFERROR(INDEX($S$5:$S$304,MATCH(C4103,$R$5:$R$304,0))&amp;"","?"))</f>
        <v/>
      </c>
      <c r="N4103" s="2">
        <f>IF(E4103="","",IF(ISNUMBER(SEARCH("SUBSOLO",E4103)),IFERROR(-VALUE(LEFT(E4103,FIND("º",SUBSTITUTE(E4103,"°","º"))-1)),-1),IF(LEFT(E4103,6)="TÉRREO",0,IFERROR(VALUE(LEFT(E4103,FIND("º",SUBSTITUTE(E4103,"°","º"))-1)),""))))</f>
        <v/>
      </c>
      <c r="O4103" s="2">
        <f>IF(OR(F4103="",G4103=""),"",IF(G4103&lt;='RETRATO 2027'!$K$5,"CONCLUÍDA",IF(F4103&lt;='RETRATO 2027'!$K$5,"EM ANDAMENTO","A INICIAR")))</f>
        <v/>
      </c>
    </row>
    <row r="4104">
      <c r="M4104" s="2">
        <f>IF(C4104="","",IFERROR(INDEX($S$5:$S$304,MATCH(C4104,$R$5:$R$304,0))&amp;"","?"))</f>
        <v/>
      </c>
      <c r="N4104" s="2">
        <f>IF(E4104="","",IF(ISNUMBER(SEARCH("SUBSOLO",E4104)),IFERROR(-VALUE(LEFT(E4104,FIND("º",SUBSTITUTE(E4104,"°","º"))-1)),-1),IF(LEFT(E4104,6)="TÉRREO",0,IFERROR(VALUE(LEFT(E4104,FIND("º",SUBSTITUTE(E4104,"°","º"))-1)),""))))</f>
        <v/>
      </c>
      <c r="O4104" s="2">
        <f>IF(OR(F4104="",G4104=""),"",IF(G4104&lt;='RETRATO 2027'!$K$5,"CONCLUÍDA",IF(F4104&lt;='RETRATO 2027'!$K$5,"EM ANDAMENTO","A INICIAR")))</f>
        <v/>
      </c>
    </row>
    <row r="4105">
      <c r="M4105" s="2">
        <f>IF(C4105="","",IFERROR(INDEX($S$5:$S$304,MATCH(C4105,$R$5:$R$304,0))&amp;"","?"))</f>
        <v/>
      </c>
      <c r="N4105" s="2">
        <f>IF(E4105="","",IF(ISNUMBER(SEARCH("SUBSOLO",E4105)),IFERROR(-VALUE(LEFT(E4105,FIND("º",SUBSTITUTE(E4105,"°","º"))-1)),-1),IF(LEFT(E4105,6)="TÉRREO",0,IFERROR(VALUE(LEFT(E4105,FIND("º",SUBSTITUTE(E4105,"°","º"))-1)),""))))</f>
        <v/>
      </c>
      <c r="O4105" s="2">
        <f>IF(OR(F4105="",G4105=""),"",IF(G4105&lt;='RETRATO 2027'!$K$5,"CONCLUÍDA",IF(F4105&lt;='RETRATO 2027'!$K$5,"EM ANDAMENTO","A INICIAR")))</f>
        <v/>
      </c>
    </row>
    <row r="4106">
      <c r="M4106" s="2">
        <f>IF(C4106="","",IFERROR(INDEX($S$5:$S$304,MATCH(C4106,$R$5:$R$304,0))&amp;"","?"))</f>
        <v/>
      </c>
      <c r="N4106" s="2">
        <f>IF(E4106="","",IF(ISNUMBER(SEARCH("SUBSOLO",E4106)),IFERROR(-VALUE(LEFT(E4106,FIND("º",SUBSTITUTE(E4106,"°","º"))-1)),-1),IF(LEFT(E4106,6)="TÉRREO",0,IFERROR(VALUE(LEFT(E4106,FIND("º",SUBSTITUTE(E4106,"°","º"))-1)),""))))</f>
        <v/>
      </c>
      <c r="O4106" s="2">
        <f>IF(OR(F4106="",G4106=""),"",IF(G4106&lt;='RETRATO 2027'!$K$5,"CONCLUÍDA",IF(F4106&lt;='RETRATO 2027'!$K$5,"EM ANDAMENTO","A INICIAR")))</f>
        <v/>
      </c>
    </row>
    <row r="4107">
      <c r="M4107" s="2">
        <f>IF(C4107="","",IFERROR(INDEX($S$5:$S$304,MATCH(C4107,$R$5:$R$304,0))&amp;"","?"))</f>
        <v/>
      </c>
      <c r="N4107" s="2">
        <f>IF(E4107="","",IF(ISNUMBER(SEARCH("SUBSOLO",E4107)),IFERROR(-VALUE(LEFT(E4107,FIND("º",SUBSTITUTE(E4107,"°","º"))-1)),-1),IF(LEFT(E4107,6)="TÉRREO",0,IFERROR(VALUE(LEFT(E4107,FIND("º",SUBSTITUTE(E4107,"°","º"))-1)),""))))</f>
        <v/>
      </c>
      <c r="O4107" s="2">
        <f>IF(OR(F4107="",G4107=""),"",IF(G4107&lt;='RETRATO 2027'!$K$5,"CONCLUÍDA",IF(F4107&lt;='RETRATO 2027'!$K$5,"EM ANDAMENTO","A INICIAR")))</f>
        <v/>
      </c>
    </row>
    <row r="4108">
      <c r="M4108" s="2">
        <f>IF(C4108="","",IFERROR(INDEX($S$5:$S$304,MATCH(C4108,$R$5:$R$304,0))&amp;"","?"))</f>
        <v/>
      </c>
      <c r="N4108" s="2">
        <f>IF(E4108="","",IF(ISNUMBER(SEARCH("SUBSOLO",E4108)),IFERROR(-VALUE(LEFT(E4108,FIND("º",SUBSTITUTE(E4108,"°","º"))-1)),-1),IF(LEFT(E4108,6)="TÉRREO",0,IFERROR(VALUE(LEFT(E4108,FIND("º",SUBSTITUTE(E4108,"°","º"))-1)),""))))</f>
        <v/>
      </c>
      <c r="O4108" s="2">
        <f>IF(OR(F4108="",G4108=""),"",IF(G4108&lt;='RETRATO 2027'!$K$5,"CONCLUÍDA",IF(F4108&lt;='RETRATO 2027'!$K$5,"EM ANDAMENTO","A INICIAR")))</f>
        <v/>
      </c>
    </row>
    <row r="4109">
      <c r="M4109" s="2">
        <f>IF(C4109="","",IFERROR(INDEX($S$5:$S$304,MATCH(C4109,$R$5:$R$304,0))&amp;"","?"))</f>
        <v/>
      </c>
      <c r="N4109" s="2">
        <f>IF(E4109="","",IF(ISNUMBER(SEARCH("SUBSOLO",E4109)),IFERROR(-VALUE(LEFT(E4109,FIND("º",SUBSTITUTE(E4109,"°","º"))-1)),-1),IF(LEFT(E4109,6)="TÉRREO",0,IFERROR(VALUE(LEFT(E4109,FIND("º",SUBSTITUTE(E4109,"°","º"))-1)),""))))</f>
        <v/>
      </c>
      <c r="O4109" s="2">
        <f>IF(OR(F4109="",G4109=""),"",IF(G4109&lt;='RETRATO 2027'!$K$5,"CONCLUÍDA",IF(F4109&lt;='RETRATO 2027'!$K$5,"EM ANDAMENTO","A INICIAR")))</f>
        <v/>
      </c>
    </row>
    <row r="4110">
      <c r="M4110" s="2">
        <f>IF(C4110="","",IFERROR(INDEX($S$5:$S$304,MATCH(C4110,$R$5:$R$304,0))&amp;"","?"))</f>
        <v/>
      </c>
      <c r="N4110" s="2">
        <f>IF(E4110="","",IF(ISNUMBER(SEARCH("SUBSOLO",E4110)),IFERROR(-VALUE(LEFT(E4110,FIND("º",SUBSTITUTE(E4110,"°","º"))-1)),-1),IF(LEFT(E4110,6)="TÉRREO",0,IFERROR(VALUE(LEFT(E4110,FIND("º",SUBSTITUTE(E4110,"°","º"))-1)),""))))</f>
        <v/>
      </c>
      <c r="O4110" s="2">
        <f>IF(OR(F4110="",G4110=""),"",IF(G4110&lt;='RETRATO 2027'!$K$5,"CONCLUÍDA",IF(F4110&lt;='RETRATO 2027'!$K$5,"EM ANDAMENTO","A INICIAR")))</f>
        <v/>
      </c>
    </row>
    <row r="4111">
      <c r="M4111" s="2">
        <f>IF(C4111="","",IFERROR(INDEX($S$5:$S$304,MATCH(C4111,$R$5:$R$304,0))&amp;"","?"))</f>
        <v/>
      </c>
      <c r="N4111" s="2">
        <f>IF(E4111="","",IF(ISNUMBER(SEARCH("SUBSOLO",E4111)),IFERROR(-VALUE(LEFT(E4111,FIND("º",SUBSTITUTE(E4111,"°","º"))-1)),-1),IF(LEFT(E4111,6)="TÉRREO",0,IFERROR(VALUE(LEFT(E4111,FIND("º",SUBSTITUTE(E4111,"°","º"))-1)),""))))</f>
        <v/>
      </c>
      <c r="O4111" s="2">
        <f>IF(OR(F4111="",G4111=""),"",IF(G4111&lt;='RETRATO 2027'!$K$5,"CONCLUÍDA",IF(F4111&lt;='RETRATO 2027'!$K$5,"EM ANDAMENTO","A INICIAR")))</f>
        <v/>
      </c>
    </row>
    <row r="4112">
      <c r="M4112" s="2">
        <f>IF(C4112="","",IFERROR(INDEX($S$5:$S$304,MATCH(C4112,$R$5:$R$304,0))&amp;"","?"))</f>
        <v/>
      </c>
      <c r="N4112" s="2">
        <f>IF(E4112="","",IF(ISNUMBER(SEARCH("SUBSOLO",E4112)),IFERROR(-VALUE(LEFT(E4112,FIND("º",SUBSTITUTE(E4112,"°","º"))-1)),-1),IF(LEFT(E4112,6)="TÉRREO",0,IFERROR(VALUE(LEFT(E4112,FIND("º",SUBSTITUTE(E4112,"°","º"))-1)),""))))</f>
        <v/>
      </c>
      <c r="O4112" s="2">
        <f>IF(OR(F4112="",G4112=""),"",IF(G4112&lt;='RETRATO 2027'!$K$5,"CONCLUÍDA",IF(F4112&lt;='RETRATO 2027'!$K$5,"EM ANDAMENTO","A INICIAR")))</f>
        <v/>
      </c>
    </row>
    <row r="4113">
      <c r="M4113" s="2">
        <f>IF(C4113="","",IFERROR(INDEX($S$5:$S$304,MATCH(C4113,$R$5:$R$304,0))&amp;"","?"))</f>
        <v/>
      </c>
      <c r="N4113" s="2">
        <f>IF(E4113="","",IF(ISNUMBER(SEARCH("SUBSOLO",E4113)),IFERROR(-VALUE(LEFT(E4113,FIND("º",SUBSTITUTE(E4113,"°","º"))-1)),-1),IF(LEFT(E4113,6)="TÉRREO",0,IFERROR(VALUE(LEFT(E4113,FIND("º",SUBSTITUTE(E4113,"°","º"))-1)),""))))</f>
        <v/>
      </c>
      <c r="O4113" s="2">
        <f>IF(OR(F4113="",G4113=""),"",IF(G4113&lt;='RETRATO 2027'!$K$5,"CONCLUÍDA",IF(F4113&lt;='RETRATO 2027'!$K$5,"EM ANDAMENTO","A INICIAR")))</f>
        <v/>
      </c>
    </row>
    <row r="4114">
      <c r="M4114" s="2">
        <f>IF(C4114="","",IFERROR(INDEX($S$5:$S$304,MATCH(C4114,$R$5:$R$304,0))&amp;"","?"))</f>
        <v/>
      </c>
      <c r="N4114" s="2">
        <f>IF(E4114="","",IF(ISNUMBER(SEARCH("SUBSOLO",E4114)),IFERROR(-VALUE(LEFT(E4114,FIND("º",SUBSTITUTE(E4114,"°","º"))-1)),-1),IF(LEFT(E4114,6)="TÉRREO",0,IFERROR(VALUE(LEFT(E4114,FIND("º",SUBSTITUTE(E4114,"°","º"))-1)),""))))</f>
        <v/>
      </c>
      <c r="O4114" s="2">
        <f>IF(OR(F4114="",G4114=""),"",IF(G4114&lt;='RETRATO 2027'!$K$5,"CONCLUÍDA",IF(F4114&lt;='RETRATO 2027'!$K$5,"EM ANDAMENTO","A INICIAR")))</f>
        <v/>
      </c>
    </row>
    <row r="4115">
      <c r="M4115" s="2">
        <f>IF(C4115="","",IFERROR(INDEX($S$5:$S$304,MATCH(C4115,$R$5:$R$304,0))&amp;"","?"))</f>
        <v/>
      </c>
      <c r="N4115" s="2">
        <f>IF(E4115="","",IF(ISNUMBER(SEARCH("SUBSOLO",E4115)),IFERROR(-VALUE(LEFT(E4115,FIND("º",SUBSTITUTE(E4115,"°","º"))-1)),-1),IF(LEFT(E4115,6)="TÉRREO",0,IFERROR(VALUE(LEFT(E4115,FIND("º",SUBSTITUTE(E4115,"°","º"))-1)),""))))</f>
        <v/>
      </c>
      <c r="O4115" s="2">
        <f>IF(OR(F4115="",G4115=""),"",IF(G4115&lt;='RETRATO 2027'!$K$5,"CONCLUÍDA",IF(F4115&lt;='RETRATO 2027'!$K$5,"EM ANDAMENTO","A INICIAR")))</f>
        <v/>
      </c>
    </row>
    <row r="4116">
      <c r="M4116" s="2">
        <f>IF(C4116="","",IFERROR(INDEX($S$5:$S$304,MATCH(C4116,$R$5:$R$304,0))&amp;"","?"))</f>
        <v/>
      </c>
      <c r="N4116" s="2">
        <f>IF(E4116="","",IF(ISNUMBER(SEARCH("SUBSOLO",E4116)),IFERROR(-VALUE(LEFT(E4116,FIND("º",SUBSTITUTE(E4116,"°","º"))-1)),-1),IF(LEFT(E4116,6)="TÉRREO",0,IFERROR(VALUE(LEFT(E4116,FIND("º",SUBSTITUTE(E4116,"°","º"))-1)),""))))</f>
        <v/>
      </c>
      <c r="O4116" s="2">
        <f>IF(OR(F4116="",G4116=""),"",IF(G4116&lt;='RETRATO 2027'!$K$5,"CONCLUÍDA",IF(F4116&lt;='RETRATO 2027'!$K$5,"EM ANDAMENTO","A INICIAR")))</f>
        <v/>
      </c>
    </row>
    <row r="4117">
      <c r="M4117" s="2">
        <f>IF(C4117="","",IFERROR(INDEX($S$5:$S$304,MATCH(C4117,$R$5:$R$304,0))&amp;"","?"))</f>
        <v/>
      </c>
      <c r="N4117" s="2">
        <f>IF(E4117="","",IF(ISNUMBER(SEARCH("SUBSOLO",E4117)),IFERROR(-VALUE(LEFT(E4117,FIND("º",SUBSTITUTE(E4117,"°","º"))-1)),-1),IF(LEFT(E4117,6)="TÉRREO",0,IFERROR(VALUE(LEFT(E4117,FIND("º",SUBSTITUTE(E4117,"°","º"))-1)),""))))</f>
        <v/>
      </c>
      <c r="O4117" s="2">
        <f>IF(OR(F4117="",G4117=""),"",IF(G4117&lt;='RETRATO 2027'!$K$5,"CONCLUÍDA",IF(F4117&lt;='RETRATO 2027'!$K$5,"EM ANDAMENTO","A INICIAR")))</f>
        <v/>
      </c>
    </row>
    <row r="4118">
      <c r="M4118" s="2">
        <f>IF(C4118="","",IFERROR(INDEX($S$5:$S$304,MATCH(C4118,$R$5:$R$304,0))&amp;"","?"))</f>
        <v/>
      </c>
      <c r="N4118" s="2">
        <f>IF(E4118="","",IF(ISNUMBER(SEARCH("SUBSOLO",E4118)),IFERROR(-VALUE(LEFT(E4118,FIND("º",SUBSTITUTE(E4118,"°","º"))-1)),-1),IF(LEFT(E4118,6)="TÉRREO",0,IFERROR(VALUE(LEFT(E4118,FIND("º",SUBSTITUTE(E4118,"°","º"))-1)),""))))</f>
        <v/>
      </c>
      <c r="O4118" s="2">
        <f>IF(OR(F4118="",G4118=""),"",IF(G4118&lt;='RETRATO 2027'!$K$5,"CONCLUÍDA",IF(F4118&lt;='RETRATO 2027'!$K$5,"EM ANDAMENTO","A INICIAR")))</f>
        <v/>
      </c>
    </row>
    <row r="4119">
      <c r="M4119" s="2">
        <f>IF(C4119="","",IFERROR(INDEX($S$5:$S$304,MATCH(C4119,$R$5:$R$304,0))&amp;"","?"))</f>
        <v/>
      </c>
      <c r="N4119" s="2">
        <f>IF(E4119="","",IF(ISNUMBER(SEARCH("SUBSOLO",E4119)),IFERROR(-VALUE(LEFT(E4119,FIND("º",SUBSTITUTE(E4119,"°","º"))-1)),-1),IF(LEFT(E4119,6)="TÉRREO",0,IFERROR(VALUE(LEFT(E4119,FIND("º",SUBSTITUTE(E4119,"°","º"))-1)),""))))</f>
        <v/>
      </c>
      <c r="O4119" s="2">
        <f>IF(OR(F4119="",G4119=""),"",IF(G4119&lt;='RETRATO 2027'!$K$5,"CONCLUÍDA",IF(F4119&lt;='RETRATO 2027'!$K$5,"EM ANDAMENTO","A INICIAR")))</f>
        <v/>
      </c>
    </row>
    <row r="4120">
      <c r="M4120" s="2">
        <f>IF(C4120="","",IFERROR(INDEX($S$5:$S$304,MATCH(C4120,$R$5:$R$304,0))&amp;"","?"))</f>
        <v/>
      </c>
      <c r="N4120" s="2">
        <f>IF(E4120="","",IF(ISNUMBER(SEARCH("SUBSOLO",E4120)),IFERROR(-VALUE(LEFT(E4120,FIND("º",SUBSTITUTE(E4120,"°","º"))-1)),-1),IF(LEFT(E4120,6)="TÉRREO",0,IFERROR(VALUE(LEFT(E4120,FIND("º",SUBSTITUTE(E4120,"°","º"))-1)),""))))</f>
        <v/>
      </c>
      <c r="O4120" s="2">
        <f>IF(OR(F4120="",G4120=""),"",IF(G4120&lt;='RETRATO 2027'!$K$5,"CONCLUÍDA",IF(F4120&lt;='RETRATO 2027'!$K$5,"EM ANDAMENTO","A INICIAR")))</f>
        <v/>
      </c>
    </row>
    <row r="4121">
      <c r="M4121" s="2">
        <f>IF(C4121="","",IFERROR(INDEX($S$5:$S$304,MATCH(C4121,$R$5:$R$304,0))&amp;"","?"))</f>
        <v/>
      </c>
      <c r="N4121" s="2">
        <f>IF(E4121="","",IF(ISNUMBER(SEARCH("SUBSOLO",E4121)),IFERROR(-VALUE(LEFT(E4121,FIND("º",SUBSTITUTE(E4121,"°","º"))-1)),-1),IF(LEFT(E4121,6)="TÉRREO",0,IFERROR(VALUE(LEFT(E4121,FIND("º",SUBSTITUTE(E4121,"°","º"))-1)),""))))</f>
        <v/>
      </c>
      <c r="O4121" s="2">
        <f>IF(OR(F4121="",G4121=""),"",IF(G4121&lt;='RETRATO 2027'!$K$5,"CONCLUÍDA",IF(F4121&lt;='RETRATO 2027'!$K$5,"EM ANDAMENTO","A INICIAR")))</f>
        <v/>
      </c>
    </row>
    <row r="4122">
      <c r="M4122" s="2">
        <f>IF(C4122="","",IFERROR(INDEX($S$5:$S$304,MATCH(C4122,$R$5:$R$304,0))&amp;"","?"))</f>
        <v/>
      </c>
      <c r="N4122" s="2">
        <f>IF(E4122="","",IF(ISNUMBER(SEARCH("SUBSOLO",E4122)),IFERROR(-VALUE(LEFT(E4122,FIND("º",SUBSTITUTE(E4122,"°","º"))-1)),-1),IF(LEFT(E4122,6)="TÉRREO",0,IFERROR(VALUE(LEFT(E4122,FIND("º",SUBSTITUTE(E4122,"°","º"))-1)),""))))</f>
        <v/>
      </c>
      <c r="O4122" s="2">
        <f>IF(OR(F4122="",G4122=""),"",IF(G4122&lt;='RETRATO 2027'!$K$5,"CONCLUÍDA",IF(F4122&lt;='RETRATO 2027'!$K$5,"EM ANDAMENTO","A INICIAR")))</f>
        <v/>
      </c>
    </row>
    <row r="4123">
      <c r="M4123" s="2">
        <f>IF(C4123="","",IFERROR(INDEX($S$5:$S$304,MATCH(C4123,$R$5:$R$304,0))&amp;"","?"))</f>
        <v/>
      </c>
      <c r="N4123" s="2">
        <f>IF(E4123="","",IF(ISNUMBER(SEARCH("SUBSOLO",E4123)),IFERROR(-VALUE(LEFT(E4123,FIND("º",SUBSTITUTE(E4123,"°","º"))-1)),-1),IF(LEFT(E4123,6)="TÉRREO",0,IFERROR(VALUE(LEFT(E4123,FIND("º",SUBSTITUTE(E4123,"°","º"))-1)),""))))</f>
        <v/>
      </c>
      <c r="O4123" s="2">
        <f>IF(OR(F4123="",G4123=""),"",IF(G4123&lt;='RETRATO 2027'!$K$5,"CONCLUÍDA",IF(F4123&lt;='RETRATO 2027'!$K$5,"EM ANDAMENTO","A INICIAR")))</f>
        <v/>
      </c>
    </row>
    <row r="4124">
      <c r="M4124" s="2">
        <f>IF(C4124="","",IFERROR(INDEX($S$5:$S$304,MATCH(C4124,$R$5:$R$304,0))&amp;"","?"))</f>
        <v/>
      </c>
      <c r="N4124" s="2">
        <f>IF(E4124="","",IF(ISNUMBER(SEARCH("SUBSOLO",E4124)),IFERROR(-VALUE(LEFT(E4124,FIND("º",SUBSTITUTE(E4124,"°","º"))-1)),-1),IF(LEFT(E4124,6)="TÉRREO",0,IFERROR(VALUE(LEFT(E4124,FIND("º",SUBSTITUTE(E4124,"°","º"))-1)),""))))</f>
        <v/>
      </c>
      <c r="O4124" s="2">
        <f>IF(OR(F4124="",G4124=""),"",IF(G4124&lt;='RETRATO 2027'!$K$5,"CONCLUÍDA",IF(F4124&lt;='RETRATO 2027'!$K$5,"EM ANDAMENTO","A INICIAR")))</f>
        <v/>
      </c>
    </row>
    <row r="4125">
      <c r="M4125" s="2">
        <f>IF(C4125="","",IFERROR(INDEX($S$5:$S$304,MATCH(C4125,$R$5:$R$304,0))&amp;"","?"))</f>
        <v/>
      </c>
      <c r="N4125" s="2">
        <f>IF(E4125="","",IF(ISNUMBER(SEARCH("SUBSOLO",E4125)),IFERROR(-VALUE(LEFT(E4125,FIND("º",SUBSTITUTE(E4125,"°","º"))-1)),-1),IF(LEFT(E4125,6)="TÉRREO",0,IFERROR(VALUE(LEFT(E4125,FIND("º",SUBSTITUTE(E4125,"°","º"))-1)),""))))</f>
        <v/>
      </c>
      <c r="O4125" s="2">
        <f>IF(OR(F4125="",G4125=""),"",IF(G4125&lt;='RETRATO 2027'!$K$5,"CONCLUÍDA",IF(F4125&lt;='RETRATO 2027'!$K$5,"EM ANDAMENTO","A INICIAR")))</f>
        <v/>
      </c>
    </row>
    <row r="4126">
      <c r="M4126" s="2">
        <f>IF(C4126="","",IFERROR(INDEX($S$5:$S$304,MATCH(C4126,$R$5:$R$304,0))&amp;"","?"))</f>
        <v/>
      </c>
      <c r="N4126" s="2">
        <f>IF(E4126="","",IF(ISNUMBER(SEARCH("SUBSOLO",E4126)),IFERROR(-VALUE(LEFT(E4126,FIND("º",SUBSTITUTE(E4126,"°","º"))-1)),-1),IF(LEFT(E4126,6)="TÉRREO",0,IFERROR(VALUE(LEFT(E4126,FIND("º",SUBSTITUTE(E4126,"°","º"))-1)),""))))</f>
        <v/>
      </c>
      <c r="O4126" s="2">
        <f>IF(OR(F4126="",G4126=""),"",IF(G4126&lt;='RETRATO 2027'!$K$5,"CONCLUÍDA",IF(F4126&lt;='RETRATO 2027'!$K$5,"EM ANDAMENTO","A INICIAR")))</f>
        <v/>
      </c>
    </row>
    <row r="4127">
      <c r="M4127" s="2">
        <f>IF(C4127="","",IFERROR(INDEX($S$5:$S$304,MATCH(C4127,$R$5:$R$304,0))&amp;"","?"))</f>
        <v/>
      </c>
      <c r="N4127" s="2">
        <f>IF(E4127="","",IF(ISNUMBER(SEARCH("SUBSOLO",E4127)),IFERROR(-VALUE(LEFT(E4127,FIND("º",SUBSTITUTE(E4127,"°","º"))-1)),-1),IF(LEFT(E4127,6)="TÉRREO",0,IFERROR(VALUE(LEFT(E4127,FIND("º",SUBSTITUTE(E4127,"°","º"))-1)),""))))</f>
        <v/>
      </c>
      <c r="O4127" s="2">
        <f>IF(OR(F4127="",G4127=""),"",IF(G4127&lt;='RETRATO 2027'!$K$5,"CONCLUÍDA",IF(F4127&lt;='RETRATO 2027'!$K$5,"EM ANDAMENTO","A INICIAR")))</f>
        <v/>
      </c>
    </row>
    <row r="4128">
      <c r="M4128" s="2">
        <f>IF(C4128="","",IFERROR(INDEX($S$5:$S$304,MATCH(C4128,$R$5:$R$304,0))&amp;"","?"))</f>
        <v/>
      </c>
      <c r="N4128" s="2">
        <f>IF(E4128="","",IF(ISNUMBER(SEARCH("SUBSOLO",E4128)),IFERROR(-VALUE(LEFT(E4128,FIND("º",SUBSTITUTE(E4128,"°","º"))-1)),-1),IF(LEFT(E4128,6)="TÉRREO",0,IFERROR(VALUE(LEFT(E4128,FIND("º",SUBSTITUTE(E4128,"°","º"))-1)),""))))</f>
        <v/>
      </c>
      <c r="O4128" s="2">
        <f>IF(OR(F4128="",G4128=""),"",IF(G4128&lt;='RETRATO 2027'!$K$5,"CONCLUÍDA",IF(F4128&lt;='RETRATO 2027'!$K$5,"EM ANDAMENTO","A INICIAR")))</f>
        <v/>
      </c>
    </row>
    <row r="4129">
      <c r="M4129" s="2">
        <f>IF(C4129="","",IFERROR(INDEX($S$5:$S$304,MATCH(C4129,$R$5:$R$304,0))&amp;"","?"))</f>
        <v/>
      </c>
      <c r="N4129" s="2">
        <f>IF(E4129="","",IF(ISNUMBER(SEARCH("SUBSOLO",E4129)),IFERROR(-VALUE(LEFT(E4129,FIND("º",SUBSTITUTE(E4129,"°","º"))-1)),-1),IF(LEFT(E4129,6)="TÉRREO",0,IFERROR(VALUE(LEFT(E4129,FIND("º",SUBSTITUTE(E4129,"°","º"))-1)),""))))</f>
        <v/>
      </c>
      <c r="O4129" s="2">
        <f>IF(OR(F4129="",G4129=""),"",IF(G4129&lt;='RETRATO 2027'!$K$5,"CONCLUÍDA",IF(F4129&lt;='RETRATO 2027'!$K$5,"EM ANDAMENTO","A INICIAR")))</f>
        <v/>
      </c>
    </row>
    <row r="4130">
      <c r="M4130" s="2">
        <f>IF(C4130="","",IFERROR(INDEX($S$5:$S$304,MATCH(C4130,$R$5:$R$304,0))&amp;"","?"))</f>
        <v/>
      </c>
      <c r="N4130" s="2">
        <f>IF(E4130="","",IF(ISNUMBER(SEARCH("SUBSOLO",E4130)),IFERROR(-VALUE(LEFT(E4130,FIND("º",SUBSTITUTE(E4130,"°","º"))-1)),-1),IF(LEFT(E4130,6)="TÉRREO",0,IFERROR(VALUE(LEFT(E4130,FIND("º",SUBSTITUTE(E4130,"°","º"))-1)),""))))</f>
        <v/>
      </c>
      <c r="O4130" s="2">
        <f>IF(OR(F4130="",G4130=""),"",IF(G4130&lt;='RETRATO 2027'!$K$5,"CONCLUÍDA",IF(F4130&lt;='RETRATO 2027'!$K$5,"EM ANDAMENTO","A INICIAR")))</f>
        <v/>
      </c>
    </row>
    <row r="4131">
      <c r="M4131" s="2">
        <f>IF(C4131="","",IFERROR(INDEX($S$5:$S$304,MATCH(C4131,$R$5:$R$304,0))&amp;"","?"))</f>
        <v/>
      </c>
      <c r="N4131" s="2">
        <f>IF(E4131="","",IF(ISNUMBER(SEARCH("SUBSOLO",E4131)),IFERROR(-VALUE(LEFT(E4131,FIND("º",SUBSTITUTE(E4131,"°","º"))-1)),-1),IF(LEFT(E4131,6)="TÉRREO",0,IFERROR(VALUE(LEFT(E4131,FIND("º",SUBSTITUTE(E4131,"°","º"))-1)),""))))</f>
        <v/>
      </c>
      <c r="O4131" s="2">
        <f>IF(OR(F4131="",G4131=""),"",IF(G4131&lt;='RETRATO 2027'!$K$5,"CONCLUÍDA",IF(F4131&lt;='RETRATO 2027'!$K$5,"EM ANDAMENTO","A INICIAR")))</f>
        <v/>
      </c>
    </row>
    <row r="4132">
      <c r="M4132" s="2">
        <f>IF(C4132="","",IFERROR(INDEX($S$5:$S$304,MATCH(C4132,$R$5:$R$304,0))&amp;"","?"))</f>
        <v/>
      </c>
      <c r="N4132" s="2">
        <f>IF(E4132="","",IF(ISNUMBER(SEARCH("SUBSOLO",E4132)),IFERROR(-VALUE(LEFT(E4132,FIND("º",SUBSTITUTE(E4132,"°","º"))-1)),-1),IF(LEFT(E4132,6)="TÉRREO",0,IFERROR(VALUE(LEFT(E4132,FIND("º",SUBSTITUTE(E4132,"°","º"))-1)),""))))</f>
        <v/>
      </c>
      <c r="O4132" s="2">
        <f>IF(OR(F4132="",G4132=""),"",IF(G4132&lt;='RETRATO 2027'!$K$5,"CONCLUÍDA",IF(F4132&lt;='RETRATO 2027'!$K$5,"EM ANDAMENTO","A INICIAR")))</f>
        <v/>
      </c>
    </row>
    <row r="4133">
      <c r="M4133" s="2">
        <f>IF(C4133="","",IFERROR(INDEX($S$5:$S$304,MATCH(C4133,$R$5:$R$304,0))&amp;"","?"))</f>
        <v/>
      </c>
      <c r="N4133" s="2">
        <f>IF(E4133="","",IF(ISNUMBER(SEARCH("SUBSOLO",E4133)),IFERROR(-VALUE(LEFT(E4133,FIND("º",SUBSTITUTE(E4133,"°","º"))-1)),-1),IF(LEFT(E4133,6)="TÉRREO",0,IFERROR(VALUE(LEFT(E4133,FIND("º",SUBSTITUTE(E4133,"°","º"))-1)),""))))</f>
        <v/>
      </c>
      <c r="O4133" s="2">
        <f>IF(OR(F4133="",G4133=""),"",IF(G4133&lt;='RETRATO 2027'!$K$5,"CONCLUÍDA",IF(F4133&lt;='RETRATO 2027'!$K$5,"EM ANDAMENTO","A INICIAR")))</f>
        <v/>
      </c>
    </row>
    <row r="4134">
      <c r="M4134" s="2">
        <f>IF(C4134="","",IFERROR(INDEX($S$5:$S$304,MATCH(C4134,$R$5:$R$304,0))&amp;"","?"))</f>
        <v/>
      </c>
      <c r="N4134" s="2">
        <f>IF(E4134="","",IF(ISNUMBER(SEARCH("SUBSOLO",E4134)),IFERROR(-VALUE(LEFT(E4134,FIND("º",SUBSTITUTE(E4134,"°","º"))-1)),-1),IF(LEFT(E4134,6)="TÉRREO",0,IFERROR(VALUE(LEFT(E4134,FIND("º",SUBSTITUTE(E4134,"°","º"))-1)),""))))</f>
        <v/>
      </c>
      <c r="O4134" s="2">
        <f>IF(OR(F4134="",G4134=""),"",IF(G4134&lt;='RETRATO 2027'!$K$5,"CONCLUÍDA",IF(F4134&lt;='RETRATO 2027'!$K$5,"EM ANDAMENTO","A INICIAR")))</f>
        <v/>
      </c>
    </row>
    <row r="4135">
      <c r="M4135" s="2">
        <f>IF(C4135="","",IFERROR(INDEX($S$5:$S$304,MATCH(C4135,$R$5:$R$304,0))&amp;"","?"))</f>
        <v/>
      </c>
      <c r="N4135" s="2">
        <f>IF(E4135="","",IF(ISNUMBER(SEARCH("SUBSOLO",E4135)),IFERROR(-VALUE(LEFT(E4135,FIND("º",SUBSTITUTE(E4135,"°","º"))-1)),-1),IF(LEFT(E4135,6)="TÉRREO",0,IFERROR(VALUE(LEFT(E4135,FIND("º",SUBSTITUTE(E4135,"°","º"))-1)),""))))</f>
        <v/>
      </c>
      <c r="O4135" s="2">
        <f>IF(OR(F4135="",G4135=""),"",IF(G4135&lt;='RETRATO 2027'!$K$5,"CONCLUÍDA",IF(F4135&lt;='RETRATO 2027'!$K$5,"EM ANDAMENTO","A INICIAR")))</f>
        <v/>
      </c>
    </row>
    <row r="4136">
      <c r="M4136" s="2">
        <f>IF(C4136="","",IFERROR(INDEX($S$5:$S$304,MATCH(C4136,$R$5:$R$304,0))&amp;"","?"))</f>
        <v/>
      </c>
      <c r="N4136" s="2">
        <f>IF(E4136="","",IF(ISNUMBER(SEARCH("SUBSOLO",E4136)),IFERROR(-VALUE(LEFT(E4136,FIND("º",SUBSTITUTE(E4136,"°","º"))-1)),-1),IF(LEFT(E4136,6)="TÉRREO",0,IFERROR(VALUE(LEFT(E4136,FIND("º",SUBSTITUTE(E4136,"°","º"))-1)),""))))</f>
        <v/>
      </c>
      <c r="O4136" s="2">
        <f>IF(OR(F4136="",G4136=""),"",IF(G4136&lt;='RETRATO 2027'!$K$5,"CONCLUÍDA",IF(F4136&lt;='RETRATO 2027'!$K$5,"EM ANDAMENTO","A INICIAR")))</f>
        <v/>
      </c>
    </row>
    <row r="4137">
      <c r="M4137" s="2">
        <f>IF(C4137="","",IFERROR(INDEX($S$5:$S$304,MATCH(C4137,$R$5:$R$304,0))&amp;"","?"))</f>
        <v/>
      </c>
      <c r="N4137" s="2">
        <f>IF(E4137="","",IF(ISNUMBER(SEARCH("SUBSOLO",E4137)),IFERROR(-VALUE(LEFT(E4137,FIND("º",SUBSTITUTE(E4137,"°","º"))-1)),-1),IF(LEFT(E4137,6)="TÉRREO",0,IFERROR(VALUE(LEFT(E4137,FIND("º",SUBSTITUTE(E4137,"°","º"))-1)),""))))</f>
        <v/>
      </c>
      <c r="O4137" s="2">
        <f>IF(OR(F4137="",G4137=""),"",IF(G4137&lt;='RETRATO 2027'!$K$5,"CONCLUÍDA",IF(F4137&lt;='RETRATO 2027'!$K$5,"EM ANDAMENTO","A INICIAR")))</f>
        <v/>
      </c>
    </row>
    <row r="4138">
      <c r="M4138" s="2">
        <f>IF(C4138="","",IFERROR(INDEX($S$5:$S$304,MATCH(C4138,$R$5:$R$304,0))&amp;"","?"))</f>
        <v/>
      </c>
      <c r="N4138" s="2">
        <f>IF(E4138="","",IF(ISNUMBER(SEARCH("SUBSOLO",E4138)),IFERROR(-VALUE(LEFT(E4138,FIND("º",SUBSTITUTE(E4138,"°","º"))-1)),-1),IF(LEFT(E4138,6)="TÉRREO",0,IFERROR(VALUE(LEFT(E4138,FIND("º",SUBSTITUTE(E4138,"°","º"))-1)),""))))</f>
        <v/>
      </c>
      <c r="O4138" s="2">
        <f>IF(OR(F4138="",G4138=""),"",IF(G4138&lt;='RETRATO 2027'!$K$5,"CONCLUÍDA",IF(F4138&lt;='RETRATO 2027'!$K$5,"EM ANDAMENTO","A INICIAR")))</f>
        <v/>
      </c>
    </row>
    <row r="4139">
      <c r="M4139" s="2">
        <f>IF(C4139="","",IFERROR(INDEX($S$5:$S$304,MATCH(C4139,$R$5:$R$304,0))&amp;"","?"))</f>
        <v/>
      </c>
      <c r="N4139" s="2">
        <f>IF(E4139="","",IF(ISNUMBER(SEARCH("SUBSOLO",E4139)),IFERROR(-VALUE(LEFT(E4139,FIND("º",SUBSTITUTE(E4139,"°","º"))-1)),-1),IF(LEFT(E4139,6)="TÉRREO",0,IFERROR(VALUE(LEFT(E4139,FIND("º",SUBSTITUTE(E4139,"°","º"))-1)),""))))</f>
        <v/>
      </c>
      <c r="O4139" s="2">
        <f>IF(OR(F4139="",G4139=""),"",IF(G4139&lt;='RETRATO 2027'!$K$5,"CONCLUÍDA",IF(F4139&lt;='RETRATO 2027'!$K$5,"EM ANDAMENTO","A INICIAR")))</f>
        <v/>
      </c>
    </row>
    <row r="4140">
      <c r="M4140" s="2">
        <f>IF(C4140="","",IFERROR(INDEX($S$5:$S$304,MATCH(C4140,$R$5:$R$304,0))&amp;"","?"))</f>
        <v/>
      </c>
      <c r="N4140" s="2">
        <f>IF(E4140="","",IF(ISNUMBER(SEARCH("SUBSOLO",E4140)),IFERROR(-VALUE(LEFT(E4140,FIND("º",SUBSTITUTE(E4140,"°","º"))-1)),-1),IF(LEFT(E4140,6)="TÉRREO",0,IFERROR(VALUE(LEFT(E4140,FIND("º",SUBSTITUTE(E4140,"°","º"))-1)),""))))</f>
        <v/>
      </c>
      <c r="O4140" s="2">
        <f>IF(OR(F4140="",G4140=""),"",IF(G4140&lt;='RETRATO 2027'!$K$5,"CONCLUÍDA",IF(F4140&lt;='RETRATO 2027'!$K$5,"EM ANDAMENTO","A INICIAR")))</f>
        <v/>
      </c>
    </row>
    <row r="4141">
      <c r="M4141" s="2">
        <f>IF(C4141="","",IFERROR(INDEX($S$5:$S$304,MATCH(C4141,$R$5:$R$304,0))&amp;"","?"))</f>
        <v/>
      </c>
      <c r="N4141" s="2">
        <f>IF(E4141="","",IF(ISNUMBER(SEARCH("SUBSOLO",E4141)),IFERROR(-VALUE(LEFT(E4141,FIND("º",SUBSTITUTE(E4141,"°","º"))-1)),-1),IF(LEFT(E4141,6)="TÉRREO",0,IFERROR(VALUE(LEFT(E4141,FIND("º",SUBSTITUTE(E4141,"°","º"))-1)),""))))</f>
        <v/>
      </c>
      <c r="O4141" s="2">
        <f>IF(OR(F4141="",G4141=""),"",IF(G4141&lt;='RETRATO 2027'!$K$5,"CONCLUÍDA",IF(F4141&lt;='RETRATO 2027'!$K$5,"EM ANDAMENTO","A INICIAR")))</f>
        <v/>
      </c>
    </row>
    <row r="4142">
      <c r="M4142" s="2">
        <f>IF(C4142="","",IFERROR(INDEX($S$5:$S$304,MATCH(C4142,$R$5:$R$304,0))&amp;"","?"))</f>
        <v/>
      </c>
      <c r="N4142" s="2">
        <f>IF(E4142="","",IF(ISNUMBER(SEARCH("SUBSOLO",E4142)),IFERROR(-VALUE(LEFT(E4142,FIND("º",SUBSTITUTE(E4142,"°","º"))-1)),-1),IF(LEFT(E4142,6)="TÉRREO",0,IFERROR(VALUE(LEFT(E4142,FIND("º",SUBSTITUTE(E4142,"°","º"))-1)),""))))</f>
        <v/>
      </c>
      <c r="O4142" s="2">
        <f>IF(OR(F4142="",G4142=""),"",IF(G4142&lt;='RETRATO 2027'!$K$5,"CONCLUÍDA",IF(F4142&lt;='RETRATO 2027'!$K$5,"EM ANDAMENTO","A INICIAR")))</f>
        <v/>
      </c>
    </row>
    <row r="4143">
      <c r="M4143" s="2">
        <f>IF(C4143="","",IFERROR(INDEX($S$5:$S$304,MATCH(C4143,$R$5:$R$304,0))&amp;"","?"))</f>
        <v/>
      </c>
      <c r="N4143" s="2">
        <f>IF(E4143="","",IF(ISNUMBER(SEARCH("SUBSOLO",E4143)),IFERROR(-VALUE(LEFT(E4143,FIND("º",SUBSTITUTE(E4143,"°","º"))-1)),-1),IF(LEFT(E4143,6)="TÉRREO",0,IFERROR(VALUE(LEFT(E4143,FIND("º",SUBSTITUTE(E4143,"°","º"))-1)),""))))</f>
        <v/>
      </c>
      <c r="O4143" s="2">
        <f>IF(OR(F4143="",G4143=""),"",IF(G4143&lt;='RETRATO 2027'!$K$5,"CONCLUÍDA",IF(F4143&lt;='RETRATO 2027'!$K$5,"EM ANDAMENTO","A INICIAR")))</f>
        <v/>
      </c>
    </row>
    <row r="4144">
      <c r="M4144" s="2">
        <f>IF(C4144="","",IFERROR(INDEX($S$5:$S$304,MATCH(C4144,$R$5:$R$304,0))&amp;"","?"))</f>
        <v/>
      </c>
      <c r="N4144" s="2">
        <f>IF(E4144="","",IF(ISNUMBER(SEARCH("SUBSOLO",E4144)),IFERROR(-VALUE(LEFT(E4144,FIND("º",SUBSTITUTE(E4144,"°","º"))-1)),-1),IF(LEFT(E4144,6)="TÉRREO",0,IFERROR(VALUE(LEFT(E4144,FIND("º",SUBSTITUTE(E4144,"°","º"))-1)),""))))</f>
        <v/>
      </c>
      <c r="O4144" s="2">
        <f>IF(OR(F4144="",G4144=""),"",IF(G4144&lt;='RETRATO 2027'!$K$5,"CONCLUÍDA",IF(F4144&lt;='RETRATO 2027'!$K$5,"EM ANDAMENTO","A INICIAR")))</f>
        <v/>
      </c>
    </row>
    <row r="4145">
      <c r="M4145" s="2">
        <f>IF(C4145="","",IFERROR(INDEX($S$5:$S$304,MATCH(C4145,$R$5:$R$304,0))&amp;"","?"))</f>
        <v/>
      </c>
      <c r="N4145" s="2">
        <f>IF(E4145="","",IF(ISNUMBER(SEARCH("SUBSOLO",E4145)),IFERROR(-VALUE(LEFT(E4145,FIND("º",SUBSTITUTE(E4145,"°","º"))-1)),-1),IF(LEFT(E4145,6)="TÉRREO",0,IFERROR(VALUE(LEFT(E4145,FIND("º",SUBSTITUTE(E4145,"°","º"))-1)),""))))</f>
        <v/>
      </c>
      <c r="O4145" s="2">
        <f>IF(OR(F4145="",G4145=""),"",IF(G4145&lt;='RETRATO 2027'!$K$5,"CONCLUÍDA",IF(F4145&lt;='RETRATO 2027'!$K$5,"EM ANDAMENTO","A INICIAR")))</f>
        <v/>
      </c>
    </row>
    <row r="4146">
      <c r="M4146" s="2">
        <f>IF(C4146="","",IFERROR(INDEX($S$5:$S$304,MATCH(C4146,$R$5:$R$304,0))&amp;"","?"))</f>
        <v/>
      </c>
      <c r="N4146" s="2">
        <f>IF(E4146="","",IF(ISNUMBER(SEARCH("SUBSOLO",E4146)),IFERROR(-VALUE(LEFT(E4146,FIND("º",SUBSTITUTE(E4146,"°","º"))-1)),-1),IF(LEFT(E4146,6)="TÉRREO",0,IFERROR(VALUE(LEFT(E4146,FIND("º",SUBSTITUTE(E4146,"°","º"))-1)),""))))</f>
        <v/>
      </c>
      <c r="O4146" s="2">
        <f>IF(OR(F4146="",G4146=""),"",IF(G4146&lt;='RETRATO 2027'!$K$5,"CONCLUÍDA",IF(F4146&lt;='RETRATO 2027'!$K$5,"EM ANDAMENTO","A INICIAR")))</f>
        <v/>
      </c>
    </row>
    <row r="4147">
      <c r="M4147" s="2">
        <f>IF(C4147="","",IFERROR(INDEX($S$5:$S$304,MATCH(C4147,$R$5:$R$304,0))&amp;"","?"))</f>
        <v/>
      </c>
      <c r="N4147" s="2">
        <f>IF(E4147="","",IF(ISNUMBER(SEARCH("SUBSOLO",E4147)),IFERROR(-VALUE(LEFT(E4147,FIND("º",SUBSTITUTE(E4147,"°","º"))-1)),-1),IF(LEFT(E4147,6)="TÉRREO",0,IFERROR(VALUE(LEFT(E4147,FIND("º",SUBSTITUTE(E4147,"°","º"))-1)),""))))</f>
        <v/>
      </c>
      <c r="O4147" s="2">
        <f>IF(OR(F4147="",G4147=""),"",IF(G4147&lt;='RETRATO 2027'!$K$5,"CONCLUÍDA",IF(F4147&lt;='RETRATO 2027'!$K$5,"EM ANDAMENTO","A INICIAR")))</f>
        <v/>
      </c>
    </row>
    <row r="4148">
      <c r="M4148" s="2">
        <f>IF(C4148="","",IFERROR(INDEX($S$5:$S$304,MATCH(C4148,$R$5:$R$304,0))&amp;"","?"))</f>
        <v/>
      </c>
      <c r="N4148" s="2">
        <f>IF(E4148="","",IF(ISNUMBER(SEARCH("SUBSOLO",E4148)),IFERROR(-VALUE(LEFT(E4148,FIND("º",SUBSTITUTE(E4148,"°","º"))-1)),-1),IF(LEFT(E4148,6)="TÉRREO",0,IFERROR(VALUE(LEFT(E4148,FIND("º",SUBSTITUTE(E4148,"°","º"))-1)),""))))</f>
        <v/>
      </c>
      <c r="O4148" s="2">
        <f>IF(OR(F4148="",G4148=""),"",IF(G4148&lt;='RETRATO 2027'!$K$5,"CONCLUÍDA",IF(F4148&lt;='RETRATO 2027'!$K$5,"EM ANDAMENTO","A INICIAR")))</f>
        <v/>
      </c>
    </row>
    <row r="4149">
      <c r="M4149" s="2">
        <f>IF(C4149="","",IFERROR(INDEX($S$5:$S$304,MATCH(C4149,$R$5:$R$304,0))&amp;"","?"))</f>
        <v/>
      </c>
      <c r="N4149" s="2">
        <f>IF(E4149="","",IF(ISNUMBER(SEARCH("SUBSOLO",E4149)),IFERROR(-VALUE(LEFT(E4149,FIND("º",SUBSTITUTE(E4149,"°","º"))-1)),-1),IF(LEFT(E4149,6)="TÉRREO",0,IFERROR(VALUE(LEFT(E4149,FIND("º",SUBSTITUTE(E4149,"°","º"))-1)),""))))</f>
        <v/>
      </c>
      <c r="O4149" s="2">
        <f>IF(OR(F4149="",G4149=""),"",IF(G4149&lt;='RETRATO 2027'!$K$5,"CONCLUÍDA",IF(F4149&lt;='RETRATO 2027'!$K$5,"EM ANDAMENTO","A INICIAR")))</f>
        <v/>
      </c>
    </row>
    <row r="4150">
      <c r="M4150" s="2">
        <f>IF(C4150="","",IFERROR(INDEX($S$5:$S$304,MATCH(C4150,$R$5:$R$304,0))&amp;"","?"))</f>
        <v/>
      </c>
      <c r="N4150" s="2">
        <f>IF(E4150="","",IF(ISNUMBER(SEARCH("SUBSOLO",E4150)),IFERROR(-VALUE(LEFT(E4150,FIND("º",SUBSTITUTE(E4150,"°","º"))-1)),-1),IF(LEFT(E4150,6)="TÉRREO",0,IFERROR(VALUE(LEFT(E4150,FIND("º",SUBSTITUTE(E4150,"°","º"))-1)),""))))</f>
        <v/>
      </c>
      <c r="O4150" s="2">
        <f>IF(OR(F4150="",G4150=""),"",IF(G4150&lt;='RETRATO 2027'!$K$5,"CONCLUÍDA",IF(F4150&lt;='RETRATO 2027'!$K$5,"EM ANDAMENTO","A INICIAR")))</f>
        <v/>
      </c>
    </row>
    <row r="4151">
      <c r="M4151" s="2">
        <f>IF(C4151="","",IFERROR(INDEX($S$5:$S$304,MATCH(C4151,$R$5:$R$304,0))&amp;"","?"))</f>
        <v/>
      </c>
      <c r="N4151" s="2">
        <f>IF(E4151="","",IF(ISNUMBER(SEARCH("SUBSOLO",E4151)),IFERROR(-VALUE(LEFT(E4151,FIND("º",SUBSTITUTE(E4151,"°","º"))-1)),-1),IF(LEFT(E4151,6)="TÉRREO",0,IFERROR(VALUE(LEFT(E4151,FIND("º",SUBSTITUTE(E4151,"°","º"))-1)),""))))</f>
        <v/>
      </c>
      <c r="O4151" s="2">
        <f>IF(OR(F4151="",G4151=""),"",IF(G4151&lt;='RETRATO 2027'!$K$5,"CONCLUÍDA",IF(F4151&lt;='RETRATO 2027'!$K$5,"EM ANDAMENTO","A INICIAR")))</f>
        <v/>
      </c>
    </row>
    <row r="4152">
      <c r="M4152" s="2">
        <f>IF(C4152="","",IFERROR(INDEX($S$5:$S$304,MATCH(C4152,$R$5:$R$304,0))&amp;"","?"))</f>
        <v/>
      </c>
      <c r="N4152" s="2">
        <f>IF(E4152="","",IF(ISNUMBER(SEARCH("SUBSOLO",E4152)),IFERROR(-VALUE(LEFT(E4152,FIND("º",SUBSTITUTE(E4152,"°","º"))-1)),-1),IF(LEFT(E4152,6)="TÉRREO",0,IFERROR(VALUE(LEFT(E4152,FIND("º",SUBSTITUTE(E4152,"°","º"))-1)),""))))</f>
        <v/>
      </c>
      <c r="O4152" s="2">
        <f>IF(OR(F4152="",G4152=""),"",IF(G4152&lt;='RETRATO 2027'!$K$5,"CONCLUÍDA",IF(F4152&lt;='RETRATO 2027'!$K$5,"EM ANDAMENTO","A INICIAR")))</f>
        <v/>
      </c>
    </row>
    <row r="4153">
      <c r="M4153" s="2">
        <f>IF(C4153="","",IFERROR(INDEX($S$5:$S$304,MATCH(C4153,$R$5:$R$304,0))&amp;"","?"))</f>
        <v/>
      </c>
      <c r="N4153" s="2">
        <f>IF(E4153="","",IF(ISNUMBER(SEARCH("SUBSOLO",E4153)),IFERROR(-VALUE(LEFT(E4153,FIND("º",SUBSTITUTE(E4153,"°","º"))-1)),-1),IF(LEFT(E4153,6)="TÉRREO",0,IFERROR(VALUE(LEFT(E4153,FIND("º",SUBSTITUTE(E4153,"°","º"))-1)),""))))</f>
        <v/>
      </c>
      <c r="O4153" s="2">
        <f>IF(OR(F4153="",G4153=""),"",IF(G4153&lt;='RETRATO 2027'!$K$5,"CONCLUÍDA",IF(F4153&lt;='RETRATO 2027'!$K$5,"EM ANDAMENTO","A INICIAR")))</f>
        <v/>
      </c>
    </row>
    <row r="4154">
      <c r="M4154" s="2">
        <f>IF(C4154="","",IFERROR(INDEX($S$5:$S$304,MATCH(C4154,$R$5:$R$304,0))&amp;"","?"))</f>
        <v/>
      </c>
      <c r="N4154" s="2">
        <f>IF(E4154="","",IF(ISNUMBER(SEARCH("SUBSOLO",E4154)),IFERROR(-VALUE(LEFT(E4154,FIND("º",SUBSTITUTE(E4154,"°","º"))-1)),-1),IF(LEFT(E4154,6)="TÉRREO",0,IFERROR(VALUE(LEFT(E4154,FIND("º",SUBSTITUTE(E4154,"°","º"))-1)),""))))</f>
        <v/>
      </c>
      <c r="O4154" s="2">
        <f>IF(OR(F4154="",G4154=""),"",IF(G4154&lt;='RETRATO 2027'!$K$5,"CONCLUÍDA",IF(F4154&lt;='RETRATO 2027'!$K$5,"EM ANDAMENTO","A INICIAR")))</f>
        <v/>
      </c>
    </row>
    <row r="4155">
      <c r="M4155" s="2">
        <f>IF(C4155="","",IFERROR(INDEX($S$5:$S$304,MATCH(C4155,$R$5:$R$304,0))&amp;"","?"))</f>
        <v/>
      </c>
      <c r="N4155" s="2">
        <f>IF(E4155="","",IF(ISNUMBER(SEARCH("SUBSOLO",E4155)),IFERROR(-VALUE(LEFT(E4155,FIND("º",SUBSTITUTE(E4155,"°","º"))-1)),-1),IF(LEFT(E4155,6)="TÉRREO",0,IFERROR(VALUE(LEFT(E4155,FIND("º",SUBSTITUTE(E4155,"°","º"))-1)),""))))</f>
        <v/>
      </c>
      <c r="O4155" s="2">
        <f>IF(OR(F4155="",G4155=""),"",IF(G4155&lt;='RETRATO 2027'!$K$5,"CONCLUÍDA",IF(F4155&lt;='RETRATO 2027'!$K$5,"EM ANDAMENTO","A INICIAR")))</f>
        <v/>
      </c>
    </row>
    <row r="4156">
      <c r="M4156" s="2">
        <f>IF(C4156="","",IFERROR(INDEX($S$5:$S$304,MATCH(C4156,$R$5:$R$304,0))&amp;"","?"))</f>
        <v/>
      </c>
      <c r="N4156" s="2">
        <f>IF(E4156="","",IF(ISNUMBER(SEARCH("SUBSOLO",E4156)),IFERROR(-VALUE(LEFT(E4156,FIND("º",SUBSTITUTE(E4156,"°","º"))-1)),-1),IF(LEFT(E4156,6)="TÉRREO",0,IFERROR(VALUE(LEFT(E4156,FIND("º",SUBSTITUTE(E4156,"°","º"))-1)),""))))</f>
        <v/>
      </c>
      <c r="O4156" s="2">
        <f>IF(OR(F4156="",G4156=""),"",IF(G4156&lt;='RETRATO 2027'!$K$5,"CONCLUÍDA",IF(F4156&lt;='RETRATO 2027'!$K$5,"EM ANDAMENTO","A INICIAR")))</f>
        <v/>
      </c>
    </row>
    <row r="4157">
      <c r="M4157" s="2">
        <f>IF(C4157="","",IFERROR(INDEX($S$5:$S$304,MATCH(C4157,$R$5:$R$304,0))&amp;"","?"))</f>
        <v/>
      </c>
      <c r="N4157" s="2">
        <f>IF(E4157="","",IF(ISNUMBER(SEARCH("SUBSOLO",E4157)),IFERROR(-VALUE(LEFT(E4157,FIND("º",SUBSTITUTE(E4157,"°","º"))-1)),-1),IF(LEFT(E4157,6)="TÉRREO",0,IFERROR(VALUE(LEFT(E4157,FIND("º",SUBSTITUTE(E4157,"°","º"))-1)),""))))</f>
        <v/>
      </c>
      <c r="O4157" s="2">
        <f>IF(OR(F4157="",G4157=""),"",IF(G4157&lt;='RETRATO 2027'!$K$5,"CONCLUÍDA",IF(F4157&lt;='RETRATO 2027'!$K$5,"EM ANDAMENTO","A INICIAR")))</f>
        <v/>
      </c>
    </row>
    <row r="4158">
      <c r="M4158" s="2">
        <f>IF(C4158="","",IFERROR(INDEX($S$5:$S$304,MATCH(C4158,$R$5:$R$304,0))&amp;"","?"))</f>
        <v/>
      </c>
      <c r="N4158" s="2">
        <f>IF(E4158="","",IF(ISNUMBER(SEARCH("SUBSOLO",E4158)),IFERROR(-VALUE(LEFT(E4158,FIND("º",SUBSTITUTE(E4158,"°","º"))-1)),-1),IF(LEFT(E4158,6)="TÉRREO",0,IFERROR(VALUE(LEFT(E4158,FIND("º",SUBSTITUTE(E4158,"°","º"))-1)),""))))</f>
        <v/>
      </c>
      <c r="O4158" s="2">
        <f>IF(OR(F4158="",G4158=""),"",IF(G4158&lt;='RETRATO 2027'!$K$5,"CONCLUÍDA",IF(F4158&lt;='RETRATO 2027'!$K$5,"EM ANDAMENTO","A INICIAR")))</f>
        <v/>
      </c>
    </row>
    <row r="4159">
      <c r="M4159" s="2">
        <f>IF(C4159="","",IFERROR(INDEX($S$5:$S$304,MATCH(C4159,$R$5:$R$304,0))&amp;"","?"))</f>
        <v/>
      </c>
      <c r="N4159" s="2">
        <f>IF(E4159="","",IF(ISNUMBER(SEARCH("SUBSOLO",E4159)),IFERROR(-VALUE(LEFT(E4159,FIND("º",SUBSTITUTE(E4159,"°","º"))-1)),-1),IF(LEFT(E4159,6)="TÉRREO",0,IFERROR(VALUE(LEFT(E4159,FIND("º",SUBSTITUTE(E4159,"°","º"))-1)),""))))</f>
        <v/>
      </c>
      <c r="O4159" s="2">
        <f>IF(OR(F4159="",G4159=""),"",IF(G4159&lt;='RETRATO 2027'!$K$5,"CONCLUÍDA",IF(F4159&lt;='RETRATO 2027'!$K$5,"EM ANDAMENTO","A INICIAR")))</f>
        <v/>
      </c>
    </row>
    <row r="4160">
      <c r="M4160" s="2">
        <f>IF(C4160="","",IFERROR(INDEX($S$5:$S$304,MATCH(C4160,$R$5:$R$304,0))&amp;"","?"))</f>
        <v/>
      </c>
      <c r="N4160" s="2">
        <f>IF(E4160="","",IF(ISNUMBER(SEARCH("SUBSOLO",E4160)),IFERROR(-VALUE(LEFT(E4160,FIND("º",SUBSTITUTE(E4160,"°","º"))-1)),-1),IF(LEFT(E4160,6)="TÉRREO",0,IFERROR(VALUE(LEFT(E4160,FIND("º",SUBSTITUTE(E4160,"°","º"))-1)),""))))</f>
        <v/>
      </c>
      <c r="O4160" s="2">
        <f>IF(OR(F4160="",G4160=""),"",IF(G4160&lt;='RETRATO 2027'!$K$5,"CONCLUÍDA",IF(F4160&lt;='RETRATO 2027'!$K$5,"EM ANDAMENTO","A INICIAR")))</f>
        <v/>
      </c>
    </row>
    <row r="4161">
      <c r="M4161" s="2">
        <f>IF(C4161="","",IFERROR(INDEX($S$5:$S$304,MATCH(C4161,$R$5:$R$304,0))&amp;"","?"))</f>
        <v/>
      </c>
      <c r="N4161" s="2">
        <f>IF(E4161="","",IF(ISNUMBER(SEARCH("SUBSOLO",E4161)),IFERROR(-VALUE(LEFT(E4161,FIND("º",SUBSTITUTE(E4161,"°","º"))-1)),-1),IF(LEFT(E4161,6)="TÉRREO",0,IFERROR(VALUE(LEFT(E4161,FIND("º",SUBSTITUTE(E4161,"°","º"))-1)),""))))</f>
        <v/>
      </c>
      <c r="O4161" s="2">
        <f>IF(OR(F4161="",G4161=""),"",IF(G4161&lt;='RETRATO 2027'!$K$5,"CONCLUÍDA",IF(F4161&lt;='RETRATO 2027'!$K$5,"EM ANDAMENTO","A INICIAR")))</f>
        <v/>
      </c>
    </row>
    <row r="4162">
      <c r="M4162" s="2">
        <f>IF(C4162="","",IFERROR(INDEX($S$5:$S$304,MATCH(C4162,$R$5:$R$304,0))&amp;"","?"))</f>
        <v/>
      </c>
      <c r="N4162" s="2">
        <f>IF(E4162="","",IF(ISNUMBER(SEARCH("SUBSOLO",E4162)),IFERROR(-VALUE(LEFT(E4162,FIND("º",SUBSTITUTE(E4162,"°","º"))-1)),-1),IF(LEFT(E4162,6)="TÉRREO",0,IFERROR(VALUE(LEFT(E4162,FIND("º",SUBSTITUTE(E4162,"°","º"))-1)),""))))</f>
        <v/>
      </c>
      <c r="O4162" s="2">
        <f>IF(OR(F4162="",G4162=""),"",IF(G4162&lt;='RETRATO 2027'!$K$5,"CONCLUÍDA",IF(F4162&lt;='RETRATO 2027'!$K$5,"EM ANDAMENTO","A INICIAR")))</f>
        <v/>
      </c>
    </row>
    <row r="4163">
      <c r="M4163" s="2">
        <f>IF(C4163="","",IFERROR(INDEX($S$5:$S$304,MATCH(C4163,$R$5:$R$304,0))&amp;"","?"))</f>
        <v/>
      </c>
      <c r="N4163" s="2">
        <f>IF(E4163="","",IF(ISNUMBER(SEARCH("SUBSOLO",E4163)),IFERROR(-VALUE(LEFT(E4163,FIND("º",SUBSTITUTE(E4163,"°","º"))-1)),-1),IF(LEFT(E4163,6)="TÉRREO",0,IFERROR(VALUE(LEFT(E4163,FIND("º",SUBSTITUTE(E4163,"°","º"))-1)),""))))</f>
        <v/>
      </c>
      <c r="O4163" s="2">
        <f>IF(OR(F4163="",G4163=""),"",IF(G4163&lt;='RETRATO 2027'!$K$5,"CONCLUÍDA",IF(F4163&lt;='RETRATO 2027'!$K$5,"EM ANDAMENTO","A INICIAR")))</f>
        <v/>
      </c>
    </row>
    <row r="4164">
      <c r="M4164" s="2">
        <f>IF(C4164="","",IFERROR(INDEX($S$5:$S$304,MATCH(C4164,$R$5:$R$304,0))&amp;"","?"))</f>
        <v/>
      </c>
      <c r="N4164" s="2">
        <f>IF(E4164="","",IF(ISNUMBER(SEARCH("SUBSOLO",E4164)),IFERROR(-VALUE(LEFT(E4164,FIND("º",SUBSTITUTE(E4164,"°","º"))-1)),-1),IF(LEFT(E4164,6)="TÉRREO",0,IFERROR(VALUE(LEFT(E4164,FIND("º",SUBSTITUTE(E4164,"°","º"))-1)),""))))</f>
        <v/>
      </c>
      <c r="O4164" s="2">
        <f>IF(OR(F4164="",G4164=""),"",IF(G4164&lt;='RETRATO 2027'!$K$5,"CONCLUÍDA",IF(F4164&lt;='RETRATO 2027'!$K$5,"EM ANDAMENTO","A INICIAR")))</f>
        <v/>
      </c>
    </row>
    <row r="4165">
      <c r="M4165" s="2">
        <f>IF(C4165="","",IFERROR(INDEX($S$5:$S$304,MATCH(C4165,$R$5:$R$304,0))&amp;"","?"))</f>
        <v/>
      </c>
      <c r="N4165" s="2">
        <f>IF(E4165="","",IF(ISNUMBER(SEARCH("SUBSOLO",E4165)),IFERROR(-VALUE(LEFT(E4165,FIND("º",SUBSTITUTE(E4165,"°","º"))-1)),-1),IF(LEFT(E4165,6)="TÉRREO",0,IFERROR(VALUE(LEFT(E4165,FIND("º",SUBSTITUTE(E4165,"°","º"))-1)),""))))</f>
        <v/>
      </c>
      <c r="O4165" s="2">
        <f>IF(OR(F4165="",G4165=""),"",IF(G4165&lt;='RETRATO 2027'!$K$5,"CONCLUÍDA",IF(F4165&lt;='RETRATO 2027'!$K$5,"EM ANDAMENTO","A INICIAR")))</f>
        <v/>
      </c>
    </row>
    <row r="4166">
      <c r="M4166" s="2">
        <f>IF(C4166="","",IFERROR(INDEX($S$5:$S$304,MATCH(C4166,$R$5:$R$304,0))&amp;"","?"))</f>
        <v/>
      </c>
      <c r="N4166" s="2">
        <f>IF(E4166="","",IF(ISNUMBER(SEARCH("SUBSOLO",E4166)),IFERROR(-VALUE(LEFT(E4166,FIND("º",SUBSTITUTE(E4166,"°","º"))-1)),-1),IF(LEFT(E4166,6)="TÉRREO",0,IFERROR(VALUE(LEFT(E4166,FIND("º",SUBSTITUTE(E4166,"°","º"))-1)),""))))</f>
        <v/>
      </c>
      <c r="O4166" s="2">
        <f>IF(OR(F4166="",G4166=""),"",IF(G4166&lt;='RETRATO 2027'!$K$5,"CONCLUÍDA",IF(F4166&lt;='RETRATO 2027'!$K$5,"EM ANDAMENTO","A INICIAR")))</f>
        <v/>
      </c>
    </row>
    <row r="4167">
      <c r="M4167" s="2">
        <f>IF(C4167="","",IFERROR(INDEX($S$5:$S$304,MATCH(C4167,$R$5:$R$304,0))&amp;"","?"))</f>
        <v/>
      </c>
      <c r="N4167" s="2">
        <f>IF(E4167="","",IF(ISNUMBER(SEARCH("SUBSOLO",E4167)),IFERROR(-VALUE(LEFT(E4167,FIND("º",SUBSTITUTE(E4167,"°","º"))-1)),-1),IF(LEFT(E4167,6)="TÉRREO",0,IFERROR(VALUE(LEFT(E4167,FIND("º",SUBSTITUTE(E4167,"°","º"))-1)),""))))</f>
        <v/>
      </c>
      <c r="O4167" s="2">
        <f>IF(OR(F4167="",G4167=""),"",IF(G4167&lt;='RETRATO 2027'!$K$5,"CONCLUÍDA",IF(F4167&lt;='RETRATO 2027'!$K$5,"EM ANDAMENTO","A INICIAR")))</f>
        <v/>
      </c>
    </row>
    <row r="4168">
      <c r="M4168" s="2">
        <f>IF(C4168="","",IFERROR(INDEX($S$5:$S$304,MATCH(C4168,$R$5:$R$304,0))&amp;"","?"))</f>
        <v/>
      </c>
      <c r="N4168" s="2">
        <f>IF(E4168="","",IF(ISNUMBER(SEARCH("SUBSOLO",E4168)),IFERROR(-VALUE(LEFT(E4168,FIND("º",SUBSTITUTE(E4168,"°","º"))-1)),-1),IF(LEFT(E4168,6)="TÉRREO",0,IFERROR(VALUE(LEFT(E4168,FIND("º",SUBSTITUTE(E4168,"°","º"))-1)),""))))</f>
        <v/>
      </c>
      <c r="O4168" s="2">
        <f>IF(OR(F4168="",G4168=""),"",IF(G4168&lt;='RETRATO 2027'!$K$5,"CONCLUÍDA",IF(F4168&lt;='RETRATO 2027'!$K$5,"EM ANDAMENTO","A INICIAR")))</f>
        <v/>
      </c>
    </row>
    <row r="4169">
      <c r="M4169" s="2">
        <f>IF(C4169="","",IFERROR(INDEX($S$5:$S$304,MATCH(C4169,$R$5:$R$304,0))&amp;"","?"))</f>
        <v/>
      </c>
      <c r="N4169" s="2">
        <f>IF(E4169="","",IF(ISNUMBER(SEARCH("SUBSOLO",E4169)),IFERROR(-VALUE(LEFT(E4169,FIND("º",SUBSTITUTE(E4169,"°","º"))-1)),-1),IF(LEFT(E4169,6)="TÉRREO",0,IFERROR(VALUE(LEFT(E4169,FIND("º",SUBSTITUTE(E4169,"°","º"))-1)),""))))</f>
        <v/>
      </c>
      <c r="O4169" s="2">
        <f>IF(OR(F4169="",G4169=""),"",IF(G4169&lt;='RETRATO 2027'!$K$5,"CONCLUÍDA",IF(F4169&lt;='RETRATO 2027'!$K$5,"EM ANDAMENTO","A INICIAR")))</f>
        <v/>
      </c>
    </row>
    <row r="4170">
      <c r="M4170" s="2">
        <f>IF(C4170="","",IFERROR(INDEX($S$5:$S$304,MATCH(C4170,$R$5:$R$304,0))&amp;"","?"))</f>
        <v/>
      </c>
      <c r="N4170" s="2">
        <f>IF(E4170="","",IF(ISNUMBER(SEARCH("SUBSOLO",E4170)),IFERROR(-VALUE(LEFT(E4170,FIND("º",SUBSTITUTE(E4170,"°","º"))-1)),-1),IF(LEFT(E4170,6)="TÉRREO",0,IFERROR(VALUE(LEFT(E4170,FIND("º",SUBSTITUTE(E4170,"°","º"))-1)),""))))</f>
        <v/>
      </c>
      <c r="O4170" s="2">
        <f>IF(OR(F4170="",G4170=""),"",IF(G4170&lt;='RETRATO 2027'!$K$5,"CONCLUÍDA",IF(F4170&lt;='RETRATO 2027'!$K$5,"EM ANDAMENTO","A INICIAR")))</f>
        <v/>
      </c>
    </row>
    <row r="4171">
      <c r="M4171" s="2">
        <f>IF(C4171="","",IFERROR(INDEX($S$5:$S$304,MATCH(C4171,$R$5:$R$304,0))&amp;"","?"))</f>
        <v/>
      </c>
      <c r="N4171" s="2">
        <f>IF(E4171="","",IF(ISNUMBER(SEARCH("SUBSOLO",E4171)),IFERROR(-VALUE(LEFT(E4171,FIND("º",SUBSTITUTE(E4171,"°","º"))-1)),-1),IF(LEFT(E4171,6)="TÉRREO",0,IFERROR(VALUE(LEFT(E4171,FIND("º",SUBSTITUTE(E4171,"°","º"))-1)),""))))</f>
        <v/>
      </c>
      <c r="O4171" s="2">
        <f>IF(OR(F4171="",G4171=""),"",IF(G4171&lt;='RETRATO 2027'!$K$5,"CONCLUÍDA",IF(F4171&lt;='RETRATO 2027'!$K$5,"EM ANDAMENTO","A INICIAR")))</f>
        <v/>
      </c>
    </row>
    <row r="4172">
      <c r="M4172" s="2">
        <f>IF(C4172="","",IFERROR(INDEX($S$5:$S$304,MATCH(C4172,$R$5:$R$304,0))&amp;"","?"))</f>
        <v/>
      </c>
      <c r="N4172" s="2">
        <f>IF(E4172="","",IF(ISNUMBER(SEARCH("SUBSOLO",E4172)),IFERROR(-VALUE(LEFT(E4172,FIND("º",SUBSTITUTE(E4172,"°","º"))-1)),-1),IF(LEFT(E4172,6)="TÉRREO",0,IFERROR(VALUE(LEFT(E4172,FIND("º",SUBSTITUTE(E4172,"°","º"))-1)),""))))</f>
        <v/>
      </c>
      <c r="O4172" s="2">
        <f>IF(OR(F4172="",G4172=""),"",IF(G4172&lt;='RETRATO 2027'!$K$5,"CONCLUÍDA",IF(F4172&lt;='RETRATO 2027'!$K$5,"EM ANDAMENTO","A INICIAR")))</f>
        <v/>
      </c>
    </row>
    <row r="4173">
      <c r="M4173" s="2">
        <f>IF(C4173="","",IFERROR(INDEX($S$5:$S$304,MATCH(C4173,$R$5:$R$304,0))&amp;"","?"))</f>
        <v/>
      </c>
      <c r="N4173" s="2">
        <f>IF(E4173="","",IF(ISNUMBER(SEARCH("SUBSOLO",E4173)),IFERROR(-VALUE(LEFT(E4173,FIND("º",SUBSTITUTE(E4173,"°","º"))-1)),-1),IF(LEFT(E4173,6)="TÉRREO",0,IFERROR(VALUE(LEFT(E4173,FIND("º",SUBSTITUTE(E4173,"°","º"))-1)),""))))</f>
        <v/>
      </c>
      <c r="O4173" s="2">
        <f>IF(OR(F4173="",G4173=""),"",IF(G4173&lt;='RETRATO 2027'!$K$5,"CONCLUÍDA",IF(F4173&lt;='RETRATO 2027'!$K$5,"EM ANDAMENTO","A INICIAR")))</f>
        <v/>
      </c>
    </row>
    <row r="4174">
      <c r="M4174" s="2">
        <f>IF(C4174="","",IFERROR(INDEX($S$5:$S$304,MATCH(C4174,$R$5:$R$304,0))&amp;"","?"))</f>
        <v/>
      </c>
      <c r="N4174" s="2">
        <f>IF(E4174="","",IF(ISNUMBER(SEARCH("SUBSOLO",E4174)),IFERROR(-VALUE(LEFT(E4174,FIND("º",SUBSTITUTE(E4174,"°","º"))-1)),-1),IF(LEFT(E4174,6)="TÉRREO",0,IFERROR(VALUE(LEFT(E4174,FIND("º",SUBSTITUTE(E4174,"°","º"))-1)),""))))</f>
        <v/>
      </c>
      <c r="O4174" s="2">
        <f>IF(OR(F4174="",G4174=""),"",IF(G4174&lt;='RETRATO 2027'!$K$5,"CONCLUÍDA",IF(F4174&lt;='RETRATO 2027'!$K$5,"EM ANDAMENTO","A INICIAR")))</f>
        <v/>
      </c>
    </row>
    <row r="4175">
      <c r="M4175" s="2">
        <f>IF(C4175="","",IFERROR(INDEX($S$5:$S$304,MATCH(C4175,$R$5:$R$304,0))&amp;"","?"))</f>
        <v/>
      </c>
      <c r="N4175" s="2">
        <f>IF(E4175="","",IF(ISNUMBER(SEARCH("SUBSOLO",E4175)),IFERROR(-VALUE(LEFT(E4175,FIND("º",SUBSTITUTE(E4175,"°","º"))-1)),-1),IF(LEFT(E4175,6)="TÉRREO",0,IFERROR(VALUE(LEFT(E4175,FIND("º",SUBSTITUTE(E4175,"°","º"))-1)),""))))</f>
        <v/>
      </c>
      <c r="O4175" s="2">
        <f>IF(OR(F4175="",G4175=""),"",IF(G4175&lt;='RETRATO 2027'!$K$5,"CONCLUÍDA",IF(F4175&lt;='RETRATO 2027'!$K$5,"EM ANDAMENTO","A INICIAR")))</f>
        <v/>
      </c>
    </row>
    <row r="4176">
      <c r="M4176" s="2">
        <f>IF(C4176="","",IFERROR(INDEX($S$5:$S$304,MATCH(C4176,$R$5:$R$304,0))&amp;"","?"))</f>
        <v/>
      </c>
      <c r="N4176" s="2">
        <f>IF(E4176="","",IF(ISNUMBER(SEARCH("SUBSOLO",E4176)),IFERROR(-VALUE(LEFT(E4176,FIND("º",SUBSTITUTE(E4176,"°","º"))-1)),-1),IF(LEFT(E4176,6)="TÉRREO",0,IFERROR(VALUE(LEFT(E4176,FIND("º",SUBSTITUTE(E4176,"°","º"))-1)),""))))</f>
        <v/>
      </c>
      <c r="O4176" s="2">
        <f>IF(OR(F4176="",G4176=""),"",IF(G4176&lt;='RETRATO 2027'!$K$5,"CONCLUÍDA",IF(F4176&lt;='RETRATO 2027'!$K$5,"EM ANDAMENTO","A INICIAR")))</f>
        <v/>
      </c>
    </row>
    <row r="4177">
      <c r="M4177" s="2">
        <f>IF(C4177="","",IFERROR(INDEX($S$5:$S$304,MATCH(C4177,$R$5:$R$304,0))&amp;"","?"))</f>
        <v/>
      </c>
      <c r="N4177" s="2">
        <f>IF(E4177="","",IF(ISNUMBER(SEARCH("SUBSOLO",E4177)),IFERROR(-VALUE(LEFT(E4177,FIND("º",SUBSTITUTE(E4177,"°","º"))-1)),-1),IF(LEFT(E4177,6)="TÉRREO",0,IFERROR(VALUE(LEFT(E4177,FIND("º",SUBSTITUTE(E4177,"°","º"))-1)),""))))</f>
        <v/>
      </c>
      <c r="O4177" s="2">
        <f>IF(OR(F4177="",G4177=""),"",IF(G4177&lt;='RETRATO 2027'!$K$5,"CONCLUÍDA",IF(F4177&lt;='RETRATO 2027'!$K$5,"EM ANDAMENTO","A INICIAR")))</f>
        <v/>
      </c>
    </row>
    <row r="4178">
      <c r="M4178" s="2">
        <f>IF(C4178="","",IFERROR(INDEX($S$5:$S$304,MATCH(C4178,$R$5:$R$304,0))&amp;"","?"))</f>
        <v/>
      </c>
      <c r="N4178" s="2">
        <f>IF(E4178="","",IF(ISNUMBER(SEARCH("SUBSOLO",E4178)),IFERROR(-VALUE(LEFT(E4178,FIND("º",SUBSTITUTE(E4178,"°","º"))-1)),-1),IF(LEFT(E4178,6)="TÉRREO",0,IFERROR(VALUE(LEFT(E4178,FIND("º",SUBSTITUTE(E4178,"°","º"))-1)),""))))</f>
        <v/>
      </c>
      <c r="O4178" s="2">
        <f>IF(OR(F4178="",G4178=""),"",IF(G4178&lt;='RETRATO 2027'!$K$5,"CONCLUÍDA",IF(F4178&lt;='RETRATO 2027'!$K$5,"EM ANDAMENTO","A INICIAR")))</f>
        <v/>
      </c>
    </row>
    <row r="4179">
      <c r="M4179" s="2">
        <f>IF(C4179="","",IFERROR(INDEX($S$5:$S$304,MATCH(C4179,$R$5:$R$304,0))&amp;"","?"))</f>
        <v/>
      </c>
      <c r="N4179" s="2">
        <f>IF(E4179="","",IF(ISNUMBER(SEARCH("SUBSOLO",E4179)),IFERROR(-VALUE(LEFT(E4179,FIND("º",SUBSTITUTE(E4179,"°","º"))-1)),-1),IF(LEFT(E4179,6)="TÉRREO",0,IFERROR(VALUE(LEFT(E4179,FIND("º",SUBSTITUTE(E4179,"°","º"))-1)),""))))</f>
        <v/>
      </c>
      <c r="O4179" s="2">
        <f>IF(OR(F4179="",G4179=""),"",IF(G4179&lt;='RETRATO 2027'!$K$5,"CONCLUÍDA",IF(F4179&lt;='RETRATO 2027'!$K$5,"EM ANDAMENTO","A INICIAR")))</f>
        <v/>
      </c>
    </row>
    <row r="4180">
      <c r="M4180" s="2">
        <f>IF(C4180="","",IFERROR(INDEX($S$5:$S$304,MATCH(C4180,$R$5:$R$304,0))&amp;"","?"))</f>
        <v/>
      </c>
      <c r="N4180" s="2">
        <f>IF(E4180="","",IF(ISNUMBER(SEARCH("SUBSOLO",E4180)),IFERROR(-VALUE(LEFT(E4180,FIND("º",SUBSTITUTE(E4180,"°","º"))-1)),-1),IF(LEFT(E4180,6)="TÉRREO",0,IFERROR(VALUE(LEFT(E4180,FIND("º",SUBSTITUTE(E4180,"°","º"))-1)),""))))</f>
        <v/>
      </c>
      <c r="O4180" s="2">
        <f>IF(OR(F4180="",G4180=""),"",IF(G4180&lt;='RETRATO 2027'!$K$5,"CONCLUÍDA",IF(F4180&lt;='RETRATO 2027'!$K$5,"EM ANDAMENTO","A INICIAR")))</f>
        <v/>
      </c>
    </row>
    <row r="4181">
      <c r="M4181" s="2">
        <f>IF(C4181="","",IFERROR(INDEX($S$5:$S$304,MATCH(C4181,$R$5:$R$304,0))&amp;"","?"))</f>
        <v/>
      </c>
      <c r="N4181" s="2">
        <f>IF(E4181="","",IF(ISNUMBER(SEARCH("SUBSOLO",E4181)),IFERROR(-VALUE(LEFT(E4181,FIND("º",SUBSTITUTE(E4181,"°","º"))-1)),-1),IF(LEFT(E4181,6)="TÉRREO",0,IFERROR(VALUE(LEFT(E4181,FIND("º",SUBSTITUTE(E4181,"°","º"))-1)),""))))</f>
        <v/>
      </c>
      <c r="O4181" s="2">
        <f>IF(OR(F4181="",G4181=""),"",IF(G4181&lt;='RETRATO 2027'!$K$5,"CONCLUÍDA",IF(F4181&lt;='RETRATO 2027'!$K$5,"EM ANDAMENTO","A INICIAR")))</f>
        <v/>
      </c>
    </row>
    <row r="4182">
      <c r="M4182" s="2">
        <f>IF(C4182="","",IFERROR(INDEX($S$5:$S$304,MATCH(C4182,$R$5:$R$304,0))&amp;"","?"))</f>
        <v/>
      </c>
      <c r="N4182" s="2">
        <f>IF(E4182="","",IF(ISNUMBER(SEARCH("SUBSOLO",E4182)),IFERROR(-VALUE(LEFT(E4182,FIND("º",SUBSTITUTE(E4182,"°","º"))-1)),-1),IF(LEFT(E4182,6)="TÉRREO",0,IFERROR(VALUE(LEFT(E4182,FIND("º",SUBSTITUTE(E4182,"°","º"))-1)),""))))</f>
        <v/>
      </c>
      <c r="O4182" s="2">
        <f>IF(OR(F4182="",G4182=""),"",IF(G4182&lt;='RETRATO 2027'!$K$5,"CONCLUÍDA",IF(F4182&lt;='RETRATO 2027'!$K$5,"EM ANDAMENTO","A INICIAR")))</f>
        <v/>
      </c>
    </row>
    <row r="4183">
      <c r="M4183" s="2">
        <f>IF(C4183="","",IFERROR(INDEX($S$5:$S$304,MATCH(C4183,$R$5:$R$304,0))&amp;"","?"))</f>
        <v/>
      </c>
      <c r="N4183" s="2">
        <f>IF(E4183="","",IF(ISNUMBER(SEARCH("SUBSOLO",E4183)),IFERROR(-VALUE(LEFT(E4183,FIND("º",SUBSTITUTE(E4183,"°","º"))-1)),-1),IF(LEFT(E4183,6)="TÉRREO",0,IFERROR(VALUE(LEFT(E4183,FIND("º",SUBSTITUTE(E4183,"°","º"))-1)),""))))</f>
        <v/>
      </c>
      <c r="O4183" s="2">
        <f>IF(OR(F4183="",G4183=""),"",IF(G4183&lt;='RETRATO 2027'!$K$5,"CONCLUÍDA",IF(F4183&lt;='RETRATO 2027'!$K$5,"EM ANDAMENTO","A INICIAR")))</f>
        <v/>
      </c>
    </row>
    <row r="4184">
      <c r="M4184" s="2">
        <f>IF(C4184="","",IFERROR(INDEX($S$5:$S$304,MATCH(C4184,$R$5:$R$304,0))&amp;"","?"))</f>
        <v/>
      </c>
      <c r="N4184" s="2">
        <f>IF(E4184="","",IF(ISNUMBER(SEARCH("SUBSOLO",E4184)),IFERROR(-VALUE(LEFT(E4184,FIND("º",SUBSTITUTE(E4184,"°","º"))-1)),-1),IF(LEFT(E4184,6)="TÉRREO",0,IFERROR(VALUE(LEFT(E4184,FIND("º",SUBSTITUTE(E4184,"°","º"))-1)),""))))</f>
        <v/>
      </c>
      <c r="O4184" s="2">
        <f>IF(OR(F4184="",G4184=""),"",IF(G4184&lt;='RETRATO 2027'!$K$5,"CONCLUÍDA",IF(F4184&lt;='RETRATO 2027'!$K$5,"EM ANDAMENTO","A INICIAR")))</f>
        <v/>
      </c>
    </row>
    <row r="4185">
      <c r="M4185" s="2">
        <f>IF(C4185="","",IFERROR(INDEX($S$5:$S$304,MATCH(C4185,$R$5:$R$304,0))&amp;"","?"))</f>
        <v/>
      </c>
      <c r="N4185" s="2">
        <f>IF(E4185="","",IF(ISNUMBER(SEARCH("SUBSOLO",E4185)),IFERROR(-VALUE(LEFT(E4185,FIND("º",SUBSTITUTE(E4185,"°","º"))-1)),-1),IF(LEFT(E4185,6)="TÉRREO",0,IFERROR(VALUE(LEFT(E4185,FIND("º",SUBSTITUTE(E4185,"°","º"))-1)),""))))</f>
        <v/>
      </c>
      <c r="O4185" s="2">
        <f>IF(OR(F4185="",G4185=""),"",IF(G4185&lt;='RETRATO 2027'!$K$5,"CONCLUÍDA",IF(F4185&lt;='RETRATO 2027'!$K$5,"EM ANDAMENTO","A INICIAR")))</f>
        <v/>
      </c>
    </row>
    <row r="4186">
      <c r="M4186" s="2">
        <f>IF(C4186="","",IFERROR(INDEX($S$5:$S$304,MATCH(C4186,$R$5:$R$304,0))&amp;"","?"))</f>
        <v/>
      </c>
      <c r="N4186" s="2">
        <f>IF(E4186="","",IF(ISNUMBER(SEARCH("SUBSOLO",E4186)),IFERROR(-VALUE(LEFT(E4186,FIND("º",SUBSTITUTE(E4186,"°","º"))-1)),-1),IF(LEFT(E4186,6)="TÉRREO",0,IFERROR(VALUE(LEFT(E4186,FIND("º",SUBSTITUTE(E4186,"°","º"))-1)),""))))</f>
        <v/>
      </c>
      <c r="O4186" s="2">
        <f>IF(OR(F4186="",G4186=""),"",IF(G4186&lt;='RETRATO 2027'!$K$5,"CONCLUÍDA",IF(F4186&lt;='RETRATO 2027'!$K$5,"EM ANDAMENTO","A INICIAR")))</f>
        <v/>
      </c>
    </row>
    <row r="4187">
      <c r="M4187" s="2">
        <f>IF(C4187="","",IFERROR(INDEX($S$5:$S$304,MATCH(C4187,$R$5:$R$304,0))&amp;"","?"))</f>
        <v/>
      </c>
      <c r="N4187" s="2">
        <f>IF(E4187="","",IF(ISNUMBER(SEARCH("SUBSOLO",E4187)),IFERROR(-VALUE(LEFT(E4187,FIND("º",SUBSTITUTE(E4187,"°","º"))-1)),-1),IF(LEFT(E4187,6)="TÉRREO",0,IFERROR(VALUE(LEFT(E4187,FIND("º",SUBSTITUTE(E4187,"°","º"))-1)),""))))</f>
        <v/>
      </c>
      <c r="O4187" s="2">
        <f>IF(OR(F4187="",G4187=""),"",IF(G4187&lt;='RETRATO 2027'!$K$5,"CONCLUÍDA",IF(F4187&lt;='RETRATO 2027'!$K$5,"EM ANDAMENTO","A INICIAR")))</f>
        <v/>
      </c>
    </row>
    <row r="4188">
      <c r="M4188" s="2">
        <f>IF(C4188="","",IFERROR(INDEX($S$5:$S$304,MATCH(C4188,$R$5:$R$304,0))&amp;"","?"))</f>
        <v/>
      </c>
      <c r="N4188" s="2">
        <f>IF(E4188="","",IF(ISNUMBER(SEARCH("SUBSOLO",E4188)),IFERROR(-VALUE(LEFT(E4188,FIND("º",SUBSTITUTE(E4188,"°","º"))-1)),-1),IF(LEFT(E4188,6)="TÉRREO",0,IFERROR(VALUE(LEFT(E4188,FIND("º",SUBSTITUTE(E4188,"°","º"))-1)),""))))</f>
        <v/>
      </c>
      <c r="O4188" s="2">
        <f>IF(OR(F4188="",G4188=""),"",IF(G4188&lt;='RETRATO 2027'!$K$5,"CONCLUÍDA",IF(F4188&lt;='RETRATO 2027'!$K$5,"EM ANDAMENTO","A INICIAR")))</f>
        <v/>
      </c>
    </row>
    <row r="4189">
      <c r="M4189" s="2">
        <f>IF(C4189="","",IFERROR(INDEX($S$5:$S$304,MATCH(C4189,$R$5:$R$304,0))&amp;"","?"))</f>
        <v/>
      </c>
      <c r="N4189" s="2">
        <f>IF(E4189="","",IF(ISNUMBER(SEARCH("SUBSOLO",E4189)),IFERROR(-VALUE(LEFT(E4189,FIND("º",SUBSTITUTE(E4189,"°","º"))-1)),-1),IF(LEFT(E4189,6)="TÉRREO",0,IFERROR(VALUE(LEFT(E4189,FIND("º",SUBSTITUTE(E4189,"°","º"))-1)),""))))</f>
        <v/>
      </c>
      <c r="O4189" s="2">
        <f>IF(OR(F4189="",G4189=""),"",IF(G4189&lt;='RETRATO 2027'!$K$5,"CONCLUÍDA",IF(F4189&lt;='RETRATO 2027'!$K$5,"EM ANDAMENTO","A INICIAR")))</f>
        <v/>
      </c>
    </row>
    <row r="4190">
      <c r="M4190" s="2">
        <f>IF(C4190="","",IFERROR(INDEX($S$5:$S$304,MATCH(C4190,$R$5:$R$304,0))&amp;"","?"))</f>
        <v/>
      </c>
      <c r="N4190" s="2">
        <f>IF(E4190="","",IF(ISNUMBER(SEARCH("SUBSOLO",E4190)),IFERROR(-VALUE(LEFT(E4190,FIND("º",SUBSTITUTE(E4190,"°","º"))-1)),-1),IF(LEFT(E4190,6)="TÉRREO",0,IFERROR(VALUE(LEFT(E4190,FIND("º",SUBSTITUTE(E4190,"°","º"))-1)),""))))</f>
        <v/>
      </c>
      <c r="O4190" s="2">
        <f>IF(OR(F4190="",G4190=""),"",IF(G4190&lt;='RETRATO 2027'!$K$5,"CONCLUÍDA",IF(F4190&lt;='RETRATO 2027'!$K$5,"EM ANDAMENTO","A INICIAR")))</f>
        <v/>
      </c>
    </row>
    <row r="4191">
      <c r="M4191" s="2">
        <f>IF(C4191="","",IFERROR(INDEX($S$5:$S$304,MATCH(C4191,$R$5:$R$304,0))&amp;"","?"))</f>
        <v/>
      </c>
      <c r="N4191" s="2">
        <f>IF(E4191="","",IF(ISNUMBER(SEARCH("SUBSOLO",E4191)),IFERROR(-VALUE(LEFT(E4191,FIND("º",SUBSTITUTE(E4191,"°","º"))-1)),-1),IF(LEFT(E4191,6)="TÉRREO",0,IFERROR(VALUE(LEFT(E4191,FIND("º",SUBSTITUTE(E4191,"°","º"))-1)),""))))</f>
        <v/>
      </c>
      <c r="O4191" s="2">
        <f>IF(OR(F4191="",G4191=""),"",IF(G4191&lt;='RETRATO 2027'!$K$5,"CONCLUÍDA",IF(F4191&lt;='RETRATO 2027'!$K$5,"EM ANDAMENTO","A INICIAR")))</f>
        <v/>
      </c>
    </row>
    <row r="4192">
      <c r="M4192" s="2">
        <f>IF(C4192="","",IFERROR(INDEX($S$5:$S$304,MATCH(C4192,$R$5:$R$304,0))&amp;"","?"))</f>
        <v/>
      </c>
      <c r="N4192" s="2">
        <f>IF(E4192="","",IF(ISNUMBER(SEARCH("SUBSOLO",E4192)),IFERROR(-VALUE(LEFT(E4192,FIND("º",SUBSTITUTE(E4192,"°","º"))-1)),-1),IF(LEFT(E4192,6)="TÉRREO",0,IFERROR(VALUE(LEFT(E4192,FIND("º",SUBSTITUTE(E4192,"°","º"))-1)),""))))</f>
        <v/>
      </c>
      <c r="O4192" s="2">
        <f>IF(OR(F4192="",G4192=""),"",IF(G4192&lt;='RETRATO 2027'!$K$5,"CONCLUÍDA",IF(F4192&lt;='RETRATO 2027'!$K$5,"EM ANDAMENTO","A INICIAR")))</f>
        <v/>
      </c>
    </row>
    <row r="4193">
      <c r="M4193" s="2">
        <f>IF(C4193="","",IFERROR(INDEX($S$5:$S$304,MATCH(C4193,$R$5:$R$304,0))&amp;"","?"))</f>
        <v/>
      </c>
      <c r="N4193" s="2">
        <f>IF(E4193="","",IF(ISNUMBER(SEARCH("SUBSOLO",E4193)),IFERROR(-VALUE(LEFT(E4193,FIND("º",SUBSTITUTE(E4193,"°","º"))-1)),-1),IF(LEFT(E4193,6)="TÉRREO",0,IFERROR(VALUE(LEFT(E4193,FIND("º",SUBSTITUTE(E4193,"°","º"))-1)),""))))</f>
        <v/>
      </c>
      <c r="O4193" s="2">
        <f>IF(OR(F4193="",G4193=""),"",IF(G4193&lt;='RETRATO 2027'!$K$5,"CONCLUÍDA",IF(F4193&lt;='RETRATO 2027'!$K$5,"EM ANDAMENTO","A INICIAR")))</f>
        <v/>
      </c>
    </row>
    <row r="4194">
      <c r="M4194" s="2">
        <f>IF(C4194="","",IFERROR(INDEX($S$5:$S$304,MATCH(C4194,$R$5:$R$304,0))&amp;"","?"))</f>
        <v/>
      </c>
      <c r="N4194" s="2">
        <f>IF(E4194="","",IF(ISNUMBER(SEARCH("SUBSOLO",E4194)),IFERROR(-VALUE(LEFT(E4194,FIND("º",SUBSTITUTE(E4194,"°","º"))-1)),-1),IF(LEFT(E4194,6)="TÉRREO",0,IFERROR(VALUE(LEFT(E4194,FIND("º",SUBSTITUTE(E4194,"°","º"))-1)),""))))</f>
        <v/>
      </c>
      <c r="O4194" s="2">
        <f>IF(OR(F4194="",G4194=""),"",IF(G4194&lt;='RETRATO 2027'!$K$5,"CONCLUÍDA",IF(F4194&lt;='RETRATO 2027'!$K$5,"EM ANDAMENTO","A INICIAR")))</f>
        <v/>
      </c>
    </row>
    <row r="4195">
      <c r="M4195" s="2">
        <f>IF(C4195="","",IFERROR(INDEX($S$5:$S$304,MATCH(C4195,$R$5:$R$304,0))&amp;"","?"))</f>
        <v/>
      </c>
      <c r="N4195" s="2">
        <f>IF(E4195="","",IF(ISNUMBER(SEARCH("SUBSOLO",E4195)),IFERROR(-VALUE(LEFT(E4195,FIND("º",SUBSTITUTE(E4195,"°","º"))-1)),-1),IF(LEFT(E4195,6)="TÉRREO",0,IFERROR(VALUE(LEFT(E4195,FIND("º",SUBSTITUTE(E4195,"°","º"))-1)),""))))</f>
        <v/>
      </c>
      <c r="O4195" s="2">
        <f>IF(OR(F4195="",G4195=""),"",IF(G4195&lt;='RETRATO 2027'!$K$5,"CONCLUÍDA",IF(F4195&lt;='RETRATO 2027'!$K$5,"EM ANDAMENTO","A INICIAR")))</f>
        <v/>
      </c>
    </row>
    <row r="4196">
      <c r="M4196" s="2">
        <f>IF(C4196="","",IFERROR(INDEX($S$5:$S$304,MATCH(C4196,$R$5:$R$304,0))&amp;"","?"))</f>
        <v/>
      </c>
      <c r="N4196" s="2">
        <f>IF(E4196="","",IF(ISNUMBER(SEARCH("SUBSOLO",E4196)),IFERROR(-VALUE(LEFT(E4196,FIND("º",SUBSTITUTE(E4196,"°","º"))-1)),-1),IF(LEFT(E4196,6)="TÉRREO",0,IFERROR(VALUE(LEFT(E4196,FIND("º",SUBSTITUTE(E4196,"°","º"))-1)),""))))</f>
        <v/>
      </c>
      <c r="O4196" s="2">
        <f>IF(OR(F4196="",G4196=""),"",IF(G4196&lt;='RETRATO 2027'!$K$5,"CONCLUÍDA",IF(F4196&lt;='RETRATO 2027'!$K$5,"EM ANDAMENTO","A INICIAR")))</f>
        <v/>
      </c>
    </row>
    <row r="4197">
      <c r="M4197" s="2">
        <f>IF(C4197="","",IFERROR(INDEX($S$5:$S$304,MATCH(C4197,$R$5:$R$304,0))&amp;"","?"))</f>
        <v/>
      </c>
      <c r="N4197" s="2">
        <f>IF(E4197="","",IF(ISNUMBER(SEARCH("SUBSOLO",E4197)),IFERROR(-VALUE(LEFT(E4197,FIND("º",SUBSTITUTE(E4197,"°","º"))-1)),-1),IF(LEFT(E4197,6)="TÉRREO",0,IFERROR(VALUE(LEFT(E4197,FIND("º",SUBSTITUTE(E4197,"°","º"))-1)),""))))</f>
        <v/>
      </c>
      <c r="O4197" s="2">
        <f>IF(OR(F4197="",G4197=""),"",IF(G4197&lt;='RETRATO 2027'!$K$5,"CONCLUÍDA",IF(F4197&lt;='RETRATO 2027'!$K$5,"EM ANDAMENTO","A INICIAR")))</f>
        <v/>
      </c>
    </row>
    <row r="4198">
      <c r="M4198" s="2">
        <f>IF(C4198="","",IFERROR(INDEX($S$5:$S$304,MATCH(C4198,$R$5:$R$304,0))&amp;"","?"))</f>
        <v/>
      </c>
      <c r="N4198" s="2">
        <f>IF(E4198="","",IF(ISNUMBER(SEARCH("SUBSOLO",E4198)),IFERROR(-VALUE(LEFT(E4198,FIND("º",SUBSTITUTE(E4198,"°","º"))-1)),-1),IF(LEFT(E4198,6)="TÉRREO",0,IFERROR(VALUE(LEFT(E4198,FIND("º",SUBSTITUTE(E4198,"°","º"))-1)),""))))</f>
        <v/>
      </c>
      <c r="O4198" s="2">
        <f>IF(OR(F4198="",G4198=""),"",IF(G4198&lt;='RETRATO 2027'!$K$5,"CONCLUÍDA",IF(F4198&lt;='RETRATO 2027'!$K$5,"EM ANDAMENTO","A INICIAR")))</f>
        <v/>
      </c>
    </row>
    <row r="4199">
      <c r="M4199" s="2">
        <f>IF(C4199="","",IFERROR(INDEX($S$5:$S$304,MATCH(C4199,$R$5:$R$304,0))&amp;"","?"))</f>
        <v/>
      </c>
      <c r="N4199" s="2">
        <f>IF(E4199="","",IF(ISNUMBER(SEARCH("SUBSOLO",E4199)),IFERROR(-VALUE(LEFT(E4199,FIND("º",SUBSTITUTE(E4199,"°","º"))-1)),-1),IF(LEFT(E4199,6)="TÉRREO",0,IFERROR(VALUE(LEFT(E4199,FIND("º",SUBSTITUTE(E4199,"°","º"))-1)),""))))</f>
        <v/>
      </c>
      <c r="O4199" s="2">
        <f>IF(OR(F4199="",G4199=""),"",IF(G4199&lt;='RETRATO 2027'!$K$5,"CONCLUÍDA",IF(F4199&lt;='RETRATO 2027'!$K$5,"EM ANDAMENTO","A INICIAR")))</f>
        <v/>
      </c>
    </row>
    <row r="4200">
      <c r="M4200" s="2">
        <f>IF(C4200="","",IFERROR(INDEX($S$5:$S$304,MATCH(C4200,$R$5:$R$304,0))&amp;"","?"))</f>
        <v/>
      </c>
      <c r="N4200" s="2">
        <f>IF(E4200="","",IF(ISNUMBER(SEARCH("SUBSOLO",E4200)),IFERROR(-VALUE(LEFT(E4200,FIND("º",SUBSTITUTE(E4200,"°","º"))-1)),-1),IF(LEFT(E4200,6)="TÉRREO",0,IFERROR(VALUE(LEFT(E4200,FIND("º",SUBSTITUTE(E4200,"°","º"))-1)),""))))</f>
        <v/>
      </c>
      <c r="O4200" s="2">
        <f>IF(OR(F4200="",G4200=""),"",IF(G4200&lt;='RETRATO 2027'!$K$5,"CONCLUÍDA",IF(F4200&lt;='RETRATO 2027'!$K$5,"EM ANDAMENTO","A INICIAR")))</f>
        <v/>
      </c>
    </row>
    <row r="4201">
      <c r="M4201" s="2">
        <f>IF(C4201="","",IFERROR(INDEX($S$5:$S$304,MATCH(C4201,$R$5:$R$304,0))&amp;"","?"))</f>
        <v/>
      </c>
      <c r="N4201" s="2">
        <f>IF(E4201="","",IF(ISNUMBER(SEARCH("SUBSOLO",E4201)),IFERROR(-VALUE(LEFT(E4201,FIND("º",SUBSTITUTE(E4201,"°","º"))-1)),-1),IF(LEFT(E4201,6)="TÉRREO",0,IFERROR(VALUE(LEFT(E4201,FIND("º",SUBSTITUTE(E4201,"°","º"))-1)),""))))</f>
        <v/>
      </c>
      <c r="O4201" s="2">
        <f>IF(OR(F4201="",G4201=""),"",IF(G4201&lt;='RETRATO 2027'!$K$5,"CONCLUÍDA",IF(F4201&lt;='RETRATO 2027'!$K$5,"EM ANDAMENTO","A INICIAR")))</f>
        <v/>
      </c>
    </row>
    <row r="4202">
      <c r="M4202" s="2">
        <f>IF(C4202="","",IFERROR(INDEX($S$5:$S$304,MATCH(C4202,$R$5:$R$304,0))&amp;"","?"))</f>
        <v/>
      </c>
      <c r="N4202" s="2">
        <f>IF(E4202="","",IF(ISNUMBER(SEARCH("SUBSOLO",E4202)),IFERROR(-VALUE(LEFT(E4202,FIND("º",SUBSTITUTE(E4202,"°","º"))-1)),-1),IF(LEFT(E4202,6)="TÉRREO",0,IFERROR(VALUE(LEFT(E4202,FIND("º",SUBSTITUTE(E4202,"°","º"))-1)),""))))</f>
        <v/>
      </c>
      <c r="O4202" s="2">
        <f>IF(OR(F4202="",G4202=""),"",IF(G4202&lt;='RETRATO 2027'!$K$5,"CONCLUÍDA",IF(F4202&lt;='RETRATO 2027'!$K$5,"EM ANDAMENTO","A INICIAR")))</f>
        <v/>
      </c>
    </row>
    <row r="4203">
      <c r="M4203" s="2">
        <f>IF(C4203="","",IFERROR(INDEX($S$5:$S$304,MATCH(C4203,$R$5:$R$304,0))&amp;"","?"))</f>
        <v/>
      </c>
      <c r="N4203" s="2">
        <f>IF(E4203="","",IF(ISNUMBER(SEARCH("SUBSOLO",E4203)),IFERROR(-VALUE(LEFT(E4203,FIND("º",SUBSTITUTE(E4203,"°","º"))-1)),-1),IF(LEFT(E4203,6)="TÉRREO",0,IFERROR(VALUE(LEFT(E4203,FIND("º",SUBSTITUTE(E4203,"°","º"))-1)),""))))</f>
        <v/>
      </c>
      <c r="O4203" s="2">
        <f>IF(OR(F4203="",G4203=""),"",IF(G4203&lt;='RETRATO 2027'!$K$5,"CONCLUÍDA",IF(F4203&lt;='RETRATO 2027'!$K$5,"EM ANDAMENTO","A INICIAR")))</f>
        <v/>
      </c>
    </row>
    <row r="4204">
      <c r="M4204" s="2">
        <f>IF(C4204="","",IFERROR(INDEX($S$5:$S$304,MATCH(C4204,$R$5:$R$304,0))&amp;"","?"))</f>
        <v/>
      </c>
      <c r="N4204" s="2">
        <f>IF(E4204="","",IF(ISNUMBER(SEARCH("SUBSOLO",E4204)),IFERROR(-VALUE(LEFT(E4204,FIND("º",SUBSTITUTE(E4204,"°","º"))-1)),-1),IF(LEFT(E4204,6)="TÉRREO",0,IFERROR(VALUE(LEFT(E4204,FIND("º",SUBSTITUTE(E4204,"°","º"))-1)),""))))</f>
        <v/>
      </c>
      <c r="O4204" s="2">
        <f>IF(OR(F4204="",G4204=""),"",IF(G4204&lt;='RETRATO 2027'!$K$5,"CONCLUÍDA",IF(F4204&lt;='RETRATO 2027'!$K$5,"EM ANDAMENTO","A INICIAR")))</f>
        <v/>
      </c>
    </row>
    <row r="4205">
      <c r="M4205" s="2">
        <f>IF(C4205="","",IFERROR(INDEX($S$5:$S$304,MATCH(C4205,$R$5:$R$304,0))&amp;"","?"))</f>
        <v/>
      </c>
      <c r="N4205" s="2">
        <f>IF(E4205="","",IF(ISNUMBER(SEARCH("SUBSOLO",E4205)),IFERROR(-VALUE(LEFT(E4205,FIND("º",SUBSTITUTE(E4205,"°","º"))-1)),-1),IF(LEFT(E4205,6)="TÉRREO",0,IFERROR(VALUE(LEFT(E4205,FIND("º",SUBSTITUTE(E4205,"°","º"))-1)),""))))</f>
        <v/>
      </c>
      <c r="O4205" s="2">
        <f>IF(OR(F4205="",G4205=""),"",IF(G4205&lt;='RETRATO 2027'!$K$5,"CONCLUÍDA",IF(F4205&lt;='RETRATO 2027'!$K$5,"EM ANDAMENTO","A INICIAR")))</f>
        <v/>
      </c>
    </row>
    <row r="4206">
      <c r="M4206" s="2">
        <f>IF(C4206="","",IFERROR(INDEX($S$5:$S$304,MATCH(C4206,$R$5:$R$304,0))&amp;"","?"))</f>
        <v/>
      </c>
      <c r="N4206" s="2">
        <f>IF(E4206="","",IF(ISNUMBER(SEARCH("SUBSOLO",E4206)),IFERROR(-VALUE(LEFT(E4206,FIND("º",SUBSTITUTE(E4206,"°","º"))-1)),-1),IF(LEFT(E4206,6)="TÉRREO",0,IFERROR(VALUE(LEFT(E4206,FIND("º",SUBSTITUTE(E4206,"°","º"))-1)),""))))</f>
        <v/>
      </c>
      <c r="O4206" s="2">
        <f>IF(OR(F4206="",G4206=""),"",IF(G4206&lt;='RETRATO 2027'!$K$5,"CONCLUÍDA",IF(F4206&lt;='RETRATO 2027'!$K$5,"EM ANDAMENTO","A INICIAR")))</f>
        <v/>
      </c>
    </row>
    <row r="4207">
      <c r="M4207" s="2">
        <f>IF(C4207="","",IFERROR(INDEX($S$5:$S$304,MATCH(C4207,$R$5:$R$304,0))&amp;"","?"))</f>
        <v/>
      </c>
      <c r="N4207" s="2">
        <f>IF(E4207="","",IF(ISNUMBER(SEARCH("SUBSOLO",E4207)),IFERROR(-VALUE(LEFT(E4207,FIND("º",SUBSTITUTE(E4207,"°","º"))-1)),-1),IF(LEFT(E4207,6)="TÉRREO",0,IFERROR(VALUE(LEFT(E4207,FIND("º",SUBSTITUTE(E4207,"°","º"))-1)),""))))</f>
        <v/>
      </c>
      <c r="O4207" s="2">
        <f>IF(OR(F4207="",G4207=""),"",IF(G4207&lt;='RETRATO 2027'!$K$5,"CONCLUÍDA",IF(F4207&lt;='RETRATO 2027'!$K$5,"EM ANDAMENTO","A INICIAR")))</f>
        <v/>
      </c>
    </row>
    <row r="4208">
      <c r="M4208" s="2">
        <f>IF(C4208="","",IFERROR(INDEX($S$5:$S$304,MATCH(C4208,$R$5:$R$304,0))&amp;"","?"))</f>
        <v/>
      </c>
      <c r="N4208" s="2">
        <f>IF(E4208="","",IF(ISNUMBER(SEARCH("SUBSOLO",E4208)),IFERROR(-VALUE(LEFT(E4208,FIND("º",SUBSTITUTE(E4208,"°","º"))-1)),-1),IF(LEFT(E4208,6)="TÉRREO",0,IFERROR(VALUE(LEFT(E4208,FIND("º",SUBSTITUTE(E4208,"°","º"))-1)),""))))</f>
        <v/>
      </c>
      <c r="O4208" s="2">
        <f>IF(OR(F4208="",G4208=""),"",IF(G4208&lt;='RETRATO 2027'!$K$5,"CONCLUÍDA",IF(F4208&lt;='RETRATO 2027'!$K$5,"EM ANDAMENTO","A INICIAR")))</f>
        <v/>
      </c>
    </row>
    <row r="4209">
      <c r="M4209" s="2">
        <f>IF(C4209="","",IFERROR(INDEX($S$5:$S$304,MATCH(C4209,$R$5:$R$304,0))&amp;"","?"))</f>
        <v/>
      </c>
      <c r="N4209" s="2">
        <f>IF(E4209="","",IF(ISNUMBER(SEARCH("SUBSOLO",E4209)),IFERROR(-VALUE(LEFT(E4209,FIND("º",SUBSTITUTE(E4209,"°","º"))-1)),-1),IF(LEFT(E4209,6)="TÉRREO",0,IFERROR(VALUE(LEFT(E4209,FIND("º",SUBSTITUTE(E4209,"°","º"))-1)),""))))</f>
        <v/>
      </c>
      <c r="O4209" s="2">
        <f>IF(OR(F4209="",G4209=""),"",IF(G4209&lt;='RETRATO 2027'!$K$5,"CONCLUÍDA",IF(F4209&lt;='RETRATO 2027'!$K$5,"EM ANDAMENTO","A INICIAR")))</f>
        <v/>
      </c>
    </row>
    <row r="4210">
      <c r="M4210" s="2">
        <f>IF(C4210="","",IFERROR(INDEX($S$5:$S$304,MATCH(C4210,$R$5:$R$304,0))&amp;"","?"))</f>
        <v/>
      </c>
      <c r="N4210" s="2">
        <f>IF(E4210="","",IF(ISNUMBER(SEARCH("SUBSOLO",E4210)),IFERROR(-VALUE(LEFT(E4210,FIND("º",SUBSTITUTE(E4210,"°","º"))-1)),-1),IF(LEFT(E4210,6)="TÉRREO",0,IFERROR(VALUE(LEFT(E4210,FIND("º",SUBSTITUTE(E4210,"°","º"))-1)),""))))</f>
        <v/>
      </c>
      <c r="O4210" s="2">
        <f>IF(OR(F4210="",G4210=""),"",IF(G4210&lt;='RETRATO 2027'!$K$5,"CONCLUÍDA",IF(F4210&lt;='RETRATO 2027'!$K$5,"EM ANDAMENTO","A INICIAR")))</f>
        <v/>
      </c>
    </row>
    <row r="4211">
      <c r="M4211" s="2">
        <f>IF(C4211="","",IFERROR(INDEX($S$5:$S$304,MATCH(C4211,$R$5:$R$304,0))&amp;"","?"))</f>
        <v/>
      </c>
      <c r="N4211" s="2">
        <f>IF(E4211="","",IF(ISNUMBER(SEARCH("SUBSOLO",E4211)),IFERROR(-VALUE(LEFT(E4211,FIND("º",SUBSTITUTE(E4211,"°","º"))-1)),-1),IF(LEFT(E4211,6)="TÉRREO",0,IFERROR(VALUE(LEFT(E4211,FIND("º",SUBSTITUTE(E4211,"°","º"))-1)),""))))</f>
        <v/>
      </c>
      <c r="O4211" s="2">
        <f>IF(OR(F4211="",G4211=""),"",IF(G4211&lt;='RETRATO 2027'!$K$5,"CONCLUÍDA",IF(F4211&lt;='RETRATO 2027'!$K$5,"EM ANDAMENTO","A INICIAR")))</f>
        <v/>
      </c>
    </row>
    <row r="4212">
      <c r="M4212" s="2">
        <f>IF(C4212="","",IFERROR(INDEX($S$5:$S$304,MATCH(C4212,$R$5:$R$304,0))&amp;"","?"))</f>
        <v/>
      </c>
      <c r="N4212" s="2">
        <f>IF(E4212="","",IF(ISNUMBER(SEARCH("SUBSOLO",E4212)),IFERROR(-VALUE(LEFT(E4212,FIND("º",SUBSTITUTE(E4212,"°","º"))-1)),-1),IF(LEFT(E4212,6)="TÉRREO",0,IFERROR(VALUE(LEFT(E4212,FIND("º",SUBSTITUTE(E4212,"°","º"))-1)),""))))</f>
        <v/>
      </c>
      <c r="O4212" s="2">
        <f>IF(OR(F4212="",G4212=""),"",IF(G4212&lt;='RETRATO 2027'!$K$5,"CONCLUÍDA",IF(F4212&lt;='RETRATO 2027'!$K$5,"EM ANDAMENTO","A INICIAR")))</f>
        <v/>
      </c>
    </row>
    <row r="4213">
      <c r="M4213" s="2">
        <f>IF(C4213="","",IFERROR(INDEX($S$5:$S$304,MATCH(C4213,$R$5:$R$304,0))&amp;"","?"))</f>
        <v/>
      </c>
      <c r="N4213" s="2">
        <f>IF(E4213="","",IF(ISNUMBER(SEARCH("SUBSOLO",E4213)),IFERROR(-VALUE(LEFT(E4213,FIND("º",SUBSTITUTE(E4213,"°","º"))-1)),-1),IF(LEFT(E4213,6)="TÉRREO",0,IFERROR(VALUE(LEFT(E4213,FIND("º",SUBSTITUTE(E4213,"°","º"))-1)),""))))</f>
        <v/>
      </c>
      <c r="O4213" s="2">
        <f>IF(OR(F4213="",G4213=""),"",IF(G4213&lt;='RETRATO 2027'!$K$5,"CONCLUÍDA",IF(F4213&lt;='RETRATO 2027'!$K$5,"EM ANDAMENTO","A INICIAR")))</f>
        <v/>
      </c>
    </row>
    <row r="4214">
      <c r="M4214" s="2">
        <f>IF(C4214="","",IFERROR(INDEX($S$5:$S$304,MATCH(C4214,$R$5:$R$304,0))&amp;"","?"))</f>
        <v/>
      </c>
      <c r="N4214" s="2">
        <f>IF(E4214="","",IF(ISNUMBER(SEARCH("SUBSOLO",E4214)),IFERROR(-VALUE(LEFT(E4214,FIND("º",SUBSTITUTE(E4214,"°","º"))-1)),-1),IF(LEFT(E4214,6)="TÉRREO",0,IFERROR(VALUE(LEFT(E4214,FIND("º",SUBSTITUTE(E4214,"°","º"))-1)),""))))</f>
        <v/>
      </c>
      <c r="O4214" s="2">
        <f>IF(OR(F4214="",G4214=""),"",IF(G4214&lt;='RETRATO 2027'!$K$5,"CONCLUÍDA",IF(F4214&lt;='RETRATO 2027'!$K$5,"EM ANDAMENTO","A INICIAR")))</f>
        <v/>
      </c>
    </row>
    <row r="4215">
      <c r="M4215" s="2">
        <f>IF(C4215="","",IFERROR(INDEX($S$5:$S$304,MATCH(C4215,$R$5:$R$304,0))&amp;"","?"))</f>
        <v/>
      </c>
      <c r="N4215" s="2">
        <f>IF(E4215="","",IF(ISNUMBER(SEARCH("SUBSOLO",E4215)),IFERROR(-VALUE(LEFT(E4215,FIND("º",SUBSTITUTE(E4215,"°","º"))-1)),-1),IF(LEFT(E4215,6)="TÉRREO",0,IFERROR(VALUE(LEFT(E4215,FIND("º",SUBSTITUTE(E4215,"°","º"))-1)),""))))</f>
        <v/>
      </c>
      <c r="O4215" s="2">
        <f>IF(OR(F4215="",G4215=""),"",IF(G4215&lt;='RETRATO 2027'!$K$5,"CONCLUÍDA",IF(F4215&lt;='RETRATO 2027'!$K$5,"EM ANDAMENTO","A INICIAR")))</f>
        <v/>
      </c>
    </row>
    <row r="4216">
      <c r="M4216" s="2">
        <f>IF(C4216="","",IFERROR(INDEX($S$5:$S$304,MATCH(C4216,$R$5:$R$304,0))&amp;"","?"))</f>
        <v/>
      </c>
      <c r="N4216" s="2">
        <f>IF(E4216="","",IF(ISNUMBER(SEARCH("SUBSOLO",E4216)),IFERROR(-VALUE(LEFT(E4216,FIND("º",SUBSTITUTE(E4216,"°","º"))-1)),-1),IF(LEFT(E4216,6)="TÉRREO",0,IFERROR(VALUE(LEFT(E4216,FIND("º",SUBSTITUTE(E4216,"°","º"))-1)),""))))</f>
        <v/>
      </c>
      <c r="O4216" s="2">
        <f>IF(OR(F4216="",G4216=""),"",IF(G4216&lt;='RETRATO 2027'!$K$5,"CONCLUÍDA",IF(F4216&lt;='RETRATO 2027'!$K$5,"EM ANDAMENTO","A INICIAR")))</f>
        <v/>
      </c>
    </row>
    <row r="4217">
      <c r="M4217" s="2">
        <f>IF(C4217="","",IFERROR(INDEX($S$5:$S$304,MATCH(C4217,$R$5:$R$304,0))&amp;"","?"))</f>
        <v/>
      </c>
      <c r="N4217" s="2">
        <f>IF(E4217="","",IF(ISNUMBER(SEARCH("SUBSOLO",E4217)),IFERROR(-VALUE(LEFT(E4217,FIND("º",SUBSTITUTE(E4217,"°","º"))-1)),-1),IF(LEFT(E4217,6)="TÉRREO",0,IFERROR(VALUE(LEFT(E4217,FIND("º",SUBSTITUTE(E4217,"°","º"))-1)),""))))</f>
        <v/>
      </c>
      <c r="O4217" s="2">
        <f>IF(OR(F4217="",G4217=""),"",IF(G4217&lt;='RETRATO 2027'!$K$5,"CONCLUÍDA",IF(F4217&lt;='RETRATO 2027'!$K$5,"EM ANDAMENTO","A INICIAR")))</f>
        <v/>
      </c>
    </row>
    <row r="4218">
      <c r="M4218" s="2">
        <f>IF(C4218="","",IFERROR(INDEX($S$5:$S$304,MATCH(C4218,$R$5:$R$304,0))&amp;"","?"))</f>
        <v/>
      </c>
      <c r="N4218" s="2">
        <f>IF(E4218="","",IF(ISNUMBER(SEARCH("SUBSOLO",E4218)),IFERROR(-VALUE(LEFT(E4218,FIND("º",SUBSTITUTE(E4218,"°","º"))-1)),-1),IF(LEFT(E4218,6)="TÉRREO",0,IFERROR(VALUE(LEFT(E4218,FIND("º",SUBSTITUTE(E4218,"°","º"))-1)),""))))</f>
        <v/>
      </c>
      <c r="O4218" s="2">
        <f>IF(OR(F4218="",G4218=""),"",IF(G4218&lt;='RETRATO 2027'!$K$5,"CONCLUÍDA",IF(F4218&lt;='RETRATO 2027'!$K$5,"EM ANDAMENTO","A INICIAR")))</f>
        <v/>
      </c>
    </row>
    <row r="4219">
      <c r="M4219" s="2">
        <f>IF(C4219="","",IFERROR(INDEX($S$5:$S$304,MATCH(C4219,$R$5:$R$304,0))&amp;"","?"))</f>
        <v/>
      </c>
      <c r="N4219" s="2">
        <f>IF(E4219="","",IF(ISNUMBER(SEARCH("SUBSOLO",E4219)),IFERROR(-VALUE(LEFT(E4219,FIND("º",SUBSTITUTE(E4219,"°","º"))-1)),-1),IF(LEFT(E4219,6)="TÉRREO",0,IFERROR(VALUE(LEFT(E4219,FIND("º",SUBSTITUTE(E4219,"°","º"))-1)),""))))</f>
        <v/>
      </c>
      <c r="O4219" s="2">
        <f>IF(OR(F4219="",G4219=""),"",IF(G4219&lt;='RETRATO 2027'!$K$5,"CONCLUÍDA",IF(F4219&lt;='RETRATO 2027'!$K$5,"EM ANDAMENTO","A INICIAR")))</f>
        <v/>
      </c>
    </row>
    <row r="4220">
      <c r="M4220" s="2">
        <f>IF(C4220="","",IFERROR(INDEX($S$5:$S$304,MATCH(C4220,$R$5:$R$304,0))&amp;"","?"))</f>
        <v/>
      </c>
      <c r="N4220" s="2">
        <f>IF(E4220="","",IF(ISNUMBER(SEARCH("SUBSOLO",E4220)),IFERROR(-VALUE(LEFT(E4220,FIND("º",SUBSTITUTE(E4220,"°","º"))-1)),-1),IF(LEFT(E4220,6)="TÉRREO",0,IFERROR(VALUE(LEFT(E4220,FIND("º",SUBSTITUTE(E4220,"°","º"))-1)),""))))</f>
        <v/>
      </c>
      <c r="O4220" s="2">
        <f>IF(OR(F4220="",G4220=""),"",IF(G4220&lt;='RETRATO 2027'!$K$5,"CONCLUÍDA",IF(F4220&lt;='RETRATO 2027'!$K$5,"EM ANDAMENTO","A INICIAR")))</f>
        <v/>
      </c>
    </row>
    <row r="4221">
      <c r="M4221" s="2">
        <f>IF(C4221="","",IFERROR(INDEX($S$5:$S$304,MATCH(C4221,$R$5:$R$304,0))&amp;"","?"))</f>
        <v/>
      </c>
      <c r="N4221" s="2">
        <f>IF(E4221="","",IF(ISNUMBER(SEARCH("SUBSOLO",E4221)),IFERROR(-VALUE(LEFT(E4221,FIND("º",SUBSTITUTE(E4221,"°","º"))-1)),-1),IF(LEFT(E4221,6)="TÉRREO",0,IFERROR(VALUE(LEFT(E4221,FIND("º",SUBSTITUTE(E4221,"°","º"))-1)),""))))</f>
        <v/>
      </c>
      <c r="O4221" s="2">
        <f>IF(OR(F4221="",G4221=""),"",IF(G4221&lt;='RETRATO 2027'!$K$5,"CONCLUÍDA",IF(F4221&lt;='RETRATO 2027'!$K$5,"EM ANDAMENTO","A INICIAR")))</f>
        <v/>
      </c>
    </row>
    <row r="4222">
      <c r="M4222" s="2">
        <f>IF(C4222="","",IFERROR(INDEX($S$5:$S$304,MATCH(C4222,$R$5:$R$304,0))&amp;"","?"))</f>
        <v/>
      </c>
      <c r="N4222" s="2">
        <f>IF(E4222="","",IF(ISNUMBER(SEARCH("SUBSOLO",E4222)),IFERROR(-VALUE(LEFT(E4222,FIND("º",SUBSTITUTE(E4222,"°","º"))-1)),-1),IF(LEFT(E4222,6)="TÉRREO",0,IFERROR(VALUE(LEFT(E4222,FIND("º",SUBSTITUTE(E4222,"°","º"))-1)),""))))</f>
        <v/>
      </c>
      <c r="O4222" s="2">
        <f>IF(OR(F4222="",G4222=""),"",IF(G4222&lt;='RETRATO 2027'!$K$5,"CONCLUÍDA",IF(F4222&lt;='RETRATO 2027'!$K$5,"EM ANDAMENTO","A INICIAR")))</f>
        <v/>
      </c>
    </row>
    <row r="4223">
      <c r="M4223" s="2">
        <f>IF(C4223="","",IFERROR(INDEX($S$5:$S$304,MATCH(C4223,$R$5:$R$304,0))&amp;"","?"))</f>
        <v/>
      </c>
      <c r="N4223" s="2">
        <f>IF(E4223="","",IF(ISNUMBER(SEARCH("SUBSOLO",E4223)),IFERROR(-VALUE(LEFT(E4223,FIND("º",SUBSTITUTE(E4223,"°","º"))-1)),-1),IF(LEFT(E4223,6)="TÉRREO",0,IFERROR(VALUE(LEFT(E4223,FIND("º",SUBSTITUTE(E4223,"°","º"))-1)),""))))</f>
        <v/>
      </c>
      <c r="O4223" s="2">
        <f>IF(OR(F4223="",G4223=""),"",IF(G4223&lt;='RETRATO 2027'!$K$5,"CONCLUÍDA",IF(F4223&lt;='RETRATO 2027'!$K$5,"EM ANDAMENTO","A INICIAR")))</f>
        <v/>
      </c>
    </row>
    <row r="4224">
      <c r="M4224" s="2">
        <f>IF(C4224="","",IFERROR(INDEX($S$5:$S$304,MATCH(C4224,$R$5:$R$304,0))&amp;"","?"))</f>
        <v/>
      </c>
      <c r="N4224" s="2">
        <f>IF(E4224="","",IF(ISNUMBER(SEARCH("SUBSOLO",E4224)),IFERROR(-VALUE(LEFT(E4224,FIND("º",SUBSTITUTE(E4224,"°","º"))-1)),-1),IF(LEFT(E4224,6)="TÉRREO",0,IFERROR(VALUE(LEFT(E4224,FIND("º",SUBSTITUTE(E4224,"°","º"))-1)),""))))</f>
        <v/>
      </c>
      <c r="O4224" s="2">
        <f>IF(OR(F4224="",G4224=""),"",IF(G4224&lt;='RETRATO 2027'!$K$5,"CONCLUÍDA",IF(F4224&lt;='RETRATO 2027'!$K$5,"EM ANDAMENTO","A INICIAR")))</f>
        <v/>
      </c>
    </row>
    <row r="4225">
      <c r="M4225" s="2">
        <f>IF(C4225="","",IFERROR(INDEX($S$5:$S$304,MATCH(C4225,$R$5:$R$304,0))&amp;"","?"))</f>
        <v/>
      </c>
      <c r="N4225" s="2">
        <f>IF(E4225="","",IF(ISNUMBER(SEARCH("SUBSOLO",E4225)),IFERROR(-VALUE(LEFT(E4225,FIND("º",SUBSTITUTE(E4225,"°","º"))-1)),-1),IF(LEFT(E4225,6)="TÉRREO",0,IFERROR(VALUE(LEFT(E4225,FIND("º",SUBSTITUTE(E4225,"°","º"))-1)),""))))</f>
        <v/>
      </c>
      <c r="O4225" s="2">
        <f>IF(OR(F4225="",G4225=""),"",IF(G4225&lt;='RETRATO 2027'!$K$5,"CONCLUÍDA",IF(F4225&lt;='RETRATO 2027'!$K$5,"EM ANDAMENTO","A INICIAR")))</f>
        <v/>
      </c>
    </row>
    <row r="4226">
      <c r="M4226" s="2">
        <f>IF(C4226="","",IFERROR(INDEX($S$5:$S$304,MATCH(C4226,$R$5:$R$304,0))&amp;"","?"))</f>
        <v/>
      </c>
      <c r="N4226" s="2">
        <f>IF(E4226="","",IF(ISNUMBER(SEARCH("SUBSOLO",E4226)),IFERROR(-VALUE(LEFT(E4226,FIND("º",SUBSTITUTE(E4226,"°","º"))-1)),-1),IF(LEFT(E4226,6)="TÉRREO",0,IFERROR(VALUE(LEFT(E4226,FIND("º",SUBSTITUTE(E4226,"°","º"))-1)),""))))</f>
        <v/>
      </c>
      <c r="O4226" s="2">
        <f>IF(OR(F4226="",G4226=""),"",IF(G4226&lt;='RETRATO 2027'!$K$5,"CONCLUÍDA",IF(F4226&lt;='RETRATO 2027'!$K$5,"EM ANDAMENTO","A INICIAR")))</f>
        <v/>
      </c>
    </row>
    <row r="4227">
      <c r="M4227" s="2">
        <f>IF(C4227="","",IFERROR(INDEX($S$5:$S$304,MATCH(C4227,$R$5:$R$304,0))&amp;"","?"))</f>
        <v/>
      </c>
      <c r="N4227" s="2">
        <f>IF(E4227="","",IF(ISNUMBER(SEARCH("SUBSOLO",E4227)),IFERROR(-VALUE(LEFT(E4227,FIND("º",SUBSTITUTE(E4227,"°","º"))-1)),-1),IF(LEFT(E4227,6)="TÉRREO",0,IFERROR(VALUE(LEFT(E4227,FIND("º",SUBSTITUTE(E4227,"°","º"))-1)),""))))</f>
        <v/>
      </c>
      <c r="O4227" s="2">
        <f>IF(OR(F4227="",G4227=""),"",IF(G4227&lt;='RETRATO 2027'!$K$5,"CONCLUÍDA",IF(F4227&lt;='RETRATO 2027'!$K$5,"EM ANDAMENTO","A INICIAR")))</f>
        <v/>
      </c>
    </row>
    <row r="4228">
      <c r="M4228" s="2">
        <f>IF(C4228="","",IFERROR(INDEX($S$5:$S$304,MATCH(C4228,$R$5:$R$304,0))&amp;"","?"))</f>
        <v/>
      </c>
      <c r="N4228" s="2">
        <f>IF(E4228="","",IF(ISNUMBER(SEARCH("SUBSOLO",E4228)),IFERROR(-VALUE(LEFT(E4228,FIND("º",SUBSTITUTE(E4228,"°","º"))-1)),-1),IF(LEFT(E4228,6)="TÉRREO",0,IFERROR(VALUE(LEFT(E4228,FIND("º",SUBSTITUTE(E4228,"°","º"))-1)),""))))</f>
        <v/>
      </c>
      <c r="O4228" s="2">
        <f>IF(OR(F4228="",G4228=""),"",IF(G4228&lt;='RETRATO 2027'!$K$5,"CONCLUÍDA",IF(F4228&lt;='RETRATO 2027'!$K$5,"EM ANDAMENTO","A INICIAR")))</f>
        <v/>
      </c>
    </row>
    <row r="4229">
      <c r="M4229" s="2">
        <f>IF(C4229="","",IFERROR(INDEX($S$5:$S$304,MATCH(C4229,$R$5:$R$304,0))&amp;"","?"))</f>
        <v/>
      </c>
      <c r="N4229" s="2">
        <f>IF(E4229="","",IF(ISNUMBER(SEARCH("SUBSOLO",E4229)),IFERROR(-VALUE(LEFT(E4229,FIND("º",SUBSTITUTE(E4229,"°","º"))-1)),-1),IF(LEFT(E4229,6)="TÉRREO",0,IFERROR(VALUE(LEFT(E4229,FIND("º",SUBSTITUTE(E4229,"°","º"))-1)),""))))</f>
        <v/>
      </c>
      <c r="O4229" s="2">
        <f>IF(OR(F4229="",G4229=""),"",IF(G4229&lt;='RETRATO 2027'!$K$5,"CONCLUÍDA",IF(F4229&lt;='RETRATO 2027'!$K$5,"EM ANDAMENTO","A INICIAR")))</f>
        <v/>
      </c>
    </row>
    <row r="4230">
      <c r="M4230" s="2">
        <f>IF(C4230="","",IFERROR(INDEX($S$5:$S$304,MATCH(C4230,$R$5:$R$304,0))&amp;"","?"))</f>
        <v/>
      </c>
      <c r="N4230" s="2">
        <f>IF(E4230="","",IF(ISNUMBER(SEARCH("SUBSOLO",E4230)),IFERROR(-VALUE(LEFT(E4230,FIND("º",SUBSTITUTE(E4230,"°","º"))-1)),-1),IF(LEFT(E4230,6)="TÉRREO",0,IFERROR(VALUE(LEFT(E4230,FIND("º",SUBSTITUTE(E4230,"°","º"))-1)),""))))</f>
        <v/>
      </c>
      <c r="O4230" s="2">
        <f>IF(OR(F4230="",G4230=""),"",IF(G4230&lt;='RETRATO 2027'!$K$5,"CONCLUÍDA",IF(F4230&lt;='RETRATO 2027'!$K$5,"EM ANDAMENTO","A INICIAR")))</f>
        <v/>
      </c>
    </row>
    <row r="4231">
      <c r="M4231" s="2">
        <f>IF(C4231="","",IFERROR(INDEX($S$5:$S$304,MATCH(C4231,$R$5:$R$304,0))&amp;"","?"))</f>
        <v/>
      </c>
      <c r="N4231" s="2">
        <f>IF(E4231="","",IF(ISNUMBER(SEARCH("SUBSOLO",E4231)),IFERROR(-VALUE(LEFT(E4231,FIND("º",SUBSTITUTE(E4231,"°","º"))-1)),-1),IF(LEFT(E4231,6)="TÉRREO",0,IFERROR(VALUE(LEFT(E4231,FIND("º",SUBSTITUTE(E4231,"°","º"))-1)),""))))</f>
        <v/>
      </c>
      <c r="O4231" s="2">
        <f>IF(OR(F4231="",G4231=""),"",IF(G4231&lt;='RETRATO 2027'!$K$5,"CONCLUÍDA",IF(F4231&lt;='RETRATO 2027'!$K$5,"EM ANDAMENTO","A INICIAR")))</f>
        <v/>
      </c>
    </row>
    <row r="4232">
      <c r="M4232" s="2">
        <f>IF(C4232="","",IFERROR(INDEX($S$5:$S$304,MATCH(C4232,$R$5:$R$304,0))&amp;"","?"))</f>
        <v/>
      </c>
      <c r="N4232" s="2">
        <f>IF(E4232="","",IF(ISNUMBER(SEARCH("SUBSOLO",E4232)),IFERROR(-VALUE(LEFT(E4232,FIND("º",SUBSTITUTE(E4232,"°","º"))-1)),-1),IF(LEFT(E4232,6)="TÉRREO",0,IFERROR(VALUE(LEFT(E4232,FIND("º",SUBSTITUTE(E4232,"°","º"))-1)),""))))</f>
        <v/>
      </c>
      <c r="O4232" s="2">
        <f>IF(OR(F4232="",G4232=""),"",IF(G4232&lt;='RETRATO 2027'!$K$5,"CONCLUÍDA",IF(F4232&lt;='RETRATO 2027'!$K$5,"EM ANDAMENTO","A INICIAR")))</f>
        <v/>
      </c>
    </row>
    <row r="4233">
      <c r="M4233" s="2">
        <f>IF(C4233="","",IFERROR(INDEX($S$5:$S$304,MATCH(C4233,$R$5:$R$304,0))&amp;"","?"))</f>
        <v/>
      </c>
      <c r="N4233" s="2">
        <f>IF(E4233="","",IF(ISNUMBER(SEARCH("SUBSOLO",E4233)),IFERROR(-VALUE(LEFT(E4233,FIND("º",SUBSTITUTE(E4233,"°","º"))-1)),-1),IF(LEFT(E4233,6)="TÉRREO",0,IFERROR(VALUE(LEFT(E4233,FIND("º",SUBSTITUTE(E4233,"°","º"))-1)),""))))</f>
        <v/>
      </c>
      <c r="O4233" s="2">
        <f>IF(OR(F4233="",G4233=""),"",IF(G4233&lt;='RETRATO 2027'!$K$5,"CONCLUÍDA",IF(F4233&lt;='RETRATO 2027'!$K$5,"EM ANDAMENTO","A INICIAR")))</f>
        <v/>
      </c>
    </row>
    <row r="4234">
      <c r="M4234" s="2">
        <f>IF(C4234="","",IFERROR(INDEX($S$5:$S$304,MATCH(C4234,$R$5:$R$304,0))&amp;"","?"))</f>
        <v/>
      </c>
      <c r="N4234" s="2">
        <f>IF(E4234="","",IF(ISNUMBER(SEARCH("SUBSOLO",E4234)),IFERROR(-VALUE(LEFT(E4234,FIND("º",SUBSTITUTE(E4234,"°","º"))-1)),-1),IF(LEFT(E4234,6)="TÉRREO",0,IFERROR(VALUE(LEFT(E4234,FIND("º",SUBSTITUTE(E4234,"°","º"))-1)),""))))</f>
        <v/>
      </c>
      <c r="O4234" s="2">
        <f>IF(OR(F4234="",G4234=""),"",IF(G4234&lt;='RETRATO 2027'!$K$5,"CONCLUÍDA",IF(F4234&lt;='RETRATO 2027'!$K$5,"EM ANDAMENTO","A INICIAR")))</f>
        <v/>
      </c>
    </row>
    <row r="4235">
      <c r="M4235" s="2">
        <f>IF(C4235="","",IFERROR(INDEX($S$5:$S$304,MATCH(C4235,$R$5:$R$304,0))&amp;"","?"))</f>
        <v/>
      </c>
      <c r="N4235" s="2">
        <f>IF(E4235="","",IF(ISNUMBER(SEARCH("SUBSOLO",E4235)),IFERROR(-VALUE(LEFT(E4235,FIND("º",SUBSTITUTE(E4235,"°","º"))-1)),-1),IF(LEFT(E4235,6)="TÉRREO",0,IFERROR(VALUE(LEFT(E4235,FIND("º",SUBSTITUTE(E4235,"°","º"))-1)),""))))</f>
        <v/>
      </c>
      <c r="O4235" s="2">
        <f>IF(OR(F4235="",G4235=""),"",IF(G4235&lt;='RETRATO 2027'!$K$5,"CONCLUÍDA",IF(F4235&lt;='RETRATO 2027'!$K$5,"EM ANDAMENTO","A INICIAR")))</f>
        <v/>
      </c>
    </row>
    <row r="4236">
      <c r="M4236" s="2">
        <f>IF(C4236="","",IFERROR(INDEX($S$5:$S$304,MATCH(C4236,$R$5:$R$304,0))&amp;"","?"))</f>
        <v/>
      </c>
      <c r="N4236" s="2">
        <f>IF(E4236="","",IF(ISNUMBER(SEARCH("SUBSOLO",E4236)),IFERROR(-VALUE(LEFT(E4236,FIND("º",SUBSTITUTE(E4236,"°","º"))-1)),-1),IF(LEFT(E4236,6)="TÉRREO",0,IFERROR(VALUE(LEFT(E4236,FIND("º",SUBSTITUTE(E4236,"°","º"))-1)),""))))</f>
        <v/>
      </c>
      <c r="O4236" s="2">
        <f>IF(OR(F4236="",G4236=""),"",IF(G4236&lt;='RETRATO 2027'!$K$5,"CONCLUÍDA",IF(F4236&lt;='RETRATO 2027'!$K$5,"EM ANDAMENTO","A INICIAR")))</f>
        <v/>
      </c>
    </row>
    <row r="4237">
      <c r="M4237" s="2">
        <f>IF(C4237="","",IFERROR(INDEX($S$5:$S$304,MATCH(C4237,$R$5:$R$304,0))&amp;"","?"))</f>
        <v/>
      </c>
      <c r="N4237" s="2">
        <f>IF(E4237="","",IF(ISNUMBER(SEARCH("SUBSOLO",E4237)),IFERROR(-VALUE(LEFT(E4237,FIND("º",SUBSTITUTE(E4237,"°","º"))-1)),-1),IF(LEFT(E4237,6)="TÉRREO",0,IFERROR(VALUE(LEFT(E4237,FIND("º",SUBSTITUTE(E4237,"°","º"))-1)),""))))</f>
        <v/>
      </c>
      <c r="O4237" s="2">
        <f>IF(OR(F4237="",G4237=""),"",IF(G4237&lt;='RETRATO 2027'!$K$5,"CONCLUÍDA",IF(F4237&lt;='RETRATO 2027'!$K$5,"EM ANDAMENTO","A INICIAR")))</f>
        <v/>
      </c>
    </row>
    <row r="4238">
      <c r="M4238" s="2">
        <f>IF(C4238="","",IFERROR(INDEX($S$5:$S$304,MATCH(C4238,$R$5:$R$304,0))&amp;"","?"))</f>
        <v/>
      </c>
      <c r="N4238" s="2">
        <f>IF(E4238="","",IF(ISNUMBER(SEARCH("SUBSOLO",E4238)),IFERROR(-VALUE(LEFT(E4238,FIND("º",SUBSTITUTE(E4238,"°","º"))-1)),-1),IF(LEFT(E4238,6)="TÉRREO",0,IFERROR(VALUE(LEFT(E4238,FIND("º",SUBSTITUTE(E4238,"°","º"))-1)),""))))</f>
        <v/>
      </c>
      <c r="O4238" s="2">
        <f>IF(OR(F4238="",G4238=""),"",IF(G4238&lt;='RETRATO 2027'!$K$5,"CONCLUÍDA",IF(F4238&lt;='RETRATO 2027'!$K$5,"EM ANDAMENTO","A INICIAR")))</f>
        <v/>
      </c>
    </row>
    <row r="4239">
      <c r="M4239" s="2">
        <f>IF(C4239="","",IFERROR(INDEX($S$5:$S$304,MATCH(C4239,$R$5:$R$304,0))&amp;"","?"))</f>
        <v/>
      </c>
      <c r="N4239" s="2">
        <f>IF(E4239="","",IF(ISNUMBER(SEARCH("SUBSOLO",E4239)),IFERROR(-VALUE(LEFT(E4239,FIND("º",SUBSTITUTE(E4239,"°","º"))-1)),-1),IF(LEFT(E4239,6)="TÉRREO",0,IFERROR(VALUE(LEFT(E4239,FIND("º",SUBSTITUTE(E4239,"°","º"))-1)),""))))</f>
        <v/>
      </c>
      <c r="O4239" s="2">
        <f>IF(OR(F4239="",G4239=""),"",IF(G4239&lt;='RETRATO 2027'!$K$5,"CONCLUÍDA",IF(F4239&lt;='RETRATO 2027'!$K$5,"EM ANDAMENTO","A INICIAR")))</f>
        <v/>
      </c>
    </row>
    <row r="4240">
      <c r="M4240" s="2">
        <f>IF(C4240="","",IFERROR(INDEX($S$5:$S$304,MATCH(C4240,$R$5:$R$304,0))&amp;"","?"))</f>
        <v/>
      </c>
      <c r="N4240" s="2">
        <f>IF(E4240="","",IF(ISNUMBER(SEARCH("SUBSOLO",E4240)),IFERROR(-VALUE(LEFT(E4240,FIND("º",SUBSTITUTE(E4240,"°","º"))-1)),-1),IF(LEFT(E4240,6)="TÉRREO",0,IFERROR(VALUE(LEFT(E4240,FIND("º",SUBSTITUTE(E4240,"°","º"))-1)),""))))</f>
        <v/>
      </c>
      <c r="O4240" s="2">
        <f>IF(OR(F4240="",G4240=""),"",IF(G4240&lt;='RETRATO 2027'!$K$5,"CONCLUÍDA",IF(F4240&lt;='RETRATO 2027'!$K$5,"EM ANDAMENTO","A INICIAR")))</f>
        <v/>
      </c>
    </row>
    <row r="4241">
      <c r="M4241" s="2">
        <f>IF(C4241="","",IFERROR(INDEX($S$5:$S$304,MATCH(C4241,$R$5:$R$304,0))&amp;"","?"))</f>
        <v/>
      </c>
      <c r="N4241" s="2">
        <f>IF(E4241="","",IF(ISNUMBER(SEARCH("SUBSOLO",E4241)),IFERROR(-VALUE(LEFT(E4241,FIND("º",SUBSTITUTE(E4241,"°","º"))-1)),-1),IF(LEFT(E4241,6)="TÉRREO",0,IFERROR(VALUE(LEFT(E4241,FIND("º",SUBSTITUTE(E4241,"°","º"))-1)),""))))</f>
        <v/>
      </c>
      <c r="O4241" s="2">
        <f>IF(OR(F4241="",G4241=""),"",IF(G4241&lt;='RETRATO 2027'!$K$5,"CONCLUÍDA",IF(F4241&lt;='RETRATO 2027'!$K$5,"EM ANDAMENTO","A INICIAR")))</f>
        <v/>
      </c>
    </row>
    <row r="4242">
      <c r="M4242" s="2">
        <f>IF(C4242="","",IFERROR(INDEX($S$5:$S$304,MATCH(C4242,$R$5:$R$304,0))&amp;"","?"))</f>
        <v/>
      </c>
      <c r="N4242" s="2">
        <f>IF(E4242="","",IF(ISNUMBER(SEARCH("SUBSOLO",E4242)),IFERROR(-VALUE(LEFT(E4242,FIND("º",SUBSTITUTE(E4242,"°","º"))-1)),-1),IF(LEFT(E4242,6)="TÉRREO",0,IFERROR(VALUE(LEFT(E4242,FIND("º",SUBSTITUTE(E4242,"°","º"))-1)),""))))</f>
        <v/>
      </c>
      <c r="O4242" s="2">
        <f>IF(OR(F4242="",G4242=""),"",IF(G4242&lt;='RETRATO 2027'!$K$5,"CONCLUÍDA",IF(F4242&lt;='RETRATO 2027'!$K$5,"EM ANDAMENTO","A INICIAR")))</f>
        <v/>
      </c>
    </row>
    <row r="4243">
      <c r="M4243" s="2">
        <f>IF(C4243="","",IFERROR(INDEX($S$5:$S$304,MATCH(C4243,$R$5:$R$304,0))&amp;"","?"))</f>
        <v/>
      </c>
      <c r="N4243" s="2">
        <f>IF(E4243="","",IF(ISNUMBER(SEARCH("SUBSOLO",E4243)),IFERROR(-VALUE(LEFT(E4243,FIND("º",SUBSTITUTE(E4243,"°","º"))-1)),-1),IF(LEFT(E4243,6)="TÉRREO",0,IFERROR(VALUE(LEFT(E4243,FIND("º",SUBSTITUTE(E4243,"°","º"))-1)),""))))</f>
        <v/>
      </c>
      <c r="O4243" s="2">
        <f>IF(OR(F4243="",G4243=""),"",IF(G4243&lt;='RETRATO 2027'!$K$5,"CONCLUÍDA",IF(F4243&lt;='RETRATO 2027'!$K$5,"EM ANDAMENTO","A INICIAR")))</f>
        <v/>
      </c>
    </row>
    <row r="4244">
      <c r="M4244" s="2">
        <f>IF(C4244="","",IFERROR(INDEX($S$5:$S$304,MATCH(C4244,$R$5:$R$304,0))&amp;"","?"))</f>
        <v/>
      </c>
      <c r="N4244" s="2">
        <f>IF(E4244="","",IF(ISNUMBER(SEARCH("SUBSOLO",E4244)),IFERROR(-VALUE(LEFT(E4244,FIND("º",SUBSTITUTE(E4244,"°","º"))-1)),-1),IF(LEFT(E4244,6)="TÉRREO",0,IFERROR(VALUE(LEFT(E4244,FIND("º",SUBSTITUTE(E4244,"°","º"))-1)),""))))</f>
        <v/>
      </c>
      <c r="O4244" s="2">
        <f>IF(OR(F4244="",G4244=""),"",IF(G4244&lt;='RETRATO 2027'!$K$5,"CONCLUÍDA",IF(F4244&lt;='RETRATO 2027'!$K$5,"EM ANDAMENTO","A INICIAR")))</f>
        <v/>
      </c>
    </row>
    <row r="4245">
      <c r="M4245" s="2">
        <f>IF(C4245="","",IFERROR(INDEX($S$5:$S$304,MATCH(C4245,$R$5:$R$304,0))&amp;"","?"))</f>
        <v/>
      </c>
      <c r="N4245" s="2">
        <f>IF(E4245="","",IF(ISNUMBER(SEARCH("SUBSOLO",E4245)),IFERROR(-VALUE(LEFT(E4245,FIND("º",SUBSTITUTE(E4245,"°","º"))-1)),-1),IF(LEFT(E4245,6)="TÉRREO",0,IFERROR(VALUE(LEFT(E4245,FIND("º",SUBSTITUTE(E4245,"°","º"))-1)),""))))</f>
        <v/>
      </c>
      <c r="O4245" s="2">
        <f>IF(OR(F4245="",G4245=""),"",IF(G4245&lt;='RETRATO 2027'!$K$5,"CONCLUÍDA",IF(F4245&lt;='RETRATO 2027'!$K$5,"EM ANDAMENTO","A INICIAR")))</f>
        <v/>
      </c>
    </row>
    <row r="4246">
      <c r="M4246" s="2">
        <f>IF(C4246="","",IFERROR(INDEX($S$5:$S$304,MATCH(C4246,$R$5:$R$304,0))&amp;"","?"))</f>
        <v/>
      </c>
      <c r="N4246" s="2">
        <f>IF(E4246="","",IF(ISNUMBER(SEARCH("SUBSOLO",E4246)),IFERROR(-VALUE(LEFT(E4246,FIND("º",SUBSTITUTE(E4246,"°","º"))-1)),-1),IF(LEFT(E4246,6)="TÉRREO",0,IFERROR(VALUE(LEFT(E4246,FIND("º",SUBSTITUTE(E4246,"°","º"))-1)),""))))</f>
        <v/>
      </c>
      <c r="O4246" s="2">
        <f>IF(OR(F4246="",G4246=""),"",IF(G4246&lt;='RETRATO 2027'!$K$5,"CONCLUÍDA",IF(F4246&lt;='RETRATO 2027'!$K$5,"EM ANDAMENTO","A INICIAR")))</f>
        <v/>
      </c>
    </row>
    <row r="4247">
      <c r="M4247" s="2">
        <f>IF(C4247="","",IFERROR(INDEX($S$5:$S$304,MATCH(C4247,$R$5:$R$304,0))&amp;"","?"))</f>
        <v/>
      </c>
      <c r="N4247" s="2">
        <f>IF(E4247="","",IF(ISNUMBER(SEARCH("SUBSOLO",E4247)),IFERROR(-VALUE(LEFT(E4247,FIND("º",SUBSTITUTE(E4247,"°","º"))-1)),-1),IF(LEFT(E4247,6)="TÉRREO",0,IFERROR(VALUE(LEFT(E4247,FIND("º",SUBSTITUTE(E4247,"°","º"))-1)),""))))</f>
        <v/>
      </c>
      <c r="O4247" s="2">
        <f>IF(OR(F4247="",G4247=""),"",IF(G4247&lt;='RETRATO 2027'!$K$5,"CONCLUÍDA",IF(F4247&lt;='RETRATO 2027'!$K$5,"EM ANDAMENTO","A INICIAR")))</f>
        <v/>
      </c>
    </row>
    <row r="4248">
      <c r="M4248" s="2">
        <f>IF(C4248="","",IFERROR(INDEX($S$5:$S$304,MATCH(C4248,$R$5:$R$304,0))&amp;"","?"))</f>
        <v/>
      </c>
      <c r="N4248" s="2">
        <f>IF(E4248="","",IF(ISNUMBER(SEARCH("SUBSOLO",E4248)),IFERROR(-VALUE(LEFT(E4248,FIND("º",SUBSTITUTE(E4248,"°","º"))-1)),-1),IF(LEFT(E4248,6)="TÉRREO",0,IFERROR(VALUE(LEFT(E4248,FIND("º",SUBSTITUTE(E4248,"°","º"))-1)),""))))</f>
        <v/>
      </c>
      <c r="O4248" s="2">
        <f>IF(OR(F4248="",G4248=""),"",IF(G4248&lt;='RETRATO 2027'!$K$5,"CONCLUÍDA",IF(F4248&lt;='RETRATO 2027'!$K$5,"EM ANDAMENTO","A INICIAR")))</f>
        <v/>
      </c>
    </row>
    <row r="4249">
      <c r="M4249" s="2">
        <f>IF(C4249="","",IFERROR(INDEX($S$5:$S$304,MATCH(C4249,$R$5:$R$304,0))&amp;"","?"))</f>
        <v/>
      </c>
      <c r="N4249" s="2">
        <f>IF(E4249="","",IF(ISNUMBER(SEARCH("SUBSOLO",E4249)),IFERROR(-VALUE(LEFT(E4249,FIND("º",SUBSTITUTE(E4249,"°","º"))-1)),-1),IF(LEFT(E4249,6)="TÉRREO",0,IFERROR(VALUE(LEFT(E4249,FIND("º",SUBSTITUTE(E4249,"°","º"))-1)),""))))</f>
        <v/>
      </c>
      <c r="O4249" s="2">
        <f>IF(OR(F4249="",G4249=""),"",IF(G4249&lt;='RETRATO 2027'!$K$5,"CONCLUÍDA",IF(F4249&lt;='RETRATO 2027'!$K$5,"EM ANDAMENTO","A INICIAR")))</f>
        <v/>
      </c>
    </row>
    <row r="4250">
      <c r="M4250" s="2">
        <f>IF(C4250="","",IFERROR(INDEX($S$5:$S$304,MATCH(C4250,$R$5:$R$304,0))&amp;"","?"))</f>
        <v/>
      </c>
      <c r="N4250" s="2">
        <f>IF(E4250="","",IF(ISNUMBER(SEARCH("SUBSOLO",E4250)),IFERROR(-VALUE(LEFT(E4250,FIND("º",SUBSTITUTE(E4250,"°","º"))-1)),-1),IF(LEFT(E4250,6)="TÉRREO",0,IFERROR(VALUE(LEFT(E4250,FIND("º",SUBSTITUTE(E4250,"°","º"))-1)),""))))</f>
        <v/>
      </c>
      <c r="O4250" s="2">
        <f>IF(OR(F4250="",G4250=""),"",IF(G4250&lt;='RETRATO 2027'!$K$5,"CONCLUÍDA",IF(F4250&lt;='RETRATO 2027'!$K$5,"EM ANDAMENTO","A INICIAR")))</f>
        <v/>
      </c>
    </row>
    <row r="4251">
      <c r="M4251" s="2">
        <f>IF(C4251="","",IFERROR(INDEX($S$5:$S$304,MATCH(C4251,$R$5:$R$304,0))&amp;"","?"))</f>
        <v/>
      </c>
      <c r="N4251" s="2">
        <f>IF(E4251="","",IF(ISNUMBER(SEARCH("SUBSOLO",E4251)),IFERROR(-VALUE(LEFT(E4251,FIND("º",SUBSTITUTE(E4251,"°","º"))-1)),-1),IF(LEFT(E4251,6)="TÉRREO",0,IFERROR(VALUE(LEFT(E4251,FIND("º",SUBSTITUTE(E4251,"°","º"))-1)),""))))</f>
        <v/>
      </c>
      <c r="O4251" s="2">
        <f>IF(OR(F4251="",G4251=""),"",IF(G4251&lt;='RETRATO 2027'!$K$5,"CONCLUÍDA",IF(F4251&lt;='RETRATO 2027'!$K$5,"EM ANDAMENTO","A INICIAR")))</f>
        <v/>
      </c>
    </row>
    <row r="4252">
      <c r="M4252" s="2">
        <f>IF(C4252="","",IFERROR(INDEX($S$5:$S$304,MATCH(C4252,$R$5:$R$304,0))&amp;"","?"))</f>
        <v/>
      </c>
      <c r="N4252" s="2">
        <f>IF(E4252="","",IF(ISNUMBER(SEARCH("SUBSOLO",E4252)),IFERROR(-VALUE(LEFT(E4252,FIND("º",SUBSTITUTE(E4252,"°","º"))-1)),-1),IF(LEFT(E4252,6)="TÉRREO",0,IFERROR(VALUE(LEFT(E4252,FIND("º",SUBSTITUTE(E4252,"°","º"))-1)),""))))</f>
        <v/>
      </c>
      <c r="O4252" s="2">
        <f>IF(OR(F4252="",G4252=""),"",IF(G4252&lt;='RETRATO 2027'!$K$5,"CONCLUÍDA",IF(F4252&lt;='RETRATO 2027'!$K$5,"EM ANDAMENTO","A INICIAR")))</f>
        <v/>
      </c>
    </row>
    <row r="4253">
      <c r="M4253" s="2">
        <f>IF(C4253="","",IFERROR(INDEX($S$5:$S$304,MATCH(C4253,$R$5:$R$304,0))&amp;"","?"))</f>
        <v/>
      </c>
      <c r="N4253" s="2">
        <f>IF(E4253="","",IF(ISNUMBER(SEARCH("SUBSOLO",E4253)),IFERROR(-VALUE(LEFT(E4253,FIND("º",SUBSTITUTE(E4253,"°","º"))-1)),-1),IF(LEFT(E4253,6)="TÉRREO",0,IFERROR(VALUE(LEFT(E4253,FIND("º",SUBSTITUTE(E4253,"°","º"))-1)),""))))</f>
        <v/>
      </c>
      <c r="O4253" s="2">
        <f>IF(OR(F4253="",G4253=""),"",IF(G4253&lt;='RETRATO 2027'!$K$5,"CONCLUÍDA",IF(F4253&lt;='RETRATO 2027'!$K$5,"EM ANDAMENTO","A INICIAR")))</f>
        <v/>
      </c>
    </row>
    <row r="4254">
      <c r="M4254" s="2">
        <f>IF(C4254="","",IFERROR(INDEX($S$5:$S$304,MATCH(C4254,$R$5:$R$304,0))&amp;"","?"))</f>
        <v/>
      </c>
      <c r="N4254" s="2">
        <f>IF(E4254="","",IF(ISNUMBER(SEARCH("SUBSOLO",E4254)),IFERROR(-VALUE(LEFT(E4254,FIND("º",SUBSTITUTE(E4254,"°","º"))-1)),-1),IF(LEFT(E4254,6)="TÉRREO",0,IFERROR(VALUE(LEFT(E4254,FIND("º",SUBSTITUTE(E4254,"°","º"))-1)),""))))</f>
        <v/>
      </c>
      <c r="O4254" s="2">
        <f>IF(OR(F4254="",G4254=""),"",IF(G4254&lt;='RETRATO 2027'!$K$5,"CONCLUÍDA",IF(F4254&lt;='RETRATO 2027'!$K$5,"EM ANDAMENTO","A INICIAR")))</f>
        <v/>
      </c>
    </row>
    <row r="4255">
      <c r="M4255" s="2">
        <f>IF(C4255="","",IFERROR(INDEX($S$5:$S$304,MATCH(C4255,$R$5:$R$304,0))&amp;"","?"))</f>
        <v/>
      </c>
      <c r="N4255" s="2">
        <f>IF(E4255="","",IF(ISNUMBER(SEARCH("SUBSOLO",E4255)),IFERROR(-VALUE(LEFT(E4255,FIND("º",SUBSTITUTE(E4255,"°","º"))-1)),-1),IF(LEFT(E4255,6)="TÉRREO",0,IFERROR(VALUE(LEFT(E4255,FIND("º",SUBSTITUTE(E4255,"°","º"))-1)),""))))</f>
        <v/>
      </c>
      <c r="O4255" s="2">
        <f>IF(OR(F4255="",G4255=""),"",IF(G4255&lt;='RETRATO 2027'!$K$5,"CONCLUÍDA",IF(F4255&lt;='RETRATO 2027'!$K$5,"EM ANDAMENTO","A INICIAR")))</f>
        <v/>
      </c>
    </row>
    <row r="4256">
      <c r="M4256" s="2">
        <f>IF(C4256="","",IFERROR(INDEX($S$5:$S$304,MATCH(C4256,$R$5:$R$304,0))&amp;"","?"))</f>
        <v/>
      </c>
      <c r="N4256" s="2">
        <f>IF(E4256="","",IF(ISNUMBER(SEARCH("SUBSOLO",E4256)),IFERROR(-VALUE(LEFT(E4256,FIND("º",SUBSTITUTE(E4256,"°","º"))-1)),-1),IF(LEFT(E4256,6)="TÉRREO",0,IFERROR(VALUE(LEFT(E4256,FIND("º",SUBSTITUTE(E4256,"°","º"))-1)),""))))</f>
        <v/>
      </c>
      <c r="O4256" s="2">
        <f>IF(OR(F4256="",G4256=""),"",IF(G4256&lt;='RETRATO 2027'!$K$5,"CONCLUÍDA",IF(F4256&lt;='RETRATO 2027'!$K$5,"EM ANDAMENTO","A INICIAR")))</f>
        <v/>
      </c>
    </row>
    <row r="4257">
      <c r="M4257" s="2">
        <f>IF(C4257="","",IFERROR(INDEX($S$5:$S$304,MATCH(C4257,$R$5:$R$304,0))&amp;"","?"))</f>
        <v/>
      </c>
      <c r="N4257" s="2">
        <f>IF(E4257="","",IF(ISNUMBER(SEARCH("SUBSOLO",E4257)),IFERROR(-VALUE(LEFT(E4257,FIND("º",SUBSTITUTE(E4257,"°","º"))-1)),-1),IF(LEFT(E4257,6)="TÉRREO",0,IFERROR(VALUE(LEFT(E4257,FIND("º",SUBSTITUTE(E4257,"°","º"))-1)),""))))</f>
        <v/>
      </c>
      <c r="O4257" s="2">
        <f>IF(OR(F4257="",G4257=""),"",IF(G4257&lt;='RETRATO 2027'!$K$5,"CONCLUÍDA",IF(F4257&lt;='RETRATO 2027'!$K$5,"EM ANDAMENTO","A INICIAR")))</f>
        <v/>
      </c>
    </row>
    <row r="4258">
      <c r="M4258" s="2">
        <f>IF(C4258="","",IFERROR(INDEX($S$5:$S$304,MATCH(C4258,$R$5:$R$304,0))&amp;"","?"))</f>
        <v/>
      </c>
      <c r="N4258" s="2">
        <f>IF(E4258="","",IF(ISNUMBER(SEARCH("SUBSOLO",E4258)),IFERROR(-VALUE(LEFT(E4258,FIND("º",SUBSTITUTE(E4258,"°","º"))-1)),-1),IF(LEFT(E4258,6)="TÉRREO",0,IFERROR(VALUE(LEFT(E4258,FIND("º",SUBSTITUTE(E4258,"°","º"))-1)),""))))</f>
        <v/>
      </c>
      <c r="O4258" s="2">
        <f>IF(OR(F4258="",G4258=""),"",IF(G4258&lt;='RETRATO 2027'!$K$5,"CONCLUÍDA",IF(F4258&lt;='RETRATO 2027'!$K$5,"EM ANDAMENTO","A INICIAR")))</f>
        <v/>
      </c>
    </row>
    <row r="4259">
      <c r="M4259" s="2">
        <f>IF(C4259="","",IFERROR(INDEX($S$5:$S$304,MATCH(C4259,$R$5:$R$304,0))&amp;"","?"))</f>
        <v/>
      </c>
      <c r="N4259" s="2">
        <f>IF(E4259="","",IF(ISNUMBER(SEARCH("SUBSOLO",E4259)),IFERROR(-VALUE(LEFT(E4259,FIND("º",SUBSTITUTE(E4259,"°","º"))-1)),-1),IF(LEFT(E4259,6)="TÉRREO",0,IFERROR(VALUE(LEFT(E4259,FIND("º",SUBSTITUTE(E4259,"°","º"))-1)),""))))</f>
        <v/>
      </c>
      <c r="O4259" s="2">
        <f>IF(OR(F4259="",G4259=""),"",IF(G4259&lt;='RETRATO 2027'!$K$5,"CONCLUÍDA",IF(F4259&lt;='RETRATO 2027'!$K$5,"EM ANDAMENTO","A INICIAR")))</f>
        <v/>
      </c>
    </row>
    <row r="4260">
      <c r="M4260" s="2">
        <f>IF(C4260="","",IFERROR(INDEX($S$5:$S$304,MATCH(C4260,$R$5:$R$304,0))&amp;"","?"))</f>
        <v/>
      </c>
      <c r="N4260" s="2">
        <f>IF(E4260="","",IF(ISNUMBER(SEARCH("SUBSOLO",E4260)),IFERROR(-VALUE(LEFT(E4260,FIND("º",SUBSTITUTE(E4260,"°","º"))-1)),-1),IF(LEFT(E4260,6)="TÉRREO",0,IFERROR(VALUE(LEFT(E4260,FIND("º",SUBSTITUTE(E4260,"°","º"))-1)),""))))</f>
        <v/>
      </c>
      <c r="O4260" s="2">
        <f>IF(OR(F4260="",G4260=""),"",IF(G4260&lt;='RETRATO 2027'!$K$5,"CONCLUÍDA",IF(F4260&lt;='RETRATO 2027'!$K$5,"EM ANDAMENTO","A INICIAR")))</f>
        <v/>
      </c>
    </row>
    <row r="4261">
      <c r="M4261" s="2">
        <f>IF(C4261="","",IFERROR(INDEX($S$5:$S$304,MATCH(C4261,$R$5:$R$304,0))&amp;"","?"))</f>
        <v/>
      </c>
      <c r="N4261" s="2">
        <f>IF(E4261="","",IF(ISNUMBER(SEARCH("SUBSOLO",E4261)),IFERROR(-VALUE(LEFT(E4261,FIND("º",SUBSTITUTE(E4261,"°","º"))-1)),-1),IF(LEFT(E4261,6)="TÉRREO",0,IFERROR(VALUE(LEFT(E4261,FIND("º",SUBSTITUTE(E4261,"°","º"))-1)),""))))</f>
        <v/>
      </c>
      <c r="O4261" s="2">
        <f>IF(OR(F4261="",G4261=""),"",IF(G4261&lt;='RETRATO 2027'!$K$5,"CONCLUÍDA",IF(F4261&lt;='RETRATO 2027'!$K$5,"EM ANDAMENTO","A INICIAR")))</f>
        <v/>
      </c>
    </row>
    <row r="4262">
      <c r="M4262" s="2">
        <f>IF(C4262="","",IFERROR(INDEX($S$5:$S$304,MATCH(C4262,$R$5:$R$304,0))&amp;"","?"))</f>
        <v/>
      </c>
      <c r="N4262" s="2">
        <f>IF(E4262="","",IF(ISNUMBER(SEARCH("SUBSOLO",E4262)),IFERROR(-VALUE(LEFT(E4262,FIND("º",SUBSTITUTE(E4262,"°","º"))-1)),-1),IF(LEFT(E4262,6)="TÉRREO",0,IFERROR(VALUE(LEFT(E4262,FIND("º",SUBSTITUTE(E4262,"°","º"))-1)),""))))</f>
        <v/>
      </c>
      <c r="O4262" s="2">
        <f>IF(OR(F4262="",G4262=""),"",IF(G4262&lt;='RETRATO 2027'!$K$5,"CONCLUÍDA",IF(F4262&lt;='RETRATO 2027'!$K$5,"EM ANDAMENTO","A INICIAR")))</f>
        <v/>
      </c>
    </row>
    <row r="4263">
      <c r="M4263" s="2">
        <f>IF(C4263="","",IFERROR(INDEX($S$5:$S$304,MATCH(C4263,$R$5:$R$304,0))&amp;"","?"))</f>
        <v/>
      </c>
      <c r="N4263" s="2">
        <f>IF(E4263="","",IF(ISNUMBER(SEARCH("SUBSOLO",E4263)),IFERROR(-VALUE(LEFT(E4263,FIND("º",SUBSTITUTE(E4263,"°","º"))-1)),-1),IF(LEFT(E4263,6)="TÉRREO",0,IFERROR(VALUE(LEFT(E4263,FIND("º",SUBSTITUTE(E4263,"°","º"))-1)),""))))</f>
        <v/>
      </c>
      <c r="O4263" s="2">
        <f>IF(OR(F4263="",G4263=""),"",IF(G4263&lt;='RETRATO 2027'!$K$5,"CONCLUÍDA",IF(F4263&lt;='RETRATO 2027'!$K$5,"EM ANDAMENTO","A INICIAR")))</f>
        <v/>
      </c>
    </row>
    <row r="4264">
      <c r="M4264" s="2">
        <f>IF(C4264="","",IFERROR(INDEX($S$5:$S$304,MATCH(C4264,$R$5:$R$304,0))&amp;"","?"))</f>
        <v/>
      </c>
      <c r="N4264" s="2">
        <f>IF(E4264="","",IF(ISNUMBER(SEARCH("SUBSOLO",E4264)),IFERROR(-VALUE(LEFT(E4264,FIND("º",SUBSTITUTE(E4264,"°","º"))-1)),-1),IF(LEFT(E4264,6)="TÉRREO",0,IFERROR(VALUE(LEFT(E4264,FIND("º",SUBSTITUTE(E4264,"°","º"))-1)),""))))</f>
        <v/>
      </c>
      <c r="O4264" s="2">
        <f>IF(OR(F4264="",G4264=""),"",IF(G4264&lt;='RETRATO 2027'!$K$5,"CONCLUÍDA",IF(F4264&lt;='RETRATO 2027'!$K$5,"EM ANDAMENTO","A INICIAR")))</f>
        <v/>
      </c>
    </row>
    <row r="4265">
      <c r="M4265" s="2">
        <f>IF(C4265="","",IFERROR(INDEX($S$5:$S$304,MATCH(C4265,$R$5:$R$304,0))&amp;"","?"))</f>
        <v/>
      </c>
      <c r="N4265" s="2">
        <f>IF(E4265="","",IF(ISNUMBER(SEARCH("SUBSOLO",E4265)),IFERROR(-VALUE(LEFT(E4265,FIND("º",SUBSTITUTE(E4265,"°","º"))-1)),-1),IF(LEFT(E4265,6)="TÉRREO",0,IFERROR(VALUE(LEFT(E4265,FIND("º",SUBSTITUTE(E4265,"°","º"))-1)),""))))</f>
        <v/>
      </c>
      <c r="O4265" s="2">
        <f>IF(OR(F4265="",G4265=""),"",IF(G4265&lt;='RETRATO 2027'!$K$5,"CONCLUÍDA",IF(F4265&lt;='RETRATO 2027'!$K$5,"EM ANDAMENTO","A INICIAR")))</f>
        <v/>
      </c>
    </row>
    <row r="4266">
      <c r="M4266" s="2">
        <f>IF(C4266="","",IFERROR(INDEX($S$5:$S$304,MATCH(C4266,$R$5:$R$304,0))&amp;"","?"))</f>
        <v/>
      </c>
      <c r="N4266" s="2">
        <f>IF(E4266="","",IF(ISNUMBER(SEARCH("SUBSOLO",E4266)),IFERROR(-VALUE(LEFT(E4266,FIND("º",SUBSTITUTE(E4266,"°","º"))-1)),-1),IF(LEFT(E4266,6)="TÉRREO",0,IFERROR(VALUE(LEFT(E4266,FIND("º",SUBSTITUTE(E4266,"°","º"))-1)),""))))</f>
        <v/>
      </c>
      <c r="O4266" s="2">
        <f>IF(OR(F4266="",G4266=""),"",IF(G4266&lt;='RETRATO 2027'!$K$5,"CONCLUÍDA",IF(F4266&lt;='RETRATO 2027'!$K$5,"EM ANDAMENTO","A INICIAR")))</f>
        <v/>
      </c>
    </row>
    <row r="4267">
      <c r="M4267" s="2">
        <f>IF(C4267="","",IFERROR(INDEX($S$5:$S$304,MATCH(C4267,$R$5:$R$304,0))&amp;"","?"))</f>
        <v/>
      </c>
      <c r="N4267" s="2">
        <f>IF(E4267="","",IF(ISNUMBER(SEARCH("SUBSOLO",E4267)),IFERROR(-VALUE(LEFT(E4267,FIND("º",SUBSTITUTE(E4267,"°","º"))-1)),-1),IF(LEFT(E4267,6)="TÉRREO",0,IFERROR(VALUE(LEFT(E4267,FIND("º",SUBSTITUTE(E4267,"°","º"))-1)),""))))</f>
        <v/>
      </c>
      <c r="O4267" s="2">
        <f>IF(OR(F4267="",G4267=""),"",IF(G4267&lt;='RETRATO 2027'!$K$5,"CONCLUÍDA",IF(F4267&lt;='RETRATO 2027'!$K$5,"EM ANDAMENTO","A INICIAR")))</f>
        <v/>
      </c>
    </row>
    <row r="4268">
      <c r="M4268" s="2">
        <f>IF(C4268="","",IFERROR(INDEX($S$5:$S$304,MATCH(C4268,$R$5:$R$304,0))&amp;"","?"))</f>
        <v/>
      </c>
      <c r="N4268" s="2">
        <f>IF(E4268="","",IF(ISNUMBER(SEARCH("SUBSOLO",E4268)),IFERROR(-VALUE(LEFT(E4268,FIND("º",SUBSTITUTE(E4268,"°","º"))-1)),-1),IF(LEFT(E4268,6)="TÉRREO",0,IFERROR(VALUE(LEFT(E4268,FIND("º",SUBSTITUTE(E4268,"°","º"))-1)),""))))</f>
        <v/>
      </c>
      <c r="O4268" s="2">
        <f>IF(OR(F4268="",G4268=""),"",IF(G4268&lt;='RETRATO 2027'!$K$5,"CONCLUÍDA",IF(F4268&lt;='RETRATO 2027'!$K$5,"EM ANDAMENTO","A INICIAR")))</f>
        <v/>
      </c>
    </row>
    <row r="4269">
      <c r="M4269" s="2">
        <f>IF(C4269="","",IFERROR(INDEX($S$5:$S$304,MATCH(C4269,$R$5:$R$304,0))&amp;"","?"))</f>
        <v/>
      </c>
      <c r="N4269" s="2">
        <f>IF(E4269="","",IF(ISNUMBER(SEARCH("SUBSOLO",E4269)),IFERROR(-VALUE(LEFT(E4269,FIND("º",SUBSTITUTE(E4269,"°","º"))-1)),-1),IF(LEFT(E4269,6)="TÉRREO",0,IFERROR(VALUE(LEFT(E4269,FIND("º",SUBSTITUTE(E4269,"°","º"))-1)),""))))</f>
        <v/>
      </c>
      <c r="O4269" s="2">
        <f>IF(OR(F4269="",G4269=""),"",IF(G4269&lt;='RETRATO 2027'!$K$5,"CONCLUÍDA",IF(F4269&lt;='RETRATO 2027'!$K$5,"EM ANDAMENTO","A INICIAR")))</f>
        <v/>
      </c>
    </row>
    <row r="4270">
      <c r="M4270" s="2">
        <f>IF(C4270="","",IFERROR(INDEX($S$5:$S$304,MATCH(C4270,$R$5:$R$304,0))&amp;"","?"))</f>
        <v/>
      </c>
      <c r="N4270" s="2">
        <f>IF(E4270="","",IF(ISNUMBER(SEARCH("SUBSOLO",E4270)),IFERROR(-VALUE(LEFT(E4270,FIND("º",SUBSTITUTE(E4270,"°","º"))-1)),-1),IF(LEFT(E4270,6)="TÉRREO",0,IFERROR(VALUE(LEFT(E4270,FIND("º",SUBSTITUTE(E4270,"°","º"))-1)),""))))</f>
        <v/>
      </c>
      <c r="O4270" s="2">
        <f>IF(OR(F4270="",G4270=""),"",IF(G4270&lt;='RETRATO 2027'!$K$5,"CONCLUÍDA",IF(F4270&lt;='RETRATO 2027'!$K$5,"EM ANDAMENTO","A INICIAR")))</f>
        <v/>
      </c>
    </row>
    <row r="4271">
      <c r="M4271" s="2">
        <f>IF(C4271="","",IFERROR(INDEX($S$5:$S$304,MATCH(C4271,$R$5:$R$304,0))&amp;"","?"))</f>
        <v/>
      </c>
      <c r="N4271" s="2">
        <f>IF(E4271="","",IF(ISNUMBER(SEARCH("SUBSOLO",E4271)),IFERROR(-VALUE(LEFT(E4271,FIND("º",SUBSTITUTE(E4271,"°","º"))-1)),-1),IF(LEFT(E4271,6)="TÉRREO",0,IFERROR(VALUE(LEFT(E4271,FIND("º",SUBSTITUTE(E4271,"°","º"))-1)),""))))</f>
        <v/>
      </c>
      <c r="O4271" s="2">
        <f>IF(OR(F4271="",G4271=""),"",IF(G4271&lt;='RETRATO 2027'!$K$5,"CONCLUÍDA",IF(F4271&lt;='RETRATO 2027'!$K$5,"EM ANDAMENTO","A INICIAR")))</f>
        <v/>
      </c>
    </row>
    <row r="4272">
      <c r="M4272" s="2">
        <f>IF(C4272="","",IFERROR(INDEX($S$5:$S$304,MATCH(C4272,$R$5:$R$304,0))&amp;"","?"))</f>
        <v/>
      </c>
      <c r="N4272" s="2">
        <f>IF(E4272="","",IF(ISNUMBER(SEARCH("SUBSOLO",E4272)),IFERROR(-VALUE(LEFT(E4272,FIND("º",SUBSTITUTE(E4272,"°","º"))-1)),-1),IF(LEFT(E4272,6)="TÉRREO",0,IFERROR(VALUE(LEFT(E4272,FIND("º",SUBSTITUTE(E4272,"°","º"))-1)),""))))</f>
        <v/>
      </c>
      <c r="O4272" s="2">
        <f>IF(OR(F4272="",G4272=""),"",IF(G4272&lt;='RETRATO 2027'!$K$5,"CONCLUÍDA",IF(F4272&lt;='RETRATO 2027'!$K$5,"EM ANDAMENTO","A INICIAR")))</f>
        <v/>
      </c>
    </row>
    <row r="4273">
      <c r="M4273" s="2">
        <f>IF(C4273="","",IFERROR(INDEX($S$5:$S$304,MATCH(C4273,$R$5:$R$304,0))&amp;"","?"))</f>
        <v/>
      </c>
      <c r="N4273" s="2">
        <f>IF(E4273="","",IF(ISNUMBER(SEARCH("SUBSOLO",E4273)),IFERROR(-VALUE(LEFT(E4273,FIND("º",SUBSTITUTE(E4273,"°","º"))-1)),-1),IF(LEFT(E4273,6)="TÉRREO",0,IFERROR(VALUE(LEFT(E4273,FIND("º",SUBSTITUTE(E4273,"°","º"))-1)),""))))</f>
        <v/>
      </c>
      <c r="O4273" s="2">
        <f>IF(OR(F4273="",G4273=""),"",IF(G4273&lt;='RETRATO 2027'!$K$5,"CONCLUÍDA",IF(F4273&lt;='RETRATO 2027'!$K$5,"EM ANDAMENTO","A INICIAR")))</f>
        <v/>
      </c>
    </row>
    <row r="4274">
      <c r="M4274" s="2">
        <f>IF(C4274="","",IFERROR(INDEX($S$5:$S$304,MATCH(C4274,$R$5:$R$304,0))&amp;"","?"))</f>
        <v/>
      </c>
      <c r="N4274" s="2">
        <f>IF(E4274="","",IF(ISNUMBER(SEARCH("SUBSOLO",E4274)),IFERROR(-VALUE(LEFT(E4274,FIND("º",SUBSTITUTE(E4274,"°","º"))-1)),-1),IF(LEFT(E4274,6)="TÉRREO",0,IFERROR(VALUE(LEFT(E4274,FIND("º",SUBSTITUTE(E4274,"°","º"))-1)),""))))</f>
        <v/>
      </c>
      <c r="O4274" s="2">
        <f>IF(OR(F4274="",G4274=""),"",IF(G4274&lt;='RETRATO 2027'!$K$5,"CONCLUÍDA",IF(F4274&lt;='RETRATO 2027'!$K$5,"EM ANDAMENTO","A INICIAR")))</f>
        <v/>
      </c>
    </row>
    <row r="4275">
      <c r="M4275" s="2">
        <f>IF(C4275="","",IFERROR(INDEX($S$5:$S$304,MATCH(C4275,$R$5:$R$304,0))&amp;"","?"))</f>
        <v/>
      </c>
      <c r="N4275" s="2">
        <f>IF(E4275="","",IF(ISNUMBER(SEARCH("SUBSOLO",E4275)),IFERROR(-VALUE(LEFT(E4275,FIND("º",SUBSTITUTE(E4275,"°","º"))-1)),-1),IF(LEFT(E4275,6)="TÉRREO",0,IFERROR(VALUE(LEFT(E4275,FIND("º",SUBSTITUTE(E4275,"°","º"))-1)),""))))</f>
        <v/>
      </c>
      <c r="O4275" s="2">
        <f>IF(OR(F4275="",G4275=""),"",IF(G4275&lt;='RETRATO 2027'!$K$5,"CONCLUÍDA",IF(F4275&lt;='RETRATO 2027'!$K$5,"EM ANDAMENTO","A INICIAR")))</f>
        <v/>
      </c>
    </row>
    <row r="4276">
      <c r="M4276" s="2">
        <f>IF(C4276="","",IFERROR(INDEX($S$5:$S$304,MATCH(C4276,$R$5:$R$304,0))&amp;"","?"))</f>
        <v/>
      </c>
      <c r="N4276" s="2">
        <f>IF(E4276="","",IF(ISNUMBER(SEARCH("SUBSOLO",E4276)),IFERROR(-VALUE(LEFT(E4276,FIND("º",SUBSTITUTE(E4276,"°","º"))-1)),-1),IF(LEFT(E4276,6)="TÉRREO",0,IFERROR(VALUE(LEFT(E4276,FIND("º",SUBSTITUTE(E4276,"°","º"))-1)),""))))</f>
        <v/>
      </c>
      <c r="O4276" s="2">
        <f>IF(OR(F4276="",G4276=""),"",IF(G4276&lt;='RETRATO 2027'!$K$5,"CONCLUÍDA",IF(F4276&lt;='RETRATO 2027'!$K$5,"EM ANDAMENTO","A INICIAR")))</f>
        <v/>
      </c>
    </row>
    <row r="4277">
      <c r="M4277" s="2">
        <f>IF(C4277="","",IFERROR(INDEX($S$5:$S$304,MATCH(C4277,$R$5:$R$304,0))&amp;"","?"))</f>
        <v/>
      </c>
      <c r="N4277" s="2">
        <f>IF(E4277="","",IF(ISNUMBER(SEARCH("SUBSOLO",E4277)),IFERROR(-VALUE(LEFT(E4277,FIND("º",SUBSTITUTE(E4277,"°","º"))-1)),-1),IF(LEFT(E4277,6)="TÉRREO",0,IFERROR(VALUE(LEFT(E4277,FIND("º",SUBSTITUTE(E4277,"°","º"))-1)),""))))</f>
        <v/>
      </c>
      <c r="O4277" s="2">
        <f>IF(OR(F4277="",G4277=""),"",IF(G4277&lt;='RETRATO 2027'!$K$5,"CONCLUÍDA",IF(F4277&lt;='RETRATO 2027'!$K$5,"EM ANDAMENTO","A INICIAR")))</f>
        <v/>
      </c>
    </row>
    <row r="4278">
      <c r="M4278" s="2">
        <f>IF(C4278="","",IFERROR(INDEX($S$5:$S$304,MATCH(C4278,$R$5:$R$304,0))&amp;"","?"))</f>
        <v/>
      </c>
      <c r="N4278" s="2">
        <f>IF(E4278="","",IF(ISNUMBER(SEARCH("SUBSOLO",E4278)),IFERROR(-VALUE(LEFT(E4278,FIND("º",SUBSTITUTE(E4278,"°","º"))-1)),-1),IF(LEFT(E4278,6)="TÉRREO",0,IFERROR(VALUE(LEFT(E4278,FIND("º",SUBSTITUTE(E4278,"°","º"))-1)),""))))</f>
        <v/>
      </c>
      <c r="O4278" s="2">
        <f>IF(OR(F4278="",G4278=""),"",IF(G4278&lt;='RETRATO 2027'!$K$5,"CONCLUÍDA",IF(F4278&lt;='RETRATO 2027'!$K$5,"EM ANDAMENTO","A INICIAR")))</f>
        <v/>
      </c>
    </row>
    <row r="4279">
      <c r="M4279" s="2">
        <f>IF(C4279="","",IFERROR(INDEX($S$5:$S$304,MATCH(C4279,$R$5:$R$304,0))&amp;"","?"))</f>
        <v/>
      </c>
      <c r="N4279" s="2">
        <f>IF(E4279="","",IF(ISNUMBER(SEARCH("SUBSOLO",E4279)),IFERROR(-VALUE(LEFT(E4279,FIND("º",SUBSTITUTE(E4279,"°","º"))-1)),-1),IF(LEFT(E4279,6)="TÉRREO",0,IFERROR(VALUE(LEFT(E4279,FIND("º",SUBSTITUTE(E4279,"°","º"))-1)),""))))</f>
        <v/>
      </c>
      <c r="O4279" s="2">
        <f>IF(OR(F4279="",G4279=""),"",IF(G4279&lt;='RETRATO 2027'!$K$5,"CONCLUÍDA",IF(F4279&lt;='RETRATO 2027'!$K$5,"EM ANDAMENTO","A INICIAR")))</f>
        <v/>
      </c>
    </row>
    <row r="4280">
      <c r="M4280" s="2">
        <f>IF(C4280="","",IFERROR(INDEX($S$5:$S$304,MATCH(C4280,$R$5:$R$304,0))&amp;"","?"))</f>
        <v/>
      </c>
      <c r="N4280" s="2">
        <f>IF(E4280="","",IF(ISNUMBER(SEARCH("SUBSOLO",E4280)),IFERROR(-VALUE(LEFT(E4280,FIND("º",SUBSTITUTE(E4280,"°","º"))-1)),-1),IF(LEFT(E4280,6)="TÉRREO",0,IFERROR(VALUE(LEFT(E4280,FIND("º",SUBSTITUTE(E4280,"°","º"))-1)),""))))</f>
        <v/>
      </c>
      <c r="O4280" s="2">
        <f>IF(OR(F4280="",G4280=""),"",IF(G4280&lt;='RETRATO 2027'!$K$5,"CONCLUÍDA",IF(F4280&lt;='RETRATO 2027'!$K$5,"EM ANDAMENTO","A INICIAR")))</f>
        <v/>
      </c>
    </row>
    <row r="4281">
      <c r="M4281" s="2">
        <f>IF(C4281="","",IFERROR(INDEX($S$5:$S$304,MATCH(C4281,$R$5:$R$304,0))&amp;"","?"))</f>
        <v/>
      </c>
      <c r="N4281" s="2">
        <f>IF(E4281="","",IF(ISNUMBER(SEARCH("SUBSOLO",E4281)),IFERROR(-VALUE(LEFT(E4281,FIND("º",SUBSTITUTE(E4281,"°","º"))-1)),-1),IF(LEFT(E4281,6)="TÉRREO",0,IFERROR(VALUE(LEFT(E4281,FIND("º",SUBSTITUTE(E4281,"°","º"))-1)),""))))</f>
        <v/>
      </c>
      <c r="O4281" s="2">
        <f>IF(OR(F4281="",G4281=""),"",IF(G4281&lt;='RETRATO 2027'!$K$5,"CONCLUÍDA",IF(F4281&lt;='RETRATO 2027'!$K$5,"EM ANDAMENTO","A INICIAR")))</f>
        <v/>
      </c>
    </row>
    <row r="4282">
      <c r="M4282" s="2">
        <f>IF(C4282="","",IFERROR(INDEX($S$5:$S$304,MATCH(C4282,$R$5:$R$304,0))&amp;"","?"))</f>
        <v/>
      </c>
      <c r="N4282" s="2">
        <f>IF(E4282="","",IF(ISNUMBER(SEARCH("SUBSOLO",E4282)),IFERROR(-VALUE(LEFT(E4282,FIND("º",SUBSTITUTE(E4282,"°","º"))-1)),-1),IF(LEFT(E4282,6)="TÉRREO",0,IFERROR(VALUE(LEFT(E4282,FIND("º",SUBSTITUTE(E4282,"°","º"))-1)),""))))</f>
        <v/>
      </c>
      <c r="O4282" s="2">
        <f>IF(OR(F4282="",G4282=""),"",IF(G4282&lt;='RETRATO 2027'!$K$5,"CONCLUÍDA",IF(F4282&lt;='RETRATO 2027'!$K$5,"EM ANDAMENTO","A INICIAR")))</f>
        <v/>
      </c>
    </row>
    <row r="4283">
      <c r="M4283" s="2">
        <f>IF(C4283="","",IFERROR(INDEX($S$5:$S$304,MATCH(C4283,$R$5:$R$304,0))&amp;"","?"))</f>
        <v/>
      </c>
      <c r="N4283" s="2">
        <f>IF(E4283="","",IF(ISNUMBER(SEARCH("SUBSOLO",E4283)),IFERROR(-VALUE(LEFT(E4283,FIND("º",SUBSTITUTE(E4283,"°","º"))-1)),-1),IF(LEFT(E4283,6)="TÉRREO",0,IFERROR(VALUE(LEFT(E4283,FIND("º",SUBSTITUTE(E4283,"°","º"))-1)),""))))</f>
        <v/>
      </c>
      <c r="O4283" s="2">
        <f>IF(OR(F4283="",G4283=""),"",IF(G4283&lt;='RETRATO 2027'!$K$5,"CONCLUÍDA",IF(F4283&lt;='RETRATO 2027'!$K$5,"EM ANDAMENTO","A INICIAR")))</f>
        <v/>
      </c>
    </row>
    <row r="4284">
      <c r="M4284" s="2">
        <f>IF(C4284="","",IFERROR(INDEX($S$5:$S$304,MATCH(C4284,$R$5:$R$304,0))&amp;"","?"))</f>
        <v/>
      </c>
      <c r="N4284" s="2">
        <f>IF(E4284="","",IF(ISNUMBER(SEARCH("SUBSOLO",E4284)),IFERROR(-VALUE(LEFT(E4284,FIND("º",SUBSTITUTE(E4284,"°","º"))-1)),-1),IF(LEFT(E4284,6)="TÉRREO",0,IFERROR(VALUE(LEFT(E4284,FIND("º",SUBSTITUTE(E4284,"°","º"))-1)),""))))</f>
        <v/>
      </c>
      <c r="O4284" s="2">
        <f>IF(OR(F4284="",G4284=""),"",IF(G4284&lt;='RETRATO 2027'!$K$5,"CONCLUÍDA",IF(F4284&lt;='RETRATO 2027'!$K$5,"EM ANDAMENTO","A INICIAR")))</f>
        <v/>
      </c>
    </row>
    <row r="4285">
      <c r="M4285" s="2">
        <f>IF(C4285="","",IFERROR(INDEX($S$5:$S$304,MATCH(C4285,$R$5:$R$304,0))&amp;"","?"))</f>
        <v/>
      </c>
      <c r="N4285" s="2">
        <f>IF(E4285="","",IF(ISNUMBER(SEARCH("SUBSOLO",E4285)),IFERROR(-VALUE(LEFT(E4285,FIND("º",SUBSTITUTE(E4285,"°","º"))-1)),-1),IF(LEFT(E4285,6)="TÉRREO",0,IFERROR(VALUE(LEFT(E4285,FIND("º",SUBSTITUTE(E4285,"°","º"))-1)),""))))</f>
        <v/>
      </c>
      <c r="O4285" s="2">
        <f>IF(OR(F4285="",G4285=""),"",IF(G4285&lt;='RETRATO 2027'!$K$5,"CONCLUÍDA",IF(F4285&lt;='RETRATO 2027'!$K$5,"EM ANDAMENTO","A INICIAR")))</f>
        <v/>
      </c>
    </row>
    <row r="4286">
      <c r="M4286" s="2">
        <f>IF(C4286="","",IFERROR(INDEX($S$5:$S$304,MATCH(C4286,$R$5:$R$304,0))&amp;"","?"))</f>
        <v/>
      </c>
      <c r="N4286" s="2">
        <f>IF(E4286="","",IF(ISNUMBER(SEARCH("SUBSOLO",E4286)),IFERROR(-VALUE(LEFT(E4286,FIND("º",SUBSTITUTE(E4286,"°","º"))-1)),-1),IF(LEFT(E4286,6)="TÉRREO",0,IFERROR(VALUE(LEFT(E4286,FIND("º",SUBSTITUTE(E4286,"°","º"))-1)),""))))</f>
        <v/>
      </c>
      <c r="O4286" s="2">
        <f>IF(OR(F4286="",G4286=""),"",IF(G4286&lt;='RETRATO 2027'!$K$5,"CONCLUÍDA",IF(F4286&lt;='RETRATO 2027'!$K$5,"EM ANDAMENTO","A INICIAR")))</f>
        <v/>
      </c>
    </row>
    <row r="4287">
      <c r="M4287" s="2">
        <f>IF(C4287="","",IFERROR(INDEX($S$5:$S$304,MATCH(C4287,$R$5:$R$304,0))&amp;"","?"))</f>
        <v/>
      </c>
      <c r="N4287" s="2">
        <f>IF(E4287="","",IF(ISNUMBER(SEARCH("SUBSOLO",E4287)),IFERROR(-VALUE(LEFT(E4287,FIND("º",SUBSTITUTE(E4287,"°","º"))-1)),-1),IF(LEFT(E4287,6)="TÉRREO",0,IFERROR(VALUE(LEFT(E4287,FIND("º",SUBSTITUTE(E4287,"°","º"))-1)),""))))</f>
        <v/>
      </c>
      <c r="O4287" s="2">
        <f>IF(OR(F4287="",G4287=""),"",IF(G4287&lt;='RETRATO 2027'!$K$5,"CONCLUÍDA",IF(F4287&lt;='RETRATO 2027'!$K$5,"EM ANDAMENTO","A INICIAR")))</f>
        <v/>
      </c>
    </row>
    <row r="4288">
      <c r="M4288" s="2">
        <f>IF(C4288="","",IFERROR(INDEX($S$5:$S$304,MATCH(C4288,$R$5:$R$304,0))&amp;"","?"))</f>
        <v/>
      </c>
      <c r="N4288" s="2">
        <f>IF(E4288="","",IF(ISNUMBER(SEARCH("SUBSOLO",E4288)),IFERROR(-VALUE(LEFT(E4288,FIND("º",SUBSTITUTE(E4288,"°","º"))-1)),-1),IF(LEFT(E4288,6)="TÉRREO",0,IFERROR(VALUE(LEFT(E4288,FIND("º",SUBSTITUTE(E4288,"°","º"))-1)),""))))</f>
        <v/>
      </c>
      <c r="O4288" s="2">
        <f>IF(OR(F4288="",G4288=""),"",IF(G4288&lt;='RETRATO 2027'!$K$5,"CONCLUÍDA",IF(F4288&lt;='RETRATO 2027'!$K$5,"EM ANDAMENTO","A INICIAR")))</f>
        <v/>
      </c>
    </row>
    <row r="4289">
      <c r="M4289" s="2">
        <f>IF(C4289="","",IFERROR(INDEX($S$5:$S$304,MATCH(C4289,$R$5:$R$304,0))&amp;"","?"))</f>
        <v/>
      </c>
      <c r="N4289" s="2">
        <f>IF(E4289="","",IF(ISNUMBER(SEARCH("SUBSOLO",E4289)),IFERROR(-VALUE(LEFT(E4289,FIND("º",SUBSTITUTE(E4289,"°","º"))-1)),-1),IF(LEFT(E4289,6)="TÉRREO",0,IFERROR(VALUE(LEFT(E4289,FIND("º",SUBSTITUTE(E4289,"°","º"))-1)),""))))</f>
        <v/>
      </c>
      <c r="O4289" s="2">
        <f>IF(OR(F4289="",G4289=""),"",IF(G4289&lt;='RETRATO 2027'!$K$5,"CONCLUÍDA",IF(F4289&lt;='RETRATO 2027'!$K$5,"EM ANDAMENTO","A INICIAR")))</f>
        <v/>
      </c>
    </row>
    <row r="4290">
      <c r="M4290" s="2">
        <f>IF(C4290="","",IFERROR(INDEX($S$5:$S$304,MATCH(C4290,$R$5:$R$304,0))&amp;"","?"))</f>
        <v/>
      </c>
      <c r="N4290" s="2">
        <f>IF(E4290="","",IF(ISNUMBER(SEARCH("SUBSOLO",E4290)),IFERROR(-VALUE(LEFT(E4290,FIND("º",SUBSTITUTE(E4290,"°","º"))-1)),-1),IF(LEFT(E4290,6)="TÉRREO",0,IFERROR(VALUE(LEFT(E4290,FIND("º",SUBSTITUTE(E4290,"°","º"))-1)),""))))</f>
        <v/>
      </c>
      <c r="O4290" s="2">
        <f>IF(OR(F4290="",G4290=""),"",IF(G4290&lt;='RETRATO 2027'!$K$5,"CONCLUÍDA",IF(F4290&lt;='RETRATO 2027'!$K$5,"EM ANDAMENTO","A INICIAR")))</f>
        <v/>
      </c>
    </row>
    <row r="4291">
      <c r="M4291" s="2">
        <f>IF(C4291="","",IFERROR(INDEX($S$5:$S$304,MATCH(C4291,$R$5:$R$304,0))&amp;"","?"))</f>
        <v/>
      </c>
      <c r="N4291" s="2">
        <f>IF(E4291="","",IF(ISNUMBER(SEARCH("SUBSOLO",E4291)),IFERROR(-VALUE(LEFT(E4291,FIND("º",SUBSTITUTE(E4291,"°","º"))-1)),-1),IF(LEFT(E4291,6)="TÉRREO",0,IFERROR(VALUE(LEFT(E4291,FIND("º",SUBSTITUTE(E4291,"°","º"))-1)),""))))</f>
        <v/>
      </c>
      <c r="O4291" s="2">
        <f>IF(OR(F4291="",G4291=""),"",IF(G4291&lt;='RETRATO 2027'!$K$5,"CONCLUÍDA",IF(F4291&lt;='RETRATO 2027'!$K$5,"EM ANDAMENTO","A INICIAR")))</f>
        <v/>
      </c>
    </row>
    <row r="4292">
      <c r="M4292" s="2">
        <f>IF(C4292="","",IFERROR(INDEX($S$5:$S$304,MATCH(C4292,$R$5:$R$304,0))&amp;"","?"))</f>
        <v/>
      </c>
      <c r="N4292" s="2">
        <f>IF(E4292="","",IF(ISNUMBER(SEARCH("SUBSOLO",E4292)),IFERROR(-VALUE(LEFT(E4292,FIND("º",SUBSTITUTE(E4292,"°","º"))-1)),-1),IF(LEFT(E4292,6)="TÉRREO",0,IFERROR(VALUE(LEFT(E4292,FIND("º",SUBSTITUTE(E4292,"°","º"))-1)),""))))</f>
        <v/>
      </c>
      <c r="O4292" s="2">
        <f>IF(OR(F4292="",G4292=""),"",IF(G4292&lt;='RETRATO 2027'!$K$5,"CONCLUÍDA",IF(F4292&lt;='RETRATO 2027'!$K$5,"EM ANDAMENTO","A INICIAR")))</f>
        <v/>
      </c>
    </row>
    <row r="4293">
      <c r="M4293" s="2">
        <f>IF(C4293="","",IFERROR(INDEX($S$5:$S$304,MATCH(C4293,$R$5:$R$304,0))&amp;"","?"))</f>
        <v/>
      </c>
      <c r="N4293" s="2">
        <f>IF(E4293="","",IF(ISNUMBER(SEARCH("SUBSOLO",E4293)),IFERROR(-VALUE(LEFT(E4293,FIND("º",SUBSTITUTE(E4293,"°","º"))-1)),-1),IF(LEFT(E4293,6)="TÉRREO",0,IFERROR(VALUE(LEFT(E4293,FIND("º",SUBSTITUTE(E4293,"°","º"))-1)),""))))</f>
        <v/>
      </c>
      <c r="O4293" s="2">
        <f>IF(OR(F4293="",G4293=""),"",IF(G4293&lt;='RETRATO 2027'!$K$5,"CONCLUÍDA",IF(F4293&lt;='RETRATO 2027'!$K$5,"EM ANDAMENTO","A INICIAR")))</f>
        <v/>
      </c>
    </row>
    <row r="4294">
      <c r="M4294" s="2">
        <f>IF(C4294="","",IFERROR(INDEX($S$5:$S$304,MATCH(C4294,$R$5:$R$304,0))&amp;"","?"))</f>
        <v/>
      </c>
      <c r="N4294" s="2">
        <f>IF(E4294="","",IF(ISNUMBER(SEARCH("SUBSOLO",E4294)),IFERROR(-VALUE(LEFT(E4294,FIND("º",SUBSTITUTE(E4294,"°","º"))-1)),-1),IF(LEFT(E4294,6)="TÉRREO",0,IFERROR(VALUE(LEFT(E4294,FIND("º",SUBSTITUTE(E4294,"°","º"))-1)),""))))</f>
        <v/>
      </c>
      <c r="O4294" s="2">
        <f>IF(OR(F4294="",G4294=""),"",IF(G4294&lt;='RETRATO 2027'!$K$5,"CONCLUÍDA",IF(F4294&lt;='RETRATO 2027'!$K$5,"EM ANDAMENTO","A INICIAR")))</f>
        <v/>
      </c>
    </row>
    <row r="4295">
      <c r="M4295" s="2">
        <f>IF(C4295="","",IFERROR(INDEX($S$5:$S$304,MATCH(C4295,$R$5:$R$304,0))&amp;"","?"))</f>
        <v/>
      </c>
      <c r="N4295" s="2">
        <f>IF(E4295="","",IF(ISNUMBER(SEARCH("SUBSOLO",E4295)),IFERROR(-VALUE(LEFT(E4295,FIND("º",SUBSTITUTE(E4295,"°","º"))-1)),-1),IF(LEFT(E4295,6)="TÉRREO",0,IFERROR(VALUE(LEFT(E4295,FIND("º",SUBSTITUTE(E4295,"°","º"))-1)),""))))</f>
        <v/>
      </c>
      <c r="O4295" s="2">
        <f>IF(OR(F4295="",G4295=""),"",IF(G4295&lt;='RETRATO 2027'!$K$5,"CONCLUÍDA",IF(F4295&lt;='RETRATO 2027'!$K$5,"EM ANDAMENTO","A INICIAR")))</f>
        <v/>
      </c>
    </row>
    <row r="4296">
      <c r="M4296" s="2">
        <f>IF(C4296="","",IFERROR(INDEX($S$5:$S$304,MATCH(C4296,$R$5:$R$304,0))&amp;"","?"))</f>
        <v/>
      </c>
      <c r="N4296" s="2">
        <f>IF(E4296="","",IF(ISNUMBER(SEARCH("SUBSOLO",E4296)),IFERROR(-VALUE(LEFT(E4296,FIND("º",SUBSTITUTE(E4296,"°","º"))-1)),-1),IF(LEFT(E4296,6)="TÉRREO",0,IFERROR(VALUE(LEFT(E4296,FIND("º",SUBSTITUTE(E4296,"°","º"))-1)),""))))</f>
        <v/>
      </c>
      <c r="O4296" s="2">
        <f>IF(OR(F4296="",G4296=""),"",IF(G4296&lt;='RETRATO 2027'!$K$5,"CONCLUÍDA",IF(F4296&lt;='RETRATO 2027'!$K$5,"EM ANDAMENTO","A INICIAR")))</f>
        <v/>
      </c>
    </row>
    <row r="4297">
      <c r="M4297" s="2">
        <f>IF(C4297="","",IFERROR(INDEX($S$5:$S$304,MATCH(C4297,$R$5:$R$304,0))&amp;"","?"))</f>
        <v/>
      </c>
      <c r="N4297" s="2">
        <f>IF(E4297="","",IF(ISNUMBER(SEARCH("SUBSOLO",E4297)),IFERROR(-VALUE(LEFT(E4297,FIND("º",SUBSTITUTE(E4297,"°","º"))-1)),-1),IF(LEFT(E4297,6)="TÉRREO",0,IFERROR(VALUE(LEFT(E4297,FIND("º",SUBSTITUTE(E4297,"°","º"))-1)),""))))</f>
        <v/>
      </c>
      <c r="O4297" s="2">
        <f>IF(OR(F4297="",G4297=""),"",IF(G4297&lt;='RETRATO 2027'!$K$5,"CONCLUÍDA",IF(F4297&lt;='RETRATO 2027'!$K$5,"EM ANDAMENTO","A INICIAR")))</f>
        <v/>
      </c>
    </row>
    <row r="4298">
      <c r="M4298" s="2">
        <f>IF(C4298="","",IFERROR(INDEX($S$5:$S$304,MATCH(C4298,$R$5:$R$304,0))&amp;"","?"))</f>
        <v/>
      </c>
      <c r="N4298" s="2">
        <f>IF(E4298="","",IF(ISNUMBER(SEARCH("SUBSOLO",E4298)),IFERROR(-VALUE(LEFT(E4298,FIND("º",SUBSTITUTE(E4298,"°","º"))-1)),-1),IF(LEFT(E4298,6)="TÉRREO",0,IFERROR(VALUE(LEFT(E4298,FIND("º",SUBSTITUTE(E4298,"°","º"))-1)),""))))</f>
        <v/>
      </c>
      <c r="O4298" s="2">
        <f>IF(OR(F4298="",G4298=""),"",IF(G4298&lt;='RETRATO 2027'!$K$5,"CONCLUÍDA",IF(F4298&lt;='RETRATO 2027'!$K$5,"EM ANDAMENTO","A INICIAR")))</f>
        <v/>
      </c>
    </row>
    <row r="4299">
      <c r="M4299" s="2">
        <f>IF(C4299="","",IFERROR(INDEX($S$5:$S$304,MATCH(C4299,$R$5:$R$304,0))&amp;"","?"))</f>
        <v/>
      </c>
      <c r="N4299" s="2">
        <f>IF(E4299="","",IF(ISNUMBER(SEARCH("SUBSOLO",E4299)),IFERROR(-VALUE(LEFT(E4299,FIND("º",SUBSTITUTE(E4299,"°","º"))-1)),-1),IF(LEFT(E4299,6)="TÉRREO",0,IFERROR(VALUE(LEFT(E4299,FIND("º",SUBSTITUTE(E4299,"°","º"))-1)),""))))</f>
        <v/>
      </c>
      <c r="O4299" s="2">
        <f>IF(OR(F4299="",G4299=""),"",IF(G4299&lt;='RETRATO 2027'!$K$5,"CONCLUÍDA",IF(F4299&lt;='RETRATO 2027'!$K$5,"EM ANDAMENTO","A INICIAR")))</f>
        <v/>
      </c>
    </row>
    <row r="4300">
      <c r="M4300" s="2">
        <f>IF(C4300="","",IFERROR(INDEX($S$5:$S$304,MATCH(C4300,$R$5:$R$304,0))&amp;"","?"))</f>
        <v/>
      </c>
      <c r="N4300" s="2">
        <f>IF(E4300="","",IF(ISNUMBER(SEARCH("SUBSOLO",E4300)),IFERROR(-VALUE(LEFT(E4300,FIND("º",SUBSTITUTE(E4300,"°","º"))-1)),-1),IF(LEFT(E4300,6)="TÉRREO",0,IFERROR(VALUE(LEFT(E4300,FIND("º",SUBSTITUTE(E4300,"°","º"))-1)),""))))</f>
        <v/>
      </c>
      <c r="O4300" s="2">
        <f>IF(OR(F4300="",G4300=""),"",IF(G4300&lt;='RETRATO 2027'!$K$5,"CONCLUÍDA",IF(F4300&lt;='RETRATO 2027'!$K$5,"EM ANDAMENTO","A INICIAR")))</f>
        <v/>
      </c>
    </row>
    <row r="4301">
      <c r="M4301" s="2">
        <f>IF(C4301="","",IFERROR(INDEX($S$5:$S$304,MATCH(C4301,$R$5:$R$304,0))&amp;"","?"))</f>
        <v/>
      </c>
      <c r="N4301" s="2">
        <f>IF(E4301="","",IF(ISNUMBER(SEARCH("SUBSOLO",E4301)),IFERROR(-VALUE(LEFT(E4301,FIND("º",SUBSTITUTE(E4301,"°","º"))-1)),-1),IF(LEFT(E4301,6)="TÉRREO",0,IFERROR(VALUE(LEFT(E4301,FIND("º",SUBSTITUTE(E4301,"°","º"))-1)),""))))</f>
        <v/>
      </c>
      <c r="O4301" s="2">
        <f>IF(OR(F4301="",G4301=""),"",IF(G4301&lt;='RETRATO 2027'!$K$5,"CONCLUÍDA",IF(F4301&lt;='RETRATO 2027'!$K$5,"EM ANDAMENTO","A INICIAR")))</f>
        <v/>
      </c>
    </row>
    <row r="4302">
      <c r="M4302" s="2">
        <f>IF(C4302="","",IFERROR(INDEX($S$5:$S$304,MATCH(C4302,$R$5:$R$304,0))&amp;"","?"))</f>
        <v/>
      </c>
      <c r="N4302" s="2">
        <f>IF(E4302="","",IF(ISNUMBER(SEARCH("SUBSOLO",E4302)),IFERROR(-VALUE(LEFT(E4302,FIND("º",SUBSTITUTE(E4302,"°","º"))-1)),-1),IF(LEFT(E4302,6)="TÉRREO",0,IFERROR(VALUE(LEFT(E4302,FIND("º",SUBSTITUTE(E4302,"°","º"))-1)),""))))</f>
        <v/>
      </c>
      <c r="O4302" s="2">
        <f>IF(OR(F4302="",G4302=""),"",IF(G4302&lt;='RETRATO 2027'!$K$5,"CONCLUÍDA",IF(F4302&lt;='RETRATO 2027'!$K$5,"EM ANDAMENTO","A INICIAR")))</f>
        <v/>
      </c>
    </row>
    <row r="4303">
      <c r="M4303" s="2">
        <f>IF(C4303="","",IFERROR(INDEX($S$5:$S$304,MATCH(C4303,$R$5:$R$304,0))&amp;"","?"))</f>
        <v/>
      </c>
      <c r="N4303" s="2">
        <f>IF(E4303="","",IF(ISNUMBER(SEARCH("SUBSOLO",E4303)),IFERROR(-VALUE(LEFT(E4303,FIND("º",SUBSTITUTE(E4303,"°","º"))-1)),-1),IF(LEFT(E4303,6)="TÉRREO",0,IFERROR(VALUE(LEFT(E4303,FIND("º",SUBSTITUTE(E4303,"°","º"))-1)),""))))</f>
        <v/>
      </c>
      <c r="O4303" s="2">
        <f>IF(OR(F4303="",G4303=""),"",IF(G4303&lt;='RETRATO 2027'!$K$5,"CONCLUÍDA",IF(F4303&lt;='RETRATO 2027'!$K$5,"EM ANDAMENTO","A INICIAR")))</f>
        <v/>
      </c>
    </row>
    <row r="4304">
      <c r="M4304" s="2">
        <f>IF(C4304="","",IFERROR(INDEX($S$5:$S$304,MATCH(C4304,$R$5:$R$304,0))&amp;"","?"))</f>
        <v/>
      </c>
      <c r="N4304" s="2">
        <f>IF(E4304="","",IF(ISNUMBER(SEARCH("SUBSOLO",E4304)),IFERROR(-VALUE(LEFT(E4304,FIND("º",SUBSTITUTE(E4304,"°","º"))-1)),-1),IF(LEFT(E4304,6)="TÉRREO",0,IFERROR(VALUE(LEFT(E4304,FIND("º",SUBSTITUTE(E4304,"°","º"))-1)),""))))</f>
        <v/>
      </c>
      <c r="O4304" s="2">
        <f>IF(OR(F4304="",G4304=""),"",IF(G4304&lt;='RETRATO 2027'!$K$5,"CONCLUÍDA",IF(F4304&lt;='RETRATO 2027'!$K$5,"EM ANDAMENTO","A INICIAR")))</f>
        <v/>
      </c>
    </row>
    <row r="4305">
      <c r="M4305" s="2">
        <f>IF(C4305="","",IFERROR(INDEX($S$5:$S$304,MATCH(C4305,$R$5:$R$304,0))&amp;"","?"))</f>
        <v/>
      </c>
      <c r="N4305" s="2">
        <f>IF(E4305="","",IF(ISNUMBER(SEARCH("SUBSOLO",E4305)),IFERROR(-VALUE(LEFT(E4305,FIND("º",SUBSTITUTE(E4305,"°","º"))-1)),-1),IF(LEFT(E4305,6)="TÉRREO",0,IFERROR(VALUE(LEFT(E4305,FIND("º",SUBSTITUTE(E4305,"°","º"))-1)),""))))</f>
        <v/>
      </c>
      <c r="O4305" s="2">
        <f>IF(OR(F4305="",G4305=""),"",IF(G4305&lt;='RETRATO 2027'!$K$5,"CONCLUÍDA",IF(F4305&lt;='RETRATO 2027'!$K$5,"EM ANDAMENTO","A INICIAR")))</f>
        <v/>
      </c>
    </row>
    <row r="4306">
      <c r="M4306" s="2">
        <f>IF(C4306="","",IFERROR(INDEX($S$5:$S$304,MATCH(C4306,$R$5:$R$304,0))&amp;"","?"))</f>
        <v/>
      </c>
      <c r="N4306" s="2">
        <f>IF(E4306="","",IF(ISNUMBER(SEARCH("SUBSOLO",E4306)),IFERROR(-VALUE(LEFT(E4306,FIND("º",SUBSTITUTE(E4306,"°","º"))-1)),-1),IF(LEFT(E4306,6)="TÉRREO",0,IFERROR(VALUE(LEFT(E4306,FIND("º",SUBSTITUTE(E4306,"°","º"))-1)),""))))</f>
        <v/>
      </c>
      <c r="O4306" s="2">
        <f>IF(OR(F4306="",G4306=""),"",IF(G4306&lt;='RETRATO 2027'!$K$5,"CONCLUÍDA",IF(F4306&lt;='RETRATO 2027'!$K$5,"EM ANDAMENTO","A INICIAR")))</f>
        <v/>
      </c>
    </row>
    <row r="4307">
      <c r="M4307" s="2">
        <f>IF(C4307="","",IFERROR(INDEX($S$5:$S$304,MATCH(C4307,$R$5:$R$304,0))&amp;"","?"))</f>
        <v/>
      </c>
      <c r="N4307" s="2">
        <f>IF(E4307="","",IF(ISNUMBER(SEARCH("SUBSOLO",E4307)),IFERROR(-VALUE(LEFT(E4307,FIND("º",SUBSTITUTE(E4307,"°","º"))-1)),-1),IF(LEFT(E4307,6)="TÉRREO",0,IFERROR(VALUE(LEFT(E4307,FIND("º",SUBSTITUTE(E4307,"°","º"))-1)),""))))</f>
        <v/>
      </c>
      <c r="O4307" s="2">
        <f>IF(OR(F4307="",G4307=""),"",IF(G4307&lt;='RETRATO 2027'!$K$5,"CONCLUÍDA",IF(F4307&lt;='RETRATO 2027'!$K$5,"EM ANDAMENTO","A INICIAR")))</f>
        <v/>
      </c>
    </row>
    <row r="4308">
      <c r="M4308" s="2">
        <f>IF(C4308="","",IFERROR(INDEX($S$5:$S$304,MATCH(C4308,$R$5:$R$304,0))&amp;"","?"))</f>
        <v/>
      </c>
      <c r="N4308" s="2">
        <f>IF(E4308="","",IF(ISNUMBER(SEARCH("SUBSOLO",E4308)),IFERROR(-VALUE(LEFT(E4308,FIND("º",SUBSTITUTE(E4308,"°","º"))-1)),-1),IF(LEFT(E4308,6)="TÉRREO",0,IFERROR(VALUE(LEFT(E4308,FIND("º",SUBSTITUTE(E4308,"°","º"))-1)),""))))</f>
        <v/>
      </c>
      <c r="O4308" s="2">
        <f>IF(OR(F4308="",G4308=""),"",IF(G4308&lt;='RETRATO 2027'!$K$5,"CONCLUÍDA",IF(F4308&lt;='RETRATO 2027'!$K$5,"EM ANDAMENTO","A INICIAR")))</f>
        <v/>
      </c>
    </row>
    <row r="4309">
      <c r="M4309" s="2">
        <f>IF(C4309="","",IFERROR(INDEX($S$5:$S$304,MATCH(C4309,$R$5:$R$304,0))&amp;"","?"))</f>
        <v/>
      </c>
      <c r="N4309" s="2">
        <f>IF(E4309="","",IF(ISNUMBER(SEARCH("SUBSOLO",E4309)),IFERROR(-VALUE(LEFT(E4309,FIND("º",SUBSTITUTE(E4309,"°","º"))-1)),-1),IF(LEFT(E4309,6)="TÉRREO",0,IFERROR(VALUE(LEFT(E4309,FIND("º",SUBSTITUTE(E4309,"°","º"))-1)),""))))</f>
        <v/>
      </c>
      <c r="O4309" s="2">
        <f>IF(OR(F4309="",G4309=""),"",IF(G4309&lt;='RETRATO 2027'!$K$5,"CONCLUÍDA",IF(F4309&lt;='RETRATO 2027'!$K$5,"EM ANDAMENTO","A INICIAR")))</f>
        <v/>
      </c>
    </row>
    <row r="4310">
      <c r="M4310" s="2">
        <f>IF(C4310="","",IFERROR(INDEX($S$5:$S$304,MATCH(C4310,$R$5:$R$304,0))&amp;"","?"))</f>
        <v/>
      </c>
      <c r="N4310" s="2">
        <f>IF(E4310="","",IF(ISNUMBER(SEARCH("SUBSOLO",E4310)),IFERROR(-VALUE(LEFT(E4310,FIND("º",SUBSTITUTE(E4310,"°","º"))-1)),-1),IF(LEFT(E4310,6)="TÉRREO",0,IFERROR(VALUE(LEFT(E4310,FIND("º",SUBSTITUTE(E4310,"°","º"))-1)),""))))</f>
        <v/>
      </c>
      <c r="O4310" s="2">
        <f>IF(OR(F4310="",G4310=""),"",IF(G4310&lt;='RETRATO 2027'!$K$5,"CONCLUÍDA",IF(F4310&lt;='RETRATO 2027'!$K$5,"EM ANDAMENTO","A INICIAR")))</f>
        <v/>
      </c>
    </row>
    <row r="4311">
      <c r="M4311" s="2">
        <f>IF(C4311="","",IFERROR(INDEX($S$5:$S$304,MATCH(C4311,$R$5:$R$304,0))&amp;"","?"))</f>
        <v/>
      </c>
      <c r="N4311" s="2">
        <f>IF(E4311="","",IF(ISNUMBER(SEARCH("SUBSOLO",E4311)),IFERROR(-VALUE(LEFT(E4311,FIND("º",SUBSTITUTE(E4311,"°","º"))-1)),-1),IF(LEFT(E4311,6)="TÉRREO",0,IFERROR(VALUE(LEFT(E4311,FIND("º",SUBSTITUTE(E4311,"°","º"))-1)),""))))</f>
        <v/>
      </c>
      <c r="O4311" s="2">
        <f>IF(OR(F4311="",G4311=""),"",IF(G4311&lt;='RETRATO 2027'!$K$5,"CONCLUÍDA",IF(F4311&lt;='RETRATO 2027'!$K$5,"EM ANDAMENTO","A INICIAR")))</f>
        <v/>
      </c>
    </row>
    <row r="4312">
      <c r="M4312" s="2">
        <f>IF(C4312="","",IFERROR(INDEX($S$5:$S$304,MATCH(C4312,$R$5:$R$304,0))&amp;"","?"))</f>
        <v/>
      </c>
      <c r="N4312" s="2">
        <f>IF(E4312="","",IF(ISNUMBER(SEARCH("SUBSOLO",E4312)),IFERROR(-VALUE(LEFT(E4312,FIND("º",SUBSTITUTE(E4312,"°","º"))-1)),-1),IF(LEFT(E4312,6)="TÉRREO",0,IFERROR(VALUE(LEFT(E4312,FIND("º",SUBSTITUTE(E4312,"°","º"))-1)),""))))</f>
        <v/>
      </c>
      <c r="O4312" s="2">
        <f>IF(OR(F4312="",G4312=""),"",IF(G4312&lt;='RETRATO 2027'!$K$5,"CONCLUÍDA",IF(F4312&lt;='RETRATO 2027'!$K$5,"EM ANDAMENTO","A INICIAR")))</f>
        <v/>
      </c>
    </row>
    <row r="4313">
      <c r="M4313" s="2">
        <f>IF(C4313="","",IFERROR(INDEX($S$5:$S$304,MATCH(C4313,$R$5:$R$304,0))&amp;"","?"))</f>
        <v/>
      </c>
      <c r="N4313" s="2">
        <f>IF(E4313="","",IF(ISNUMBER(SEARCH("SUBSOLO",E4313)),IFERROR(-VALUE(LEFT(E4313,FIND("º",SUBSTITUTE(E4313,"°","º"))-1)),-1),IF(LEFT(E4313,6)="TÉRREO",0,IFERROR(VALUE(LEFT(E4313,FIND("º",SUBSTITUTE(E4313,"°","º"))-1)),""))))</f>
        <v/>
      </c>
      <c r="O4313" s="2">
        <f>IF(OR(F4313="",G4313=""),"",IF(G4313&lt;='RETRATO 2027'!$K$5,"CONCLUÍDA",IF(F4313&lt;='RETRATO 2027'!$K$5,"EM ANDAMENTO","A INICIAR")))</f>
        <v/>
      </c>
    </row>
    <row r="4314">
      <c r="M4314" s="2">
        <f>IF(C4314="","",IFERROR(INDEX($S$5:$S$304,MATCH(C4314,$R$5:$R$304,0))&amp;"","?"))</f>
        <v/>
      </c>
      <c r="N4314" s="2">
        <f>IF(E4314="","",IF(ISNUMBER(SEARCH("SUBSOLO",E4314)),IFERROR(-VALUE(LEFT(E4314,FIND("º",SUBSTITUTE(E4314,"°","º"))-1)),-1),IF(LEFT(E4314,6)="TÉRREO",0,IFERROR(VALUE(LEFT(E4314,FIND("º",SUBSTITUTE(E4314,"°","º"))-1)),""))))</f>
        <v/>
      </c>
      <c r="O4314" s="2">
        <f>IF(OR(F4314="",G4314=""),"",IF(G4314&lt;='RETRATO 2027'!$K$5,"CONCLUÍDA",IF(F4314&lt;='RETRATO 2027'!$K$5,"EM ANDAMENTO","A INICIAR")))</f>
        <v/>
      </c>
    </row>
    <row r="4315">
      <c r="M4315" s="2">
        <f>IF(C4315="","",IFERROR(INDEX($S$5:$S$304,MATCH(C4315,$R$5:$R$304,0))&amp;"","?"))</f>
        <v/>
      </c>
      <c r="N4315" s="2">
        <f>IF(E4315="","",IF(ISNUMBER(SEARCH("SUBSOLO",E4315)),IFERROR(-VALUE(LEFT(E4315,FIND("º",SUBSTITUTE(E4315,"°","º"))-1)),-1),IF(LEFT(E4315,6)="TÉRREO",0,IFERROR(VALUE(LEFT(E4315,FIND("º",SUBSTITUTE(E4315,"°","º"))-1)),""))))</f>
        <v/>
      </c>
      <c r="O4315" s="2">
        <f>IF(OR(F4315="",G4315=""),"",IF(G4315&lt;='RETRATO 2027'!$K$5,"CONCLUÍDA",IF(F4315&lt;='RETRATO 2027'!$K$5,"EM ANDAMENTO","A INICIAR")))</f>
        <v/>
      </c>
    </row>
    <row r="4316">
      <c r="M4316" s="2">
        <f>IF(C4316="","",IFERROR(INDEX($S$5:$S$304,MATCH(C4316,$R$5:$R$304,0))&amp;"","?"))</f>
        <v/>
      </c>
      <c r="N4316" s="2">
        <f>IF(E4316="","",IF(ISNUMBER(SEARCH("SUBSOLO",E4316)),IFERROR(-VALUE(LEFT(E4316,FIND("º",SUBSTITUTE(E4316,"°","º"))-1)),-1),IF(LEFT(E4316,6)="TÉRREO",0,IFERROR(VALUE(LEFT(E4316,FIND("º",SUBSTITUTE(E4316,"°","º"))-1)),""))))</f>
        <v/>
      </c>
      <c r="O4316" s="2">
        <f>IF(OR(F4316="",G4316=""),"",IF(G4316&lt;='RETRATO 2027'!$K$5,"CONCLUÍDA",IF(F4316&lt;='RETRATO 2027'!$K$5,"EM ANDAMENTO","A INICIAR")))</f>
        <v/>
      </c>
    </row>
    <row r="4317">
      <c r="M4317" s="2">
        <f>IF(C4317="","",IFERROR(INDEX($S$5:$S$304,MATCH(C4317,$R$5:$R$304,0))&amp;"","?"))</f>
        <v/>
      </c>
      <c r="N4317" s="2">
        <f>IF(E4317="","",IF(ISNUMBER(SEARCH("SUBSOLO",E4317)),IFERROR(-VALUE(LEFT(E4317,FIND("º",SUBSTITUTE(E4317,"°","º"))-1)),-1),IF(LEFT(E4317,6)="TÉRREO",0,IFERROR(VALUE(LEFT(E4317,FIND("º",SUBSTITUTE(E4317,"°","º"))-1)),""))))</f>
        <v/>
      </c>
      <c r="O4317" s="2">
        <f>IF(OR(F4317="",G4317=""),"",IF(G4317&lt;='RETRATO 2027'!$K$5,"CONCLUÍDA",IF(F4317&lt;='RETRATO 2027'!$K$5,"EM ANDAMENTO","A INICIAR")))</f>
        <v/>
      </c>
    </row>
    <row r="4318">
      <c r="M4318" s="2">
        <f>IF(C4318="","",IFERROR(INDEX($S$5:$S$304,MATCH(C4318,$R$5:$R$304,0))&amp;"","?"))</f>
        <v/>
      </c>
      <c r="N4318" s="2">
        <f>IF(E4318="","",IF(ISNUMBER(SEARCH("SUBSOLO",E4318)),IFERROR(-VALUE(LEFT(E4318,FIND("º",SUBSTITUTE(E4318,"°","º"))-1)),-1),IF(LEFT(E4318,6)="TÉRREO",0,IFERROR(VALUE(LEFT(E4318,FIND("º",SUBSTITUTE(E4318,"°","º"))-1)),""))))</f>
        <v/>
      </c>
      <c r="O4318" s="2">
        <f>IF(OR(F4318="",G4318=""),"",IF(G4318&lt;='RETRATO 2027'!$K$5,"CONCLUÍDA",IF(F4318&lt;='RETRATO 2027'!$K$5,"EM ANDAMENTO","A INICIAR")))</f>
        <v/>
      </c>
    </row>
    <row r="4319">
      <c r="M4319" s="2">
        <f>IF(C4319="","",IFERROR(INDEX($S$5:$S$304,MATCH(C4319,$R$5:$R$304,0))&amp;"","?"))</f>
        <v/>
      </c>
      <c r="N4319" s="2">
        <f>IF(E4319="","",IF(ISNUMBER(SEARCH("SUBSOLO",E4319)),IFERROR(-VALUE(LEFT(E4319,FIND("º",SUBSTITUTE(E4319,"°","º"))-1)),-1),IF(LEFT(E4319,6)="TÉRREO",0,IFERROR(VALUE(LEFT(E4319,FIND("º",SUBSTITUTE(E4319,"°","º"))-1)),""))))</f>
        <v/>
      </c>
      <c r="O4319" s="2">
        <f>IF(OR(F4319="",G4319=""),"",IF(G4319&lt;='RETRATO 2027'!$K$5,"CONCLUÍDA",IF(F4319&lt;='RETRATO 2027'!$K$5,"EM ANDAMENTO","A INICIAR")))</f>
        <v/>
      </c>
    </row>
    <row r="4320">
      <c r="M4320" s="2">
        <f>IF(C4320="","",IFERROR(INDEX($S$5:$S$304,MATCH(C4320,$R$5:$R$304,0))&amp;"","?"))</f>
        <v/>
      </c>
      <c r="N4320" s="2">
        <f>IF(E4320="","",IF(ISNUMBER(SEARCH("SUBSOLO",E4320)),IFERROR(-VALUE(LEFT(E4320,FIND("º",SUBSTITUTE(E4320,"°","º"))-1)),-1),IF(LEFT(E4320,6)="TÉRREO",0,IFERROR(VALUE(LEFT(E4320,FIND("º",SUBSTITUTE(E4320,"°","º"))-1)),""))))</f>
        <v/>
      </c>
      <c r="O4320" s="2">
        <f>IF(OR(F4320="",G4320=""),"",IF(G4320&lt;='RETRATO 2027'!$K$5,"CONCLUÍDA",IF(F4320&lt;='RETRATO 2027'!$K$5,"EM ANDAMENTO","A INICIAR")))</f>
        <v/>
      </c>
    </row>
    <row r="4321">
      <c r="M4321" s="2">
        <f>IF(C4321="","",IFERROR(INDEX($S$5:$S$304,MATCH(C4321,$R$5:$R$304,0))&amp;"","?"))</f>
        <v/>
      </c>
      <c r="N4321" s="2">
        <f>IF(E4321="","",IF(ISNUMBER(SEARCH("SUBSOLO",E4321)),IFERROR(-VALUE(LEFT(E4321,FIND("º",SUBSTITUTE(E4321,"°","º"))-1)),-1),IF(LEFT(E4321,6)="TÉRREO",0,IFERROR(VALUE(LEFT(E4321,FIND("º",SUBSTITUTE(E4321,"°","º"))-1)),""))))</f>
        <v/>
      </c>
      <c r="O4321" s="2">
        <f>IF(OR(F4321="",G4321=""),"",IF(G4321&lt;='RETRATO 2027'!$K$5,"CONCLUÍDA",IF(F4321&lt;='RETRATO 2027'!$K$5,"EM ANDAMENTO","A INICIAR")))</f>
        <v/>
      </c>
    </row>
    <row r="4322">
      <c r="M4322" s="2">
        <f>IF(C4322="","",IFERROR(INDEX($S$5:$S$304,MATCH(C4322,$R$5:$R$304,0))&amp;"","?"))</f>
        <v/>
      </c>
      <c r="N4322" s="2">
        <f>IF(E4322="","",IF(ISNUMBER(SEARCH("SUBSOLO",E4322)),IFERROR(-VALUE(LEFT(E4322,FIND("º",SUBSTITUTE(E4322,"°","º"))-1)),-1),IF(LEFT(E4322,6)="TÉRREO",0,IFERROR(VALUE(LEFT(E4322,FIND("º",SUBSTITUTE(E4322,"°","º"))-1)),""))))</f>
        <v/>
      </c>
      <c r="O4322" s="2">
        <f>IF(OR(F4322="",G4322=""),"",IF(G4322&lt;='RETRATO 2027'!$K$5,"CONCLUÍDA",IF(F4322&lt;='RETRATO 2027'!$K$5,"EM ANDAMENTO","A INICIAR")))</f>
        <v/>
      </c>
    </row>
    <row r="4323">
      <c r="M4323" s="2">
        <f>IF(C4323="","",IFERROR(INDEX($S$5:$S$304,MATCH(C4323,$R$5:$R$304,0))&amp;"","?"))</f>
        <v/>
      </c>
      <c r="N4323" s="2">
        <f>IF(E4323="","",IF(ISNUMBER(SEARCH("SUBSOLO",E4323)),IFERROR(-VALUE(LEFT(E4323,FIND("º",SUBSTITUTE(E4323,"°","º"))-1)),-1),IF(LEFT(E4323,6)="TÉRREO",0,IFERROR(VALUE(LEFT(E4323,FIND("º",SUBSTITUTE(E4323,"°","º"))-1)),""))))</f>
        <v/>
      </c>
      <c r="O4323" s="2">
        <f>IF(OR(F4323="",G4323=""),"",IF(G4323&lt;='RETRATO 2027'!$K$5,"CONCLUÍDA",IF(F4323&lt;='RETRATO 2027'!$K$5,"EM ANDAMENTO","A INICIAR")))</f>
        <v/>
      </c>
    </row>
    <row r="4324">
      <c r="M4324" s="2">
        <f>IF(C4324="","",IFERROR(INDEX($S$5:$S$304,MATCH(C4324,$R$5:$R$304,0))&amp;"","?"))</f>
        <v/>
      </c>
      <c r="N4324" s="2">
        <f>IF(E4324="","",IF(ISNUMBER(SEARCH("SUBSOLO",E4324)),IFERROR(-VALUE(LEFT(E4324,FIND("º",SUBSTITUTE(E4324,"°","º"))-1)),-1),IF(LEFT(E4324,6)="TÉRREO",0,IFERROR(VALUE(LEFT(E4324,FIND("º",SUBSTITUTE(E4324,"°","º"))-1)),""))))</f>
        <v/>
      </c>
      <c r="O4324" s="2">
        <f>IF(OR(F4324="",G4324=""),"",IF(G4324&lt;='RETRATO 2027'!$K$5,"CONCLUÍDA",IF(F4324&lt;='RETRATO 2027'!$K$5,"EM ANDAMENTO","A INICIAR")))</f>
        <v/>
      </c>
    </row>
    <row r="4325">
      <c r="M4325" s="2">
        <f>IF(C4325="","",IFERROR(INDEX($S$5:$S$304,MATCH(C4325,$R$5:$R$304,0))&amp;"","?"))</f>
        <v/>
      </c>
      <c r="N4325" s="2">
        <f>IF(E4325="","",IF(ISNUMBER(SEARCH("SUBSOLO",E4325)),IFERROR(-VALUE(LEFT(E4325,FIND("º",SUBSTITUTE(E4325,"°","º"))-1)),-1),IF(LEFT(E4325,6)="TÉRREO",0,IFERROR(VALUE(LEFT(E4325,FIND("º",SUBSTITUTE(E4325,"°","º"))-1)),""))))</f>
        <v/>
      </c>
      <c r="O4325" s="2">
        <f>IF(OR(F4325="",G4325=""),"",IF(G4325&lt;='RETRATO 2027'!$K$5,"CONCLUÍDA",IF(F4325&lt;='RETRATO 2027'!$K$5,"EM ANDAMENTO","A INICIAR")))</f>
        <v/>
      </c>
    </row>
    <row r="4326">
      <c r="M4326" s="2">
        <f>IF(C4326="","",IFERROR(INDEX($S$5:$S$304,MATCH(C4326,$R$5:$R$304,0))&amp;"","?"))</f>
        <v/>
      </c>
      <c r="N4326" s="2">
        <f>IF(E4326="","",IF(ISNUMBER(SEARCH("SUBSOLO",E4326)),IFERROR(-VALUE(LEFT(E4326,FIND("º",SUBSTITUTE(E4326,"°","º"))-1)),-1),IF(LEFT(E4326,6)="TÉRREO",0,IFERROR(VALUE(LEFT(E4326,FIND("º",SUBSTITUTE(E4326,"°","º"))-1)),""))))</f>
        <v/>
      </c>
      <c r="O4326" s="2">
        <f>IF(OR(F4326="",G4326=""),"",IF(G4326&lt;='RETRATO 2027'!$K$5,"CONCLUÍDA",IF(F4326&lt;='RETRATO 2027'!$K$5,"EM ANDAMENTO","A INICIAR")))</f>
        <v/>
      </c>
    </row>
    <row r="4327">
      <c r="M4327" s="2">
        <f>IF(C4327="","",IFERROR(INDEX($S$5:$S$304,MATCH(C4327,$R$5:$R$304,0))&amp;"","?"))</f>
        <v/>
      </c>
      <c r="N4327" s="2">
        <f>IF(E4327="","",IF(ISNUMBER(SEARCH("SUBSOLO",E4327)),IFERROR(-VALUE(LEFT(E4327,FIND("º",SUBSTITUTE(E4327,"°","º"))-1)),-1),IF(LEFT(E4327,6)="TÉRREO",0,IFERROR(VALUE(LEFT(E4327,FIND("º",SUBSTITUTE(E4327,"°","º"))-1)),""))))</f>
        <v/>
      </c>
      <c r="O4327" s="2">
        <f>IF(OR(F4327="",G4327=""),"",IF(G4327&lt;='RETRATO 2027'!$K$5,"CONCLUÍDA",IF(F4327&lt;='RETRATO 2027'!$K$5,"EM ANDAMENTO","A INICIAR")))</f>
        <v/>
      </c>
    </row>
    <row r="4328">
      <c r="M4328" s="2">
        <f>IF(C4328="","",IFERROR(INDEX($S$5:$S$304,MATCH(C4328,$R$5:$R$304,0))&amp;"","?"))</f>
        <v/>
      </c>
      <c r="N4328" s="2">
        <f>IF(E4328="","",IF(ISNUMBER(SEARCH("SUBSOLO",E4328)),IFERROR(-VALUE(LEFT(E4328,FIND("º",SUBSTITUTE(E4328,"°","º"))-1)),-1),IF(LEFT(E4328,6)="TÉRREO",0,IFERROR(VALUE(LEFT(E4328,FIND("º",SUBSTITUTE(E4328,"°","º"))-1)),""))))</f>
        <v/>
      </c>
      <c r="O4328" s="2">
        <f>IF(OR(F4328="",G4328=""),"",IF(G4328&lt;='RETRATO 2027'!$K$5,"CONCLUÍDA",IF(F4328&lt;='RETRATO 2027'!$K$5,"EM ANDAMENTO","A INICIAR")))</f>
        <v/>
      </c>
    </row>
    <row r="4329">
      <c r="M4329" s="2">
        <f>IF(C4329="","",IFERROR(INDEX($S$5:$S$304,MATCH(C4329,$R$5:$R$304,0))&amp;"","?"))</f>
        <v/>
      </c>
      <c r="N4329" s="2">
        <f>IF(E4329="","",IF(ISNUMBER(SEARCH("SUBSOLO",E4329)),IFERROR(-VALUE(LEFT(E4329,FIND("º",SUBSTITUTE(E4329,"°","º"))-1)),-1),IF(LEFT(E4329,6)="TÉRREO",0,IFERROR(VALUE(LEFT(E4329,FIND("º",SUBSTITUTE(E4329,"°","º"))-1)),""))))</f>
        <v/>
      </c>
      <c r="O4329" s="2">
        <f>IF(OR(F4329="",G4329=""),"",IF(G4329&lt;='RETRATO 2027'!$K$5,"CONCLUÍDA",IF(F4329&lt;='RETRATO 2027'!$K$5,"EM ANDAMENTO","A INICIAR")))</f>
        <v/>
      </c>
    </row>
    <row r="4330">
      <c r="M4330" s="2">
        <f>IF(C4330="","",IFERROR(INDEX($S$5:$S$304,MATCH(C4330,$R$5:$R$304,0))&amp;"","?"))</f>
        <v/>
      </c>
      <c r="N4330" s="2">
        <f>IF(E4330="","",IF(ISNUMBER(SEARCH("SUBSOLO",E4330)),IFERROR(-VALUE(LEFT(E4330,FIND("º",SUBSTITUTE(E4330,"°","º"))-1)),-1),IF(LEFT(E4330,6)="TÉRREO",0,IFERROR(VALUE(LEFT(E4330,FIND("º",SUBSTITUTE(E4330,"°","º"))-1)),""))))</f>
        <v/>
      </c>
      <c r="O4330" s="2">
        <f>IF(OR(F4330="",G4330=""),"",IF(G4330&lt;='RETRATO 2027'!$K$5,"CONCLUÍDA",IF(F4330&lt;='RETRATO 2027'!$K$5,"EM ANDAMENTO","A INICIAR")))</f>
        <v/>
      </c>
    </row>
    <row r="4331">
      <c r="M4331" s="2">
        <f>IF(C4331="","",IFERROR(INDEX($S$5:$S$304,MATCH(C4331,$R$5:$R$304,0))&amp;"","?"))</f>
        <v/>
      </c>
      <c r="N4331" s="2">
        <f>IF(E4331="","",IF(ISNUMBER(SEARCH("SUBSOLO",E4331)),IFERROR(-VALUE(LEFT(E4331,FIND("º",SUBSTITUTE(E4331,"°","º"))-1)),-1),IF(LEFT(E4331,6)="TÉRREO",0,IFERROR(VALUE(LEFT(E4331,FIND("º",SUBSTITUTE(E4331,"°","º"))-1)),""))))</f>
        <v/>
      </c>
      <c r="O4331" s="2">
        <f>IF(OR(F4331="",G4331=""),"",IF(G4331&lt;='RETRATO 2027'!$K$5,"CONCLUÍDA",IF(F4331&lt;='RETRATO 2027'!$K$5,"EM ANDAMENTO","A INICIAR")))</f>
        <v/>
      </c>
    </row>
    <row r="4332">
      <c r="M4332" s="2">
        <f>IF(C4332="","",IFERROR(INDEX($S$5:$S$304,MATCH(C4332,$R$5:$R$304,0))&amp;"","?"))</f>
        <v/>
      </c>
      <c r="N4332" s="2">
        <f>IF(E4332="","",IF(ISNUMBER(SEARCH("SUBSOLO",E4332)),IFERROR(-VALUE(LEFT(E4332,FIND("º",SUBSTITUTE(E4332,"°","º"))-1)),-1),IF(LEFT(E4332,6)="TÉRREO",0,IFERROR(VALUE(LEFT(E4332,FIND("º",SUBSTITUTE(E4332,"°","º"))-1)),""))))</f>
        <v/>
      </c>
      <c r="O4332" s="2">
        <f>IF(OR(F4332="",G4332=""),"",IF(G4332&lt;='RETRATO 2027'!$K$5,"CONCLUÍDA",IF(F4332&lt;='RETRATO 2027'!$K$5,"EM ANDAMENTO","A INICIAR")))</f>
        <v/>
      </c>
    </row>
    <row r="4333">
      <c r="M4333" s="2">
        <f>IF(C4333="","",IFERROR(INDEX($S$5:$S$304,MATCH(C4333,$R$5:$R$304,0))&amp;"","?"))</f>
        <v/>
      </c>
      <c r="N4333" s="2">
        <f>IF(E4333="","",IF(ISNUMBER(SEARCH("SUBSOLO",E4333)),IFERROR(-VALUE(LEFT(E4333,FIND("º",SUBSTITUTE(E4333,"°","º"))-1)),-1),IF(LEFT(E4333,6)="TÉRREO",0,IFERROR(VALUE(LEFT(E4333,FIND("º",SUBSTITUTE(E4333,"°","º"))-1)),""))))</f>
        <v/>
      </c>
      <c r="O4333" s="2">
        <f>IF(OR(F4333="",G4333=""),"",IF(G4333&lt;='RETRATO 2027'!$K$5,"CONCLUÍDA",IF(F4333&lt;='RETRATO 2027'!$K$5,"EM ANDAMENTO","A INICIAR")))</f>
        <v/>
      </c>
    </row>
    <row r="4334">
      <c r="M4334" s="2">
        <f>IF(C4334="","",IFERROR(INDEX($S$5:$S$304,MATCH(C4334,$R$5:$R$304,0))&amp;"","?"))</f>
        <v/>
      </c>
      <c r="N4334" s="2">
        <f>IF(E4334="","",IF(ISNUMBER(SEARCH("SUBSOLO",E4334)),IFERROR(-VALUE(LEFT(E4334,FIND("º",SUBSTITUTE(E4334,"°","º"))-1)),-1),IF(LEFT(E4334,6)="TÉRREO",0,IFERROR(VALUE(LEFT(E4334,FIND("º",SUBSTITUTE(E4334,"°","º"))-1)),""))))</f>
        <v/>
      </c>
      <c r="O4334" s="2">
        <f>IF(OR(F4334="",G4334=""),"",IF(G4334&lt;='RETRATO 2027'!$K$5,"CONCLUÍDA",IF(F4334&lt;='RETRATO 2027'!$K$5,"EM ANDAMENTO","A INICIAR")))</f>
        <v/>
      </c>
    </row>
    <row r="4335">
      <c r="M4335" s="2">
        <f>IF(C4335="","",IFERROR(INDEX($S$5:$S$304,MATCH(C4335,$R$5:$R$304,0))&amp;"","?"))</f>
        <v/>
      </c>
      <c r="N4335" s="2">
        <f>IF(E4335="","",IF(ISNUMBER(SEARCH("SUBSOLO",E4335)),IFERROR(-VALUE(LEFT(E4335,FIND("º",SUBSTITUTE(E4335,"°","º"))-1)),-1),IF(LEFT(E4335,6)="TÉRREO",0,IFERROR(VALUE(LEFT(E4335,FIND("º",SUBSTITUTE(E4335,"°","º"))-1)),""))))</f>
        <v/>
      </c>
      <c r="O4335" s="2">
        <f>IF(OR(F4335="",G4335=""),"",IF(G4335&lt;='RETRATO 2027'!$K$5,"CONCLUÍDA",IF(F4335&lt;='RETRATO 2027'!$K$5,"EM ANDAMENTO","A INICIAR")))</f>
        <v/>
      </c>
    </row>
    <row r="4336">
      <c r="M4336" s="2">
        <f>IF(C4336="","",IFERROR(INDEX($S$5:$S$304,MATCH(C4336,$R$5:$R$304,0))&amp;"","?"))</f>
        <v/>
      </c>
      <c r="N4336" s="2">
        <f>IF(E4336="","",IF(ISNUMBER(SEARCH("SUBSOLO",E4336)),IFERROR(-VALUE(LEFT(E4336,FIND("º",SUBSTITUTE(E4336,"°","º"))-1)),-1),IF(LEFT(E4336,6)="TÉRREO",0,IFERROR(VALUE(LEFT(E4336,FIND("º",SUBSTITUTE(E4336,"°","º"))-1)),""))))</f>
        <v/>
      </c>
      <c r="O4336" s="2">
        <f>IF(OR(F4336="",G4336=""),"",IF(G4336&lt;='RETRATO 2027'!$K$5,"CONCLUÍDA",IF(F4336&lt;='RETRATO 2027'!$K$5,"EM ANDAMENTO","A INICIAR")))</f>
        <v/>
      </c>
    </row>
    <row r="4337">
      <c r="M4337" s="2">
        <f>IF(C4337="","",IFERROR(INDEX($S$5:$S$304,MATCH(C4337,$R$5:$R$304,0))&amp;"","?"))</f>
        <v/>
      </c>
      <c r="N4337" s="2">
        <f>IF(E4337="","",IF(ISNUMBER(SEARCH("SUBSOLO",E4337)),IFERROR(-VALUE(LEFT(E4337,FIND("º",SUBSTITUTE(E4337,"°","º"))-1)),-1),IF(LEFT(E4337,6)="TÉRREO",0,IFERROR(VALUE(LEFT(E4337,FIND("º",SUBSTITUTE(E4337,"°","º"))-1)),""))))</f>
        <v/>
      </c>
      <c r="O4337" s="2">
        <f>IF(OR(F4337="",G4337=""),"",IF(G4337&lt;='RETRATO 2027'!$K$5,"CONCLUÍDA",IF(F4337&lt;='RETRATO 2027'!$K$5,"EM ANDAMENTO","A INICIAR")))</f>
        <v/>
      </c>
    </row>
    <row r="4338">
      <c r="M4338" s="2">
        <f>IF(C4338="","",IFERROR(INDEX($S$5:$S$304,MATCH(C4338,$R$5:$R$304,0))&amp;"","?"))</f>
        <v/>
      </c>
      <c r="N4338" s="2">
        <f>IF(E4338="","",IF(ISNUMBER(SEARCH("SUBSOLO",E4338)),IFERROR(-VALUE(LEFT(E4338,FIND("º",SUBSTITUTE(E4338,"°","º"))-1)),-1),IF(LEFT(E4338,6)="TÉRREO",0,IFERROR(VALUE(LEFT(E4338,FIND("º",SUBSTITUTE(E4338,"°","º"))-1)),""))))</f>
        <v/>
      </c>
      <c r="O4338" s="2">
        <f>IF(OR(F4338="",G4338=""),"",IF(G4338&lt;='RETRATO 2027'!$K$5,"CONCLUÍDA",IF(F4338&lt;='RETRATO 2027'!$K$5,"EM ANDAMENTO","A INICIAR")))</f>
        <v/>
      </c>
    </row>
    <row r="4339">
      <c r="M4339" s="2">
        <f>IF(C4339="","",IFERROR(INDEX($S$5:$S$304,MATCH(C4339,$R$5:$R$304,0))&amp;"","?"))</f>
        <v/>
      </c>
      <c r="N4339" s="2">
        <f>IF(E4339="","",IF(ISNUMBER(SEARCH("SUBSOLO",E4339)),IFERROR(-VALUE(LEFT(E4339,FIND("º",SUBSTITUTE(E4339,"°","º"))-1)),-1),IF(LEFT(E4339,6)="TÉRREO",0,IFERROR(VALUE(LEFT(E4339,FIND("º",SUBSTITUTE(E4339,"°","º"))-1)),""))))</f>
        <v/>
      </c>
      <c r="O4339" s="2">
        <f>IF(OR(F4339="",G4339=""),"",IF(G4339&lt;='RETRATO 2027'!$K$5,"CONCLUÍDA",IF(F4339&lt;='RETRATO 2027'!$K$5,"EM ANDAMENTO","A INICIAR")))</f>
        <v/>
      </c>
    </row>
    <row r="4340">
      <c r="M4340" s="2">
        <f>IF(C4340="","",IFERROR(INDEX($S$5:$S$304,MATCH(C4340,$R$5:$R$304,0))&amp;"","?"))</f>
        <v/>
      </c>
      <c r="N4340" s="2">
        <f>IF(E4340="","",IF(ISNUMBER(SEARCH("SUBSOLO",E4340)),IFERROR(-VALUE(LEFT(E4340,FIND("º",SUBSTITUTE(E4340,"°","º"))-1)),-1),IF(LEFT(E4340,6)="TÉRREO",0,IFERROR(VALUE(LEFT(E4340,FIND("º",SUBSTITUTE(E4340,"°","º"))-1)),""))))</f>
        <v/>
      </c>
      <c r="O4340" s="2">
        <f>IF(OR(F4340="",G4340=""),"",IF(G4340&lt;='RETRATO 2027'!$K$5,"CONCLUÍDA",IF(F4340&lt;='RETRATO 2027'!$K$5,"EM ANDAMENTO","A INICIAR")))</f>
        <v/>
      </c>
    </row>
    <row r="4341">
      <c r="M4341" s="2">
        <f>IF(C4341="","",IFERROR(INDEX($S$5:$S$304,MATCH(C4341,$R$5:$R$304,0))&amp;"","?"))</f>
        <v/>
      </c>
      <c r="N4341" s="2">
        <f>IF(E4341="","",IF(ISNUMBER(SEARCH("SUBSOLO",E4341)),IFERROR(-VALUE(LEFT(E4341,FIND("º",SUBSTITUTE(E4341,"°","º"))-1)),-1),IF(LEFT(E4341,6)="TÉRREO",0,IFERROR(VALUE(LEFT(E4341,FIND("º",SUBSTITUTE(E4341,"°","º"))-1)),""))))</f>
        <v/>
      </c>
      <c r="O4341" s="2">
        <f>IF(OR(F4341="",G4341=""),"",IF(G4341&lt;='RETRATO 2027'!$K$5,"CONCLUÍDA",IF(F4341&lt;='RETRATO 2027'!$K$5,"EM ANDAMENTO","A INICIAR")))</f>
        <v/>
      </c>
    </row>
    <row r="4342">
      <c r="M4342" s="2">
        <f>IF(C4342="","",IFERROR(INDEX($S$5:$S$304,MATCH(C4342,$R$5:$R$304,0))&amp;"","?"))</f>
        <v/>
      </c>
      <c r="N4342" s="2">
        <f>IF(E4342="","",IF(ISNUMBER(SEARCH("SUBSOLO",E4342)),IFERROR(-VALUE(LEFT(E4342,FIND("º",SUBSTITUTE(E4342,"°","º"))-1)),-1),IF(LEFT(E4342,6)="TÉRREO",0,IFERROR(VALUE(LEFT(E4342,FIND("º",SUBSTITUTE(E4342,"°","º"))-1)),""))))</f>
        <v/>
      </c>
      <c r="O4342" s="2">
        <f>IF(OR(F4342="",G4342=""),"",IF(G4342&lt;='RETRATO 2027'!$K$5,"CONCLUÍDA",IF(F4342&lt;='RETRATO 2027'!$K$5,"EM ANDAMENTO","A INICIAR")))</f>
        <v/>
      </c>
    </row>
    <row r="4343">
      <c r="M4343" s="2">
        <f>IF(C4343="","",IFERROR(INDEX($S$5:$S$304,MATCH(C4343,$R$5:$R$304,0))&amp;"","?"))</f>
        <v/>
      </c>
      <c r="N4343" s="2">
        <f>IF(E4343="","",IF(ISNUMBER(SEARCH("SUBSOLO",E4343)),IFERROR(-VALUE(LEFT(E4343,FIND("º",SUBSTITUTE(E4343,"°","º"))-1)),-1),IF(LEFT(E4343,6)="TÉRREO",0,IFERROR(VALUE(LEFT(E4343,FIND("º",SUBSTITUTE(E4343,"°","º"))-1)),""))))</f>
        <v/>
      </c>
      <c r="O4343" s="2">
        <f>IF(OR(F4343="",G4343=""),"",IF(G4343&lt;='RETRATO 2027'!$K$5,"CONCLUÍDA",IF(F4343&lt;='RETRATO 2027'!$K$5,"EM ANDAMENTO","A INICIAR")))</f>
        <v/>
      </c>
    </row>
    <row r="4344">
      <c r="M4344" s="2">
        <f>IF(C4344="","",IFERROR(INDEX($S$5:$S$304,MATCH(C4344,$R$5:$R$304,0))&amp;"","?"))</f>
        <v/>
      </c>
      <c r="N4344" s="2">
        <f>IF(E4344="","",IF(ISNUMBER(SEARCH("SUBSOLO",E4344)),IFERROR(-VALUE(LEFT(E4344,FIND("º",SUBSTITUTE(E4344,"°","º"))-1)),-1),IF(LEFT(E4344,6)="TÉRREO",0,IFERROR(VALUE(LEFT(E4344,FIND("º",SUBSTITUTE(E4344,"°","º"))-1)),""))))</f>
        <v/>
      </c>
      <c r="O4344" s="2">
        <f>IF(OR(F4344="",G4344=""),"",IF(G4344&lt;='RETRATO 2027'!$K$5,"CONCLUÍDA",IF(F4344&lt;='RETRATO 2027'!$K$5,"EM ANDAMENTO","A INICIAR")))</f>
        <v/>
      </c>
    </row>
    <row r="4345">
      <c r="M4345" s="2">
        <f>IF(C4345="","",IFERROR(INDEX($S$5:$S$304,MATCH(C4345,$R$5:$R$304,0))&amp;"","?"))</f>
        <v/>
      </c>
      <c r="N4345" s="2">
        <f>IF(E4345="","",IF(ISNUMBER(SEARCH("SUBSOLO",E4345)),IFERROR(-VALUE(LEFT(E4345,FIND("º",SUBSTITUTE(E4345,"°","º"))-1)),-1),IF(LEFT(E4345,6)="TÉRREO",0,IFERROR(VALUE(LEFT(E4345,FIND("º",SUBSTITUTE(E4345,"°","º"))-1)),""))))</f>
        <v/>
      </c>
      <c r="O4345" s="2">
        <f>IF(OR(F4345="",G4345=""),"",IF(G4345&lt;='RETRATO 2027'!$K$5,"CONCLUÍDA",IF(F4345&lt;='RETRATO 2027'!$K$5,"EM ANDAMENTO","A INICIAR")))</f>
        <v/>
      </c>
    </row>
    <row r="4346">
      <c r="M4346" s="2">
        <f>IF(C4346="","",IFERROR(INDEX($S$5:$S$304,MATCH(C4346,$R$5:$R$304,0))&amp;"","?"))</f>
        <v/>
      </c>
      <c r="N4346" s="2">
        <f>IF(E4346="","",IF(ISNUMBER(SEARCH("SUBSOLO",E4346)),IFERROR(-VALUE(LEFT(E4346,FIND("º",SUBSTITUTE(E4346,"°","º"))-1)),-1),IF(LEFT(E4346,6)="TÉRREO",0,IFERROR(VALUE(LEFT(E4346,FIND("º",SUBSTITUTE(E4346,"°","º"))-1)),""))))</f>
        <v/>
      </c>
      <c r="O4346" s="2">
        <f>IF(OR(F4346="",G4346=""),"",IF(G4346&lt;='RETRATO 2027'!$K$5,"CONCLUÍDA",IF(F4346&lt;='RETRATO 2027'!$K$5,"EM ANDAMENTO","A INICIAR")))</f>
        <v/>
      </c>
    </row>
    <row r="4347">
      <c r="M4347" s="2">
        <f>IF(C4347="","",IFERROR(INDEX($S$5:$S$304,MATCH(C4347,$R$5:$R$304,0))&amp;"","?"))</f>
        <v/>
      </c>
      <c r="N4347" s="2">
        <f>IF(E4347="","",IF(ISNUMBER(SEARCH("SUBSOLO",E4347)),IFERROR(-VALUE(LEFT(E4347,FIND("º",SUBSTITUTE(E4347,"°","º"))-1)),-1),IF(LEFT(E4347,6)="TÉRREO",0,IFERROR(VALUE(LEFT(E4347,FIND("º",SUBSTITUTE(E4347,"°","º"))-1)),""))))</f>
        <v/>
      </c>
      <c r="O4347" s="2">
        <f>IF(OR(F4347="",G4347=""),"",IF(G4347&lt;='RETRATO 2027'!$K$5,"CONCLUÍDA",IF(F4347&lt;='RETRATO 2027'!$K$5,"EM ANDAMENTO","A INICIAR")))</f>
        <v/>
      </c>
    </row>
    <row r="4348">
      <c r="M4348" s="2">
        <f>IF(C4348="","",IFERROR(INDEX($S$5:$S$304,MATCH(C4348,$R$5:$R$304,0))&amp;"","?"))</f>
        <v/>
      </c>
      <c r="N4348" s="2">
        <f>IF(E4348="","",IF(ISNUMBER(SEARCH("SUBSOLO",E4348)),IFERROR(-VALUE(LEFT(E4348,FIND("º",SUBSTITUTE(E4348,"°","º"))-1)),-1),IF(LEFT(E4348,6)="TÉRREO",0,IFERROR(VALUE(LEFT(E4348,FIND("º",SUBSTITUTE(E4348,"°","º"))-1)),""))))</f>
        <v/>
      </c>
      <c r="O4348" s="2">
        <f>IF(OR(F4348="",G4348=""),"",IF(G4348&lt;='RETRATO 2027'!$K$5,"CONCLUÍDA",IF(F4348&lt;='RETRATO 2027'!$K$5,"EM ANDAMENTO","A INICIAR")))</f>
        <v/>
      </c>
    </row>
    <row r="4349">
      <c r="M4349" s="2">
        <f>IF(C4349="","",IFERROR(INDEX($S$5:$S$304,MATCH(C4349,$R$5:$R$304,0))&amp;"","?"))</f>
        <v/>
      </c>
      <c r="N4349" s="2">
        <f>IF(E4349="","",IF(ISNUMBER(SEARCH("SUBSOLO",E4349)),IFERROR(-VALUE(LEFT(E4349,FIND("º",SUBSTITUTE(E4349,"°","º"))-1)),-1),IF(LEFT(E4349,6)="TÉRREO",0,IFERROR(VALUE(LEFT(E4349,FIND("º",SUBSTITUTE(E4349,"°","º"))-1)),""))))</f>
        <v/>
      </c>
      <c r="O4349" s="2">
        <f>IF(OR(F4349="",G4349=""),"",IF(G4349&lt;='RETRATO 2027'!$K$5,"CONCLUÍDA",IF(F4349&lt;='RETRATO 2027'!$K$5,"EM ANDAMENTO","A INICIAR")))</f>
        <v/>
      </c>
    </row>
    <row r="4350">
      <c r="M4350" s="2">
        <f>IF(C4350="","",IFERROR(INDEX($S$5:$S$304,MATCH(C4350,$R$5:$R$304,0))&amp;"","?"))</f>
        <v/>
      </c>
      <c r="N4350" s="2">
        <f>IF(E4350="","",IF(ISNUMBER(SEARCH("SUBSOLO",E4350)),IFERROR(-VALUE(LEFT(E4350,FIND("º",SUBSTITUTE(E4350,"°","º"))-1)),-1),IF(LEFT(E4350,6)="TÉRREO",0,IFERROR(VALUE(LEFT(E4350,FIND("º",SUBSTITUTE(E4350,"°","º"))-1)),""))))</f>
        <v/>
      </c>
      <c r="O4350" s="2">
        <f>IF(OR(F4350="",G4350=""),"",IF(G4350&lt;='RETRATO 2027'!$K$5,"CONCLUÍDA",IF(F4350&lt;='RETRATO 2027'!$K$5,"EM ANDAMENTO","A INICIAR")))</f>
        <v/>
      </c>
    </row>
    <row r="4351">
      <c r="M4351" s="2">
        <f>IF(C4351="","",IFERROR(INDEX($S$5:$S$304,MATCH(C4351,$R$5:$R$304,0))&amp;"","?"))</f>
        <v/>
      </c>
      <c r="N4351" s="2">
        <f>IF(E4351="","",IF(ISNUMBER(SEARCH("SUBSOLO",E4351)),IFERROR(-VALUE(LEFT(E4351,FIND("º",SUBSTITUTE(E4351,"°","º"))-1)),-1),IF(LEFT(E4351,6)="TÉRREO",0,IFERROR(VALUE(LEFT(E4351,FIND("º",SUBSTITUTE(E4351,"°","º"))-1)),""))))</f>
        <v/>
      </c>
      <c r="O4351" s="2">
        <f>IF(OR(F4351="",G4351=""),"",IF(G4351&lt;='RETRATO 2027'!$K$5,"CONCLUÍDA",IF(F4351&lt;='RETRATO 2027'!$K$5,"EM ANDAMENTO","A INICIAR")))</f>
        <v/>
      </c>
    </row>
    <row r="4352">
      <c r="M4352" s="2">
        <f>IF(C4352="","",IFERROR(INDEX($S$5:$S$304,MATCH(C4352,$R$5:$R$304,0))&amp;"","?"))</f>
        <v/>
      </c>
      <c r="N4352" s="2">
        <f>IF(E4352="","",IF(ISNUMBER(SEARCH("SUBSOLO",E4352)),IFERROR(-VALUE(LEFT(E4352,FIND("º",SUBSTITUTE(E4352,"°","º"))-1)),-1),IF(LEFT(E4352,6)="TÉRREO",0,IFERROR(VALUE(LEFT(E4352,FIND("º",SUBSTITUTE(E4352,"°","º"))-1)),""))))</f>
        <v/>
      </c>
      <c r="O4352" s="2">
        <f>IF(OR(F4352="",G4352=""),"",IF(G4352&lt;='RETRATO 2027'!$K$5,"CONCLUÍDA",IF(F4352&lt;='RETRATO 2027'!$K$5,"EM ANDAMENTO","A INICIAR")))</f>
        <v/>
      </c>
    </row>
    <row r="4353">
      <c r="M4353" s="2">
        <f>IF(C4353="","",IFERROR(INDEX($S$5:$S$304,MATCH(C4353,$R$5:$R$304,0))&amp;"","?"))</f>
        <v/>
      </c>
      <c r="N4353" s="2">
        <f>IF(E4353="","",IF(ISNUMBER(SEARCH("SUBSOLO",E4353)),IFERROR(-VALUE(LEFT(E4353,FIND("º",SUBSTITUTE(E4353,"°","º"))-1)),-1),IF(LEFT(E4353,6)="TÉRREO",0,IFERROR(VALUE(LEFT(E4353,FIND("º",SUBSTITUTE(E4353,"°","º"))-1)),""))))</f>
        <v/>
      </c>
      <c r="O4353" s="2">
        <f>IF(OR(F4353="",G4353=""),"",IF(G4353&lt;='RETRATO 2027'!$K$5,"CONCLUÍDA",IF(F4353&lt;='RETRATO 2027'!$K$5,"EM ANDAMENTO","A INICIAR")))</f>
        <v/>
      </c>
    </row>
    <row r="4354">
      <c r="M4354" s="2">
        <f>IF(C4354="","",IFERROR(INDEX($S$5:$S$304,MATCH(C4354,$R$5:$R$304,0))&amp;"","?"))</f>
        <v/>
      </c>
      <c r="N4354" s="2">
        <f>IF(E4354="","",IF(ISNUMBER(SEARCH("SUBSOLO",E4354)),IFERROR(-VALUE(LEFT(E4354,FIND("º",SUBSTITUTE(E4354,"°","º"))-1)),-1),IF(LEFT(E4354,6)="TÉRREO",0,IFERROR(VALUE(LEFT(E4354,FIND("º",SUBSTITUTE(E4354,"°","º"))-1)),""))))</f>
        <v/>
      </c>
      <c r="O4354" s="2">
        <f>IF(OR(F4354="",G4354=""),"",IF(G4354&lt;='RETRATO 2027'!$K$5,"CONCLUÍDA",IF(F4354&lt;='RETRATO 2027'!$K$5,"EM ANDAMENTO","A INICIAR")))</f>
        <v/>
      </c>
    </row>
    <row r="4355">
      <c r="M4355" s="2">
        <f>IF(C4355="","",IFERROR(INDEX($S$5:$S$304,MATCH(C4355,$R$5:$R$304,0))&amp;"","?"))</f>
        <v/>
      </c>
      <c r="N4355" s="2">
        <f>IF(E4355="","",IF(ISNUMBER(SEARCH("SUBSOLO",E4355)),IFERROR(-VALUE(LEFT(E4355,FIND("º",SUBSTITUTE(E4355,"°","º"))-1)),-1),IF(LEFT(E4355,6)="TÉRREO",0,IFERROR(VALUE(LEFT(E4355,FIND("º",SUBSTITUTE(E4355,"°","º"))-1)),""))))</f>
        <v/>
      </c>
      <c r="O4355" s="2">
        <f>IF(OR(F4355="",G4355=""),"",IF(G4355&lt;='RETRATO 2027'!$K$5,"CONCLUÍDA",IF(F4355&lt;='RETRATO 2027'!$K$5,"EM ANDAMENTO","A INICIAR")))</f>
        <v/>
      </c>
    </row>
    <row r="4356">
      <c r="M4356" s="2">
        <f>IF(C4356="","",IFERROR(INDEX($S$5:$S$304,MATCH(C4356,$R$5:$R$304,0))&amp;"","?"))</f>
        <v/>
      </c>
      <c r="N4356" s="2">
        <f>IF(E4356="","",IF(ISNUMBER(SEARCH("SUBSOLO",E4356)),IFERROR(-VALUE(LEFT(E4356,FIND("º",SUBSTITUTE(E4356,"°","º"))-1)),-1),IF(LEFT(E4356,6)="TÉRREO",0,IFERROR(VALUE(LEFT(E4356,FIND("º",SUBSTITUTE(E4356,"°","º"))-1)),""))))</f>
        <v/>
      </c>
      <c r="O4356" s="2">
        <f>IF(OR(F4356="",G4356=""),"",IF(G4356&lt;='RETRATO 2027'!$K$5,"CONCLUÍDA",IF(F4356&lt;='RETRATO 2027'!$K$5,"EM ANDAMENTO","A INICIAR")))</f>
        <v/>
      </c>
    </row>
    <row r="4357">
      <c r="M4357" s="2">
        <f>IF(C4357="","",IFERROR(INDEX($S$5:$S$304,MATCH(C4357,$R$5:$R$304,0))&amp;"","?"))</f>
        <v/>
      </c>
      <c r="N4357" s="2">
        <f>IF(E4357="","",IF(ISNUMBER(SEARCH("SUBSOLO",E4357)),IFERROR(-VALUE(LEFT(E4357,FIND("º",SUBSTITUTE(E4357,"°","º"))-1)),-1),IF(LEFT(E4357,6)="TÉRREO",0,IFERROR(VALUE(LEFT(E4357,FIND("º",SUBSTITUTE(E4357,"°","º"))-1)),""))))</f>
        <v/>
      </c>
      <c r="O4357" s="2">
        <f>IF(OR(F4357="",G4357=""),"",IF(G4357&lt;='RETRATO 2027'!$K$5,"CONCLUÍDA",IF(F4357&lt;='RETRATO 2027'!$K$5,"EM ANDAMENTO","A INICIAR")))</f>
        <v/>
      </c>
    </row>
    <row r="4358">
      <c r="M4358" s="2">
        <f>IF(C4358="","",IFERROR(INDEX($S$5:$S$304,MATCH(C4358,$R$5:$R$304,0))&amp;"","?"))</f>
        <v/>
      </c>
      <c r="N4358" s="2">
        <f>IF(E4358="","",IF(ISNUMBER(SEARCH("SUBSOLO",E4358)),IFERROR(-VALUE(LEFT(E4358,FIND("º",SUBSTITUTE(E4358,"°","º"))-1)),-1),IF(LEFT(E4358,6)="TÉRREO",0,IFERROR(VALUE(LEFT(E4358,FIND("º",SUBSTITUTE(E4358,"°","º"))-1)),""))))</f>
        <v/>
      </c>
      <c r="O4358" s="2">
        <f>IF(OR(F4358="",G4358=""),"",IF(G4358&lt;='RETRATO 2027'!$K$5,"CONCLUÍDA",IF(F4358&lt;='RETRATO 2027'!$K$5,"EM ANDAMENTO","A INICIAR")))</f>
        <v/>
      </c>
    </row>
    <row r="4359">
      <c r="M4359" s="2">
        <f>IF(C4359="","",IFERROR(INDEX($S$5:$S$304,MATCH(C4359,$R$5:$R$304,0))&amp;"","?"))</f>
        <v/>
      </c>
      <c r="N4359" s="2">
        <f>IF(E4359="","",IF(ISNUMBER(SEARCH("SUBSOLO",E4359)),IFERROR(-VALUE(LEFT(E4359,FIND("º",SUBSTITUTE(E4359,"°","º"))-1)),-1),IF(LEFT(E4359,6)="TÉRREO",0,IFERROR(VALUE(LEFT(E4359,FIND("º",SUBSTITUTE(E4359,"°","º"))-1)),""))))</f>
        <v/>
      </c>
      <c r="O4359" s="2">
        <f>IF(OR(F4359="",G4359=""),"",IF(G4359&lt;='RETRATO 2027'!$K$5,"CONCLUÍDA",IF(F4359&lt;='RETRATO 2027'!$K$5,"EM ANDAMENTO","A INICIAR")))</f>
        <v/>
      </c>
    </row>
    <row r="4360">
      <c r="M4360" s="2">
        <f>IF(C4360="","",IFERROR(INDEX($S$5:$S$304,MATCH(C4360,$R$5:$R$304,0))&amp;"","?"))</f>
        <v/>
      </c>
      <c r="N4360" s="2">
        <f>IF(E4360="","",IF(ISNUMBER(SEARCH("SUBSOLO",E4360)),IFERROR(-VALUE(LEFT(E4360,FIND("º",SUBSTITUTE(E4360,"°","º"))-1)),-1),IF(LEFT(E4360,6)="TÉRREO",0,IFERROR(VALUE(LEFT(E4360,FIND("º",SUBSTITUTE(E4360,"°","º"))-1)),""))))</f>
        <v/>
      </c>
      <c r="O4360" s="2">
        <f>IF(OR(F4360="",G4360=""),"",IF(G4360&lt;='RETRATO 2027'!$K$5,"CONCLUÍDA",IF(F4360&lt;='RETRATO 2027'!$K$5,"EM ANDAMENTO","A INICIAR")))</f>
        <v/>
      </c>
    </row>
    <row r="4361">
      <c r="M4361" s="2">
        <f>IF(C4361="","",IFERROR(INDEX($S$5:$S$304,MATCH(C4361,$R$5:$R$304,0))&amp;"","?"))</f>
        <v/>
      </c>
      <c r="N4361" s="2">
        <f>IF(E4361="","",IF(ISNUMBER(SEARCH("SUBSOLO",E4361)),IFERROR(-VALUE(LEFT(E4361,FIND("º",SUBSTITUTE(E4361,"°","º"))-1)),-1),IF(LEFT(E4361,6)="TÉRREO",0,IFERROR(VALUE(LEFT(E4361,FIND("º",SUBSTITUTE(E4361,"°","º"))-1)),""))))</f>
        <v/>
      </c>
      <c r="O4361" s="2">
        <f>IF(OR(F4361="",G4361=""),"",IF(G4361&lt;='RETRATO 2027'!$K$5,"CONCLUÍDA",IF(F4361&lt;='RETRATO 2027'!$K$5,"EM ANDAMENTO","A INICIAR")))</f>
        <v/>
      </c>
    </row>
    <row r="4362">
      <c r="M4362" s="2">
        <f>IF(C4362="","",IFERROR(INDEX($S$5:$S$304,MATCH(C4362,$R$5:$R$304,0))&amp;"","?"))</f>
        <v/>
      </c>
      <c r="N4362" s="2">
        <f>IF(E4362="","",IF(ISNUMBER(SEARCH("SUBSOLO",E4362)),IFERROR(-VALUE(LEFT(E4362,FIND("º",SUBSTITUTE(E4362,"°","º"))-1)),-1),IF(LEFT(E4362,6)="TÉRREO",0,IFERROR(VALUE(LEFT(E4362,FIND("º",SUBSTITUTE(E4362,"°","º"))-1)),""))))</f>
        <v/>
      </c>
      <c r="O4362" s="2">
        <f>IF(OR(F4362="",G4362=""),"",IF(G4362&lt;='RETRATO 2027'!$K$5,"CONCLUÍDA",IF(F4362&lt;='RETRATO 2027'!$K$5,"EM ANDAMENTO","A INICIAR")))</f>
        <v/>
      </c>
    </row>
    <row r="4363">
      <c r="M4363" s="2">
        <f>IF(C4363="","",IFERROR(INDEX($S$5:$S$304,MATCH(C4363,$R$5:$R$304,0))&amp;"","?"))</f>
        <v/>
      </c>
      <c r="N4363" s="2">
        <f>IF(E4363="","",IF(ISNUMBER(SEARCH("SUBSOLO",E4363)),IFERROR(-VALUE(LEFT(E4363,FIND("º",SUBSTITUTE(E4363,"°","º"))-1)),-1),IF(LEFT(E4363,6)="TÉRREO",0,IFERROR(VALUE(LEFT(E4363,FIND("º",SUBSTITUTE(E4363,"°","º"))-1)),""))))</f>
        <v/>
      </c>
      <c r="O4363" s="2">
        <f>IF(OR(F4363="",G4363=""),"",IF(G4363&lt;='RETRATO 2027'!$K$5,"CONCLUÍDA",IF(F4363&lt;='RETRATO 2027'!$K$5,"EM ANDAMENTO","A INICIAR")))</f>
        <v/>
      </c>
    </row>
    <row r="4364">
      <c r="M4364" s="2">
        <f>IF(C4364="","",IFERROR(INDEX($S$5:$S$304,MATCH(C4364,$R$5:$R$304,0))&amp;"","?"))</f>
        <v/>
      </c>
      <c r="N4364" s="2">
        <f>IF(E4364="","",IF(ISNUMBER(SEARCH("SUBSOLO",E4364)),IFERROR(-VALUE(LEFT(E4364,FIND("º",SUBSTITUTE(E4364,"°","º"))-1)),-1),IF(LEFT(E4364,6)="TÉRREO",0,IFERROR(VALUE(LEFT(E4364,FIND("º",SUBSTITUTE(E4364,"°","º"))-1)),""))))</f>
        <v/>
      </c>
      <c r="O4364" s="2">
        <f>IF(OR(F4364="",G4364=""),"",IF(G4364&lt;='RETRATO 2027'!$K$5,"CONCLUÍDA",IF(F4364&lt;='RETRATO 2027'!$K$5,"EM ANDAMENTO","A INICIAR")))</f>
        <v/>
      </c>
    </row>
    <row r="4365">
      <c r="M4365" s="2">
        <f>IF(C4365="","",IFERROR(INDEX($S$5:$S$304,MATCH(C4365,$R$5:$R$304,0))&amp;"","?"))</f>
        <v/>
      </c>
      <c r="N4365" s="2">
        <f>IF(E4365="","",IF(ISNUMBER(SEARCH("SUBSOLO",E4365)),IFERROR(-VALUE(LEFT(E4365,FIND("º",SUBSTITUTE(E4365,"°","º"))-1)),-1),IF(LEFT(E4365,6)="TÉRREO",0,IFERROR(VALUE(LEFT(E4365,FIND("º",SUBSTITUTE(E4365,"°","º"))-1)),""))))</f>
        <v/>
      </c>
      <c r="O4365" s="2">
        <f>IF(OR(F4365="",G4365=""),"",IF(G4365&lt;='RETRATO 2027'!$K$5,"CONCLUÍDA",IF(F4365&lt;='RETRATO 2027'!$K$5,"EM ANDAMENTO","A INICIAR")))</f>
        <v/>
      </c>
    </row>
    <row r="4366">
      <c r="M4366" s="2">
        <f>IF(C4366="","",IFERROR(INDEX($S$5:$S$304,MATCH(C4366,$R$5:$R$304,0))&amp;"","?"))</f>
        <v/>
      </c>
      <c r="N4366" s="2">
        <f>IF(E4366="","",IF(ISNUMBER(SEARCH("SUBSOLO",E4366)),IFERROR(-VALUE(LEFT(E4366,FIND("º",SUBSTITUTE(E4366,"°","º"))-1)),-1),IF(LEFT(E4366,6)="TÉRREO",0,IFERROR(VALUE(LEFT(E4366,FIND("º",SUBSTITUTE(E4366,"°","º"))-1)),""))))</f>
        <v/>
      </c>
      <c r="O4366" s="2">
        <f>IF(OR(F4366="",G4366=""),"",IF(G4366&lt;='RETRATO 2027'!$K$5,"CONCLUÍDA",IF(F4366&lt;='RETRATO 2027'!$K$5,"EM ANDAMENTO","A INICIAR")))</f>
        <v/>
      </c>
    </row>
    <row r="4367">
      <c r="M4367" s="2">
        <f>IF(C4367="","",IFERROR(INDEX($S$5:$S$304,MATCH(C4367,$R$5:$R$304,0))&amp;"","?"))</f>
        <v/>
      </c>
      <c r="N4367" s="2">
        <f>IF(E4367="","",IF(ISNUMBER(SEARCH("SUBSOLO",E4367)),IFERROR(-VALUE(LEFT(E4367,FIND("º",SUBSTITUTE(E4367,"°","º"))-1)),-1),IF(LEFT(E4367,6)="TÉRREO",0,IFERROR(VALUE(LEFT(E4367,FIND("º",SUBSTITUTE(E4367,"°","º"))-1)),""))))</f>
        <v/>
      </c>
      <c r="O4367" s="2">
        <f>IF(OR(F4367="",G4367=""),"",IF(G4367&lt;='RETRATO 2027'!$K$5,"CONCLUÍDA",IF(F4367&lt;='RETRATO 2027'!$K$5,"EM ANDAMENTO","A INICIAR")))</f>
        <v/>
      </c>
    </row>
    <row r="4368">
      <c r="M4368" s="2">
        <f>IF(C4368="","",IFERROR(INDEX($S$5:$S$304,MATCH(C4368,$R$5:$R$304,0))&amp;"","?"))</f>
        <v/>
      </c>
      <c r="N4368" s="2">
        <f>IF(E4368="","",IF(ISNUMBER(SEARCH("SUBSOLO",E4368)),IFERROR(-VALUE(LEFT(E4368,FIND("º",SUBSTITUTE(E4368,"°","º"))-1)),-1),IF(LEFT(E4368,6)="TÉRREO",0,IFERROR(VALUE(LEFT(E4368,FIND("º",SUBSTITUTE(E4368,"°","º"))-1)),""))))</f>
        <v/>
      </c>
      <c r="O4368" s="2">
        <f>IF(OR(F4368="",G4368=""),"",IF(G4368&lt;='RETRATO 2027'!$K$5,"CONCLUÍDA",IF(F4368&lt;='RETRATO 2027'!$K$5,"EM ANDAMENTO","A INICIAR")))</f>
        <v/>
      </c>
    </row>
    <row r="4369">
      <c r="M4369" s="2">
        <f>IF(C4369="","",IFERROR(INDEX($S$5:$S$304,MATCH(C4369,$R$5:$R$304,0))&amp;"","?"))</f>
        <v/>
      </c>
      <c r="N4369" s="2">
        <f>IF(E4369="","",IF(ISNUMBER(SEARCH("SUBSOLO",E4369)),IFERROR(-VALUE(LEFT(E4369,FIND("º",SUBSTITUTE(E4369,"°","º"))-1)),-1),IF(LEFT(E4369,6)="TÉRREO",0,IFERROR(VALUE(LEFT(E4369,FIND("º",SUBSTITUTE(E4369,"°","º"))-1)),""))))</f>
        <v/>
      </c>
      <c r="O4369" s="2">
        <f>IF(OR(F4369="",G4369=""),"",IF(G4369&lt;='RETRATO 2027'!$K$5,"CONCLUÍDA",IF(F4369&lt;='RETRATO 2027'!$K$5,"EM ANDAMENTO","A INICIAR")))</f>
        <v/>
      </c>
    </row>
    <row r="4370">
      <c r="M4370" s="2">
        <f>IF(C4370="","",IFERROR(INDEX($S$5:$S$304,MATCH(C4370,$R$5:$R$304,0))&amp;"","?"))</f>
        <v/>
      </c>
      <c r="N4370" s="2">
        <f>IF(E4370="","",IF(ISNUMBER(SEARCH("SUBSOLO",E4370)),IFERROR(-VALUE(LEFT(E4370,FIND("º",SUBSTITUTE(E4370,"°","º"))-1)),-1),IF(LEFT(E4370,6)="TÉRREO",0,IFERROR(VALUE(LEFT(E4370,FIND("º",SUBSTITUTE(E4370,"°","º"))-1)),""))))</f>
        <v/>
      </c>
      <c r="O4370" s="2">
        <f>IF(OR(F4370="",G4370=""),"",IF(G4370&lt;='RETRATO 2027'!$K$5,"CONCLUÍDA",IF(F4370&lt;='RETRATO 2027'!$K$5,"EM ANDAMENTO","A INICIAR")))</f>
        <v/>
      </c>
    </row>
    <row r="4371">
      <c r="M4371" s="2">
        <f>IF(C4371="","",IFERROR(INDEX($S$5:$S$304,MATCH(C4371,$R$5:$R$304,0))&amp;"","?"))</f>
        <v/>
      </c>
      <c r="N4371" s="2">
        <f>IF(E4371="","",IF(ISNUMBER(SEARCH("SUBSOLO",E4371)),IFERROR(-VALUE(LEFT(E4371,FIND("º",SUBSTITUTE(E4371,"°","º"))-1)),-1),IF(LEFT(E4371,6)="TÉRREO",0,IFERROR(VALUE(LEFT(E4371,FIND("º",SUBSTITUTE(E4371,"°","º"))-1)),""))))</f>
        <v/>
      </c>
      <c r="O4371" s="2">
        <f>IF(OR(F4371="",G4371=""),"",IF(G4371&lt;='RETRATO 2027'!$K$5,"CONCLUÍDA",IF(F4371&lt;='RETRATO 2027'!$K$5,"EM ANDAMENTO","A INICIAR")))</f>
        <v/>
      </c>
    </row>
    <row r="4372">
      <c r="M4372" s="2">
        <f>IF(C4372="","",IFERROR(INDEX($S$5:$S$304,MATCH(C4372,$R$5:$R$304,0))&amp;"","?"))</f>
        <v/>
      </c>
      <c r="N4372" s="2">
        <f>IF(E4372="","",IF(ISNUMBER(SEARCH("SUBSOLO",E4372)),IFERROR(-VALUE(LEFT(E4372,FIND("º",SUBSTITUTE(E4372,"°","º"))-1)),-1),IF(LEFT(E4372,6)="TÉRREO",0,IFERROR(VALUE(LEFT(E4372,FIND("º",SUBSTITUTE(E4372,"°","º"))-1)),""))))</f>
        <v/>
      </c>
      <c r="O4372" s="2">
        <f>IF(OR(F4372="",G4372=""),"",IF(G4372&lt;='RETRATO 2027'!$K$5,"CONCLUÍDA",IF(F4372&lt;='RETRATO 2027'!$K$5,"EM ANDAMENTO","A INICIAR")))</f>
        <v/>
      </c>
    </row>
    <row r="4373">
      <c r="M4373" s="2">
        <f>IF(C4373="","",IFERROR(INDEX($S$5:$S$304,MATCH(C4373,$R$5:$R$304,0))&amp;"","?"))</f>
        <v/>
      </c>
      <c r="N4373" s="2">
        <f>IF(E4373="","",IF(ISNUMBER(SEARCH("SUBSOLO",E4373)),IFERROR(-VALUE(LEFT(E4373,FIND("º",SUBSTITUTE(E4373,"°","º"))-1)),-1),IF(LEFT(E4373,6)="TÉRREO",0,IFERROR(VALUE(LEFT(E4373,FIND("º",SUBSTITUTE(E4373,"°","º"))-1)),""))))</f>
        <v/>
      </c>
      <c r="O4373" s="2">
        <f>IF(OR(F4373="",G4373=""),"",IF(G4373&lt;='RETRATO 2027'!$K$5,"CONCLUÍDA",IF(F4373&lt;='RETRATO 2027'!$K$5,"EM ANDAMENTO","A INICIAR")))</f>
        <v/>
      </c>
    </row>
    <row r="4374">
      <c r="M4374" s="2">
        <f>IF(C4374="","",IFERROR(INDEX($S$5:$S$304,MATCH(C4374,$R$5:$R$304,0))&amp;"","?"))</f>
        <v/>
      </c>
      <c r="N4374" s="2">
        <f>IF(E4374="","",IF(ISNUMBER(SEARCH("SUBSOLO",E4374)),IFERROR(-VALUE(LEFT(E4374,FIND("º",SUBSTITUTE(E4374,"°","º"))-1)),-1),IF(LEFT(E4374,6)="TÉRREO",0,IFERROR(VALUE(LEFT(E4374,FIND("º",SUBSTITUTE(E4374,"°","º"))-1)),""))))</f>
        <v/>
      </c>
      <c r="O4374" s="2">
        <f>IF(OR(F4374="",G4374=""),"",IF(G4374&lt;='RETRATO 2027'!$K$5,"CONCLUÍDA",IF(F4374&lt;='RETRATO 2027'!$K$5,"EM ANDAMENTO","A INICIAR")))</f>
        <v/>
      </c>
    </row>
    <row r="4375">
      <c r="M4375" s="2">
        <f>IF(C4375="","",IFERROR(INDEX($S$5:$S$304,MATCH(C4375,$R$5:$R$304,0))&amp;"","?"))</f>
        <v/>
      </c>
      <c r="N4375" s="2">
        <f>IF(E4375="","",IF(ISNUMBER(SEARCH("SUBSOLO",E4375)),IFERROR(-VALUE(LEFT(E4375,FIND("º",SUBSTITUTE(E4375,"°","º"))-1)),-1),IF(LEFT(E4375,6)="TÉRREO",0,IFERROR(VALUE(LEFT(E4375,FIND("º",SUBSTITUTE(E4375,"°","º"))-1)),""))))</f>
        <v/>
      </c>
      <c r="O4375" s="2">
        <f>IF(OR(F4375="",G4375=""),"",IF(G4375&lt;='RETRATO 2027'!$K$5,"CONCLUÍDA",IF(F4375&lt;='RETRATO 2027'!$K$5,"EM ANDAMENTO","A INICIAR")))</f>
        <v/>
      </c>
    </row>
    <row r="4376">
      <c r="M4376" s="2">
        <f>IF(C4376="","",IFERROR(INDEX($S$5:$S$304,MATCH(C4376,$R$5:$R$304,0))&amp;"","?"))</f>
        <v/>
      </c>
      <c r="N4376" s="2">
        <f>IF(E4376="","",IF(ISNUMBER(SEARCH("SUBSOLO",E4376)),IFERROR(-VALUE(LEFT(E4376,FIND("º",SUBSTITUTE(E4376,"°","º"))-1)),-1),IF(LEFT(E4376,6)="TÉRREO",0,IFERROR(VALUE(LEFT(E4376,FIND("º",SUBSTITUTE(E4376,"°","º"))-1)),""))))</f>
        <v/>
      </c>
      <c r="O4376" s="2">
        <f>IF(OR(F4376="",G4376=""),"",IF(G4376&lt;='RETRATO 2027'!$K$5,"CONCLUÍDA",IF(F4376&lt;='RETRATO 2027'!$K$5,"EM ANDAMENTO","A INICIAR")))</f>
        <v/>
      </c>
    </row>
    <row r="4377">
      <c r="M4377" s="2">
        <f>IF(C4377="","",IFERROR(INDEX($S$5:$S$304,MATCH(C4377,$R$5:$R$304,0))&amp;"","?"))</f>
        <v/>
      </c>
      <c r="N4377" s="2">
        <f>IF(E4377="","",IF(ISNUMBER(SEARCH("SUBSOLO",E4377)),IFERROR(-VALUE(LEFT(E4377,FIND("º",SUBSTITUTE(E4377,"°","º"))-1)),-1),IF(LEFT(E4377,6)="TÉRREO",0,IFERROR(VALUE(LEFT(E4377,FIND("º",SUBSTITUTE(E4377,"°","º"))-1)),""))))</f>
        <v/>
      </c>
      <c r="O4377" s="2">
        <f>IF(OR(F4377="",G4377=""),"",IF(G4377&lt;='RETRATO 2027'!$K$5,"CONCLUÍDA",IF(F4377&lt;='RETRATO 2027'!$K$5,"EM ANDAMENTO","A INICIAR")))</f>
        <v/>
      </c>
    </row>
    <row r="4378">
      <c r="M4378" s="2">
        <f>IF(C4378="","",IFERROR(INDEX($S$5:$S$304,MATCH(C4378,$R$5:$R$304,0))&amp;"","?"))</f>
        <v/>
      </c>
      <c r="N4378" s="2">
        <f>IF(E4378="","",IF(ISNUMBER(SEARCH("SUBSOLO",E4378)),IFERROR(-VALUE(LEFT(E4378,FIND("º",SUBSTITUTE(E4378,"°","º"))-1)),-1),IF(LEFT(E4378,6)="TÉRREO",0,IFERROR(VALUE(LEFT(E4378,FIND("º",SUBSTITUTE(E4378,"°","º"))-1)),""))))</f>
        <v/>
      </c>
      <c r="O4378" s="2">
        <f>IF(OR(F4378="",G4378=""),"",IF(G4378&lt;='RETRATO 2027'!$K$5,"CONCLUÍDA",IF(F4378&lt;='RETRATO 2027'!$K$5,"EM ANDAMENTO","A INICIAR")))</f>
        <v/>
      </c>
    </row>
    <row r="4379">
      <c r="M4379" s="2">
        <f>IF(C4379="","",IFERROR(INDEX($S$5:$S$304,MATCH(C4379,$R$5:$R$304,0))&amp;"","?"))</f>
        <v/>
      </c>
      <c r="N4379" s="2">
        <f>IF(E4379="","",IF(ISNUMBER(SEARCH("SUBSOLO",E4379)),IFERROR(-VALUE(LEFT(E4379,FIND("º",SUBSTITUTE(E4379,"°","º"))-1)),-1),IF(LEFT(E4379,6)="TÉRREO",0,IFERROR(VALUE(LEFT(E4379,FIND("º",SUBSTITUTE(E4379,"°","º"))-1)),""))))</f>
        <v/>
      </c>
      <c r="O4379" s="2">
        <f>IF(OR(F4379="",G4379=""),"",IF(G4379&lt;='RETRATO 2027'!$K$5,"CONCLUÍDA",IF(F4379&lt;='RETRATO 2027'!$K$5,"EM ANDAMENTO","A INICIAR")))</f>
        <v/>
      </c>
    </row>
    <row r="4380">
      <c r="M4380" s="2">
        <f>IF(C4380="","",IFERROR(INDEX($S$5:$S$304,MATCH(C4380,$R$5:$R$304,0))&amp;"","?"))</f>
        <v/>
      </c>
      <c r="N4380" s="2">
        <f>IF(E4380="","",IF(ISNUMBER(SEARCH("SUBSOLO",E4380)),IFERROR(-VALUE(LEFT(E4380,FIND("º",SUBSTITUTE(E4380,"°","º"))-1)),-1),IF(LEFT(E4380,6)="TÉRREO",0,IFERROR(VALUE(LEFT(E4380,FIND("º",SUBSTITUTE(E4380,"°","º"))-1)),""))))</f>
        <v/>
      </c>
      <c r="O4380" s="2">
        <f>IF(OR(F4380="",G4380=""),"",IF(G4380&lt;='RETRATO 2027'!$K$5,"CONCLUÍDA",IF(F4380&lt;='RETRATO 2027'!$K$5,"EM ANDAMENTO","A INICIAR")))</f>
        <v/>
      </c>
    </row>
    <row r="4381">
      <c r="M4381" s="2">
        <f>IF(C4381="","",IFERROR(INDEX($S$5:$S$304,MATCH(C4381,$R$5:$R$304,0))&amp;"","?"))</f>
        <v/>
      </c>
      <c r="N4381" s="2">
        <f>IF(E4381="","",IF(ISNUMBER(SEARCH("SUBSOLO",E4381)),IFERROR(-VALUE(LEFT(E4381,FIND("º",SUBSTITUTE(E4381,"°","º"))-1)),-1),IF(LEFT(E4381,6)="TÉRREO",0,IFERROR(VALUE(LEFT(E4381,FIND("º",SUBSTITUTE(E4381,"°","º"))-1)),""))))</f>
        <v/>
      </c>
      <c r="O4381" s="2">
        <f>IF(OR(F4381="",G4381=""),"",IF(G4381&lt;='RETRATO 2027'!$K$5,"CONCLUÍDA",IF(F4381&lt;='RETRATO 2027'!$K$5,"EM ANDAMENTO","A INICIAR")))</f>
        <v/>
      </c>
    </row>
    <row r="4382">
      <c r="M4382" s="2">
        <f>IF(C4382="","",IFERROR(INDEX($S$5:$S$304,MATCH(C4382,$R$5:$R$304,0))&amp;"","?"))</f>
        <v/>
      </c>
      <c r="N4382" s="2">
        <f>IF(E4382="","",IF(ISNUMBER(SEARCH("SUBSOLO",E4382)),IFERROR(-VALUE(LEFT(E4382,FIND("º",SUBSTITUTE(E4382,"°","º"))-1)),-1),IF(LEFT(E4382,6)="TÉRREO",0,IFERROR(VALUE(LEFT(E4382,FIND("º",SUBSTITUTE(E4382,"°","º"))-1)),""))))</f>
        <v/>
      </c>
      <c r="O4382" s="2">
        <f>IF(OR(F4382="",G4382=""),"",IF(G4382&lt;='RETRATO 2027'!$K$5,"CONCLUÍDA",IF(F4382&lt;='RETRATO 2027'!$K$5,"EM ANDAMENTO","A INICIAR")))</f>
        <v/>
      </c>
    </row>
    <row r="4383">
      <c r="M4383" s="2">
        <f>IF(C4383="","",IFERROR(INDEX($S$5:$S$304,MATCH(C4383,$R$5:$R$304,0))&amp;"","?"))</f>
        <v/>
      </c>
      <c r="N4383" s="2">
        <f>IF(E4383="","",IF(ISNUMBER(SEARCH("SUBSOLO",E4383)),IFERROR(-VALUE(LEFT(E4383,FIND("º",SUBSTITUTE(E4383,"°","º"))-1)),-1),IF(LEFT(E4383,6)="TÉRREO",0,IFERROR(VALUE(LEFT(E4383,FIND("º",SUBSTITUTE(E4383,"°","º"))-1)),""))))</f>
        <v/>
      </c>
      <c r="O4383" s="2">
        <f>IF(OR(F4383="",G4383=""),"",IF(G4383&lt;='RETRATO 2027'!$K$5,"CONCLUÍDA",IF(F4383&lt;='RETRATO 2027'!$K$5,"EM ANDAMENTO","A INICIAR")))</f>
        <v/>
      </c>
    </row>
    <row r="4384">
      <c r="M4384" s="2">
        <f>IF(C4384="","",IFERROR(INDEX($S$5:$S$304,MATCH(C4384,$R$5:$R$304,0))&amp;"","?"))</f>
        <v/>
      </c>
      <c r="N4384" s="2">
        <f>IF(E4384="","",IF(ISNUMBER(SEARCH("SUBSOLO",E4384)),IFERROR(-VALUE(LEFT(E4384,FIND("º",SUBSTITUTE(E4384,"°","º"))-1)),-1),IF(LEFT(E4384,6)="TÉRREO",0,IFERROR(VALUE(LEFT(E4384,FIND("º",SUBSTITUTE(E4384,"°","º"))-1)),""))))</f>
        <v/>
      </c>
      <c r="O4384" s="2">
        <f>IF(OR(F4384="",G4384=""),"",IF(G4384&lt;='RETRATO 2027'!$K$5,"CONCLUÍDA",IF(F4384&lt;='RETRATO 2027'!$K$5,"EM ANDAMENTO","A INICIAR")))</f>
        <v/>
      </c>
    </row>
    <row r="4385">
      <c r="M4385" s="2">
        <f>IF(C4385="","",IFERROR(INDEX($S$5:$S$304,MATCH(C4385,$R$5:$R$304,0))&amp;"","?"))</f>
        <v/>
      </c>
      <c r="N4385" s="2">
        <f>IF(E4385="","",IF(ISNUMBER(SEARCH("SUBSOLO",E4385)),IFERROR(-VALUE(LEFT(E4385,FIND("º",SUBSTITUTE(E4385,"°","º"))-1)),-1),IF(LEFT(E4385,6)="TÉRREO",0,IFERROR(VALUE(LEFT(E4385,FIND("º",SUBSTITUTE(E4385,"°","º"))-1)),""))))</f>
        <v/>
      </c>
      <c r="O4385" s="2">
        <f>IF(OR(F4385="",G4385=""),"",IF(G4385&lt;='RETRATO 2027'!$K$5,"CONCLUÍDA",IF(F4385&lt;='RETRATO 2027'!$K$5,"EM ANDAMENTO","A INICIAR")))</f>
        <v/>
      </c>
    </row>
    <row r="4386">
      <c r="M4386" s="2">
        <f>IF(C4386="","",IFERROR(INDEX($S$5:$S$304,MATCH(C4386,$R$5:$R$304,0))&amp;"","?"))</f>
        <v/>
      </c>
      <c r="N4386" s="2">
        <f>IF(E4386="","",IF(ISNUMBER(SEARCH("SUBSOLO",E4386)),IFERROR(-VALUE(LEFT(E4386,FIND("º",SUBSTITUTE(E4386,"°","º"))-1)),-1),IF(LEFT(E4386,6)="TÉRREO",0,IFERROR(VALUE(LEFT(E4386,FIND("º",SUBSTITUTE(E4386,"°","º"))-1)),""))))</f>
        <v/>
      </c>
      <c r="O4386" s="2">
        <f>IF(OR(F4386="",G4386=""),"",IF(G4386&lt;='RETRATO 2027'!$K$5,"CONCLUÍDA",IF(F4386&lt;='RETRATO 2027'!$K$5,"EM ANDAMENTO","A INICIAR")))</f>
        <v/>
      </c>
    </row>
    <row r="4387">
      <c r="M4387" s="2">
        <f>IF(C4387="","",IFERROR(INDEX($S$5:$S$304,MATCH(C4387,$R$5:$R$304,0))&amp;"","?"))</f>
        <v/>
      </c>
      <c r="N4387" s="2">
        <f>IF(E4387="","",IF(ISNUMBER(SEARCH("SUBSOLO",E4387)),IFERROR(-VALUE(LEFT(E4387,FIND("º",SUBSTITUTE(E4387,"°","º"))-1)),-1),IF(LEFT(E4387,6)="TÉRREO",0,IFERROR(VALUE(LEFT(E4387,FIND("º",SUBSTITUTE(E4387,"°","º"))-1)),""))))</f>
        <v/>
      </c>
      <c r="O4387" s="2">
        <f>IF(OR(F4387="",G4387=""),"",IF(G4387&lt;='RETRATO 2027'!$K$5,"CONCLUÍDA",IF(F4387&lt;='RETRATO 2027'!$K$5,"EM ANDAMENTO","A INICIAR")))</f>
        <v/>
      </c>
    </row>
    <row r="4388">
      <c r="M4388" s="2">
        <f>IF(C4388="","",IFERROR(INDEX($S$5:$S$304,MATCH(C4388,$R$5:$R$304,0))&amp;"","?"))</f>
        <v/>
      </c>
      <c r="N4388" s="2">
        <f>IF(E4388="","",IF(ISNUMBER(SEARCH("SUBSOLO",E4388)),IFERROR(-VALUE(LEFT(E4388,FIND("º",SUBSTITUTE(E4388,"°","º"))-1)),-1),IF(LEFT(E4388,6)="TÉRREO",0,IFERROR(VALUE(LEFT(E4388,FIND("º",SUBSTITUTE(E4388,"°","º"))-1)),""))))</f>
        <v/>
      </c>
      <c r="O4388" s="2">
        <f>IF(OR(F4388="",G4388=""),"",IF(G4388&lt;='RETRATO 2027'!$K$5,"CONCLUÍDA",IF(F4388&lt;='RETRATO 2027'!$K$5,"EM ANDAMENTO","A INICIAR")))</f>
        <v/>
      </c>
    </row>
    <row r="4389">
      <c r="M4389" s="2">
        <f>IF(C4389="","",IFERROR(INDEX($S$5:$S$304,MATCH(C4389,$R$5:$R$304,0))&amp;"","?"))</f>
        <v/>
      </c>
      <c r="N4389" s="2">
        <f>IF(E4389="","",IF(ISNUMBER(SEARCH("SUBSOLO",E4389)),IFERROR(-VALUE(LEFT(E4389,FIND("º",SUBSTITUTE(E4389,"°","º"))-1)),-1),IF(LEFT(E4389,6)="TÉRREO",0,IFERROR(VALUE(LEFT(E4389,FIND("º",SUBSTITUTE(E4389,"°","º"))-1)),""))))</f>
        <v/>
      </c>
      <c r="O4389" s="2">
        <f>IF(OR(F4389="",G4389=""),"",IF(G4389&lt;='RETRATO 2027'!$K$5,"CONCLUÍDA",IF(F4389&lt;='RETRATO 2027'!$K$5,"EM ANDAMENTO","A INICIAR")))</f>
        <v/>
      </c>
    </row>
    <row r="4390">
      <c r="M4390" s="2">
        <f>IF(C4390="","",IFERROR(INDEX($S$5:$S$304,MATCH(C4390,$R$5:$R$304,0))&amp;"","?"))</f>
        <v/>
      </c>
      <c r="N4390" s="2">
        <f>IF(E4390="","",IF(ISNUMBER(SEARCH("SUBSOLO",E4390)),IFERROR(-VALUE(LEFT(E4390,FIND("º",SUBSTITUTE(E4390,"°","º"))-1)),-1),IF(LEFT(E4390,6)="TÉRREO",0,IFERROR(VALUE(LEFT(E4390,FIND("º",SUBSTITUTE(E4390,"°","º"))-1)),""))))</f>
        <v/>
      </c>
      <c r="O4390" s="2">
        <f>IF(OR(F4390="",G4390=""),"",IF(G4390&lt;='RETRATO 2027'!$K$5,"CONCLUÍDA",IF(F4390&lt;='RETRATO 2027'!$K$5,"EM ANDAMENTO","A INICIAR")))</f>
        <v/>
      </c>
    </row>
    <row r="4391">
      <c r="M4391" s="2">
        <f>IF(C4391="","",IFERROR(INDEX($S$5:$S$304,MATCH(C4391,$R$5:$R$304,0))&amp;"","?"))</f>
        <v/>
      </c>
      <c r="N4391" s="2">
        <f>IF(E4391="","",IF(ISNUMBER(SEARCH("SUBSOLO",E4391)),IFERROR(-VALUE(LEFT(E4391,FIND("º",SUBSTITUTE(E4391,"°","º"))-1)),-1),IF(LEFT(E4391,6)="TÉRREO",0,IFERROR(VALUE(LEFT(E4391,FIND("º",SUBSTITUTE(E4391,"°","º"))-1)),""))))</f>
        <v/>
      </c>
      <c r="O4391" s="2">
        <f>IF(OR(F4391="",G4391=""),"",IF(G4391&lt;='RETRATO 2027'!$K$5,"CONCLUÍDA",IF(F4391&lt;='RETRATO 2027'!$K$5,"EM ANDAMENTO","A INICIAR")))</f>
        <v/>
      </c>
    </row>
    <row r="4392">
      <c r="M4392" s="2">
        <f>IF(C4392="","",IFERROR(INDEX($S$5:$S$304,MATCH(C4392,$R$5:$R$304,0))&amp;"","?"))</f>
        <v/>
      </c>
      <c r="N4392" s="2">
        <f>IF(E4392="","",IF(ISNUMBER(SEARCH("SUBSOLO",E4392)),IFERROR(-VALUE(LEFT(E4392,FIND("º",SUBSTITUTE(E4392,"°","º"))-1)),-1),IF(LEFT(E4392,6)="TÉRREO",0,IFERROR(VALUE(LEFT(E4392,FIND("º",SUBSTITUTE(E4392,"°","º"))-1)),""))))</f>
        <v/>
      </c>
      <c r="O4392" s="2">
        <f>IF(OR(F4392="",G4392=""),"",IF(G4392&lt;='RETRATO 2027'!$K$5,"CONCLUÍDA",IF(F4392&lt;='RETRATO 2027'!$K$5,"EM ANDAMENTO","A INICIAR")))</f>
        <v/>
      </c>
    </row>
    <row r="4393">
      <c r="M4393" s="2">
        <f>IF(C4393="","",IFERROR(INDEX($S$5:$S$304,MATCH(C4393,$R$5:$R$304,0))&amp;"","?"))</f>
        <v/>
      </c>
      <c r="N4393" s="2">
        <f>IF(E4393="","",IF(ISNUMBER(SEARCH("SUBSOLO",E4393)),IFERROR(-VALUE(LEFT(E4393,FIND("º",SUBSTITUTE(E4393,"°","º"))-1)),-1),IF(LEFT(E4393,6)="TÉRREO",0,IFERROR(VALUE(LEFT(E4393,FIND("º",SUBSTITUTE(E4393,"°","º"))-1)),""))))</f>
        <v/>
      </c>
      <c r="O4393" s="2">
        <f>IF(OR(F4393="",G4393=""),"",IF(G4393&lt;='RETRATO 2027'!$K$5,"CONCLUÍDA",IF(F4393&lt;='RETRATO 2027'!$K$5,"EM ANDAMENTO","A INICIAR")))</f>
        <v/>
      </c>
    </row>
    <row r="4394">
      <c r="M4394" s="2">
        <f>IF(C4394="","",IFERROR(INDEX($S$5:$S$304,MATCH(C4394,$R$5:$R$304,0))&amp;"","?"))</f>
        <v/>
      </c>
      <c r="N4394" s="2">
        <f>IF(E4394="","",IF(ISNUMBER(SEARCH("SUBSOLO",E4394)),IFERROR(-VALUE(LEFT(E4394,FIND("º",SUBSTITUTE(E4394,"°","º"))-1)),-1),IF(LEFT(E4394,6)="TÉRREO",0,IFERROR(VALUE(LEFT(E4394,FIND("º",SUBSTITUTE(E4394,"°","º"))-1)),""))))</f>
        <v/>
      </c>
      <c r="O4394" s="2">
        <f>IF(OR(F4394="",G4394=""),"",IF(G4394&lt;='RETRATO 2027'!$K$5,"CONCLUÍDA",IF(F4394&lt;='RETRATO 2027'!$K$5,"EM ANDAMENTO","A INICIAR")))</f>
        <v/>
      </c>
    </row>
    <row r="4395">
      <c r="M4395" s="2">
        <f>IF(C4395="","",IFERROR(INDEX($S$5:$S$304,MATCH(C4395,$R$5:$R$304,0))&amp;"","?"))</f>
        <v/>
      </c>
      <c r="N4395" s="2">
        <f>IF(E4395="","",IF(ISNUMBER(SEARCH("SUBSOLO",E4395)),IFERROR(-VALUE(LEFT(E4395,FIND("º",SUBSTITUTE(E4395,"°","º"))-1)),-1),IF(LEFT(E4395,6)="TÉRREO",0,IFERROR(VALUE(LEFT(E4395,FIND("º",SUBSTITUTE(E4395,"°","º"))-1)),""))))</f>
        <v/>
      </c>
      <c r="O4395" s="2">
        <f>IF(OR(F4395="",G4395=""),"",IF(G4395&lt;='RETRATO 2027'!$K$5,"CONCLUÍDA",IF(F4395&lt;='RETRATO 2027'!$K$5,"EM ANDAMENTO","A INICIAR")))</f>
        <v/>
      </c>
    </row>
    <row r="4396">
      <c r="M4396" s="2">
        <f>IF(C4396="","",IFERROR(INDEX($S$5:$S$304,MATCH(C4396,$R$5:$R$304,0))&amp;"","?"))</f>
        <v/>
      </c>
      <c r="N4396" s="2">
        <f>IF(E4396="","",IF(ISNUMBER(SEARCH("SUBSOLO",E4396)),IFERROR(-VALUE(LEFT(E4396,FIND("º",SUBSTITUTE(E4396,"°","º"))-1)),-1),IF(LEFT(E4396,6)="TÉRREO",0,IFERROR(VALUE(LEFT(E4396,FIND("º",SUBSTITUTE(E4396,"°","º"))-1)),""))))</f>
        <v/>
      </c>
      <c r="O4396" s="2">
        <f>IF(OR(F4396="",G4396=""),"",IF(G4396&lt;='RETRATO 2027'!$K$5,"CONCLUÍDA",IF(F4396&lt;='RETRATO 2027'!$K$5,"EM ANDAMENTO","A INICIAR")))</f>
        <v/>
      </c>
    </row>
    <row r="4397">
      <c r="M4397" s="2">
        <f>IF(C4397="","",IFERROR(INDEX($S$5:$S$304,MATCH(C4397,$R$5:$R$304,0))&amp;"","?"))</f>
        <v/>
      </c>
      <c r="N4397" s="2">
        <f>IF(E4397="","",IF(ISNUMBER(SEARCH("SUBSOLO",E4397)),IFERROR(-VALUE(LEFT(E4397,FIND("º",SUBSTITUTE(E4397,"°","º"))-1)),-1),IF(LEFT(E4397,6)="TÉRREO",0,IFERROR(VALUE(LEFT(E4397,FIND("º",SUBSTITUTE(E4397,"°","º"))-1)),""))))</f>
        <v/>
      </c>
      <c r="O4397" s="2">
        <f>IF(OR(F4397="",G4397=""),"",IF(G4397&lt;='RETRATO 2027'!$K$5,"CONCLUÍDA",IF(F4397&lt;='RETRATO 2027'!$K$5,"EM ANDAMENTO","A INICIAR")))</f>
        <v/>
      </c>
    </row>
    <row r="4398">
      <c r="M4398" s="2">
        <f>IF(C4398="","",IFERROR(INDEX($S$5:$S$304,MATCH(C4398,$R$5:$R$304,0))&amp;"","?"))</f>
        <v/>
      </c>
      <c r="N4398" s="2">
        <f>IF(E4398="","",IF(ISNUMBER(SEARCH("SUBSOLO",E4398)),IFERROR(-VALUE(LEFT(E4398,FIND("º",SUBSTITUTE(E4398,"°","º"))-1)),-1),IF(LEFT(E4398,6)="TÉRREO",0,IFERROR(VALUE(LEFT(E4398,FIND("º",SUBSTITUTE(E4398,"°","º"))-1)),""))))</f>
        <v/>
      </c>
      <c r="O4398" s="2">
        <f>IF(OR(F4398="",G4398=""),"",IF(G4398&lt;='RETRATO 2027'!$K$5,"CONCLUÍDA",IF(F4398&lt;='RETRATO 2027'!$K$5,"EM ANDAMENTO","A INICIAR")))</f>
        <v/>
      </c>
    </row>
    <row r="4399">
      <c r="M4399" s="2">
        <f>IF(C4399="","",IFERROR(INDEX($S$5:$S$304,MATCH(C4399,$R$5:$R$304,0))&amp;"","?"))</f>
        <v/>
      </c>
      <c r="N4399" s="2">
        <f>IF(E4399="","",IF(ISNUMBER(SEARCH("SUBSOLO",E4399)),IFERROR(-VALUE(LEFT(E4399,FIND("º",SUBSTITUTE(E4399,"°","º"))-1)),-1),IF(LEFT(E4399,6)="TÉRREO",0,IFERROR(VALUE(LEFT(E4399,FIND("º",SUBSTITUTE(E4399,"°","º"))-1)),""))))</f>
        <v/>
      </c>
      <c r="O4399" s="2">
        <f>IF(OR(F4399="",G4399=""),"",IF(G4399&lt;='RETRATO 2027'!$K$5,"CONCLUÍDA",IF(F4399&lt;='RETRATO 2027'!$K$5,"EM ANDAMENTO","A INICIAR")))</f>
        <v/>
      </c>
    </row>
    <row r="4400">
      <c r="M4400" s="2">
        <f>IF(C4400="","",IFERROR(INDEX($S$5:$S$304,MATCH(C4400,$R$5:$R$304,0))&amp;"","?"))</f>
        <v/>
      </c>
      <c r="N4400" s="2">
        <f>IF(E4400="","",IF(ISNUMBER(SEARCH("SUBSOLO",E4400)),IFERROR(-VALUE(LEFT(E4400,FIND("º",SUBSTITUTE(E4400,"°","º"))-1)),-1),IF(LEFT(E4400,6)="TÉRREO",0,IFERROR(VALUE(LEFT(E4400,FIND("º",SUBSTITUTE(E4400,"°","º"))-1)),""))))</f>
        <v/>
      </c>
      <c r="O4400" s="2">
        <f>IF(OR(F4400="",G4400=""),"",IF(G4400&lt;='RETRATO 2027'!$K$5,"CONCLUÍDA",IF(F4400&lt;='RETRATO 2027'!$K$5,"EM ANDAMENTO","A INICIAR")))</f>
        <v/>
      </c>
    </row>
    <row r="4401">
      <c r="M4401" s="2">
        <f>IF(C4401="","",IFERROR(INDEX($S$5:$S$304,MATCH(C4401,$R$5:$R$304,0))&amp;"","?"))</f>
        <v/>
      </c>
      <c r="N4401" s="2">
        <f>IF(E4401="","",IF(ISNUMBER(SEARCH("SUBSOLO",E4401)),IFERROR(-VALUE(LEFT(E4401,FIND("º",SUBSTITUTE(E4401,"°","º"))-1)),-1),IF(LEFT(E4401,6)="TÉRREO",0,IFERROR(VALUE(LEFT(E4401,FIND("º",SUBSTITUTE(E4401,"°","º"))-1)),""))))</f>
        <v/>
      </c>
      <c r="O4401" s="2">
        <f>IF(OR(F4401="",G4401=""),"",IF(G4401&lt;='RETRATO 2027'!$K$5,"CONCLUÍDA",IF(F4401&lt;='RETRATO 2027'!$K$5,"EM ANDAMENTO","A INICIAR")))</f>
        <v/>
      </c>
    </row>
    <row r="4402">
      <c r="M4402" s="2">
        <f>IF(C4402="","",IFERROR(INDEX($S$5:$S$304,MATCH(C4402,$R$5:$R$304,0))&amp;"","?"))</f>
        <v/>
      </c>
      <c r="N4402" s="2">
        <f>IF(E4402="","",IF(ISNUMBER(SEARCH("SUBSOLO",E4402)),IFERROR(-VALUE(LEFT(E4402,FIND("º",SUBSTITUTE(E4402,"°","º"))-1)),-1),IF(LEFT(E4402,6)="TÉRREO",0,IFERROR(VALUE(LEFT(E4402,FIND("º",SUBSTITUTE(E4402,"°","º"))-1)),""))))</f>
        <v/>
      </c>
      <c r="O4402" s="2">
        <f>IF(OR(F4402="",G4402=""),"",IF(G4402&lt;='RETRATO 2027'!$K$5,"CONCLUÍDA",IF(F4402&lt;='RETRATO 2027'!$K$5,"EM ANDAMENTO","A INICIAR")))</f>
        <v/>
      </c>
    </row>
    <row r="4403">
      <c r="M4403" s="2">
        <f>IF(C4403="","",IFERROR(INDEX($S$5:$S$304,MATCH(C4403,$R$5:$R$304,0))&amp;"","?"))</f>
        <v/>
      </c>
      <c r="N4403" s="2">
        <f>IF(E4403="","",IF(ISNUMBER(SEARCH("SUBSOLO",E4403)),IFERROR(-VALUE(LEFT(E4403,FIND("º",SUBSTITUTE(E4403,"°","º"))-1)),-1),IF(LEFT(E4403,6)="TÉRREO",0,IFERROR(VALUE(LEFT(E4403,FIND("º",SUBSTITUTE(E4403,"°","º"))-1)),""))))</f>
        <v/>
      </c>
      <c r="O4403" s="2">
        <f>IF(OR(F4403="",G4403=""),"",IF(G4403&lt;='RETRATO 2027'!$K$5,"CONCLUÍDA",IF(F4403&lt;='RETRATO 2027'!$K$5,"EM ANDAMENTO","A INICIAR")))</f>
        <v/>
      </c>
    </row>
    <row r="4404">
      <c r="M4404" s="2">
        <f>IF(C4404="","",IFERROR(INDEX($S$5:$S$304,MATCH(C4404,$R$5:$R$304,0))&amp;"","?"))</f>
        <v/>
      </c>
      <c r="N4404" s="2">
        <f>IF(E4404="","",IF(ISNUMBER(SEARCH("SUBSOLO",E4404)),IFERROR(-VALUE(LEFT(E4404,FIND("º",SUBSTITUTE(E4404,"°","º"))-1)),-1),IF(LEFT(E4404,6)="TÉRREO",0,IFERROR(VALUE(LEFT(E4404,FIND("º",SUBSTITUTE(E4404,"°","º"))-1)),""))))</f>
        <v/>
      </c>
      <c r="O4404" s="2">
        <f>IF(OR(F4404="",G4404=""),"",IF(G4404&lt;='RETRATO 2027'!$K$5,"CONCLUÍDA",IF(F4404&lt;='RETRATO 2027'!$K$5,"EM ANDAMENTO","A INICIAR")))</f>
        <v/>
      </c>
    </row>
    <row r="4405">
      <c r="M4405" s="2">
        <f>IF(C4405="","",IFERROR(INDEX($S$5:$S$304,MATCH(C4405,$R$5:$R$304,0))&amp;"","?"))</f>
        <v/>
      </c>
      <c r="N4405" s="2">
        <f>IF(E4405="","",IF(ISNUMBER(SEARCH("SUBSOLO",E4405)),IFERROR(-VALUE(LEFT(E4405,FIND("º",SUBSTITUTE(E4405,"°","º"))-1)),-1),IF(LEFT(E4405,6)="TÉRREO",0,IFERROR(VALUE(LEFT(E4405,FIND("º",SUBSTITUTE(E4405,"°","º"))-1)),""))))</f>
        <v/>
      </c>
      <c r="O4405" s="2">
        <f>IF(OR(F4405="",G4405=""),"",IF(G4405&lt;='RETRATO 2027'!$K$5,"CONCLUÍDA",IF(F4405&lt;='RETRATO 2027'!$K$5,"EM ANDAMENTO","A INICIAR")))</f>
        <v/>
      </c>
    </row>
    <row r="4406">
      <c r="M4406" s="2">
        <f>IF(C4406="","",IFERROR(INDEX($S$5:$S$304,MATCH(C4406,$R$5:$R$304,0))&amp;"","?"))</f>
        <v/>
      </c>
      <c r="N4406" s="2">
        <f>IF(E4406="","",IF(ISNUMBER(SEARCH("SUBSOLO",E4406)),IFERROR(-VALUE(LEFT(E4406,FIND("º",SUBSTITUTE(E4406,"°","º"))-1)),-1),IF(LEFT(E4406,6)="TÉRREO",0,IFERROR(VALUE(LEFT(E4406,FIND("º",SUBSTITUTE(E4406,"°","º"))-1)),""))))</f>
        <v/>
      </c>
      <c r="O4406" s="2">
        <f>IF(OR(F4406="",G4406=""),"",IF(G4406&lt;='RETRATO 2027'!$K$5,"CONCLUÍDA",IF(F4406&lt;='RETRATO 2027'!$K$5,"EM ANDAMENTO","A INICIAR")))</f>
        <v/>
      </c>
    </row>
    <row r="4407">
      <c r="M4407" s="2">
        <f>IF(C4407="","",IFERROR(INDEX($S$5:$S$304,MATCH(C4407,$R$5:$R$304,0))&amp;"","?"))</f>
        <v/>
      </c>
      <c r="N4407" s="2">
        <f>IF(E4407="","",IF(ISNUMBER(SEARCH("SUBSOLO",E4407)),IFERROR(-VALUE(LEFT(E4407,FIND("º",SUBSTITUTE(E4407,"°","º"))-1)),-1),IF(LEFT(E4407,6)="TÉRREO",0,IFERROR(VALUE(LEFT(E4407,FIND("º",SUBSTITUTE(E4407,"°","º"))-1)),""))))</f>
        <v/>
      </c>
      <c r="O4407" s="2">
        <f>IF(OR(F4407="",G4407=""),"",IF(G4407&lt;='RETRATO 2027'!$K$5,"CONCLUÍDA",IF(F4407&lt;='RETRATO 2027'!$K$5,"EM ANDAMENTO","A INICIAR")))</f>
        <v/>
      </c>
    </row>
    <row r="4408">
      <c r="M4408" s="2">
        <f>IF(C4408="","",IFERROR(INDEX($S$5:$S$304,MATCH(C4408,$R$5:$R$304,0))&amp;"","?"))</f>
        <v/>
      </c>
      <c r="N4408" s="2">
        <f>IF(E4408="","",IF(ISNUMBER(SEARCH("SUBSOLO",E4408)),IFERROR(-VALUE(LEFT(E4408,FIND("º",SUBSTITUTE(E4408,"°","º"))-1)),-1),IF(LEFT(E4408,6)="TÉRREO",0,IFERROR(VALUE(LEFT(E4408,FIND("º",SUBSTITUTE(E4408,"°","º"))-1)),""))))</f>
        <v/>
      </c>
      <c r="O4408" s="2">
        <f>IF(OR(F4408="",G4408=""),"",IF(G4408&lt;='RETRATO 2027'!$K$5,"CONCLUÍDA",IF(F4408&lt;='RETRATO 2027'!$K$5,"EM ANDAMENTO","A INICIAR")))</f>
        <v/>
      </c>
    </row>
    <row r="4409">
      <c r="M4409" s="2">
        <f>IF(C4409="","",IFERROR(INDEX($S$5:$S$304,MATCH(C4409,$R$5:$R$304,0))&amp;"","?"))</f>
        <v/>
      </c>
      <c r="N4409" s="2">
        <f>IF(E4409="","",IF(ISNUMBER(SEARCH("SUBSOLO",E4409)),IFERROR(-VALUE(LEFT(E4409,FIND("º",SUBSTITUTE(E4409,"°","º"))-1)),-1),IF(LEFT(E4409,6)="TÉRREO",0,IFERROR(VALUE(LEFT(E4409,FIND("º",SUBSTITUTE(E4409,"°","º"))-1)),""))))</f>
        <v/>
      </c>
      <c r="O4409" s="2">
        <f>IF(OR(F4409="",G4409=""),"",IF(G4409&lt;='RETRATO 2027'!$K$5,"CONCLUÍDA",IF(F4409&lt;='RETRATO 2027'!$K$5,"EM ANDAMENTO","A INICIAR")))</f>
        <v/>
      </c>
    </row>
    <row r="4410">
      <c r="M4410" s="2">
        <f>IF(C4410="","",IFERROR(INDEX($S$5:$S$304,MATCH(C4410,$R$5:$R$304,0))&amp;"","?"))</f>
        <v/>
      </c>
      <c r="N4410" s="2">
        <f>IF(E4410="","",IF(ISNUMBER(SEARCH("SUBSOLO",E4410)),IFERROR(-VALUE(LEFT(E4410,FIND("º",SUBSTITUTE(E4410,"°","º"))-1)),-1),IF(LEFT(E4410,6)="TÉRREO",0,IFERROR(VALUE(LEFT(E4410,FIND("º",SUBSTITUTE(E4410,"°","º"))-1)),""))))</f>
        <v/>
      </c>
      <c r="O4410" s="2">
        <f>IF(OR(F4410="",G4410=""),"",IF(G4410&lt;='RETRATO 2027'!$K$5,"CONCLUÍDA",IF(F4410&lt;='RETRATO 2027'!$K$5,"EM ANDAMENTO","A INICIAR")))</f>
        <v/>
      </c>
    </row>
    <row r="4411">
      <c r="M4411" s="2">
        <f>IF(C4411="","",IFERROR(INDEX($S$5:$S$304,MATCH(C4411,$R$5:$R$304,0))&amp;"","?"))</f>
        <v/>
      </c>
      <c r="N4411" s="2">
        <f>IF(E4411="","",IF(ISNUMBER(SEARCH("SUBSOLO",E4411)),IFERROR(-VALUE(LEFT(E4411,FIND("º",SUBSTITUTE(E4411,"°","º"))-1)),-1),IF(LEFT(E4411,6)="TÉRREO",0,IFERROR(VALUE(LEFT(E4411,FIND("º",SUBSTITUTE(E4411,"°","º"))-1)),""))))</f>
        <v/>
      </c>
      <c r="O4411" s="2">
        <f>IF(OR(F4411="",G4411=""),"",IF(G4411&lt;='RETRATO 2027'!$K$5,"CONCLUÍDA",IF(F4411&lt;='RETRATO 2027'!$K$5,"EM ANDAMENTO","A INICIAR")))</f>
        <v/>
      </c>
    </row>
    <row r="4412">
      <c r="M4412" s="2">
        <f>IF(C4412="","",IFERROR(INDEX($S$5:$S$304,MATCH(C4412,$R$5:$R$304,0))&amp;"","?"))</f>
        <v/>
      </c>
      <c r="N4412" s="2">
        <f>IF(E4412="","",IF(ISNUMBER(SEARCH("SUBSOLO",E4412)),IFERROR(-VALUE(LEFT(E4412,FIND("º",SUBSTITUTE(E4412,"°","º"))-1)),-1),IF(LEFT(E4412,6)="TÉRREO",0,IFERROR(VALUE(LEFT(E4412,FIND("º",SUBSTITUTE(E4412,"°","º"))-1)),""))))</f>
        <v/>
      </c>
      <c r="O4412" s="2">
        <f>IF(OR(F4412="",G4412=""),"",IF(G4412&lt;='RETRATO 2027'!$K$5,"CONCLUÍDA",IF(F4412&lt;='RETRATO 2027'!$K$5,"EM ANDAMENTO","A INICIAR")))</f>
        <v/>
      </c>
    </row>
    <row r="4413">
      <c r="M4413" s="2">
        <f>IF(C4413="","",IFERROR(INDEX($S$5:$S$304,MATCH(C4413,$R$5:$R$304,0))&amp;"","?"))</f>
        <v/>
      </c>
      <c r="N4413" s="2">
        <f>IF(E4413="","",IF(ISNUMBER(SEARCH("SUBSOLO",E4413)),IFERROR(-VALUE(LEFT(E4413,FIND("º",SUBSTITUTE(E4413,"°","º"))-1)),-1),IF(LEFT(E4413,6)="TÉRREO",0,IFERROR(VALUE(LEFT(E4413,FIND("º",SUBSTITUTE(E4413,"°","º"))-1)),""))))</f>
        <v/>
      </c>
      <c r="O4413" s="2">
        <f>IF(OR(F4413="",G4413=""),"",IF(G4413&lt;='RETRATO 2027'!$K$5,"CONCLUÍDA",IF(F4413&lt;='RETRATO 2027'!$K$5,"EM ANDAMENTO","A INICIAR")))</f>
        <v/>
      </c>
    </row>
    <row r="4414">
      <c r="M4414" s="2">
        <f>IF(C4414="","",IFERROR(INDEX($S$5:$S$304,MATCH(C4414,$R$5:$R$304,0))&amp;"","?"))</f>
        <v/>
      </c>
      <c r="N4414" s="2">
        <f>IF(E4414="","",IF(ISNUMBER(SEARCH("SUBSOLO",E4414)),IFERROR(-VALUE(LEFT(E4414,FIND("º",SUBSTITUTE(E4414,"°","º"))-1)),-1),IF(LEFT(E4414,6)="TÉRREO",0,IFERROR(VALUE(LEFT(E4414,FIND("º",SUBSTITUTE(E4414,"°","º"))-1)),""))))</f>
        <v/>
      </c>
      <c r="O4414" s="2">
        <f>IF(OR(F4414="",G4414=""),"",IF(G4414&lt;='RETRATO 2027'!$K$5,"CONCLUÍDA",IF(F4414&lt;='RETRATO 2027'!$K$5,"EM ANDAMENTO","A INICIAR")))</f>
        <v/>
      </c>
    </row>
    <row r="4415">
      <c r="M4415" s="2">
        <f>IF(C4415="","",IFERROR(INDEX($S$5:$S$304,MATCH(C4415,$R$5:$R$304,0))&amp;"","?"))</f>
        <v/>
      </c>
      <c r="N4415" s="2">
        <f>IF(E4415="","",IF(ISNUMBER(SEARCH("SUBSOLO",E4415)),IFERROR(-VALUE(LEFT(E4415,FIND("º",SUBSTITUTE(E4415,"°","º"))-1)),-1),IF(LEFT(E4415,6)="TÉRREO",0,IFERROR(VALUE(LEFT(E4415,FIND("º",SUBSTITUTE(E4415,"°","º"))-1)),""))))</f>
        <v/>
      </c>
      <c r="O4415" s="2">
        <f>IF(OR(F4415="",G4415=""),"",IF(G4415&lt;='RETRATO 2027'!$K$5,"CONCLUÍDA",IF(F4415&lt;='RETRATO 2027'!$K$5,"EM ANDAMENTO","A INICIAR")))</f>
        <v/>
      </c>
    </row>
    <row r="4416">
      <c r="M4416" s="2">
        <f>IF(C4416="","",IFERROR(INDEX($S$5:$S$304,MATCH(C4416,$R$5:$R$304,0))&amp;"","?"))</f>
        <v/>
      </c>
      <c r="N4416" s="2">
        <f>IF(E4416="","",IF(ISNUMBER(SEARCH("SUBSOLO",E4416)),IFERROR(-VALUE(LEFT(E4416,FIND("º",SUBSTITUTE(E4416,"°","º"))-1)),-1),IF(LEFT(E4416,6)="TÉRREO",0,IFERROR(VALUE(LEFT(E4416,FIND("º",SUBSTITUTE(E4416,"°","º"))-1)),""))))</f>
        <v/>
      </c>
      <c r="O4416" s="2">
        <f>IF(OR(F4416="",G4416=""),"",IF(G4416&lt;='RETRATO 2027'!$K$5,"CONCLUÍDA",IF(F4416&lt;='RETRATO 2027'!$K$5,"EM ANDAMENTO","A INICIAR")))</f>
        <v/>
      </c>
    </row>
    <row r="4417">
      <c r="M4417" s="2">
        <f>IF(C4417="","",IFERROR(INDEX($S$5:$S$304,MATCH(C4417,$R$5:$R$304,0))&amp;"","?"))</f>
        <v/>
      </c>
      <c r="N4417" s="2">
        <f>IF(E4417="","",IF(ISNUMBER(SEARCH("SUBSOLO",E4417)),IFERROR(-VALUE(LEFT(E4417,FIND("º",SUBSTITUTE(E4417,"°","º"))-1)),-1),IF(LEFT(E4417,6)="TÉRREO",0,IFERROR(VALUE(LEFT(E4417,FIND("º",SUBSTITUTE(E4417,"°","º"))-1)),""))))</f>
        <v/>
      </c>
      <c r="O4417" s="2">
        <f>IF(OR(F4417="",G4417=""),"",IF(G4417&lt;='RETRATO 2027'!$K$5,"CONCLUÍDA",IF(F4417&lt;='RETRATO 2027'!$K$5,"EM ANDAMENTO","A INICIAR")))</f>
        <v/>
      </c>
    </row>
    <row r="4418">
      <c r="M4418" s="2">
        <f>IF(C4418="","",IFERROR(INDEX($S$5:$S$304,MATCH(C4418,$R$5:$R$304,0))&amp;"","?"))</f>
        <v/>
      </c>
      <c r="N4418" s="2">
        <f>IF(E4418="","",IF(ISNUMBER(SEARCH("SUBSOLO",E4418)),IFERROR(-VALUE(LEFT(E4418,FIND("º",SUBSTITUTE(E4418,"°","º"))-1)),-1),IF(LEFT(E4418,6)="TÉRREO",0,IFERROR(VALUE(LEFT(E4418,FIND("º",SUBSTITUTE(E4418,"°","º"))-1)),""))))</f>
        <v/>
      </c>
      <c r="O4418" s="2">
        <f>IF(OR(F4418="",G4418=""),"",IF(G4418&lt;='RETRATO 2027'!$K$5,"CONCLUÍDA",IF(F4418&lt;='RETRATO 2027'!$K$5,"EM ANDAMENTO","A INICIAR")))</f>
        <v/>
      </c>
    </row>
    <row r="4419">
      <c r="M4419" s="2">
        <f>IF(C4419="","",IFERROR(INDEX($S$5:$S$304,MATCH(C4419,$R$5:$R$304,0))&amp;"","?"))</f>
        <v/>
      </c>
      <c r="N4419" s="2">
        <f>IF(E4419="","",IF(ISNUMBER(SEARCH("SUBSOLO",E4419)),IFERROR(-VALUE(LEFT(E4419,FIND("º",SUBSTITUTE(E4419,"°","º"))-1)),-1),IF(LEFT(E4419,6)="TÉRREO",0,IFERROR(VALUE(LEFT(E4419,FIND("º",SUBSTITUTE(E4419,"°","º"))-1)),""))))</f>
        <v/>
      </c>
      <c r="O4419" s="2">
        <f>IF(OR(F4419="",G4419=""),"",IF(G4419&lt;='RETRATO 2027'!$K$5,"CONCLUÍDA",IF(F4419&lt;='RETRATO 2027'!$K$5,"EM ANDAMENTO","A INICIAR")))</f>
        <v/>
      </c>
    </row>
    <row r="4420">
      <c r="M4420" s="2">
        <f>IF(C4420="","",IFERROR(INDEX($S$5:$S$304,MATCH(C4420,$R$5:$R$304,0))&amp;"","?"))</f>
        <v/>
      </c>
      <c r="N4420" s="2">
        <f>IF(E4420="","",IF(ISNUMBER(SEARCH("SUBSOLO",E4420)),IFERROR(-VALUE(LEFT(E4420,FIND("º",SUBSTITUTE(E4420,"°","º"))-1)),-1),IF(LEFT(E4420,6)="TÉRREO",0,IFERROR(VALUE(LEFT(E4420,FIND("º",SUBSTITUTE(E4420,"°","º"))-1)),""))))</f>
        <v/>
      </c>
      <c r="O4420" s="2">
        <f>IF(OR(F4420="",G4420=""),"",IF(G4420&lt;='RETRATO 2027'!$K$5,"CONCLUÍDA",IF(F4420&lt;='RETRATO 2027'!$K$5,"EM ANDAMENTO","A INICIAR")))</f>
        <v/>
      </c>
    </row>
    <row r="4421">
      <c r="M4421" s="2">
        <f>IF(C4421="","",IFERROR(INDEX($S$5:$S$304,MATCH(C4421,$R$5:$R$304,0))&amp;"","?"))</f>
        <v/>
      </c>
      <c r="N4421" s="2">
        <f>IF(E4421="","",IF(ISNUMBER(SEARCH("SUBSOLO",E4421)),IFERROR(-VALUE(LEFT(E4421,FIND("º",SUBSTITUTE(E4421,"°","º"))-1)),-1),IF(LEFT(E4421,6)="TÉRREO",0,IFERROR(VALUE(LEFT(E4421,FIND("º",SUBSTITUTE(E4421,"°","º"))-1)),""))))</f>
        <v/>
      </c>
      <c r="O4421" s="2">
        <f>IF(OR(F4421="",G4421=""),"",IF(G4421&lt;='RETRATO 2027'!$K$5,"CONCLUÍDA",IF(F4421&lt;='RETRATO 2027'!$K$5,"EM ANDAMENTO","A INICIAR")))</f>
        <v/>
      </c>
    </row>
    <row r="4422">
      <c r="M4422" s="2">
        <f>IF(C4422="","",IFERROR(INDEX($S$5:$S$304,MATCH(C4422,$R$5:$R$304,0))&amp;"","?"))</f>
        <v/>
      </c>
      <c r="N4422" s="2">
        <f>IF(E4422="","",IF(ISNUMBER(SEARCH("SUBSOLO",E4422)),IFERROR(-VALUE(LEFT(E4422,FIND("º",SUBSTITUTE(E4422,"°","º"))-1)),-1),IF(LEFT(E4422,6)="TÉRREO",0,IFERROR(VALUE(LEFT(E4422,FIND("º",SUBSTITUTE(E4422,"°","º"))-1)),""))))</f>
        <v/>
      </c>
      <c r="O4422" s="2">
        <f>IF(OR(F4422="",G4422=""),"",IF(G4422&lt;='RETRATO 2027'!$K$5,"CONCLUÍDA",IF(F4422&lt;='RETRATO 2027'!$K$5,"EM ANDAMENTO","A INICIAR")))</f>
        <v/>
      </c>
    </row>
    <row r="4423">
      <c r="M4423" s="2">
        <f>IF(C4423="","",IFERROR(INDEX($S$5:$S$304,MATCH(C4423,$R$5:$R$304,0))&amp;"","?"))</f>
        <v/>
      </c>
      <c r="N4423" s="2">
        <f>IF(E4423="","",IF(ISNUMBER(SEARCH("SUBSOLO",E4423)),IFERROR(-VALUE(LEFT(E4423,FIND("º",SUBSTITUTE(E4423,"°","º"))-1)),-1),IF(LEFT(E4423,6)="TÉRREO",0,IFERROR(VALUE(LEFT(E4423,FIND("º",SUBSTITUTE(E4423,"°","º"))-1)),""))))</f>
        <v/>
      </c>
      <c r="O4423" s="2">
        <f>IF(OR(F4423="",G4423=""),"",IF(G4423&lt;='RETRATO 2027'!$K$5,"CONCLUÍDA",IF(F4423&lt;='RETRATO 2027'!$K$5,"EM ANDAMENTO","A INICIAR")))</f>
        <v/>
      </c>
    </row>
    <row r="4424">
      <c r="M4424" s="2">
        <f>IF(C4424="","",IFERROR(INDEX($S$5:$S$304,MATCH(C4424,$R$5:$R$304,0))&amp;"","?"))</f>
        <v/>
      </c>
      <c r="N4424" s="2">
        <f>IF(E4424="","",IF(ISNUMBER(SEARCH("SUBSOLO",E4424)),IFERROR(-VALUE(LEFT(E4424,FIND("º",SUBSTITUTE(E4424,"°","º"))-1)),-1),IF(LEFT(E4424,6)="TÉRREO",0,IFERROR(VALUE(LEFT(E4424,FIND("º",SUBSTITUTE(E4424,"°","º"))-1)),""))))</f>
        <v/>
      </c>
      <c r="O4424" s="2">
        <f>IF(OR(F4424="",G4424=""),"",IF(G4424&lt;='RETRATO 2027'!$K$5,"CONCLUÍDA",IF(F4424&lt;='RETRATO 2027'!$K$5,"EM ANDAMENTO","A INICIAR")))</f>
        <v/>
      </c>
    </row>
    <row r="4425">
      <c r="M4425" s="2">
        <f>IF(C4425="","",IFERROR(INDEX($S$5:$S$304,MATCH(C4425,$R$5:$R$304,0))&amp;"","?"))</f>
        <v/>
      </c>
      <c r="N4425" s="2">
        <f>IF(E4425="","",IF(ISNUMBER(SEARCH("SUBSOLO",E4425)),IFERROR(-VALUE(LEFT(E4425,FIND("º",SUBSTITUTE(E4425,"°","º"))-1)),-1),IF(LEFT(E4425,6)="TÉRREO",0,IFERROR(VALUE(LEFT(E4425,FIND("º",SUBSTITUTE(E4425,"°","º"))-1)),""))))</f>
        <v/>
      </c>
      <c r="O4425" s="2">
        <f>IF(OR(F4425="",G4425=""),"",IF(G4425&lt;='RETRATO 2027'!$K$5,"CONCLUÍDA",IF(F4425&lt;='RETRATO 2027'!$K$5,"EM ANDAMENTO","A INICIAR")))</f>
        <v/>
      </c>
    </row>
    <row r="4426">
      <c r="M4426" s="2">
        <f>IF(C4426="","",IFERROR(INDEX($S$5:$S$304,MATCH(C4426,$R$5:$R$304,0))&amp;"","?"))</f>
        <v/>
      </c>
      <c r="N4426" s="2">
        <f>IF(E4426="","",IF(ISNUMBER(SEARCH("SUBSOLO",E4426)),IFERROR(-VALUE(LEFT(E4426,FIND("º",SUBSTITUTE(E4426,"°","º"))-1)),-1),IF(LEFT(E4426,6)="TÉRREO",0,IFERROR(VALUE(LEFT(E4426,FIND("º",SUBSTITUTE(E4426,"°","º"))-1)),""))))</f>
        <v/>
      </c>
      <c r="O4426" s="2">
        <f>IF(OR(F4426="",G4426=""),"",IF(G4426&lt;='RETRATO 2027'!$K$5,"CONCLUÍDA",IF(F4426&lt;='RETRATO 2027'!$K$5,"EM ANDAMENTO","A INICIAR")))</f>
        <v/>
      </c>
    </row>
    <row r="4427">
      <c r="M4427" s="2">
        <f>IF(C4427="","",IFERROR(INDEX($S$5:$S$304,MATCH(C4427,$R$5:$R$304,0))&amp;"","?"))</f>
        <v/>
      </c>
      <c r="N4427" s="2">
        <f>IF(E4427="","",IF(ISNUMBER(SEARCH("SUBSOLO",E4427)),IFERROR(-VALUE(LEFT(E4427,FIND("º",SUBSTITUTE(E4427,"°","º"))-1)),-1),IF(LEFT(E4427,6)="TÉRREO",0,IFERROR(VALUE(LEFT(E4427,FIND("º",SUBSTITUTE(E4427,"°","º"))-1)),""))))</f>
        <v/>
      </c>
      <c r="O4427" s="2">
        <f>IF(OR(F4427="",G4427=""),"",IF(G4427&lt;='RETRATO 2027'!$K$5,"CONCLUÍDA",IF(F4427&lt;='RETRATO 2027'!$K$5,"EM ANDAMENTO","A INICIAR")))</f>
        <v/>
      </c>
    </row>
    <row r="4428">
      <c r="M4428" s="2">
        <f>IF(C4428="","",IFERROR(INDEX($S$5:$S$304,MATCH(C4428,$R$5:$R$304,0))&amp;"","?"))</f>
        <v/>
      </c>
      <c r="N4428" s="2">
        <f>IF(E4428="","",IF(ISNUMBER(SEARCH("SUBSOLO",E4428)),IFERROR(-VALUE(LEFT(E4428,FIND("º",SUBSTITUTE(E4428,"°","º"))-1)),-1),IF(LEFT(E4428,6)="TÉRREO",0,IFERROR(VALUE(LEFT(E4428,FIND("º",SUBSTITUTE(E4428,"°","º"))-1)),""))))</f>
        <v/>
      </c>
      <c r="O4428" s="2">
        <f>IF(OR(F4428="",G4428=""),"",IF(G4428&lt;='RETRATO 2027'!$K$5,"CONCLUÍDA",IF(F4428&lt;='RETRATO 2027'!$K$5,"EM ANDAMENTO","A INICIAR")))</f>
        <v/>
      </c>
    </row>
    <row r="4429">
      <c r="M4429" s="2">
        <f>IF(C4429="","",IFERROR(INDEX($S$5:$S$304,MATCH(C4429,$R$5:$R$304,0))&amp;"","?"))</f>
        <v/>
      </c>
      <c r="N4429" s="2">
        <f>IF(E4429="","",IF(ISNUMBER(SEARCH("SUBSOLO",E4429)),IFERROR(-VALUE(LEFT(E4429,FIND("º",SUBSTITUTE(E4429,"°","º"))-1)),-1),IF(LEFT(E4429,6)="TÉRREO",0,IFERROR(VALUE(LEFT(E4429,FIND("º",SUBSTITUTE(E4429,"°","º"))-1)),""))))</f>
        <v/>
      </c>
      <c r="O4429" s="2">
        <f>IF(OR(F4429="",G4429=""),"",IF(G4429&lt;='RETRATO 2027'!$K$5,"CONCLUÍDA",IF(F4429&lt;='RETRATO 2027'!$K$5,"EM ANDAMENTO","A INICIAR")))</f>
        <v/>
      </c>
    </row>
    <row r="4430">
      <c r="M4430" s="2">
        <f>IF(C4430="","",IFERROR(INDEX($S$5:$S$304,MATCH(C4430,$R$5:$R$304,0))&amp;"","?"))</f>
        <v/>
      </c>
      <c r="N4430" s="2">
        <f>IF(E4430="","",IF(ISNUMBER(SEARCH("SUBSOLO",E4430)),IFERROR(-VALUE(LEFT(E4430,FIND("º",SUBSTITUTE(E4430,"°","º"))-1)),-1),IF(LEFT(E4430,6)="TÉRREO",0,IFERROR(VALUE(LEFT(E4430,FIND("º",SUBSTITUTE(E4430,"°","º"))-1)),""))))</f>
        <v/>
      </c>
      <c r="O4430" s="2">
        <f>IF(OR(F4430="",G4430=""),"",IF(G4430&lt;='RETRATO 2027'!$K$5,"CONCLUÍDA",IF(F4430&lt;='RETRATO 2027'!$K$5,"EM ANDAMENTO","A INICIAR")))</f>
        <v/>
      </c>
    </row>
    <row r="4431">
      <c r="M4431" s="2">
        <f>IF(C4431="","",IFERROR(INDEX($S$5:$S$304,MATCH(C4431,$R$5:$R$304,0))&amp;"","?"))</f>
        <v/>
      </c>
      <c r="N4431" s="2">
        <f>IF(E4431="","",IF(ISNUMBER(SEARCH("SUBSOLO",E4431)),IFERROR(-VALUE(LEFT(E4431,FIND("º",SUBSTITUTE(E4431,"°","º"))-1)),-1),IF(LEFT(E4431,6)="TÉRREO",0,IFERROR(VALUE(LEFT(E4431,FIND("º",SUBSTITUTE(E4431,"°","º"))-1)),""))))</f>
        <v/>
      </c>
      <c r="O4431" s="2">
        <f>IF(OR(F4431="",G4431=""),"",IF(G4431&lt;='RETRATO 2027'!$K$5,"CONCLUÍDA",IF(F4431&lt;='RETRATO 2027'!$K$5,"EM ANDAMENTO","A INICIAR")))</f>
        <v/>
      </c>
    </row>
    <row r="4432">
      <c r="M4432" s="2">
        <f>IF(C4432="","",IFERROR(INDEX($S$5:$S$304,MATCH(C4432,$R$5:$R$304,0))&amp;"","?"))</f>
        <v/>
      </c>
      <c r="N4432" s="2">
        <f>IF(E4432="","",IF(ISNUMBER(SEARCH("SUBSOLO",E4432)),IFERROR(-VALUE(LEFT(E4432,FIND("º",SUBSTITUTE(E4432,"°","º"))-1)),-1),IF(LEFT(E4432,6)="TÉRREO",0,IFERROR(VALUE(LEFT(E4432,FIND("º",SUBSTITUTE(E4432,"°","º"))-1)),""))))</f>
        <v/>
      </c>
      <c r="O4432" s="2">
        <f>IF(OR(F4432="",G4432=""),"",IF(G4432&lt;='RETRATO 2027'!$K$5,"CONCLUÍDA",IF(F4432&lt;='RETRATO 2027'!$K$5,"EM ANDAMENTO","A INICIAR")))</f>
        <v/>
      </c>
    </row>
    <row r="4433">
      <c r="M4433" s="2">
        <f>IF(C4433="","",IFERROR(INDEX($S$5:$S$304,MATCH(C4433,$R$5:$R$304,0))&amp;"","?"))</f>
        <v/>
      </c>
      <c r="N4433" s="2">
        <f>IF(E4433="","",IF(ISNUMBER(SEARCH("SUBSOLO",E4433)),IFERROR(-VALUE(LEFT(E4433,FIND("º",SUBSTITUTE(E4433,"°","º"))-1)),-1),IF(LEFT(E4433,6)="TÉRREO",0,IFERROR(VALUE(LEFT(E4433,FIND("º",SUBSTITUTE(E4433,"°","º"))-1)),""))))</f>
        <v/>
      </c>
      <c r="O4433" s="2">
        <f>IF(OR(F4433="",G4433=""),"",IF(G4433&lt;='RETRATO 2027'!$K$5,"CONCLUÍDA",IF(F4433&lt;='RETRATO 2027'!$K$5,"EM ANDAMENTO","A INICIAR")))</f>
        <v/>
      </c>
    </row>
    <row r="4434">
      <c r="M4434" s="2">
        <f>IF(C4434="","",IFERROR(INDEX($S$5:$S$304,MATCH(C4434,$R$5:$R$304,0))&amp;"","?"))</f>
        <v/>
      </c>
      <c r="N4434" s="2">
        <f>IF(E4434="","",IF(ISNUMBER(SEARCH("SUBSOLO",E4434)),IFERROR(-VALUE(LEFT(E4434,FIND("º",SUBSTITUTE(E4434,"°","º"))-1)),-1),IF(LEFT(E4434,6)="TÉRREO",0,IFERROR(VALUE(LEFT(E4434,FIND("º",SUBSTITUTE(E4434,"°","º"))-1)),""))))</f>
        <v/>
      </c>
      <c r="O4434" s="2">
        <f>IF(OR(F4434="",G4434=""),"",IF(G4434&lt;='RETRATO 2027'!$K$5,"CONCLUÍDA",IF(F4434&lt;='RETRATO 2027'!$K$5,"EM ANDAMENTO","A INICIAR")))</f>
        <v/>
      </c>
    </row>
    <row r="4435">
      <c r="M4435" s="2">
        <f>IF(C4435="","",IFERROR(INDEX($S$5:$S$304,MATCH(C4435,$R$5:$R$304,0))&amp;"","?"))</f>
        <v/>
      </c>
      <c r="N4435" s="2">
        <f>IF(E4435="","",IF(ISNUMBER(SEARCH("SUBSOLO",E4435)),IFERROR(-VALUE(LEFT(E4435,FIND("º",SUBSTITUTE(E4435,"°","º"))-1)),-1),IF(LEFT(E4435,6)="TÉRREO",0,IFERROR(VALUE(LEFT(E4435,FIND("º",SUBSTITUTE(E4435,"°","º"))-1)),""))))</f>
        <v/>
      </c>
      <c r="O4435" s="2">
        <f>IF(OR(F4435="",G4435=""),"",IF(G4435&lt;='RETRATO 2027'!$K$5,"CONCLUÍDA",IF(F4435&lt;='RETRATO 2027'!$K$5,"EM ANDAMENTO","A INICIAR")))</f>
        <v/>
      </c>
    </row>
    <row r="4436">
      <c r="M4436" s="2">
        <f>IF(C4436="","",IFERROR(INDEX($S$5:$S$304,MATCH(C4436,$R$5:$R$304,0))&amp;"","?"))</f>
        <v/>
      </c>
      <c r="N4436" s="2">
        <f>IF(E4436="","",IF(ISNUMBER(SEARCH("SUBSOLO",E4436)),IFERROR(-VALUE(LEFT(E4436,FIND("º",SUBSTITUTE(E4436,"°","º"))-1)),-1),IF(LEFT(E4436,6)="TÉRREO",0,IFERROR(VALUE(LEFT(E4436,FIND("º",SUBSTITUTE(E4436,"°","º"))-1)),""))))</f>
        <v/>
      </c>
      <c r="O4436" s="2">
        <f>IF(OR(F4436="",G4436=""),"",IF(G4436&lt;='RETRATO 2027'!$K$5,"CONCLUÍDA",IF(F4436&lt;='RETRATO 2027'!$K$5,"EM ANDAMENTO","A INICIAR")))</f>
        <v/>
      </c>
    </row>
    <row r="4437">
      <c r="M4437" s="2">
        <f>IF(C4437="","",IFERROR(INDEX($S$5:$S$304,MATCH(C4437,$R$5:$R$304,0))&amp;"","?"))</f>
        <v/>
      </c>
      <c r="N4437" s="2">
        <f>IF(E4437="","",IF(ISNUMBER(SEARCH("SUBSOLO",E4437)),IFERROR(-VALUE(LEFT(E4437,FIND("º",SUBSTITUTE(E4437,"°","º"))-1)),-1),IF(LEFT(E4437,6)="TÉRREO",0,IFERROR(VALUE(LEFT(E4437,FIND("º",SUBSTITUTE(E4437,"°","º"))-1)),""))))</f>
        <v/>
      </c>
      <c r="O4437" s="2">
        <f>IF(OR(F4437="",G4437=""),"",IF(G4437&lt;='RETRATO 2027'!$K$5,"CONCLUÍDA",IF(F4437&lt;='RETRATO 2027'!$K$5,"EM ANDAMENTO","A INICIAR")))</f>
        <v/>
      </c>
    </row>
    <row r="4438">
      <c r="M4438" s="2">
        <f>IF(C4438="","",IFERROR(INDEX($S$5:$S$304,MATCH(C4438,$R$5:$R$304,0))&amp;"","?"))</f>
        <v/>
      </c>
      <c r="N4438" s="2">
        <f>IF(E4438="","",IF(ISNUMBER(SEARCH("SUBSOLO",E4438)),IFERROR(-VALUE(LEFT(E4438,FIND("º",SUBSTITUTE(E4438,"°","º"))-1)),-1),IF(LEFT(E4438,6)="TÉRREO",0,IFERROR(VALUE(LEFT(E4438,FIND("º",SUBSTITUTE(E4438,"°","º"))-1)),""))))</f>
        <v/>
      </c>
      <c r="O4438" s="2">
        <f>IF(OR(F4438="",G4438=""),"",IF(G4438&lt;='RETRATO 2027'!$K$5,"CONCLUÍDA",IF(F4438&lt;='RETRATO 2027'!$K$5,"EM ANDAMENTO","A INICIAR")))</f>
        <v/>
      </c>
    </row>
    <row r="4439">
      <c r="M4439" s="2">
        <f>IF(C4439="","",IFERROR(INDEX($S$5:$S$304,MATCH(C4439,$R$5:$R$304,0))&amp;"","?"))</f>
        <v/>
      </c>
      <c r="N4439" s="2">
        <f>IF(E4439="","",IF(ISNUMBER(SEARCH("SUBSOLO",E4439)),IFERROR(-VALUE(LEFT(E4439,FIND("º",SUBSTITUTE(E4439,"°","º"))-1)),-1),IF(LEFT(E4439,6)="TÉRREO",0,IFERROR(VALUE(LEFT(E4439,FIND("º",SUBSTITUTE(E4439,"°","º"))-1)),""))))</f>
        <v/>
      </c>
      <c r="O4439" s="2">
        <f>IF(OR(F4439="",G4439=""),"",IF(G4439&lt;='RETRATO 2027'!$K$5,"CONCLUÍDA",IF(F4439&lt;='RETRATO 2027'!$K$5,"EM ANDAMENTO","A INICIAR")))</f>
        <v/>
      </c>
    </row>
    <row r="4440">
      <c r="M4440" s="2">
        <f>IF(C4440="","",IFERROR(INDEX($S$5:$S$304,MATCH(C4440,$R$5:$R$304,0))&amp;"","?"))</f>
        <v/>
      </c>
      <c r="N4440" s="2">
        <f>IF(E4440="","",IF(ISNUMBER(SEARCH("SUBSOLO",E4440)),IFERROR(-VALUE(LEFT(E4440,FIND("º",SUBSTITUTE(E4440,"°","º"))-1)),-1),IF(LEFT(E4440,6)="TÉRREO",0,IFERROR(VALUE(LEFT(E4440,FIND("º",SUBSTITUTE(E4440,"°","º"))-1)),""))))</f>
        <v/>
      </c>
      <c r="O4440" s="2">
        <f>IF(OR(F4440="",G4440=""),"",IF(G4440&lt;='RETRATO 2027'!$K$5,"CONCLUÍDA",IF(F4440&lt;='RETRATO 2027'!$K$5,"EM ANDAMENTO","A INICIAR")))</f>
        <v/>
      </c>
    </row>
    <row r="4441">
      <c r="M4441" s="2">
        <f>IF(C4441="","",IFERROR(INDEX($S$5:$S$304,MATCH(C4441,$R$5:$R$304,0))&amp;"","?"))</f>
        <v/>
      </c>
      <c r="N4441" s="2">
        <f>IF(E4441="","",IF(ISNUMBER(SEARCH("SUBSOLO",E4441)),IFERROR(-VALUE(LEFT(E4441,FIND("º",SUBSTITUTE(E4441,"°","º"))-1)),-1),IF(LEFT(E4441,6)="TÉRREO",0,IFERROR(VALUE(LEFT(E4441,FIND("º",SUBSTITUTE(E4441,"°","º"))-1)),""))))</f>
        <v/>
      </c>
      <c r="O4441" s="2">
        <f>IF(OR(F4441="",G4441=""),"",IF(G4441&lt;='RETRATO 2027'!$K$5,"CONCLUÍDA",IF(F4441&lt;='RETRATO 2027'!$K$5,"EM ANDAMENTO","A INICIAR")))</f>
        <v/>
      </c>
    </row>
    <row r="4442">
      <c r="M4442" s="2">
        <f>IF(C4442="","",IFERROR(INDEX($S$5:$S$304,MATCH(C4442,$R$5:$R$304,0))&amp;"","?"))</f>
        <v/>
      </c>
      <c r="N4442" s="2">
        <f>IF(E4442="","",IF(ISNUMBER(SEARCH("SUBSOLO",E4442)),IFERROR(-VALUE(LEFT(E4442,FIND("º",SUBSTITUTE(E4442,"°","º"))-1)),-1),IF(LEFT(E4442,6)="TÉRREO",0,IFERROR(VALUE(LEFT(E4442,FIND("º",SUBSTITUTE(E4442,"°","º"))-1)),""))))</f>
        <v/>
      </c>
      <c r="O4442" s="2">
        <f>IF(OR(F4442="",G4442=""),"",IF(G4442&lt;='RETRATO 2027'!$K$5,"CONCLUÍDA",IF(F4442&lt;='RETRATO 2027'!$K$5,"EM ANDAMENTO","A INICIAR")))</f>
        <v/>
      </c>
    </row>
    <row r="4443">
      <c r="M4443" s="2">
        <f>IF(C4443="","",IFERROR(INDEX($S$5:$S$304,MATCH(C4443,$R$5:$R$304,0))&amp;"","?"))</f>
        <v/>
      </c>
      <c r="N4443" s="2">
        <f>IF(E4443="","",IF(ISNUMBER(SEARCH("SUBSOLO",E4443)),IFERROR(-VALUE(LEFT(E4443,FIND("º",SUBSTITUTE(E4443,"°","º"))-1)),-1),IF(LEFT(E4443,6)="TÉRREO",0,IFERROR(VALUE(LEFT(E4443,FIND("º",SUBSTITUTE(E4443,"°","º"))-1)),""))))</f>
        <v/>
      </c>
      <c r="O4443" s="2">
        <f>IF(OR(F4443="",G4443=""),"",IF(G4443&lt;='RETRATO 2027'!$K$5,"CONCLUÍDA",IF(F4443&lt;='RETRATO 2027'!$K$5,"EM ANDAMENTO","A INICIAR")))</f>
        <v/>
      </c>
    </row>
    <row r="4444">
      <c r="M4444" s="2">
        <f>IF(C4444="","",IFERROR(INDEX($S$5:$S$304,MATCH(C4444,$R$5:$R$304,0))&amp;"","?"))</f>
        <v/>
      </c>
      <c r="N4444" s="2">
        <f>IF(E4444="","",IF(ISNUMBER(SEARCH("SUBSOLO",E4444)),IFERROR(-VALUE(LEFT(E4444,FIND("º",SUBSTITUTE(E4444,"°","º"))-1)),-1),IF(LEFT(E4444,6)="TÉRREO",0,IFERROR(VALUE(LEFT(E4444,FIND("º",SUBSTITUTE(E4444,"°","º"))-1)),""))))</f>
        <v/>
      </c>
      <c r="O4444" s="2">
        <f>IF(OR(F4444="",G4444=""),"",IF(G4444&lt;='RETRATO 2027'!$K$5,"CONCLUÍDA",IF(F4444&lt;='RETRATO 2027'!$K$5,"EM ANDAMENTO","A INICIAR")))</f>
        <v/>
      </c>
    </row>
    <row r="4445">
      <c r="M4445" s="2">
        <f>IF(C4445="","",IFERROR(INDEX($S$5:$S$304,MATCH(C4445,$R$5:$R$304,0))&amp;"","?"))</f>
        <v/>
      </c>
      <c r="N4445" s="2">
        <f>IF(E4445="","",IF(ISNUMBER(SEARCH("SUBSOLO",E4445)),IFERROR(-VALUE(LEFT(E4445,FIND("º",SUBSTITUTE(E4445,"°","º"))-1)),-1),IF(LEFT(E4445,6)="TÉRREO",0,IFERROR(VALUE(LEFT(E4445,FIND("º",SUBSTITUTE(E4445,"°","º"))-1)),""))))</f>
        <v/>
      </c>
      <c r="O4445" s="2">
        <f>IF(OR(F4445="",G4445=""),"",IF(G4445&lt;='RETRATO 2027'!$K$5,"CONCLUÍDA",IF(F4445&lt;='RETRATO 2027'!$K$5,"EM ANDAMENTO","A INICIAR")))</f>
        <v/>
      </c>
    </row>
    <row r="4446">
      <c r="M4446" s="2">
        <f>IF(C4446="","",IFERROR(INDEX($S$5:$S$304,MATCH(C4446,$R$5:$R$304,0))&amp;"","?"))</f>
        <v/>
      </c>
      <c r="N4446" s="2">
        <f>IF(E4446="","",IF(ISNUMBER(SEARCH("SUBSOLO",E4446)),IFERROR(-VALUE(LEFT(E4446,FIND("º",SUBSTITUTE(E4446,"°","º"))-1)),-1),IF(LEFT(E4446,6)="TÉRREO",0,IFERROR(VALUE(LEFT(E4446,FIND("º",SUBSTITUTE(E4446,"°","º"))-1)),""))))</f>
        <v/>
      </c>
      <c r="O4446" s="2">
        <f>IF(OR(F4446="",G4446=""),"",IF(G4446&lt;='RETRATO 2027'!$K$5,"CONCLUÍDA",IF(F4446&lt;='RETRATO 2027'!$K$5,"EM ANDAMENTO","A INICIAR")))</f>
        <v/>
      </c>
    </row>
    <row r="4447">
      <c r="M4447" s="2">
        <f>IF(C4447="","",IFERROR(INDEX($S$5:$S$304,MATCH(C4447,$R$5:$R$304,0))&amp;"","?"))</f>
        <v/>
      </c>
      <c r="N4447" s="2">
        <f>IF(E4447="","",IF(ISNUMBER(SEARCH("SUBSOLO",E4447)),IFERROR(-VALUE(LEFT(E4447,FIND("º",SUBSTITUTE(E4447,"°","º"))-1)),-1),IF(LEFT(E4447,6)="TÉRREO",0,IFERROR(VALUE(LEFT(E4447,FIND("º",SUBSTITUTE(E4447,"°","º"))-1)),""))))</f>
        <v/>
      </c>
      <c r="O4447" s="2">
        <f>IF(OR(F4447="",G4447=""),"",IF(G4447&lt;='RETRATO 2027'!$K$5,"CONCLUÍDA",IF(F4447&lt;='RETRATO 2027'!$K$5,"EM ANDAMENTO","A INICIAR")))</f>
        <v/>
      </c>
    </row>
    <row r="4448">
      <c r="M4448" s="2">
        <f>IF(C4448="","",IFERROR(INDEX($S$5:$S$304,MATCH(C4448,$R$5:$R$304,0))&amp;"","?"))</f>
        <v/>
      </c>
      <c r="N4448" s="2">
        <f>IF(E4448="","",IF(ISNUMBER(SEARCH("SUBSOLO",E4448)),IFERROR(-VALUE(LEFT(E4448,FIND("º",SUBSTITUTE(E4448,"°","º"))-1)),-1),IF(LEFT(E4448,6)="TÉRREO",0,IFERROR(VALUE(LEFT(E4448,FIND("º",SUBSTITUTE(E4448,"°","º"))-1)),""))))</f>
        <v/>
      </c>
      <c r="O4448" s="2">
        <f>IF(OR(F4448="",G4448=""),"",IF(G4448&lt;='RETRATO 2027'!$K$5,"CONCLUÍDA",IF(F4448&lt;='RETRATO 2027'!$K$5,"EM ANDAMENTO","A INICIAR")))</f>
        <v/>
      </c>
    </row>
    <row r="4449">
      <c r="M4449" s="2">
        <f>IF(C4449="","",IFERROR(INDEX($S$5:$S$304,MATCH(C4449,$R$5:$R$304,0))&amp;"","?"))</f>
        <v/>
      </c>
      <c r="N4449" s="2">
        <f>IF(E4449="","",IF(ISNUMBER(SEARCH("SUBSOLO",E4449)),IFERROR(-VALUE(LEFT(E4449,FIND("º",SUBSTITUTE(E4449,"°","º"))-1)),-1),IF(LEFT(E4449,6)="TÉRREO",0,IFERROR(VALUE(LEFT(E4449,FIND("º",SUBSTITUTE(E4449,"°","º"))-1)),""))))</f>
        <v/>
      </c>
      <c r="O4449" s="2">
        <f>IF(OR(F4449="",G4449=""),"",IF(G4449&lt;='RETRATO 2027'!$K$5,"CONCLUÍDA",IF(F4449&lt;='RETRATO 2027'!$K$5,"EM ANDAMENTO","A INICIAR")))</f>
        <v/>
      </c>
    </row>
    <row r="4450">
      <c r="M4450" s="2">
        <f>IF(C4450="","",IFERROR(INDEX($S$5:$S$304,MATCH(C4450,$R$5:$R$304,0))&amp;"","?"))</f>
        <v/>
      </c>
      <c r="N4450" s="2">
        <f>IF(E4450="","",IF(ISNUMBER(SEARCH("SUBSOLO",E4450)),IFERROR(-VALUE(LEFT(E4450,FIND("º",SUBSTITUTE(E4450,"°","º"))-1)),-1),IF(LEFT(E4450,6)="TÉRREO",0,IFERROR(VALUE(LEFT(E4450,FIND("º",SUBSTITUTE(E4450,"°","º"))-1)),""))))</f>
        <v/>
      </c>
      <c r="O4450" s="2">
        <f>IF(OR(F4450="",G4450=""),"",IF(G4450&lt;='RETRATO 2027'!$K$5,"CONCLUÍDA",IF(F4450&lt;='RETRATO 2027'!$K$5,"EM ANDAMENTO","A INICIAR")))</f>
        <v/>
      </c>
    </row>
    <row r="4451">
      <c r="M4451" s="2">
        <f>IF(C4451="","",IFERROR(INDEX($S$5:$S$304,MATCH(C4451,$R$5:$R$304,0))&amp;"","?"))</f>
        <v/>
      </c>
      <c r="N4451" s="2">
        <f>IF(E4451="","",IF(ISNUMBER(SEARCH("SUBSOLO",E4451)),IFERROR(-VALUE(LEFT(E4451,FIND("º",SUBSTITUTE(E4451,"°","º"))-1)),-1),IF(LEFT(E4451,6)="TÉRREO",0,IFERROR(VALUE(LEFT(E4451,FIND("º",SUBSTITUTE(E4451,"°","º"))-1)),""))))</f>
        <v/>
      </c>
      <c r="O4451" s="2">
        <f>IF(OR(F4451="",G4451=""),"",IF(G4451&lt;='RETRATO 2027'!$K$5,"CONCLUÍDA",IF(F4451&lt;='RETRATO 2027'!$K$5,"EM ANDAMENTO","A INICIAR")))</f>
        <v/>
      </c>
    </row>
    <row r="4452">
      <c r="M4452" s="2">
        <f>IF(C4452="","",IFERROR(INDEX($S$5:$S$304,MATCH(C4452,$R$5:$R$304,0))&amp;"","?"))</f>
        <v/>
      </c>
      <c r="N4452" s="2">
        <f>IF(E4452="","",IF(ISNUMBER(SEARCH("SUBSOLO",E4452)),IFERROR(-VALUE(LEFT(E4452,FIND("º",SUBSTITUTE(E4452,"°","º"))-1)),-1),IF(LEFT(E4452,6)="TÉRREO",0,IFERROR(VALUE(LEFT(E4452,FIND("º",SUBSTITUTE(E4452,"°","º"))-1)),""))))</f>
        <v/>
      </c>
      <c r="O4452" s="2">
        <f>IF(OR(F4452="",G4452=""),"",IF(G4452&lt;='RETRATO 2027'!$K$5,"CONCLUÍDA",IF(F4452&lt;='RETRATO 2027'!$K$5,"EM ANDAMENTO","A INICIAR")))</f>
        <v/>
      </c>
    </row>
    <row r="4453">
      <c r="M4453" s="2">
        <f>IF(C4453="","",IFERROR(INDEX($S$5:$S$304,MATCH(C4453,$R$5:$R$304,0))&amp;"","?"))</f>
        <v/>
      </c>
      <c r="N4453" s="2">
        <f>IF(E4453="","",IF(ISNUMBER(SEARCH("SUBSOLO",E4453)),IFERROR(-VALUE(LEFT(E4453,FIND("º",SUBSTITUTE(E4453,"°","º"))-1)),-1),IF(LEFT(E4453,6)="TÉRREO",0,IFERROR(VALUE(LEFT(E4453,FIND("º",SUBSTITUTE(E4453,"°","º"))-1)),""))))</f>
        <v/>
      </c>
      <c r="O4453" s="2">
        <f>IF(OR(F4453="",G4453=""),"",IF(G4453&lt;='RETRATO 2027'!$K$5,"CONCLUÍDA",IF(F4453&lt;='RETRATO 2027'!$K$5,"EM ANDAMENTO","A INICIAR")))</f>
        <v/>
      </c>
    </row>
    <row r="4454">
      <c r="M4454" s="2">
        <f>IF(C4454="","",IFERROR(INDEX($S$5:$S$304,MATCH(C4454,$R$5:$R$304,0))&amp;"","?"))</f>
        <v/>
      </c>
      <c r="N4454" s="2">
        <f>IF(E4454="","",IF(ISNUMBER(SEARCH("SUBSOLO",E4454)),IFERROR(-VALUE(LEFT(E4454,FIND("º",SUBSTITUTE(E4454,"°","º"))-1)),-1),IF(LEFT(E4454,6)="TÉRREO",0,IFERROR(VALUE(LEFT(E4454,FIND("º",SUBSTITUTE(E4454,"°","º"))-1)),""))))</f>
        <v/>
      </c>
      <c r="O4454" s="2">
        <f>IF(OR(F4454="",G4454=""),"",IF(G4454&lt;='RETRATO 2027'!$K$5,"CONCLUÍDA",IF(F4454&lt;='RETRATO 2027'!$K$5,"EM ANDAMENTO","A INICIAR")))</f>
        <v/>
      </c>
    </row>
    <row r="4455">
      <c r="M4455" s="2">
        <f>IF(C4455="","",IFERROR(INDEX($S$5:$S$304,MATCH(C4455,$R$5:$R$304,0))&amp;"","?"))</f>
        <v/>
      </c>
      <c r="N4455" s="2">
        <f>IF(E4455="","",IF(ISNUMBER(SEARCH("SUBSOLO",E4455)),IFERROR(-VALUE(LEFT(E4455,FIND("º",SUBSTITUTE(E4455,"°","º"))-1)),-1),IF(LEFT(E4455,6)="TÉRREO",0,IFERROR(VALUE(LEFT(E4455,FIND("º",SUBSTITUTE(E4455,"°","º"))-1)),""))))</f>
        <v/>
      </c>
      <c r="O4455" s="2">
        <f>IF(OR(F4455="",G4455=""),"",IF(G4455&lt;='RETRATO 2027'!$K$5,"CONCLUÍDA",IF(F4455&lt;='RETRATO 2027'!$K$5,"EM ANDAMENTO","A INICIAR")))</f>
        <v/>
      </c>
    </row>
    <row r="4456">
      <c r="M4456" s="2">
        <f>IF(C4456="","",IFERROR(INDEX($S$5:$S$304,MATCH(C4456,$R$5:$R$304,0))&amp;"","?"))</f>
        <v/>
      </c>
      <c r="N4456" s="2">
        <f>IF(E4456="","",IF(ISNUMBER(SEARCH("SUBSOLO",E4456)),IFERROR(-VALUE(LEFT(E4456,FIND("º",SUBSTITUTE(E4456,"°","º"))-1)),-1),IF(LEFT(E4456,6)="TÉRREO",0,IFERROR(VALUE(LEFT(E4456,FIND("º",SUBSTITUTE(E4456,"°","º"))-1)),""))))</f>
        <v/>
      </c>
      <c r="O4456" s="2">
        <f>IF(OR(F4456="",G4456=""),"",IF(G4456&lt;='RETRATO 2027'!$K$5,"CONCLUÍDA",IF(F4456&lt;='RETRATO 2027'!$K$5,"EM ANDAMENTO","A INICIAR")))</f>
        <v/>
      </c>
    </row>
    <row r="4457">
      <c r="M4457" s="2">
        <f>IF(C4457="","",IFERROR(INDEX($S$5:$S$304,MATCH(C4457,$R$5:$R$304,0))&amp;"","?"))</f>
        <v/>
      </c>
      <c r="N4457" s="2">
        <f>IF(E4457="","",IF(ISNUMBER(SEARCH("SUBSOLO",E4457)),IFERROR(-VALUE(LEFT(E4457,FIND("º",SUBSTITUTE(E4457,"°","º"))-1)),-1),IF(LEFT(E4457,6)="TÉRREO",0,IFERROR(VALUE(LEFT(E4457,FIND("º",SUBSTITUTE(E4457,"°","º"))-1)),""))))</f>
        <v/>
      </c>
      <c r="O4457" s="2">
        <f>IF(OR(F4457="",G4457=""),"",IF(G4457&lt;='RETRATO 2027'!$K$5,"CONCLUÍDA",IF(F4457&lt;='RETRATO 2027'!$K$5,"EM ANDAMENTO","A INICIAR")))</f>
        <v/>
      </c>
    </row>
    <row r="4458">
      <c r="M4458" s="2">
        <f>IF(C4458="","",IFERROR(INDEX($S$5:$S$304,MATCH(C4458,$R$5:$R$304,0))&amp;"","?"))</f>
        <v/>
      </c>
      <c r="N4458" s="2">
        <f>IF(E4458="","",IF(ISNUMBER(SEARCH("SUBSOLO",E4458)),IFERROR(-VALUE(LEFT(E4458,FIND("º",SUBSTITUTE(E4458,"°","º"))-1)),-1),IF(LEFT(E4458,6)="TÉRREO",0,IFERROR(VALUE(LEFT(E4458,FIND("º",SUBSTITUTE(E4458,"°","º"))-1)),""))))</f>
        <v/>
      </c>
      <c r="O4458" s="2">
        <f>IF(OR(F4458="",G4458=""),"",IF(G4458&lt;='RETRATO 2027'!$K$5,"CONCLUÍDA",IF(F4458&lt;='RETRATO 2027'!$K$5,"EM ANDAMENTO","A INICIAR")))</f>
        <v/>
      </c>
    </row>
    <row r="4459">
      <c r="M4459" s="2">
        <f>IF(C4459="","",IFERROR(INDEX($S$5:$S$304,MATCH(C4459,$R$5:$R$304,0))&amp;"","?"))</f>
        <v/>
      </c>
      <c r="N4459" s="2">
        <f>IF(E4459="","",IF(ISNUMBER(SEARCH("SUBSOLO",E4459)),IFERROR(-VALUE(LEFT(E4459,FIND("º",SUBSTITUTE(E4459,"°","º"))-1)),-1),IF(LEFT(E4459,6)="TÉRREO",0,IFERROR(VALUE(LEFT(E4459,FIND("º",SUBSTITUTE(E4459,"°","º"))-1)),""))))</f>
        <v/>
      </c>
      <c r="O4459" s="2">
        <f>IF(OR(F4459="",G4459=""),"",IF(G4459&lt;='RETRATO 2027'!$K$5,"CONCLUÍDA",IF(F4459&lt;='RETRATO 2027'!$K$5,"EM ANDAMENTO","A INICIAR")))</f>
        <v/>
      </c>
    </row>
    <row r="4460">
      <c r="M4460" s="2">
        <f>IF(C4460="","",IFERROR(INDEX($S$5:$S$304,MATCH(C4460,$R$5:$R$304,0))&amp;"","?"))</f>
        <v/>
      </c>
      <c r="N4460" s="2">
        <f>IF(E4460="","",IF(ISNUMBER(SEARCH("SUBSOLO",E4460)),IFERROR(-VALUE(LEFT(E4460,FIND("º",SUBSTITUTE(E4460,"°","º"))-1)),-1),IF(LEFT(E4460,6)="TÉRREO",0,IFERROR(VALUE(LEFT(E4460,FIND("º",SUBSTITUTE(E4460,"°","º"))-1)),""))))</f>
        <v/>
      </c>
      <c r="O4460" s="2">
        <f>IF(OR(F4460="",G4460=""),"",IF(G4460&lt;='RETRATO 2027'!$K$5,"CONCLUÍDA",IF(F4460&lt;='RETRATO 2027'!$K$5,"EM ANDAMENTO","A INICIAR")))</f>
        <v/>
      </c>
    </row>
    <row r="4461">
      <c r="M4461" s="2">
        <f>IF(C4461="","",IFERROR(INDEX($S$5:$S$304,MATCH(C4461,$R$5:$R$304,0))&amp;"","?"))</f>
        <v/>
      </c>
      <c r="N4461" s="2">
        <f>IF(E4461="","",IF(ISNUMBER(SEARCH("SUBSOLO",E4461)),IFERROR(-VALUE(LEFT(E4461,FIND("º",SUBSTITUTE(E4461,"°","º"))-1)),-1),IF(LEFT(E4461,6)="TÉRREO",0,IFERROR(VALUE(LEFT(E4461,FIND("º",SUBSTITUTE(E4461,"°","º"))-1)),""))))</f>
        <v/>
      </c>
      <c r="O4461" s="2">
        <f>IF(OR(F4461="",G4461=""),"",IF(G4461&lt;='RETRATO 2027'!$K$5,"CONCLUÍDA",IF(F4461&lt;='RETRATO 2027'!$K$5,"EM ANDAMENTO","A INICIAR")))</f>
        <v/>
      </c>
    </row>
    <row r="4462">
      <c r="M4462" s="2">
        <f>IF(C4462="","",IFERROR(INDEX($S$5:$S$304,MATCH(C4462,$R$5:$R$304,0))&amp;"","?"))</f>
        <v/>
      </c>
      <c r="N4462" s="2">
        <f>IF(E4462="","",IF(ISNUMBER(SEARCH("SUBSOLO",E4462)),IFERROR(-VALUE(LEFT(E4462,FIND("º",SUBSTITUTE(E4462,"°","º"))-1)),-1),IF(LEFT(E4462,6)="TÉRREO",0,IFERROR(VALUE(LEFT(E4462,FIND("º",SUBSTITUTE(E4462,"°","º"))-1)),""))))</f>
        <v/>
      </c>
      <c r="O4462" s="2">
        <f>IF(OR(F4462="",G4462=""),"",IF(G4462&lt;='RETRATO 2027'!$K$5,"CONCLUÍDA",IF(F4462&lt;='RETRATO 2027'!$K$5,"EM ANDAMENTO","A INICIAR")))</f>
        <v/>
      </c>
    </row>
    <row r="4463">
      <c r="M4463" s="2">
        <f>IF(C4463="","",IFERROR(INDEX($S$5:$S$304,MATCH(C4463,$R$5:$R$304,0))&amp;"","?"))</f>
        <v/>
      </c>
      <c r="N4463" s="2">
        <f>IF(E4463="","",IF(ISNUMBER(SEARCH("SUBSOLO",E4463)),IFERROR(-VALUE(LEFT(E4463,FIND("º",SUBSTITUTE(E4463,"°","º"))-1)),-1),IF(LEFT(E4463,6)="TÉRREO",0,IFERROR(VALUE(LEFT(E4463,FIND("º",SUBSTITUTE(E4463,"°","º"))-1)),""))))</f>
        <v/>
      </c>
      <c r="O4463" s="2">
        <f>IF(OR(F4463="",G4463=""),"",IF(G4463&lt;='RETRATO 2027'!$K$5,"CONCLUÍDA",IF(F4463&lt;='RETRATO 2027'!$K$5,"EM ANDAMENTO","A INICIAR")))</f>
        <v/>
      </c>
    </row>
    <row r="4464">
      <c r="M4464" s="2">
        <f>IF(C4464="","",IFERROR(INDEX($S$5:$S$304,MATCH(C4464,$R$5:$R$304,0))&amp;"","?"))</f>
        <v/>
      </c>
      <c r="N4464" s="2">
        <f>IF(E4464="","",IF(ISNUMBER(SEARCH("SUBSOLO",E4464)),IFERROR(-VALUE(LEFT(E4464,FIND("º",SUBSTITUTE(E4464,"°","º"))-1)),-1),IF(LEFT(E4464,6)="TÉRREO",0,IFERROR(VALUE(LEFT(E4464,FIND("º",SUBSTITUTE(E4464,"°","º"))-1)),""))))</f>
        <v/>
      </c>
      <c r="O4464" s="2">
        <f>IF(OR(F4464="",G4464=""),"",IF(G4464&lt;='RETRATO 2027'!$K$5,"CONCLUÍDA",IF(F4464&lt;='RETRATO 2027'!$K$5,"EM ANDAMENTO","A INICIAR")))</f>
        <v/>
      </c>
    </row>
    <row r="4465">
      <c r="M4465" s="2">
        <f>IF(C4465="","",IFERROR(INDEX($S$5:$S$304,MATCH(C4465,$R$5:$R$304,0))&amp;"","?"))</f>
        <v/>
      </c>
      <c r="N4465" s="2">
        <f>IF(E4465="","",IF(ISNUMBER(SEARCH("SUBSOLO",E4465)),IFERROR(-VALUE(LEFT(E4465,FIND("º",SUBSTITUTE(E4465,"°","º"))-1)),-1),IF(LEFT(E4465,6)="TÉRREO",0,IFERROR(VALUE(LEFT(E4465,FIND("º",SUBSTITUTE(E4465,"°","º"))-1)),""))))</f>
        <v/>
      </c>
      <c r="O4465" s="2">
        <f>IF(OR(F4465="",G4465=""),"",IF(G4465&lt;='RETRATO 2027'!$K$5,"CONCLUÍDA",IF(F4465&lt;='RETRATO 2027'!$K$5,"EM ANDAMENTO","A INICIAR")))</f>
        <v/>
      </c>
    </row>
    <row r="4466">
      <c r="M4466" s="2">
        <f>IF(C4466="","",IFERROR(INDEX($S$5:$S$304,MATCH(C4466,$R$5:$R$304,0))&amp;"","?"))</f>
        <v/>
      </c>
      <c r="N4466" s="2">
        <f>IF(E4466="","",IF(ISNUMBER(SEARCH("SUBSOLO",E4466)),IFERROR(-VALUE(LEFT(E4466,FIND("º",SUBSTITUTE(E4466,"°","º"))-1)),-1),IF(LEFT(E4466,6)="TÉRREO",0,IFERROR(VALUE(LEFT(E4466,FIND("º",SUBSTITUTE(E4466,"°","º"))-1)),""))))</f>
        <v/>
      </c>
      <c r="O4466" s="2">
        <f>IF(OR(F4466="",G4466=""),"",IF(G4466&lt;='RETRATO 2027'!$K$5,"CONCLUÍDA",IF(F4466&lt;='RETRATO 2027'!$K$5,"EM ANDAMENTO","A INICIAR")))</f>
        <v/>
      </c>
    </row>
    <row r="4467">
      <c r="M4467" s="2">
        <f>IF(C4467="","",IFERROR(INDEX($S$5:$S$304,MATCH(C4467,$R$5:$R$304,0))&amp;"","?"))</f>
        <v/>
      </c>
      <c r="N4467" s="2">
        <f>IF(E4467="","",IF(ISNUMBER(SEARCH("SUBSOLO",E4467)),IFERROR(-VALUE(LEFT(E4467,FIND("º",SUBSTITUTE(E4467,"°","º"))-1)),-1),IF(LEFT(E4467,6)="TÉRREO",0,IFERROR(VALUE(LEFT(E4467,FIND("º",SUBSTITUTE(E4467,"°","º"))-1)),""))))</f>
        <v/>
      </c>
      <c r="O4467" s="2">
        <f>IF(OR(F4467="",G4467=""),"",IF(G4467&lt;='RETRATO 2027'!$K$5,"CONCLUÍDA",IF(F4467&lt;='RETRATO 2027'!$K$5,"EM ANDAMENTO","A INICIAR")))</f>
        <v/>
      </c>
    </row>
    <row r="4468">
      <c r="M4468" s="2">
        <f>IF(C4468="","",IFERROR(INDEX($S$5:$S$304,MATCH(C4468,$R$5:$R$304,0))&amp;"","?"))</f>
        <v/>
      </c>
      <c r="N4468" s="2">
        <f>IF(E4468="","",IF(ISNUMBER(SEARCH("SUBSOLO",E4468)),IFERROR(-VALUE(LEFT(E4468,FIND("º",SUBSTITUTE(E4468,"°","º"))-1)),-1),IF(LEFT(E4468,6)="TÉRREO",0,IFERROR(VALUE(LEFT(E4468,FIND("º",SUBSTITUTE(E4468,"°","º"))-1)),""))))</f>
        <v/>
      </c>
      <c r="O4468" s="2">
        <f>IF(OR(F4468="",G4468=""),"",IF(G4468&lt;='RETRATO 2027'!$K$5,"CONCLUÍDA",IF(F4468&lt;='RETRATO 2027'!$K$5,"EM ANDAMENTO","A INICIAR")))</f>
        <v/>
      </c>
    </row>
    <row r="4469">
      <c r="M4469" s="2">
        <f>IF(C4469="","",IFERROR(INDEX($S$5:$S$304,MATCH(C4469,$R$5:$R$304,0))&amp;"","?"))</f>
        <v/>
      </c>
      <c r="N4469" s="2">
        <f>IF(E4469="","",IF(ISNUMBER(SEARCH("SUBSOLO",E4469)),IFERROR(-VALUE(LEFT(E4469,FIND("º",SUBSTITUTE(E4469,"°","º"))-1)),-1),IF(LEFT(E4469,6)="TÉRREO",0,IFERROR(VALUE(LEFT(E4469,FIND("º",SUBSTITUTE(E4469,"°","º"))-1)),""))))</f>
        <v/>
      </c>
      <c r="O4469" s="2">
        <f>IF(OR(F4469="",G4469=""),"",IF(G4469&lt;='RETRATO 2027'!$K$5,"CONCLUÍDA",IF(F4469&lt;='RETRATO 2027'!$K$5,"EM ANDAMENTO","A INICIAR")))</f>
        <v/>
      </c>
    </row>
    <row r="4470">
      <c r="M4470" s="2">
        <f>IF(C4470="","",IFERROR(INDEX($S$5:$S$304,MATCH(C4470,$R$5:$R$304,0))&amp;"","?"))</f>
        <v/>
      </c>
      <c r="N4470" s="2">
        <f>IF(E4470="","",IF(ISNUMBER(SEARCH("SUBSOLO",E4470)),IFERROR(-VALUE(LEFT(E4470,FIND("º",SUBSTITUTE(E4470,"°","º"))-1)),-1),IF(LEFT(E4470,6)="TÉRREO",0,IFERROR(VALUE(LEFT(E4470,FIND("º",SUBSTITUTE(E4470,"°","º"))-1)),""))))</f>
        <v/>
      </c>
      <c r="O4470" s="2">
        <f>IF(OR(F4470="",G4470=""),"",IF(G4470&lt;='RETRATO 2027'!$K$5,"CONCLUÍDA",IF(F4470&lt;='RETRATO 2027'!$K$5,"EM ANDAMENTO","A INICIAR")))</f>
        <v/>
      </c>
    </row>
    <row r="4471">
      <c r="M4471" s="2">
        <f>IF(C4471="","",IFERROR(INDEX($S$5:$S$304,MATCH(C4471,$R$5:$R$304,0))&amp;"","?"))</f>
        <v/>
      </c>
      <c r="N4471" s="2">
        <f>IF(E4471="","",IF(ISNUMBER(SEARCH("SUBSOLO",E4471)),IFERROR(-VALUE(LEFT(E4471,FIND("º",SUBSTITUTE(E4471,"°","º"))-1)),-1),IF(LEFT(E4471,6)="TÉRREO",0,IFERROR(VALUE(LEFT(E4471,FIND("º",SUBSTITUTE(E4471,"°","º"))-1)),""))))</f>
        <v/>
      </c>
      <c r="O4471" s="2">
        <f>IF(OR(F4471="",G4471=""),"",IF(G4471&lt;='RETRATO 2027'!$K$5,"CONCLUÍDA",IF(F4471&lt;='RETRATO 2027'!$K$5,"EM ANDAMENTO","A INICIAR")))</f>
        <v/>
      </c>
    </row>
    <row r="4472">
      <c r="M4472" s="2">
        <f>IF(C4472="","",IFERROR(INDEX($S$5:$S$304,MATCH(C4472,$R$5:$R$304,0))&amp;"","?"))</f>
        <v/>
      </c>
      <c r="N4472" s="2">
        <f>IF(E4472="","",IF(ISNUMBER(SEARCH("SUBSOLO",E4472)),IFERROR(-VALUE(LEFT(E4472,FIND("º",SUBSTITUTE(E4472,"°","º"))-1)),-1),IF(LEFT(E4472,6)="TÉRREO",0,IFERROR(VALUE(LEFT(E4472,FIND("º",SUBSTITUTE(E4472,"°","º"))-1)),""))))</f>
        <v/>
      </c>
      <c r="O4472" s="2">
        <f>IF(OR(F4472="",G4472=""),"",IF(G4472&lt;='RETRATO 2027'!$K$5,"CONCLUÍDA",IF(F4472&lt;='RETRATO 2027'!$K$5,"EM ANDAMENTO","A INICIAR")))</f>
        <v/>
      </c>
    </row>
    <row r="4473">
      <c r="M4473" s="2">
        <f>IF(C4473="","",IFERROR(INDEX($S$5:$S$304,MATCH(C4473,$R$5:$R$304,0))&amp;"","?"))</f>
        <v/>
      </c>
      <c r="N4473" s="2">
        <f>IF(E4473="","",IF(ISNUMBER(SEARCH("SUBSOLO",E4473)),IFERROR(-VALUE(LEFT(E4473,FIND("º",SUBSTITUTE(E4473,"°","º"))-1)),-1),IF(LEFT(E4473,6)="TÉRREO",0,IFERROR(VALUE(LEFT(E4473,FIND("º",SUBSTITUTE(E4473,"°","º"))-1)),""))))</f>
        <v/>
      </c>
      <c r="O4473" s="2">
        <f>IF(OR(F4473="",G4473=""),"",IF(G4473&lt;='RETRATO 2027'!$K$5,"CONCLUÍDA",IF(F4473&lt;='RETRATO 2027'!$K$5,"EM ANDAMENTO","A INICIAR")))</f>
        <v/>
      </c>
    </row>
    <row r="4474">
      <c r="M4474" s="2">
        <f>IF(C4474="","",IFERROR(INDEX($S$5:$S$304,MATCH(C4474,$R$5:$R$304,0))&amp;"","?"))</f>
        <v/>
      </c>
      <c r="N4474" s="2">
        <f>IF(E4474="","",IF(ISNUMBER(SEARCH("SUBSOLO",E4474)),IFERROR(-VALUE(LEFT(E4474,FIND("º",SUBSTITUTE(E4474,"°","º"))-1)),-1),IF(LEFT(E4474,6)="TÉRREO",0,IFERROR(VALUE(LEFT(E4474,FIND("º",SUBSTITUTE(E4474,"°","º"))-1)),""))))</f>
        <v/>
      </c>
      <c r="O4474" s="2">
        <f>IF(OR(F4474="",G4474=""),"",IF(G4474&lt;='RETRATO 2027'!$K$5,"CONCLUÍDA",IF(F4474&lt;='RETRATO 2027'!$K$5,"EM ANDAMENTO","A INICIAR")))</f>
        <v/>
      </c>
    </row>
    <row r="4475">
      <c r="M4475" s="2">
        <f>IF(C4475="","",IFERROR(INDEX($S$5:$S$304,MATCH(C4475,$R$5:$R$304,0))&amp;"","?"))</f>
        <v/>
      </c>
      <c r="N4475" s="2">
        <f>IF(E4475="","",IF(ISNUMBER(SEARCH("SUBSOLO",E4475)),IFERROR(-VALUE(LEFT(E4475,FIND("º",SUBSTITUTE(E4475,"°","º"))-1)),-1),IF(LEFT(E4475,6)="TÉRREO",0,IFERROR(VALUE(LEFT(E4475,FIND("º",SUBSTITUTE(E4475,"°","º"))-1)),""))))</f>
        <v/>
      </c>
      <c r="O4475" s="2">
        <f>IF(OR(F4475="",G4475=""),"",IF(G4475&lt;='RETRATO 2027'!$K$5,"CONCLUÍDA",IF(F4475&lt;='RETRATO 2027'!$K$5,"EM ANDAMENTO","A INICIAR")))</f>
        <v/>
      </c>
    </row>
    <row r="4476">
      <c r="M4476" s="2">
        <f>IF(C4476="","",IFERROR(INDEX($S$5:$S$304,MATCH(C4476,$R$5:$R$304,0))&amp;"","?"))</f>
        <v/>
      </c>
      <c r="N4476" s="2">
        <f>IF(E4476="","",IF(ISNUMBER(SEARCH("SUBSOLO",E4476)),IFERROR(-VALUE(LEFT(E4476,FIND("º",SUBSTITUTE(E4476,"°","º"))-1)),-1),IF(LEFT(E4476,6)="TÉRREO",0,IFERROR(VALUE(LEFT(E4476,FIND("º",SUBSTITUTE(E4476,"°","º"))-1)),""))))</f>
        <v/>
      </c>
      <c r="O4476" s="2">
        <f>IF(OR(F4476="",G4476=""),"",IF(G4476&lt;='RETRATO 2027'!$K$5,"CONCLUÍDA",IF(F4476&lt;='RETRATO 2027'!$K$5,"EM ANDAMENTO","A INICIAR")))</f>
        <v/>
      </c>
    </row>
    <row r="4477">
      <c r="M4477" s="2">
        <f>IF(C4477="","",IFERROR(INDEX($S$5:$S$304,MATCH(C4477,$R$5:$R$304,0))&amp;"","?"))</f>
        <v/>
      </c>
      <c r="N4477" s="2">
        <f>IF(E4477="","",IF(ISNUMBER(SEARCH("SUBSOLO",E4477)),IFERROR(-VALUE(LEFT(E4477,FIND("º",SUBSTITUTE(E4477,"°","º"))-1)),-1),IF(LEFT(E4477,6)="TÉRREO",0,IFERROR(VALUE(LEFT(E4477,FIND("º",SUBSTITUTE(E4477,"°","º"))-1)),""))))</f>
        <v/>
      </c>
      <c r="O4477" s="2">
        <f>IF(OR(F4477="",G4477=""),"",IF(G4477&lt;='RETRATO 2027'!$K$5,"CONCLUÍDA",IF(F4477&lt;='RETRATO 2027'!$K$5,"EM ANDAMENTO","A INICIAR")))</f>
        <v/>
      </c>
    </row>
    <row r="4478">
      <c r="M4478" s="2">
        <f>IF(C4478="","",IFERROR(INDEX($S$5:$S$304,MATCH(C4478,$R$5:$R$304,0))&amp;"","?"))</f>
        <v/>
      </c>
      <c r="N4478" s="2">
        <f>IF(E4478="","",IF(ISNUMBER(SEARCH("SUBSOLO",E4478)),IFERROR(-VALUE(LEFT(E4478,FIND("º",SUBSTITUTE(E4478,"°","º"))-1)),-1),IF(LEFT(E4478,6)="TÉRREO",0,IFERROR(VALUE(LEFT(E4478,FIND("º",SUBSTITUTE(E4478,"°","º"))-1)),""))))</f>
        <v/>
      </c>
      <c r="O4478" s="2">
        <f>IF(OR(F4478="",G4478=""),"",IF(G4478&lt;='RETRATO 2027'!$K$5,"CONCLUÍDA",IF(F4478&lt;='RETRATO 2027'!$K$5,"EM ANDAMENTO","A INICIAR")))</f>
        <v/>
      </c>
    </row>
    <row r="4479">
      <c r="M4479" s="2">
        <f>IF(C4479="","",IFERROR(INDEX($S$5:$S$304,MATCH(C4479,$R$5:$R$304,0))&amp;"","?"))</f>
        <v/>
      </c>
      <c r="N4479" s="2">
        <f>IF(E4479="","",IF(ISNUMBER(SEARCH("SUBSOLO",E4479)),IFERROR(-VALUE(LEFT(E4479,FIND("º",SUBSTITUTE(E4479,"°","º"))-1)),-1),IF(LEFT(E4479,6)="TÉRREO",0,IFERROR(VALUE(LEFT(E4479,FIND("º",SUBSTITUTE(E4479,"°","º"))-1)),""))))</f>
        <v/>
      </c>
      <c r="O4479" s="2">
        <f>IF(OR(F4479="",G4479=""),"",IF(G4479&lt;='RETRATO 2027'!$K$5,"CONCLUÍDA",IF(F4479&lt;='RETRATO 2027'!$K$5,"EM ANDAMENTO","A INICIAR")))</f>
        <v/>
      </c>
    </row>
    <row r="4480">
      <c r="M4480" s="2">
        <f>IF(C4480="","",IFERROR(INDEX($S$5:$S$304,MATCH(C4480,$R$5:$R$304,0))&amp;"","?"))</f>
        <v/>
      </c>
      <c r="N4480" s="2">
        <f>IF(E4480="","",IF(ISNUMBER(SEARCH("SUBSOLO",E4480)),IFERROR(-VALUE(LEFT(E4480,FIND("º",SUBSTITUTE(E4480,"°","º"))-1)),-1),IF(LEFT(E4480,6)="TÉRREO",0,IFERROR(VALUE(LEFT(E4480,FIND("º",SUBSTITUTE(E4480,"°","º"))-1)),""))))</f>
        <v/>
      </c>
      <c r="O4480" s="2">
        <f>IF(OR(F4480="",G4480=""),"",IF(G4480&lt;='RETRATO 2027'!$K$5,"CONCLUÍDA",IF(F4480&lt;='RETRATO 2027'!$K$5,"EM ANDAMENTO","A INICIAR")))</f>
        <v/>
      </c>
    </row>
    <row r="4481">
      <c r="M4481" s="2">
        <f>IF(C4481="","",IFERROR(INDEX($S$5:$S$304,MATCH(C4481,$R$5:$R$304,0))&amp;"","?"))</f>
        <v/>
      </c>
      <c r="N4481" s="2">
        <f>IF(E4481="","",IF(ISNUMBER(SEARCH("SUBSOLO",E4481)),IFERROR(-VALUE(LEFT(E4481,FIND("º",SUBSTITUTE(E4481,"°","º"))-1)),-1),IF(LEFT(E4481,6)="TÉRREO",0,IFERROR(VALUE(LEFT(E4481,FIND("º",SUBSTITUTE(E4481,"°","º"))-1)),""))))</f>
        <v/>
      </c>
      <c r="O4481" s="2">
        <f>IF(OR(F4481="",G4481=""),"",IF(G4481&lt;='RETRATO 2027'!$K$5,"CONCLUÍDA",IF(F4481&lt;='RETRATO 2027'!$K$5,"EM ANDAMENTO","A INICIAR")))</f>
        <v/>
      </c>
    </row>
    <row r="4482">
      <c r="M4482" s="2">
        <f>IF(C4482="","",IFERROR(INDEX($S$5:$S$304,MATCH(C4482,$R$5:$R$304,0))&amp;"","?"))</f>
        <v/>
      </c>
      <c r="N4482" s="2">
        <f>IF(E4482="","",IF(ISNUMBER(SEARCH("SUBSOLO",E4482)),IFERROR(-VALUE(LEFT(E4482,FIND("º",SUBSTITUTE(E4482,"°","º"))-1)),-1),IF(LEFT(E4482,6)="TÉRREO",0,IFERROR(VALUE(LEFT(E4482,FIND("º",SUBSTITUTE(E4482,"°","º"))-1)),""))))</f>
        <v/>
      </c>
      <c r="O4482" s="2">
        <f>IF(OR(F4482="",G4482=""),"",IF(G4482&lt;='RETRATO 2027'!$K$5,"CONCLUÍDA",IF(F4482&lt;='RETRATO 2027'!$K$5,"EM ANDAMENTO","A INICIAR")))</f>
        <v/>
      </c>
    </row>
    <row r="4483">
      <c r="M4483" s="2">
        <f>IF(C4483="","",IFERROR(INDEX($S$5:$S$304,MATCH(C4483,$R$5:$R$304,0))&amp;"","?"))</f>
        <v/>
      </c>
      <c r="N4483" s="2">
        <f>IF(E4483="","",IF(ISNUMBER(SEARCH("SUBSOLO",E4483)),IFERROR(-VALUE(LEFT(E4483,FIND("º",SUBSTITUTE(E4483,"°","º"))-1)),-1),IF(LEFT(E4483,6)="TÉRREO",0,IFERROR(VALUE(LEFT(E4483,FIND("º",SUBSTITUTE(E4483,"°","º"))-1)),""))))</f>
        <v/>
      </c>
      <c r="O4483" s="2">
        <f>IF(OR(F4483="",G4483=""),"",IF(G4483&lt;='RETRATO 2027'!$K$5,"CONCLUÍDA",IF(F4483&lt;='RETRATO 2027'!$K$5,"EM ANDAMENTO","A INICIAR")))</f>
        <v/>
      </c>
    </row>
    <row r="4484">
      <c r="M4484" s="2">
        <f>IF(C4484="","",IFERROR(INDEX($S$5:$S$304,MATCH(C4484,$R$5:$R$304,0))&amp;"","?"))</f>
        <v/>
      </c>
      <c r="N4484" s="2">
        <f>IF(E4484="","",IF(ISNUMBER(SEARCH("SUBSOLO",E4484)),IFERROR(-VALUE(LEFT(E4484,FIND("º",SUBSTITUTE(E4484,"°","º"))-1)),-1),IF(LEFT(E4484,6)="TÉRREO",0,IFERROR(VALUE(LEFT(E4484,FIND("º",SUBSTITUTE(E4484,"°","º"))-1)),""))))</f>
        <v/>
      </c>
      <c r="O4484" s="2">
        <f>IF(OR(F4484="",G4484=""),"",IF(G4484&lt;='RETRATO 2027'!$K$5,"CONCLUÍDA",IF(F4484&lt;='RETRATO 2027'!$K$5,"EM ANDAMENTO","A INICIAR")))</f>
        <v/>
      </c>
    </row>
    <row r="4485">
      <c r="M4485" s="2">
        <f>IF(C4485="","",IFERROR(INDEX($S$5:$S$304,MATCH(C4485,$R$5:$R$304,0))&amp;"","?"))</f>
        <v/>
      </c>
      <c r="N4485" s="2">
        <f>IF(E4485="","",IF(ISNUMBER(SEARCH("SUBSOLO",E4485)),IFERROR(-VALUE(LEFT(E4485,FIND("º",SUBSTITUTE(E4485,"°","º"))-1)),-1),IF(LEFT(E4485,6)="TÉRREO",0,IFERROR(VALUE(LEFT(E4485,FIND("º",SUBSTITUTE(E4485,"°","º"))-1)),""))))</f>
        <v/>
      </c>
      <c r="O4485" s="2">
        <f>IF(OR(F4485="",G4485=""),"",IF(G4485&lt;='RETRATO 2027'!$K$5,"CONCLUÍDA",IF(F4485&lt;='RETRATO 2027'!$K$5,"EM ANDAMENTO","A INICIAR")))</f>
        <v/>
      </c>
    </row>
    <row r="4486">
      <c r="M4486" s="2">
        <f>IF(C4486="","",IFERROR(INDEX($S$5:$S$304,MATCH(C4486,$R$5:$R$304,0))&amp;"","?"))</f>
        <v/>
      </c>
      <c r="N4486" s="2">
        <f>IF(E4486="","",IF(ISNUMBER(SEARCH("SUBSOLO",E4486)),IFERROR(-VALUE(LEFT(E4486,FIND("º",SUBSTITUTE(E4486,"°","º"))-1)),-1),IF(LEFT(E4486,6)="TÉRREO",0,IFERROR(VALUE(LEFT(E4486,FIND("º",SUBSTITUTE(E4486,"°","º"))-1)),""))))</f>
        <v/>
      </c>
      <c r="O4486" s="2">
        <f>IF(OR(F4486="",G4486=""),"",IF(G4486&lt;='RETRATO 2027'!$K$5,"CONCLUÍDA",IF(F4486&lt;='RETRATO 2027'!$K$5,"EM ANDAMENTO","A INICIAR")))</f>
        <v/>
      </c>
    </row>
    <row r="4487">
      <c r="M4487" s="2">
        <f>IF(C4487="","",IFERROR(INDEX($S$5:$S$304,MATCH(C4487,$R$5:$R$304,0))&amp;"","?"))</f>
        <v/>
      </c>
      <c r="N4487" s="2">
        <f>IF(E4487="","",IF(ISNUMBER(SEARCH("SUBSOLO",E4487)),IFERROR(-VALUE(LEFT(E4487,FIND("º",SUBSTITUTE(E4487,"°","º"))-1)),-1),IF(LEFT(E4487,6)="TÉRREO",0,IFERROR(VALUE(LEFT(E4487,FIND("º",SUBSTITUTE(E4487,"°","º"))-1)),""))))</f>
        <v/>
      </c>
      <c r="O4487" s="2">
        <f>IF(OR(F4487="",G4487=""),"",IF(G4487&lt;='RETRATO 2027'!$K$5,"CONCLUÍDA",IF(F4487&lt;='RETRATO 2027'!$K$5,"EM ANDAMENTO","A INICIAR")))</f>
        <v/>
      </c>
    </row>
    <row r="4488">
      <c r="M4488" s="2">
        <f>IF(C4488="","",IFERROR(INDEX($S$5:$S$304,MATCH(C4488,$R$5:$R$304,0))&amp;"","?"))</f>
        <v/>
      </c>
      <c r="N4488" s="2">
        <f>IF(E4488="","",IF(ISNUMBER(SEARCH("SUBSOLO",E4488)),IFERROR(-VALUE(LEFT(E4488,FIND("º",SUBSTITUTE(E4488,"°","º"))-1)),-1),IF(LEFT(E4488,6)="TÉRREO",0,IFERROR(VALUE(LEFT(E4488,FIND("º",SUBSTITUTE(E4488,"°","º"))-1)),""))))</f>
        <v/>
      </c>
      <c r="O4488" s="2">
        <f>IF(OR(F4488="",G4488=""),"",IF(G4488&lt;='RETRATO 2027'!$K$5,"CONCLUÍDA",IF(F4488&lt;='RETRATO 2027'!$K$5,"EM ANDAMENTO","A INICIAR")))</f>
        <v/>
      </c>
    </row>
    <row r="4489">
      <c r="M4489" s="2">
        <f>IF(C4489="","",IFERROR(INDEX($S$5:$S$304,MATCH(C4489,$R$5:$R$304,0))&amp;"","?"))</f>
        <v/>
      </c>
      <c r="N4489" s="2">
        <f>IF(E4489="","",IF(ISNUMBER(SEARCH("SUBSOLO",E4489)),IFERROR(-VALUE(LEFT(E4489,FIND("º",SUBSTITUTE(E4489,"°","º"))-1)),-1),IF(LEFT(E4489,6)="TÉRREO",0,IFERROR(VALUE(LEFT(E4489,FIND("º",SUBSTITUTE(E4489,"°","º"))-1)),""))))</f>
        <v/>
      </c>
      <c r="O4489" s="2">
        <f>IF(OR(F4489="",G4489=""),"",IF(G4489&lt;='RETRATO 2027'!$K$5,"CONCLUÍDA",IF(F4489&lt;='RETRATO 2027'!$K$5,"EM ANDAMENTO","A INICIAR")))</f>
        <v/>
      </c>
    </row>
    <row r="4490">
      <c r="M4490" s="2">
        <f>IF(C4490="","",IFERROR(INDEX($S$5:$S$304,MATCH(C4490,$R$5:$R$304,0))&amp;"","?"))</f>
        <v/>
      </c>
      <c r="N4490" s="2">
        <f>IF(E4490="","",IF(ISNUMBER(SEARCH("SUBSOLO",E4490)),IFERROR(-VALUE(LEFT(E4490,FIND("º",SUBSTITUTE(E4490,"°","º"))-1)),-1),IF(LEFT(E4490,6)="TÉRREO",0,IFERROR(VALUE(LEFT(E4490,FIND("º",SUBSTITUTE(E4490,"°","º"))-1)),""))))</f>
        <v/>
      </c>
      <c r="O4490" s="2">
        <f>IF(OR(F4490="",G4490=""),"",IF(G4490&lt;='RETRATO 2027'!$K$5,"CONCLUÍDA",IF(F4490&lt;='RETRATO 2027'!$K$5,"EM ANDAMENTO","A INICIAR")))</f>
        <v/>
      </c>
    </row>
    <row r="4491">
      <c r="M4491" s="2">
        <f>IF(C4491="","",IFERROR(INDEX($S$5:$S$304,MATCH(C4491,$R$5:$R$304,0))&amp;"","?"))</f>
        <v/>
      </c>
      <c r="N4491" s="2">
        <f>IF(E4491="","",IF(ISNUMBER(SEARCH("SUBSOLO",E4491)),IFERROR(-VALUE(LEFT(E4491,FIND("º",SUBSTITUTE(E4491,"°","º"))-1)),-1),IF(LEFT(E4491,6)="TÉRREO",0,IFERROR(VALUE(LEFT(E4491,FIND("º",SUBSTITUTE(E4491,"°","º"))-1)),""))))</f>
        <v/>
      </c>
      <c r="O4491" s="2">
        <f>IF(OR(F4491="",G4491=""),"",IF(G4491&lt;='RETRATO 2027'!$K$5,"CONCLUÍDA",IF(F4491&lt;='RETRATO 2027'!$K$5,"EM ANDAMENTO","A INICIAR")))</f>
        <v/>
      </c>
    </row>
    <row r="4492">
      <c r="M4492" s="2">
        <f>IF(C4492="","",IFERROR(INDEX($S$5:$S$304,MATCH(C4492,$R$5:$R$304,0))&amp;"","?"))</f>
        <v/>
      </c>
      <c r="N4492" s="2">
        <f>IF(E4492="","",IF(ISNUMBER(SEARCH("SUBSOLO",E4492)),IFERROR(-VALUE(LEFT(E4492,FIND("º",SUBSTITUTE(E4492,"°","º"))-1)),-1),IF(LEFT(E4492,6)="TÉRREO",0,IFERROR(VALUE(LEFT(E4492,FIND("º",SUBSTITUTE(E4492,"°","º"))-1)),""))))</f>
        <v/>
      </c>
      <c r="O4492" s="2">
        <f>IF(OR(F4492="",G4492=""),"",IF(G4492&lt;='RETRATO 2027'!$K$5,"CONCLUÍDA",IF(F4492&lt;='RETRATO 2027'!$K$5,"EM ANDAMENTO","A INICIAR")))</f>
        <v/>
      </c>
    </row>
    <row r="4493">
      <c r="M4493" s="2">
        <f>IF(C4493="","",IFERROR(INDEX($S$5:$S$304,MATCH(C4493,$R$5:$R$304,0))&amp;"","?"))</f>
        <v/>
      </c>
      <c r="N4493" s="2">
        <f>IF(E4493="","",IF(ISNUMBER(SEARCH("SUBSOLO",E4493)),IFERROR(-VALUE(LEFT(E4493,FIND("º",SUBSTITUTE(E4493,"°","º"))-1)),-1),IF(LEFT(E4493,6)="TÉRREO",0,IFERROR(VALUE(LEFT(E4493,FIND("º",SUBSTITUTE(E4493,"°","º"))-1)),""))))</f>
        <v/>
      </c>
      <c r="O4493" s="2">
        <f>IF(OR(F4493="",G4493=""),"",IF(G4493&lt;='RETRATO 2027'!$K$5,"CONCLUÍDA",IF(F4493&lt;='RETRATO 2027'!$K$5,"EM ANDAMENTO","A INICIAR")))</f>
        <v/>
      </c>
    </row>
    <row r="4494">
      <c r="M4494" s="2">
        <f>IF(C4494="","",IFERROR(INDEX($S$5:$S$304,MATCH(C4494,$R$5:$R$304,0))&amp;"","?"))</f>
        <v/>
      </c>
      <c r="N4494" s="2">
        <f>IF(E4494="","",IF(ISNUMBER(SEARCH("SUBSOLO",E4494)),IFERROR(-VALUE(LEFT(E4494,FIND("º",SUBSTITUTE(E4494,"°","º"))-1)),-1),IF(LEFT(E4494,6)="TÉRREO",0,IFERROR(VALUE(LEFT(E4494,FIND("º",SUBSTITUTE(E4494,"°","º"))-1)),""))))</f>
        <v/>
      </c>
      <c r="O4494" s="2">
        <f>IF(OR(F4494="",G4494=""),"",IF(G4494&lt;='RETRATO 2027'!$K$5,"CONCLUÍDA",IF(F4494&lt;='RETRATO 2027'!$K$5,"EM ANDAMENTO","A INICIAR")))</f>
        <v/>
      </c>
    </row>
    <row r="4495">
      <c r="M4495" s="2">
        <f>IF(C4495="","",IFERROR(INDEX($S$5:$S$304,MATCH(C4495,$R$5:$R$304,0))&amp;"","?"))</f>
        <v/>
      </c>
      <c r="N4495" s="2">
        <f>IF(E4495="","",IF(ISNUMBER(SEARCH("SUBSOLO",E4495)),IFERROR(-VALUE(LEFT(E4495,FIND("º",SUBSTITUTE(E4495,"°","º"))-1)),-1),IF(LEFT(E4495,6)="TÉRREO",0,IFERROR(VALUE(LEFT(E4495,FIND("º",SUBSTITUTE(E4495,"°","º"))-1)),""))))</f>
        <v/>
      </c>
      <c r="O4495" s="2">
        <f>IF(OR(F4495="",G4495=""),"",IF(G4495&lt;='RETRATO 2027'!$K$5,"CONCLUÍDA",IF(F4495&lt;='RETRATO 2027'!$K$5,"EM ANDAMENTO","A INICIAR")))</f>
        <v/>
      </c>
    </row>
    <row r="4496">
      <c r="M4496" s="2">
        <f>IF(C4496="","",IFERROR(INDEX($S$5:$S$304,MATCH(C4496,$R$5:$R$304,0))&amp;"","?"))</f>
        <v/>
      </c>
      <c r="N4496" s="2">
        <f>IF(E4496="","",IF(ISNUMBER(SEARCH("SUBSOLO",E4496)),IFERROR(-VALUE(LEFT(E4496,FIND("º",SUBSTITUTE(E4496,"°","º"))-1)),-1),IF(LEFT(E4496,6)="TÉRREO",0,IFERROR(VALUE(LEFT(E4496,FIND("º",SUBSTITUTE(E4496,"°","º"))-1)),""))))</f>
        <v/>
      </c>
      <c r="O4496" s="2">
        <f>IF(OR(F4496="",G4496=""),"",IF(G4496&lt;='RETRATO 2027'!$K$5,"CONCLUÍDA",IF(F4496&lt;='RETRATO 2027'!$K$5,"EM ANDAMENTO","A INICIAR")))</f>
        <v/>
      </c>
    </row>
    <row r="4497">
      <c r="M4497" s="2">
        <f>IF(C4497="","",IFERROR(INDEX($S$5:$S$304,MATCH(C4497,$R$5:$R$304,0))&amp;"","?"))</f>
        <v/>
      </c>
      <c r="N4497" s="2">
        <f>IF(E4497="","",IF(ISNUMBER(SEARCH("SUBSOLO",E4497)),IFERROR(-VALUE(LEFT(E4497,FIND("º",SUBSTITUTE(E4497,"°","º"))-1)),-1),IF(LEFT(E4497,6)="TÉRREO",0,IFERROR(VALUE(LEFT(E4497,FIND("º",SUBSTITUTE(E4497,"°","º"))-1)),""))))</f>
        <v/>
      </c>
      <c r="O4497" s="2">
        <f>IF(OR(F4497="",G4497=""),"",IF(G4497&lt;='RETRATO 2027'!$K$5,"CONCLUÍDA",IF(F4497&lt;='RETRATO 2027'!$K$5,"EM ANDAMENTO","A INICIAR")))</f>
        <v/>
      </c>
    </row>
    <row r="4498">
      <c r="M4498" s="2">
        <f>IF(C4498="","",IFERROR(INDEX($S$5:$S$304,MATCH(C4498,$R$5:$R$304,0))&amp;"","?"))</f>
        <v/>
      </c>
      <c r="N4498" s="2">
        <f>IF(E4498="","",IF(ISNUMBER(SEARCH("SUBSOLO",E4498)),IFERROR(-VALUE(LEFT(E4498,FIND("º",SUBSTITUTE(E4498,"°","º"))-1)),-1),IF(LEFT(E4498,6)="TÉRREO",0,IFERROR(VALUE(LEFT(E4498,FIND("º",SUBSTITUTE(E4498,"°","º"))-1)),""))))</f>
        <v/>
      </c>
      <c r="O4498" s="2">
        <f>IF(OR(F4498="",G4498=""),"",IF(G4498&lt;='RETRATO 2027'!$K$5,"CONCLUÍDA",IF(F4498&lt;='RETRATO 2027'!$K$5,"EM ANDAMENTO","A INICIAR")))</f>
        <v/>
      </c>
    </row>
    <row r="4499">
      <c r="M4499" s="2">
        <f>IF(C4499="","",IFERROR(INDEX($S$5:$S$304,MATCH(C4499,$R$5:$R$304,0))&amp;"","?"))</f>
        <v/>
      </c>
      <c r="N4499" s="2">
        <f>IF(E4499="","",IF(ISNUMBER(SEARCH("SUBSOLO",E4499)),IFERROR(-VALUE(LEFT(E4499,FIND("º",SUBSTITUTE(E4499,"°","º"))-1)),-1),IF(LEFT(E4499,6)="TÉRREO",0,IFERROR(VALUE(LEFT(E4499,FIND("º",SUBSTITUTE(E4499,"°","º"))-1)),""))))</f>
        <v/>
      </c>
      <c r="O4499" s="2">
        <f>IF(OR(F4499="",G4499=""),"",IF(G4499&lt;='RETRATO 2027'!$K$5,"CONCLUÍDA",IF(F4499&lt;='RETRATO 2027'!$K$5,"EM ANDAMENTO","A INICIAR")))</f>
        <v/>
      </c>
    </row>
    <row r="4500">
      <c r="M4500" s="2">
        <f>IF(C4500="","",IFERROR(INDEX($S$5:$S$304,MATCH(C4500,$R$5:$R$304,0))&amp;"","?"))</f>
        <v/>
      </c>
      <c r="N4500" s="2">
        <f>IF(E4500="","",IF(ISNUMBER(SEARCH("SUBSOLO",E4500)),IFERROR(-VALUE(LEFT(E4500,FIND("º",SUBSTITUTE(E4500,"°","º"))-1)),-1),IF(LEFT(E4500,6)="TÉRREO",0,IFERROR(VALUE(LEFT(E4500,FIND("º",SUBSTITUTE(E4500,"°","º"))-1)),""))))</f>
        <v/>
      </c>
      <c r="O4500" s="2">
        <f>IF(OR(F4500="",G4500=""),"",IF(G4500&lt;='RETRATO 2027'!$K$5,"CONCLUÍDA",IF(F4500&lt;='RETRATO 2027'!$K$5,"EM ANDAMENTO","A INICIAR")))</f>
        <v/>
      </c>
    </row>
    <row r="4501">
      <c r="M4501" s="2">
        <f>IF(C4501="","",IFERROR(INDEX($S$5:$S$304,MATCH(C4501,$R$5:$R$304,0))&amp;"","?"))</f>
        <v/>
      </c>
      <c r="N4501" s="2">
        <f>IF(E4501="","",IF(ISNUMBER(SEARCH("SUBSOLO",E4501)),IFERROR(-VALUE(LEFT(E4501,FIND("º",SUBSTITUTE(E4501,"°","º"))-1)),-1),IF(LEFT(E4501,6)="TÉRREO",0,IFERROR(VALUE(LEFT(E4501,FIND("º",SUBSTITUTE(E4501,"°","º"))-1)),""))))</f>
        <v/>
      </c>
      <c r="O4501" s="2">
        <f>IF(OR(F4501="",G4501=""),"",IF(G4501&lt;='RETRATO 2027'!$K$5,"CONCLUÍDA",IF(F4501&lt;='RETRATO 2027'!$K$5,"EM ANDAMENTO","A INICIAR")))</f>
        <v/>
      </c>
    </row>
    <row r="4502">
      <c r="M4502" s="2">
        <f>IF(C4502="","",IFERROR(INDEX($S$5:$S$304,MATCH(C4502,$R$5:$R$304,0))&amp;"","?"))</f>
        <v/>
      </c>
      <c r="N4502" s="2">
        <f>IF(E4502="","",IF(ISNUMBER(SEARCH("SUBSOLO",E4502)),IFERROR(-VALUE(LEFT(E4502,FIND("º",SUBSTITUTE(E4502,"°","º"))-1)),-1),IF(LEFT(E4502,6)="TÉRREO",0,IFERROR(VALUE(LEFT(E4502,FIND("º",SUBSTITUTE(E4502,"°","º"))-1)),""))))</f>
        <v/>
      </c>
      <c r="O4502" s="2">
        <f>IF(OR(F4502="",G4502=""),"",IF(G4502&lt;='RETRATO 2027'!$K$5,"CONCLUÍDA",IF(F4502&lt;='RETRATO 2027'!$K$5,"EM ANDAMENTO","A INICIAR")))</f>
        <v/>
      </c>
    </row>
    <row r="4503">
      <c r="M4503" s="2">
        <f>IF(C4503="","",IFERROR(INDEX($S$5:$S$304,MATCH(C4503,$R$5:$R$304,0))&amp;"","?"))</f>
        <v/>
      </c>
      <c r="N4503" s="2">
        <f>IF(E4503="","",IF(ISNUMBER(SEARCH("SUBSOLO",E4503)),IFERROR(-VALUE(LEFT(E4503,FIND("º",SUBSTITUTE(E4503,"°","º"))-1)),-1),IF(LEFT(E4503,6)="TÉRREO",0,IFERROR(VALUE(LEFT(E4503,FIND("º",SUBSTITUTE(E4503,"°","º"))-1)),""))))</f>
        <v/>
      </c>
      <c r="O4503" s="2">
        <f>IF(OR(F4503="",G4503=""),"",IF(G4503&lt;='RETRATO 2027'!$K$5,"CONCLUÍDA",IF(F4503&lt;='RETRATO 2027'!$K$5,"EM ANDAMENTO","A INICIAR")))</f>
        <v/>
      </c>
    </row>
    <row r="4504">
      <c r="M4504" s="2">
        <f>IF(C4504="","",IFERROR(INDEX($S$5:$S$304,MATCH(C4504,$R$5:$R$304,0))&amp;"","?"))</f>
        <v/>
      </c>
      <c r="N4504" s="2">
        <f>IF(E4504="","",IF(ISNUMBER(SEARCH("SUBSOLO",E4504)),IFERROR(-VALUE(LEFT(E4504,FIND("º",SUBSTITUTE(E4504,"°","º"))-1)),-1),IF(LEFT(E4504,6)="TÉRREO",0,IFERROR(VALUE(LEFT(E4504,FIND("º",SUBSTITUTE(E4504,"°","º"))-1)),""))))</f>
        <v/>
      </c>
      <c r="O4504" s="2">
        <f>IF(OR(F4504="",G4504=""),"",IF(G4504&lt;='RETRATO 2027'!$K$5,"CONCLUÍDA",IF(F4504&lt;='RETRATO 2027'!$K$5,"EM ANDAMENTO","A INICIAR")))</f>
        <v/>
      </c>
    </row>
    <row r="4505">
      <c r="M4505" s="2">
        <f>IF(C4505="","",IFERROR(INDEX($S$5:$S$304,MATCH(C4505,$R$5:$R$304,0))&amp;"","?"))</f>
        <v/>
      </c>
      <c r="N4505" s="2">
        <f>IF(E4505="","",IF(ISNUMBER(SEARCH("SUBSOLO",E4505)),IFERROR(-VALUE(LEFT(E4505,FIND("º",SUBSTITUTE(E4505,"°","º"))-1)),-1),IF(LEFT(E4505,6)="TÉRREO",0,IFERROR(VALUE(LEFT(E4505,FIND("º",SUBSTITUTE(E4505,"°","º"))-1)),""))))</f>
        <v/>
      </c>
      <c r="O4505" s="2">
        <f>IF(OR(F4505="",G4505=""),"",IF(G4505&lt;='RETRATO 2027'!$K$5,"CONCLUÍDA",IF(F4505&lt;='RETRATO 2027'!$K$5,"EM ANDAMENTO","A INICIAR")))</f>
        <v/>
      </c>
    </row>
    <row r="4506">
      <c r="M4506" s="2">
        <f>IF(C4506="","",IFERROR(INDEX($S$5:$S$304,MATCH(C4506,$R$5:$R$304,0))&amp;"","?"))</f>
        <v/>
      </c>
      <c r="N4506" s="2">
        <f>IF(E4506="","",IF(ISNUMBER(SEARCH("SUBSOLO",E4506)),IFERROR(-VALUE(LEFT(E4506,FIND("º",SUBSTITUTE(E4506,"°","º"))-1)),-1),IF(LEFT(E4506,6)="TÉRREO",0,IFERROR(VALUE(LEFT(E4506,FIND("º",SUBSTITUTE(E4506,"°","º"))-1)),""))))</f>
        <v/>
      </c>
      <c r="O4506" s="2">
        <f>IF(OR(F4506="",G4506=""),"",IF(G4506&lt;='RETRATO 2027'!$K$5,"CONCLUÍDA",IF(F4506&lt;='RETRATO 2027'!$K$5,"EM ANDAMENTO","A INICIAR")))</f>
        <v/>
      </c>
    </row>
    <row r="4507">
      <c r="M4507" s="2">
        <f>IF(C4507="","",IFERROR(INDEX($S$5:$S$304,MATCH(C4507,$R$5:$R$304,0))&amp;"","?"))</f>
        <v/>
      </c>
      <c r="N4507" s="2">
        <f>IF(E4507="","",IF(ISNUMBER(SEARCH("SUBSOLO",E4507)),IFERROR(-VALUE(LEFT(E4507,FIND("º",SUBSTITUTE(E4507,"°","º"))-1)),-1),IF(LEFT(E4507,6)="TÉRREO",0,IFERROR(VALUE(LEFT(E4507,FIND("º",SUBSTITUTE(E4507,"°","º"))-1)),""))))</f>
        <v/>
      </c>
      <c r="O4507" s="2">
        <f>IF(OR(F4507="",G4507=""),"",IF(G4507&lt;='RETRATO 2027'!$K$5,"CONCLUÍDA",IF(F4507&lt;='RETRATO 2027'!$K$5,"EM ANDAMENTO","A INICIAR")))</f>
        <v/>
      </c>
    </row>
    <row r="4508">
      <c r="M4508" s="2">
        <f>IF(C4508="","",IFERROR(INDEX($S$5:$S$304,MATCH(C4508,$R$5:$R$304,0))&amp;"","?"))</f>
        <v/>
      </c>
      <c r="N4508" s="2">
        <f>IF(E4508="","",IF(ISNUMBER(SEARCH("SUBSOLO",E4508)),IFERROR(-VALUE(LEFT(E4508,FIND("º",SUBSTITUTE(E4508,"°","º"))-1)),-1),IF(LEFT(E4508,6)="TÉRREO",0,IFERROR(VALUE(LEFT(E4508,FIND("º",SUBSTITUTE(E4508,"°","º"))-1)),""))))</f>
        <v/>
      </c>
      <c r="O4508" s="2">
        <f>IF(OR(F4508="",G4508=""),"",IF(G4508&lt;='RETRATO 2027'!$K$5,"CONCLUÍDA",IF(F4508&lt;='RETRATO 2027'!$K$5,"EM ANDAMENTO","A INICIAR")))</f>
        <v/>
      </c>
    </row>
    <row r="4509">
      <c r="M4509" s="2">
        <f>IF(C4509="","",IFERROR(INDEX($S$5:$S$304,MATCH(C4509,$R$5:$R$304,0))&amp;"","?"))</f>
        <v/>
      </c>
      <c r="N4509" s="2">
        <f>IF(E4509="","",IF(ISNUMBER(SEARCH("SUBSOLO",E4509)),IFERROR(-VALUE(LEFT(E4509,FIND("º",SUBSTITUTE(E4509,"°","º"))-1)),-1),IF(LEFT(E4509,6)="TÉRREO",0,IFERROR(VALUE(LEFT(E4509,FIND("º",SUBSTITUTE(E4509,"°","º"))-1)),""))))</f>
        <v/>
      </c>
      <c r="O4509" s="2">
        <f>IF(OR(F4509="",G4509=""),"",IF(G4509&lt;='RETRATO 2027'!$K$5,"CONCLUÍDA",IF(F4509&lt;='RETRATO 2027'!$K$5,"EM ANDAMENTO","A INICIAR")))</f>
        <v/>
      </c>
    </row>
    <row r="4510">
      <c r="M4510" s="2">
        <f>IF(C4510="","",IFERROR(INDEX($S$5:$S$304,MATCH(C4510,$R$5:$R$304,0))&amp;"","?"))</f>
        <v/>
      </c>
      <c r="N4510" s="2">
        <f>IF(E4510="","",IF(ISNUMBER(SEARCH("SUBSOLO",E4510)),IFERROR(-VALUE(LEFT(E4510,FIND("º",SUBSTITUTE(E4510,"°","º"))-1)),-1),IF(LEFT(E4510,6)="TÉRREO",0,IFERROR(VALUE(LEFT(E4510,FIND("º",SUBSTITUTE(E4510,"°","º"))-1)),""))))</f>
        <v/>
      </c>
      <c r="O4510" s="2">
        <f>IF(OR(F4510="",G4510=""),"",IF(G4510&lt;='RETRATO 2027'!$K$5,"CONCLUÍDA",IF(F4510&lt;='RETRATO 2027'!$K$5,"EM ANDAMENTO","A INICIAR")))</f>
        <v/>
      </c>
    </row>
    <row r="4511">
      <c r="M4511" s="2">
        <f>IF(C4511="","",IFERROR(INDEX($S$5:$S$304,MATCH(C4511,$R$5:$R$304,0))&amp;"","?"))</f>
        <v/>
      </c>
      <c r="N4511" s="2">
        <f>IF(E4511="","",IF(ISNUMBER(SEARCH("SUBSOLO",E4511)),IFERROR(-VALUE(LEFT(E4511,FIND("º",SUBSTITUTE(E4511,"°","º"))-1)),-1),IF(LEFT(E4511,6)="TÉRREO",0,IFERROR(VALUE(LEFT(E4511,FIND("º",SUBSTITUTE(E4511,"°","º"))-1)),""))))</f>
        <v/>
      </c>
      <c r="O4511" s="2">
        <f>IF(OR(F4511="",G4511=""),"",IF(G4511&lt;='RETRATO 2027'!$K$5,"CONCLUÍDA",IF(F4511&lt;='RETRATO 2027'!$K$5,"EM ANDAMENTO","A INICIAR")))</f>
        <v/>
      </c>
    </row>
    <row r="4512">
      <c r="M4512" s="2">
        <f>IF(C4512="","",IFERROR(INDEX($S$5:$S$304,MATCH(C4512,$R$5:$R$304,0))&amp;"","?"))</f>
        <v/>
      </c>
      <c r="N4512" s="2">
        <f>IF(E4512="","",IF(ISNUMBER(SEARCH("SUBSOLO",E4512)),IFERROR(-VALUE(LEFT(E4512,FIND("º",SUBSTITUTE(E4512,"°","º"))-1)),-1),IF(LEFT(E4512,6)="TÉRREO",0,IFERROR(VALUE(LEFT(E4512,FIND("º",SUBSTITUTE(E4512,"°","º"))-1)),""))))</f>
        <v/>
      </c>
      <c r="O4512" s="2">
        <f>IF(OR(F4512="",G4512=""),"",IF(G4512&lt;='RETRATO 2027'!$K$5,"CONCLUÍDA",IF(F4512&lt;='RETRATO 2027'!$K$5,"EM ANDAMENTO","A INICIAR")))</f>
        <v/>
      </c>
    </row>
    <row r="4513">
      <c r="M4513" s="2">
        <f>IF(C4513="","",IFERROR(INDEX($S$5:$S$304,MATCH(C4513,$R$5:$R$304,0))&amp;"","?"))</f>
        <v/>
      </c>
      <c r="N4513" s="2">
        <f>IF(E4513="","",IF(ISNUMBER(SEARCH("SUBSOLO",E4513)),IFERROR(-VALUE(LEFT(E4513,FIND("º",SUBSTITUTE(E4513,"°","º"))-1)),-1),IF(LEFT(E4513,6)="TÉRREO",0,IFERROR(VALUE(LEFT(E4513,FIND("º",SUBSTITUTE(E4513,"°","º"))-1)),""))))</f>
        <v/>
      </c>
      <c r="O4513" s="2">
        <f>IF(OR(F4513="",G4513=""),"",IF(G4513&lt;='RETRATO 2027'!$K$5,"CONCLUÍDA",IF(F4513&lt;='RETRATO 2027'!$K$5,"EM ANDAMENTO","A INICIAR")))</f>
        <v/>
      </c>
    </row>
    <row r="4514">
      <c r="M4514" s="2">
        <f>IF(C4514="","",IFERROR(INDEX($S$5:$S$304,MATCH(C4514,$R$5:$R$304,0))&amp;"","?"))</f>
        <v/>
      </c>
      <c r="N4514" s="2">
        <f>IF(E4514="","",IF(ISNUMBER(SEARCH("SUBSOLO",E4514)),IFERROR(-VALUE(LEFT(E4514,FIND("º",SUBSTITUTE(E4514,"°","º"))-1)),-1),IF(LEFT(E4514,6)="TÉRREO",0,IFERROR(VALUE(LEFT(E4514,FIND("º",SUBSTITUTE(E4514,"°","º"))-1)),""))))</f>
        <v/>
      </c>
      <c r="O4514" s="2">
        <f>IF(OR(F4514="",G4514=""),"",IF(G4514&lt;='RETRATO 2027'!$K$5,"CONCLUÍDA",IF(F4514&lt;='RETRATO 2027'!$K$5,"EM ANDAMENTO","A INICIAR")))</f>
        <v/>
      </c>
    </row>
    <row r="4515">
      <c r="M4515" s="2">
        <f>IF(C4515="","",IFERROR(INDEX($S$5:$S$304,MATCH(C4515,$R$5:$R$304,0))&amp;"","?"))</f>
        <v/>
      </c>
      <c r="N4515" s="2">
        <f>IF(E4515="","",IF(ISNUMBER(SEARCH("SUBSOLO",E4515)),IFERROR(-VALUE(LEFT(E4515,FIND("º",SUBSTITUTE(E4515,"°","º"))-1)),-1),IF(LEFT(E4515,6)="TÉRREO",0,IFERROR(VALUE(LEFT(E4515,FIND("º",SUBSTITUTE(E4515,"°","º"))-1)),""))))</f>
        <v/>
      </c>
      <c r="O4515" s="2">
        <f>IF(OR(F4515="",G4515=""),"",IF(G4515&lt;='RETRATO 2027'!$K$5,"CONCLUÍDA",IF(F4515&lt;='RETRATO 2027'!$K$5,"EM ANDAMENTO","A INICIAR")))</f>
        <v/>
      </c>
    </row>
    <row r="4516">
      <c r="M4516" s="2">
        <f>IF(C4516="","",IFERROR(INDEX($S$5:$S$304,MATCH(C4516,$R$5:$R$304,0))&amp;"","?"))</f>
        <v/>
      </c>
      <c r="N4516" s="2">
        <f>IF(E4516="","",IF(ISNUMBER(SEARCH("SUBSOLO",E4516)),IFERROR(-VALUE(LEFT(E4516,FIND("º",SUBSTITUTE(E4516,"°","º"))-1)),-1),IF(LEFT(E4516,6)="TÉRREO",0,IFERROR(VALUE(LEFT(E4516,FIND("º",SUBSTITUTE(E4516,"°","º"))-1)),""))))</f>
        <v/>
      </c>
      <c r="O4516" s="2">
        <f>IF(OR(F4516="",G4516=""),"",IF(G4516&lt;='RETRATO 2027'!$K$5,"CONCLUÍDA",IF(F4516&lt;='RETRATO 2027'!$K$5,"EM ANDAMENTO","A INICIAR")))</f>
        <v/>
      </c>
    </row>
    <row r="4517">
      <c r="M4517" s="2">
        <f>IF(C4517="","",IFERROR(INDEX($S$5:$S$304,MATCH(C4517,$R$5:$R$304,0))&amp;"","?"))</f>
        <v/>
      </c>
      <c r="N4517" s="2">
        <f>IF(E4517="","",IF(ISNUMBER(SEARCH("SUBSOLO",E4517)),IFERROR(-VALUE(LEFT(E4517,FIND("º",SUBSTITUTE(E4517,"°","º"))-1)),-1),IF(LEFT(E4517,6)="TÉRREO",0,IFERROR(VALUE(LEFT(E4517,FIND("º",SUBSTITUTE(E4517,"°","º"))-1)),""))))</f>
        <v/>
      </c>
      <c r="O4517" s="2">
        <f>IF(OR(F4517="",G4517=""),"",IF(G4517&lt;='RETRATO 2027'!$K$5,"CONCLUÍDA",IF(F4517&lt;='RETRATO 2027'!$K$5,"EM ANDAMENTO","A INICIAR")))</f>
        <v/>
      </c>
    </row>
    <row r="4518">
      <c r="M4518" s="2">
        <f>IF(C4518="","",IFERROR(INDEX($S$5:$S$304,MATCH(C4518,$R$5:$R$304,0))&amp;"","?"))</f>
        <v/>
      </c>
      <c r="N4518" s="2">
        <f>IF(E4518="","",IF(ISNUMBER(SEARCH("SUBSOLO",E4518)),IFERROR(-VALUE(LEFT(E4518,FIND("º",SUBSTITUTE(E4518,"°","º"))-1)),-1),IF(LEFT(E4518,6)="TÉRREO",0,IFERROR(VALUE(LEFT(E4518,FIND("º",SUBSTITUTE(E4518,"°","º"))-1)),""))))</f>
        <v/>
      </c>
      <c r="O4518" s="2">
        <f>IF(OR(F4518="",G4518=""),"",IF(G4518&lt;='RETRATO 2027'!$K$5,"CONCLUÍDA",IF(F4518&lt;='RETRATO 2027'!$K$5,"EM ANDAMENTO","A INICIAR")))</f>
        <v/>
      </c>
    </row>
    <row r="4519">
      <c r="M4519" s="2">
        <f>IF(C4519="","",IFERROR(INDEX($S$5:$S$304,MATCH(C4519,$R$5:$R$304,0))&amp;"","?"))</f>
        <v/>
      </c>
      <c r="N4519" s="2">
        <f>IF(E4519="","",IF(ISNUMBER(SEARCH("SUBSOLO",E4519)),IFERROR(-VALUE(LEFT(E4519,FIND("º",SUBSTITUTE(E4519,"°","º"))-1)),-1),IF(LEFT(E4519,6)="TÉRREO",0,IFERROR(VALUE(LEFT(E4519,FIND("º",SUBSTITUTE(E4519,"°","º"))-1)),""))))</f>
        <v/>
      </c>
      <c r="O4519" s="2">
        <f>IF(OR(F4519="",G4519=""),"",IF(G4519&lt;='RETRATO 2027'!$K$5,"CONCLUÍDA",IF(F4519&lt;='RETRATO 2027'!$K$5,"EM ANDAMENTO","A INICIAR")))</f>
        <v/>
      </c>
    </row>
    <row r="4520">
      <c r="M4520" s="2">
        <f>IF(C4520="","",IFERROR(INDEX($S$5:$S$304,MATCH(C4520,$R$5:$R$304,0))&amp;"","?"))</f>
        <v/>
      </c>
      <c r="N4520" s="2">
        <f>IF(E4520="","",IF(ISNUMBER(SEARCH("SUBSOLO",E4520)),IFERROR(-VALUE(LEFT(E4520,FIND("º",SUBSTITUTE(E4520,"°","º"))-1)),-1),IF(LEFT(E4520,6)="TÉRREO",0,IFERROR(VALUE(LEFT(E4520,FIND("º",SUBSTITUTE(E4520,"°","º"))-1)),""))))</f>
        <v/>
      </c>
      <c r="O4520" s="2">
        <f>IF(OR(F4520="",G4520=""),"",IF(G4520&lt;='RETRATO 2027'!$K$5,"CONCLUÍDA",IF(F4520&lt;='RETRATO 2027'!$K$5,"EM ANDAMENTO","A INICIAR")))</f>
        <v/>
      </c>
    </row>
    <row r="4521">
      <c r="M4521" s="2">
        <f>IF(C4521="","",IFERROR(INDEX($S$5:$S$304,MATCH(C4521,$R$5:$R$304,0))&amp;"","?"))</f>
        <v/>
      </c>
      <c r="N4521" s="2">
        <f>IF(E4521="","",IF(ISNUMBER(SEARCH("SUBSOLO",E4521)),IFERROR(-VALUE(LEFT(E4521,FIND("º",SUBSTITUTE(E4521,"°","º"))-1)),-1),IF(LEFT(E4521,6)="TÉRREO",0,IFERROR(VALUE(LEFT(E4521,FIND("º",SUBSTITUTE(E4521,"°","º"))-1)),""))))</f>
        <v/>
      </c>
      <c r="O4521" s="2">
        <f>IF(OR(F4521="",G4521=""),"",IF(G4521&lt;='RETRATO 2027'!$K$5,"CONCLUÍDA",IF(F4521&lt;='RETRATO 2027'!$K$5,"EM ANDAMENTO","A INICIAR")))</f>
        <v/>
      </c>
    </row>
    <row r="4522">
      <c r="M4522" s="2">
        <f>IF(C4522="","",IFERROR(INDEX($S$5:$S$304,MATCH(C4522,$R$5:$R$304,0))&amp;"","?"))</f>
        <v/>
      </c>
      <c r="N4522" s="2">
        <f>IF(E4522="","",IF(ISNUMBER(SEARCH("SUBSOLO",E4522)),IFERROR(-VALUE(LEFT(E4522,FIND("º",SUBSTITUTE(E4522,"°","º"))-1)),-1),IF(LEFT(E4522,6)="TÉRREO",0,IFERROR(VALUE(LEFT(E4522,FIND("º",SUBSTITUTE(E4522,"°","º"))-1)),""))))</f>
        <v/>
      </c>
      <c r="O4522" s="2">
        <f>IF(OR(F4522="",G4522=""),"",IF(G4522&lt;='RETRATO 2027'!$K$5,"CONCLUÍDA",IF(F4522&lt;='RETRATO 2027'!$K$5,"EM ANDAMENTO","A INICIAR")))</f>
        <v/>
      </c>
    </row>
    <row r="4523">
      <c r="M4523" s="2">
        <f>IF(C4523="","",IFERROR(INDEX($S$5:$S$304,MATCH(C4523,$R$5:$R$304,0))&amp;"","?"))</f>
        <v/>
      </c>
      <c r="N4523" s="2">
        <f>IF(E4523="","",IF(ISNUMBER(SEARCH("SUBSOLO",E4523)),IFERROR(-VALUE(LEFT(E4523,FIND("º",SUBSTITUTE(E4523,"°","º"))-1)),-1),IF(LEFT(E4523,6)="TÉRREO",0,IFERROR(VALUE(LEFT(E4523,FIND("º",SUBSTITUTE(E4523,"°","º"))-1)),""))))</f>
        <v/>
      </c>
      <c r="O4523" s="2">
        <f>IF(OR(F4523="",G4523=""),"",IF(G4523&lt;='RETRATO 2027'!$K$5,"CONCLUÍDA",IF(F4523&lt;='RETRATO 2027'!$K$5,"EM ANDAMENTO","A INICIAR")))</f>
        <v/>
      </c>
    </row>
    <row r="4524">
      <c r="M4524" s="2">
        <f>IF(C4524="","",IFERROR(INDEX($S$5:$S$304,MATCH(C4524,$R$5:$R$304,0))&amp;"","?"))</f>
        <v/>
      </c>
      <c r="N4524" s="2">
        <f>IF(E4524="","",IF(ISNUMBER(SEARCH("SUBSOLO",E4524)),IFERROR(-VALUE(LEFT(E4524,FIND("º",SUBSTITUTE(E4524,"°","º"))-1)),-1),IF(LEFT(E4524,6)="TÉRREO",0,IFERROR(VALUE(LEFT(E4524,FIND("º",SUBSTITUTE(E4524,"°","º"))-1)),""))))</f>
        <v/>
      </c>
      <c r="O4524" s="2">
        <f>IF(OR(F4524="",G4524=""),"",IF(G4524&lt;='RETRATO 2027'!$K$5,"CONCLUÍDA",IF(F4524&lt;='RETRATO 2027'!$K$5,"EM ANDAMENTO","A INICIAR")))</f>
        <v/>
      </c>
    </row>
    <row r="4525">
      <c r="M4525" s="2">
        <f>IF(C4525="","",IFERROR(INDEX($S$5:$S$304,MATCH(C4525,$R$5:$R$304,0))&amp;"","?"))</f>
        <v/>
      </c>
      <c r="N4525" s="2">
        <f>IF(E4525="","",IF(ISNUMBER(SEARCH("SUBSOLO",E4525)),IFERROR(-VALUE(LEFT(E4525,FIND("º",SUBSTITUTE(E4525,"°","º"))-1)),-1),IF(LEFT(E4525,6)="TÉRREO",0,IFERROR(VALUE(LEFT(E4525,FIND("º",SUBSTITUTE(E4525,"°","º"))-1)),""))))</f>
        <v/>
      </c>
      <c r="O4525" s="2">
        <f>IF(OR(F4525="",G4525=""),"",IF(G4525&lt;='RETRATO 2027'!$K$5,"CONCLUÍDA",IF(F4525&lt;='RETRATO 2027'!$K$5,"EM ANDAMENTO","A INICIAR")))</f>
        <v/>
      </c>
    </row>
    <row r="4526">
      <c r="M4526" s="2">
        <f>IF(C4526="","",IFERROR(INDEX($S$5:$S$304,MATCH(C4526,$R$5:$R$304,0))&amp;"","?"))</f>
        <v/>
      </c>
      <c r="N4526" s="2">
        <f>IF(E4526="","",IF(ISNUMBER(SEARCH("SUBSOLO",E4526)),IFERROR(-VALUE(LEFT(E4526,FIND("º",SUBSTITUTE(E4526,"°","º"))-1)),-1),IF(LEFT(E4526,6)="TÉRREO",0,IFERROR(VALUE(LEFT(E4526,FIND("º",SUBSTITUTE(E4526,"°","º"))-1)),""))))</f>
        <v/>
      </c>
      <c r="O4526" s="2">
        <f>IF(OR(F4526="",G4526=""),"",IF(G4526&lt;='RETRATO 2027'!$K$5,"CONCLUÍDA",IF(F4526&lt;='RETRATO 2027'!$K$5,"EM ANDAMENTO","A INICIAR")))</f>
        <v/>
      </c>
    </row>
    <row r="4527">
      <c r="M4527" s="2">
        <f>IF(C4527="","",IFERROR(INDEX($S$5:$S$304,MATCH(C4527,$R$5:$R$304,0))&amp;"","?"))</f>
        <v/>
      </c>
      <c r="N4527" s="2">
        <f>IF(E4527="","",IF(ISNUMBER(SEARCH("SUBSOLO",E4527)),IFERROR(-VALUE(LEFT(E4527,FIND("º",SUBSTITUTE(E4527,"°","º"))-1)),-1),IF(LEFT(E4527,6)="TÉRREO",0,IFERROR(VALUE(LEFT(E4527,FIND("º",SUBSTITUTE(E4527,"°","º"))-1)),""))))</f>
        <v/>
      </c>
      <c r="O4527" s="2">
        <f>IF(OR(F4527="",G4527=""),"",IF(G4527&lt;='RETRATO 2027'!$K$5,"CONCLUÍDA",IF(F4527&lt;='RETRATO 2027'!$K$5,"EM ANDAMENTO","A INICIAR")))</f>
        <v/>
      </c>
    </row>
    <row r="4528">
      <c r="M4528" s="2">
        <f>IF(C4528="","",IFERROR(INDEX($S$5:$S$304,MATCH(C4528,$R$5:$R$304,0))&amp;"","?"))</f>
        <v/>
      </c>
      <c r="N4528" s="2">
        <f>IF(E4528="","",IF(ISNUMBER(SEARCH("SUBSOLO",E4528)),IFERROR(-VALUE(LEFT(E4528,FIND("º",SUBSTITUTE(E4528,"°","º"))-1)),-1),IF(LEFT(E4528,6)="TÉRREO",0,IFERROR(VALUE(LEFT(E4528,FIND("º",SUBSTITUTE(E4528,"°","º"))-1)),""))))</f>
        <v/>
      </c>
      <c r="O4528" s="2">
        <f>IF(OR(F4528="",G4528=""),"",IF(G4528&lt;='RETRATO 2027'!$K$5,"CONCLUÍDA",IF(F4528&lt;='RETRATO 2027'!$K$5,"EM ANDAMENTO","A INICIAR")))</f>
        <v/>
      </c>
    </row>
    <row r="4529">
      <c r="M4529" s="2">
        <f>IF(C4529="","",IFERROR(INDEX($S$5:$S$304,MATCH(C4529,$R$5:$R$304,0))&amp;"","?"))</f>
        <v/>
      </c>
      <c r="N4529" s="2">
        <f>IF(E4529="","",IF(ISNUMBER(SEARCH("SUBSOLO",E4529)),IFERROR(-VALUE(LEFT(E4529,FIND("º",SUBSTITUTE(E4529,"°","º"))-1)),-1),IF(LEFT(E4529,6)="TÉRREO",0,IFERROR(VALUE(LEFT(E4529,FIND("º",SUBSTITUTE(E4529,"°","º"))-1)),""))))</f>
        <v/>
      </c>
      <c r="O4529" s="2">
        <f>IF(OR(F4529="",G4529=""),"",IF(G4529&lt;='RETRATO 2027'!$K$5,"CONCLUÍDA",IF(F4529&lt;='RETRATO 2027'!$K$5,"EM ANDAMENTO","A INICIAR")))</f>
        <v/>
      </c>
    </row>
    <row r="4530">
      <c r="M4530" s="2">
        <f>IF(C4530="","",IFERROR(INDEX($S$5:$S$304,MATCH(C4530,$R$5:$R$304,0))&amp;"","?"))</f>
        <v/>
      </c>
      <c r="N4530" s="2">
        <f>IF(E4530="","",IF(ISNUMBER(SEARCH("SUBSOLO",E4530)),IFERROR(-VALUE(LEFT(E4530,FIND("º",SUBSTITUTE(E4530,"°","º"))-1)),-1),IF(LEFT(E4530,6)="TÉRREO",0,IFERROR(VALUE(LEFT(E4530,FIND("º",SUBSTITUTE(E4530,"°","º"))-1)),""))))</f>
        <v/>
      </c>
      <c r="O4530" s="2">
        <f>IF(OR(F4530="",G4530=""),"",IF(G4530&lt;='RETRATO 2027'!$K$5,"CONCLUÍDA",IF(F4530&lt;='RETRATO 2027'!$K$5,"EM ANDAMENTO","A INICIAR")))</f>
        <v/>
      </c>
    </row>
    <row r="4531">
      <c r="M4531" s="2">
        <f>IF(C4531="","",IFERROR(INDEX($S$5:$S$304,MATCH(C4531,$R$5:$R$304,0))&amp;"","?"))</f>
        <v/>
      </c>
      <c r="N4531" s="2">
        <f>IF(E4531="","",IF(ISNUMBER(SEARCH("SUBSOLO",E4531)),IFERROR(-VALUE(LEFT(E4531,FIND("º",SUBSTITUTE(E4531,"°","º"))-1)),-1),IF(LEFT(E4531,6)="TÉRREO",0,IFERROR(VALUE(LEFT(E4531,FIND("º",SUBSTITUTE(E4531,"°","º"))-1)),""))))</f>
        <v/>
      </c>
      <c r="O4531" s="2">
        <f>IF(OR(F4531="",G4531=""),"",IF(G4531&lt;='RETRATO 2027'!$K$5,"CONCLUÍDA",IF(F4531&lt;='RETRATO 2027'!$K$5,"EM ANDAMENTO","A INICIAR")))</f>
        <v/>
      </c>
    </row>
    <row r="4532">
      <c r="M4532" s="2">
        <f>IF(C4532="","",IFERROR(INDEX($S$5:$S$304,MATCH(C4532,$R$5:$R$304,0))&amp;"","?"))</f>
        <v/>
      </c>
      <c r="N4532" s="2">
        <f>IF(E4532="","",IF(ISNUMBER(SEARCH("SUBSOLO",E4532)),IFERROR(-VALUE(LEFT(E4532,FIND("º",SUBSTITUTE(E4532,"°","º"))-1)),-1),IF(LEFT(E4532,6)="TÉRREO",0,IFERROR(VALUE(LEFT(E4532,FIND("º",SUBSTITUTE(E4532,"°","º"))-1)),""))))</f>
        <v/>
      </c>
      <c r="O4532" s="2">
        <f>IF(OR(F4532="",G4532=""),"",IF(G4532&lt;='RETRATO 2027'!$K$5,"CONCLUÍDA",IF(F4532&lt;='RETRATO 2027'!$K$5,"EM ANDAMENTO","A INICIAR")))</f>
        <v/>
      </c>
    </row>
    <row r="4533">
      <c r="M4533" s="2">
        <f>IF(C4533="","",IFERROR(INDEX($S$5:$S$304,MATCH(C4533,$R$5:$R$304,0))&amp;"","?"))</f>
        <v/>
      </c>
      <c r="N4533" s="2">
        <f>IF(E4533="","",IF(ISNUMBER(SEARCH("SUBSOLO",E4533)),IFERROR(-VALUE(LEFT(E4533,FIND("º",SUBSTITUTE(E4533,"°","º"))-1)),-1),IF(LEFT(E4533,6)="TÉRREO",0,IFERROR(VALUE(LEFT(E4533,FIND("º",SUBSTITUTE(E4533,"°","º"))-1)),""))))</f>
        <v/>
      </c>
      <c r="O4533" s="2">
        <f>IF(OR(F4533="",G4533=""),"",IF(G4533&lt;='RETRATO 2027'!$K$5,"CONCLUÍDA",IF(F4533&lt;='RETRATO 2027'!$K$5,"EM ANDAMENTO","A INICIAR")))</f>
        <v/>
      </c>
    </row>
    <row r="4534">
      <c r="M4534" s="2">
        <f>IF(C4534="","",IFERROR(INDEX($S$5:$S$304,MATCH(C4534,$R$5:$R$304,0))&amp;"","?"))</f>
        <v/>
      </c>
      <c r="N4534" s="2">
        <f>IF(E4534="","",IF(ISNUMBER(SEARCH("SUBSOLO",E4534)),IFERROR(-VALUE(LEFT(E4534,FIND("º",SUBSTITUTE(E4534,"°","º"))-1)),-1),IF(LEFT(E4534,6)="TÉRREO",0,IFERROR(VALUE(LEFT(E4534,FIND("º",SUBSTITUTE(E4534,"°","º"))-1)),""))))</f>
        <v/>
      </c>
      <c r="O4534" s="2">
        <f>IF(OR(F4534="",G4534=""),"",IF(G4534&lt;='RETRATO 2027'!$K$5,"CONCLUÍDA",IF(F4534&lt;='RETRATO 2027'!$K$5,"EM ANDAMENTO","A INICIAR")))</f>
        <v/>
      </c>
    </row>
    <row r="4535">
      <c r="M4535" s="2">
        <f>IF(C4535="","",IFERROR(INDEX($S$5:$S$304,MATCH(C4535,$R$5:$R$304,0))&amp;"","?"))</f>
        <v/>
      </c>
      <c r="N4535" s="2">
        <f>IF(E4535="","",IF(ISNUMBER(SEARCH("SUBSOLO",E4535)),IFERROR(-VALUE(LEFT(E4535,FIND("º",SUBSTITUTE(E4535,"°","º"))-1)),-1),IF(LEFT(E4535,6)="TÉRREO",0,IFERROR(VALUE(LEFT(E4535,FIND("º",SUBSTITUTE(E4535,"°","º"))-1)),""))))</f>
        <v/>
      </c>
      <c r="O4535" s="2">
        <f>IF(OR(F4535="",G4535=""),"",IF(G4535&lt;='RETRATO 2027'!$K$5,"CONCLUÍDA",IF(F4535&lt;='RETRATO 2027'!$K$5,"EM ANDAMENTO","A INICIAR")))</f>
        <v/>
      </c>
    </row>
    <row r="4536">
      <c r="M4536" s="2">
        <f>IF(C4536="","",IFERROR(INDEX($S$5:$S$304,MATCH(C4536,$R$5:$R$304,0))&amp;"","?"))</f>
        <v/>
      </c>
      <c r="N4536" s="2">
        <f>IF(E4536="","",IF(ISNUMBER(SEARCH("SUBSOLO",E4536)),IFERROR(-VALUE(LEFT(E4536,FIND("º",SUBSTITUTE(E4536,"°","º"))-1)),-1),IF(LEFT(E4536,6)="TÉRREO",0,IFERROR(VALUE(LEFT(E4536,FIND("º",SUBSTITUTE(E4536,"°","º"))-1)),""))))</f>
        <v/>
      </c>
      <c r="O4536" s="2">
        <f>IF(OR(F4536="",G4536=""),"",IF(G4536&lt;='RETRATO 2027'!$K$5,"CONCLUÍDA",IF(F4536&lt;='RETRATO 2027'!$K$5,"EM ANDAMENTO","A INICIAR")))</f>
        <v/>
      </c>
    </row>
    <row r="4537">
      <c r="M4537" s="2">
        <f>IF(C4537="","",IFERROR(INDEX($S$5:$S$304,MATCH(C4537,$R$5:$R$304,0))&amp;"","?"))</f>
        <v/>
      </c>
      <c r="N4537" s="2">
        <f>IF(E4537="","",IF(ISNUMBER(SEARCH("SUBSOLO",E4537)),IFERROR(-VALUE(LEFT(E4537,FIND("º",SUBSTITUTE(E4537,"°","º"))-1)),-1),IF(LEFT(E4537,6)="TÉRREO",0,IFERROR(VALUE(LEFT(E4537,FIND("º",SUBSTITUTE(E4537,"°","º"))-1)),""))))</f>
        <v/>
      </c>
      <c r="O4537" s="2">
        <f>IF(OR(F4537="",G4537=""),"",IF(G4537&lt;='RETRATO 2027'!$K$5,"CONCLUÍDA",IF(F4537&lt;='RETRATO 2027'!$K$5,"EM ANDAMENTO","A INICIAR")))</f>
        <v/>
      </c>
    </row>
    <row r="4538">
      <c r="M4538" s="2">
        <f>IF(C4538="","",IFERROR(INDEX($S$5:$S$304,MATCH(C4538,$R$5:$R$304,0))&amp;"","?"))</f>
        <v/>
      </c>
      <c r="N4538" s="2">
        <f>IF(E4538="","",IF(ISNUMBER(SEARCH("SUBSOLO",E4538)),IFERROR(-VALUE(LEFT(E4538,FIND("º",SUBSTITUTE(E4538,"°","º"))-1)),-1),IF(LEFT(E4538,6)="TÉRREO",0,IFERROR(VALUE(LEFT(E4538,FIND("º",SUBSTITUTE(E4538,"°","º"))-1)),""))))</f>
        <v/>
      </c>
      <c r="O4538" s="2">
        <f>IF(OR(F4538="",G4538=""),"",IF(G4538&lt;='RETRATO 2027'!$K$5,"CONCLUÍDA",IF(F4538&lt;='RETRATO 2027'!$K$5,"EM ANDAMENTO","A INICIAR")))</f>
        <v/>
      </c>
    </row>
    <row r="4539">
      <c r="M4539" s="2">
        <f>IF(C4539="","",IFERROR(INDEX($S$5:$S$304,MATCH(C4539,$R$5:$R$304,0))&amp;"","?"))</f>
        <v/>
      </c>
      <c r="N4539" s="2">
        <f>IF(E4539="","",IF(ISNUMBER(SEARCH("SUBSOLO",E4539)),IFERROR(-VALUE(LEFT(E4539,FIND("º",SUBSTITUTE(E4539,"°","º"))-1)),-1),IF(LEFT(E4539,6)="TÉRREO",0,IFERROR(VALUE(LEFT(E4539,FIND("º",SUBSTITUTE(E4539,"°","º"))-1)),""))))</f>
        <v/>
      </c>
      <c r="O4539" s="2">
        <f>IF(OR(F4539="",G4539=""),"",IF(G4539&lt;='RETRATO 2027'!$K$5,"CONCLUÍDA",IF(F4539&lt;='RETRATO 2027'!$K$5,"EM ANDAMENTO","A INICIAR")))</f>
        <v/>
      </c>
    </row>
    <row r="4540">
      <c r="M4540" s="2">
        <f>IF(C4540="","",IFERROR(INDEX($S$5:$S$304,MATCH(C4540,$R$5:$R$304,0))&amp;"","?"))</f>
        <v/>
      </c>
      <c r="N4540" s="2">
        <f>IF(E4540="","",IF(ISNUMBER(SEARCH("SUBSOLO",E4540)),IFERROR(-VALUE(LEFT(E4540,FIND("º",SUBSTITUTE(E4540,"°","º"))-1)),-1),IF(LEFT(E4540,6)="TÉRREO",0,IFERROR(VALUE(LEFT(E4540,FIND("º",SUBSTITUTE(E4540,"°","º"))-1)),""))))</f>
        <v/>
      </c>
      <c r="O4540" s="2">
        <f>IF(OR(F4540="",G4540=""),"",IF(G4540&lt;='RETRATO 2027'!$K$5,"CONCLUÍDA",IF(F4540&lt;='RETRATO 2027'!$K$5,"EM ANDAMENTO","A INICIAR")))</f>
        <v/>
      </c>
    </row>
    <row r="4541">
      <c r="M4541" s="2">
        <f>IF(C4541="","",IFERROR(INDEX($S$5:$S$304,MATCH(C4541,$R$5:$R$304,0))&amp;"","?"))</f>
        <v/>
      </c>
      <c r="N4541" s="2">
        <f>IF(E4541="","",IF(ISNUMBER(SEARCH("SUBSOLO",E4541)),IFERROR(-VALUE(LEFT(E4541,FIND("º",SUBSTITUTE(E4541,"°","º"))-1)),-1),IF(LEFT(E4541,6)="TÉRREO",0,IFERROR(VALUE(LEFT(E4541,FIND("º",SUBSTITUTE(E4541,"°","º"))-1)),""))))</f>
        <v/>
      </c>
      <c r="O4541" s="2">
        <f>IF(OR(F4541="",G4541=""),"",IF(G4541&lt;='RETRATO 2027'!$K$5,"CONCLUÍDA",IF(F4541&lt;='RETRATO 2027'!$K$5,"EM ANDAMENTO","A INICIAR")))</f>
        <v/>
      </c>
    </row>
    <row r="4542">
      <c r="M4542" s="2">
        <f>IF(C4542="","",IFERROR(INDEX($S$5:$S$304,MATCH(C4542,$R$5:$R$304,0))&amp;"","?"))</f>
        <v/>
      </c>
      <c r="N4542" s="2">
        <f>IF(E4542="","",IF(ISNUMBER(SEARCH("SUBSOLO",E4542)),IFERROR(-VALUE(LEFT(E4542,FIND("º",SUBSTITUTE(E4542,"°","º"))-1)),-1),IF(LEFT(E4542,6)="TÉRREO",0,IFERROR(VALUE(LEFT(E4542,FIND("º",SUBSTITUTE(E4542,"°","º"))-1)),""))))</f>
        <v/>
      </c>
      <c r="O4542" s="2">
        <f>IF(OR(F4542="",G4542=""),"",IF(G4542&lt;='RETRATO 2027'!$K$5,"CONCLUÍDA",IF(F4542&lt;='RETRATO 2027'!$K$5,"EM ANDAMENTO","A INICIAR")))</f>
        <v/>
      </c>
    </row>
    <row r="4543">
      <c r="M4543" s="2">
        <f>IF(C4543="","",IFERROR(INDEX($S$5:$S$304,MATCH(C4543,$R$5:$R$304,0))&amp;"","?"))</f>
        <v/>
      </c>
      <c r="N4543" s="2">
        <f>IF(E4543="","",IF(ISNUMBER(SEARCH("SUBSOLO",E4543)),IFERROR(-VALUE(LEFT(E4543,FIND("º",SUBSTITUTE(E4543,"°","º"))-1)),-1),IF(LEFT(E4543,6)="TÉRREO",0,IFERROR(VALUE(LEFT(E4543,FIND("º",SUBSTITUTE(E4543,"°","º"))-1)),""))))</f>
        <v/>
      </c>
      <c r="O4543" s="2">
        <f>IF(OR(F4543="",G4543=""),"",IF(G4543&lt;='RETRATO 2027'!$K$5,"CONCLUÍDA",IF(F4543&lt;='RETRATO 2027'!$K$5,"EM ANDAMENTO","A INICIAR")))</f>
        <v/>
      </c>
    </row>
    <row r="4544">
      <c r="M4544" s="2">
        <f>IF(C4544="","",IFERROR(INDEX($S$5:$S$304,MATCH(C4544,$R$5:$R$304,0))&amp;"","?"))</f>
        <v/>
      </c>
      <c r="N4544" s="2">
        <f>IF(E4544="","",IF(ISNUMBER(SEARCH("SUBSOLO",E4544)),IFERROR(-VALUE(LEFT(E4544,FIND("º",SUBSTITUTE(E4544,"°","º"))-1)),-1),IF(LEFT(E4544,6)="TÉRREO",0,IFERROR(VALUE(LEFT(E4544,FIND("º",SUBSTITUTE(E4544,"°","º"))-1)),""))))</f>
        <v/>
      </c>
      <c r="O4544" s="2">
        <f>IF(OR(F4544="",G4544=""),"",IF(G4544&lt;='RETRATO 2027'!$K$5,"CONCLUÍDA",IF(F4544&lt;='RETRATO 2027'!$K$5,"EM ANDAMENTO","A INICIAR")))</f>
        <v/>
      </c>
    </row>
    <row r="4545">
      <c r="M4545" s="2">
        <f>IF(C4545="","",IFERROR(INDEX($S$5:$S$304,MATCH(C4545,$R$5:$R$304,0))&amp;"","?"))</f>
        <v/>
      </c>
      <c r="N4545" s="2">
        <f>IF(E4545="","",IF(ISNUMBER(SEARCH("SUBSOLO",E4545)),IFERROR(-VALUE(LEFT(E4545,FIND("º",SUBSTITUTE(E4545,"°","º"))-1)),-1),IF(LEFT(E4545,6)="TÉRREO",0,IFERROR(VALUE(LEFT(E4545,FIND("º",SUBSTITUTE(E4545,"°","º"))-1)),""))))</f>
        <v/>
      </c>
      <c r="O4545" s="2">
        <f>IF(OR(F4545="",G4545=""),"",IF(G4545&lt;='RETRATO 2027'!$K$5,"CONCLUÍDA",IF(F4545&lt;='RETRATO 2027'!$K$5,"EM ANDAMENTO","A INICIAR")))</f>
        <v/>
      </c>
    </row>
    <row r="4546">
      <c r="M4546" s="2">
        <f>IF(C4546="","",IFERROR(INDEX($S$5:$S$304,MATCH(C4546,$R$5:$R$304,0))&amp;"","?"))</f>
        <v/>
      </c>
      <c r="N4546" s="2">
        <f>IF(E4546="","",IF(ISNUMBER(SEARCH("SUBSOLO",E4546)),IFERROR(-VALUE(LEFT(E4546,FIND("º",SUBSTITUTE(E4546,"°","º"))-1)),-1),IF(LEFT(E4546,6)="TÉRREO",0,IFERROR(VALUE(LEFT(E4546,FIND("º",SUBSTITUTE(E4546,"°","º"))-1)),""))))</f>
        <v/>
      </c>
      <c r="O4546" s="2">
        <f>IF(OR(F4546="",G4546=""),"",IF(G4546&lt;='RETRATO 2027'!$K$5,"CONCLUÍDA",IF(F4546&lt;='RETRATO 2027'!$K$5,"EM ANDAMENTO","A INICIAR")))</f>
        <v/>
      </c>
    </row>
    <row r="4547">
      <c r="M4547" s="2">
        <f>IF(C4547="","",IFERROR(INDEX($S$5:$S$304,MATCH(C4547,$R$5:$R$304,0))&amp;"","?"))</f>
        <v/>
      </c>
      <c r="N4547" s="2">
        <f>IF(E4547="","",IF(ISNUMBER(SEARCH("SUBSOLO",E4547)),IFERROR(-VALUE(LEFT(E4547,FIND("º",SUBSTITUTE(E4547,"°","º"))-1)),-1),IF(LEFT(E4547,6)="TÉRREO",0,IFERROR(VALUE(LEFT(E4547,FIND("º",SUBSTITUTE(E4547,"°","º"))-1)),""))))</f>
        <v/>
      </c>
      <c r="O4547" s="2">
        <f>IF(OR(F4547="",G4547=""),"",IF(G4547&lt;='RETRATO 2027'!$K$5,"CONCLUÍDA",IF(F4547&lt;='RETRATO 2027'!$K$5,"EM ANDAMENTO","A INICIAR")))</f>
        <v/>
      </c>
    </row>
    <row r="4548">
      <c r="M4548" s="2">
        <f>IF(C4548="","",IFERROR(INDEX($S$5:$S$304,MATCH(C4548,$R$5:$R$304,0))&amp;"","?"))</f>
        <v/>
      </c>
      <c r="N4548" s="2">
        <f>IF(E4548="","",IF(ISNUMBER(SEARCH("SUBSOLO",E4548)),IFERROR(-VALUE(LEFT(E4548,FIND("º",SUBSTITUTE(E4548,"°","º"))-1)),-1),IF(LEFT(E4548,6)="TÉRREO",0,IFERROR(VALUE(LEFT(E4548,FIND("º",SUBSTITUTE(E4548,"°","º"))-1)),""))))</f>
        <v/>
      </c>
      <c r="O4548" s="2">
        <f>IF(OR(F4548="",G4548=""),"",IF(G4548&lt;='RETRATO 2027'!$K$5,"CONCLUÍDA",IF(F4548&lt;='RETRATO 2027'!$K$5,"EM ANDAMENTO","A INICIAR")))</f>
        <v/>
      </c>
    </row>
    <row r="4549">
      <c r="M4549" s="2">
        <f>IF(C4549="","",IFERROR(INDEX($S$5:$S$304,MATCH(C4549,$R$5:$R$304,0))&amp;"","?"))</f>
        <v/>
      </c>
      <c r="N4549" s="2">
        <f>IF(E4549="","",IF(ISNUMBER(SEARCH("SUBSOLO",E4549)),IFERROR(-VALUE(LEFT(E4549,FIND("º",SUBSTITUTE(E4549,"°","º"))-1)),-1),IF(LEFT(E4549,6)="TÉRREO",0,IFERROR(VALUE(LEFT(E4549,FIND("º",SUBSTITUTE(E4549,"°","º"))-1)),""))))</f>
        <v/>
      </c>
      <c r="O4549" s="2">
        <f>IF(OR(F4549="",G4549=""),"",IF(G4549&lt;='RETRATO 2027'!$K$5,"CONCLUÍDA",IF(F4549&lt;='RETRATO 2027'!$K$5,"EM ANDAMENTO","A INICIAR")))</f>
        <v/>
      </c>
    </row>
    <row r="4550">
      <c r="M4550" s="2">
        <f>IF(C4550="","",IFERROR(INDEX($S$5:$S$304,MATCH(C4550,$R$5:$R$304,0))&amp;"","?"))</f>
        <v/>
      </c>
      <c r="N4550" s="2">
        <f>IF(E4550="","",IF(ISNUMBER(SEARCH("SUBSOLO",E4550)),IFERROR(-VALUE(LEFT(E4550,FIND("º",SUBSTITUTE(E4550,"°","º"))-1)),-1),IF(LEFT(E4550,6)="TÉRREO",0,IFERROR(VALUE(LEFT(E4550,FIND("º",SUBSTITUTE(E4550,"°","º"))-1)),""))))</f>
        <v/>
      </c>
      <c r="O4550" s="2">
        <f>IF(OR(F4550="",G4550=""),"",IF(G4550&lt;='RETRATO 2027'!$K$5,"CONCLUÍDA",IF(F4550&lt;='RETRATO 2027'!$K$5,"EM ANDAMENTO","A INICIAR")))</f>
        <v/>
      </c>
    </row>
    <row r="4551">
      <c r="M4551" s="2">
        <f>IF(C4551="","",IFERROR(INDEX($S$5:$S$304,MATCH(C4551,$R$5:$R$304,0))&amp;"","?"))</f>
        <v/>
      </c>
      <c r="N4551" s="2">
        <f>IF(E4551="","",IF(ISNUMBER(SEARCH("SUBSOLO",E4551)),IFERROR(-VALUE(LEFT(E4551,FIND("º",SUBSTITUTE(E4551,"°","º"))-1)),-1),IF(LEFT(E4551,6)="TÉRREO",0,IFERROR(VALUE(LEFT(E4551,FIND("º",SUBSTITUTE(E4551,"°","º"))-1)),""))))</f>
        <v/>
      </c>
      <c r="O4551" s="2">
        <f>IF(OR(F4551="",G4551=""),"",IF(G4551&lt;='RETRATO 2027'!$K$5,"CONCLUÍDA",IF(F4551&lt;='RETRATO 2027'!$K$5,"EM ANDAMENTO","A INICIAR")))</f>
        <v/>
      </c>
    </row>
    <row r="4552">
      <c r="M4552" s="2">
        <f>IF(C4552="","",IFERROR(INDEX($S$5:$S$304,MATCH(C4552,$R$5:$R$304,0))&amp;"","?"))</f>
        <v/>
      </c>
      <c r="N4552" s="2">
        <f>IF(E4552="","",IF(ISNUMBER(SEARCH("SUBSOLO",E4552)),IFERROR(-VALUE(LEFT(E4552,FIND("º",SUBSTITUTE(E4552,"°","º"))-1)),-1),IF(LEFT(E4552,6)="TÉRREO",0,IFERROR(VALUE(LEFT(E4552,FIND("º",SUBSTITUTE(E4552,"°","º"))-1)),""))))</f>
        <v/>
      </c>
      <c r="O4552" s="2">
        <f>IF(OR(F4552="",G4552=""),"",IF(G4552&lt;='RETRATO 2027'!$K$5,"CONCLUÍDA",IF(F4552&lt;='RETRATO 2027'!$K$5,"EM ANDAMENTO","A INICIAR")))</f>
        <v/>
      </c>
    </row>
    <row r="4553">
      <c r="M4553" s="2">
        <f>IF(C4553="","",IFERROR(INDEX($S$5:$S$304,MATCH(C4553,$R$5:$R$304,0))&amp;"","?"))</f>
        <v/>
      </c>
      <c r="N4553" s="2">
        <f>IF(E4553="","",IF(ISNUMBER(SEARCH("SUBSOLO",E4553)),IFERROR(-VALUE(LEFT(E4553,FIND("º",SUBSTITUTE(E4553,"°","º"))-1)),-1),IF(LEFT(E4553,6)="TÉRREO",0,IFERROR(VALUE(LEFT(E4553,FIND("º",SUBSTITUTE(E4553,"°","º"))-1)),""))))</f>
        <v/>
      </c>
      <c r="O4553" s="2">
        <f>IF(OR(F4553="",G4553=""),"",IF(G4553&lt;='RETRATO 2027'!$K$5,"CONCLUÍDA",IF(F4553&lt;='RETRATO 2027'!$K$5,"EM ANDAMENTO","A INICIAR")))</f>
        <v/>
      </c>
    </row>
    <row r="4554">
      <c r="M4554" s="2">
        <f>IF(C4554="","",IFERROR(INDEX($S$5:$S$304,MATCH(C4554,$R$5:$R$304,0))&amp;"","?"))</f>
        <v/>
      </c>
      <c r="N4554" s="2">
        <f>IF(E4554="","",IF(ISNUMBER(SEARCH("SUBSOLO",E4554)),IFERROR(-VALUE(LEFT(E4554,FIND("º",SUBSTITUTE(E4554,"°","º"))-1)),-1),IF(LEFT(E4554,6)="TÉRREO",0,IFERROR(VALUE(LEFT(E4554,FIND("º",SUBSTITUTE(E4554,"°","º"))-1)),""))))</f>
        <v/>
      </c>
      <c r="O4554" s="2">
        <f>IF(OR(F4554="",G4554=""),"",IF(G4554&lt;='RETRATO 2027'!$K$5,"CONCLUÍDA",IF(F4554&lt;='RETRATO 2027'!$K$5,"EM ANDAMENTO","A INICIAR")))</f>
        <v/>
      </c>
    </row>
    <row r="4555">
      <c r="M4555" s="2">
        <f>IF(C4555="","",IFERROR(INDEX($S$5:$S$304,MATCH(C4555,$R$5:$R$304,0))&amp;"","?"))</f>
        <v/>
      </c>
      <c r="N4555" s="2">
        <f>IF(E4555="","",IF(ISNUMBER(SEARCH("SUBSOLO",E4555)),IFERROR(-VALUE(LEFT(E4555,FIND("º",SUBSTITUTE(E4555,"°","º"))-1)),-1),IF(LEFT(E4555,6)="TÉRREO",0,IFERROR(VALUE(LEFT(E4555,FIND("º",SUBSTITUTE(E4555,"°","º"))-1)),""))))</f>
        <v/>
      </c>
      <c r="O4555" s="2">
        <f>IF(OR(F4555="",G4555=""),"",IF(G4555&lt;='RETRATO 2027'!$K$5,"CONCLUÍDA",IF(F4555&lt;='RETRATO 2027'!$K$5,"EM ANDAMENTO","A INICIAR")))</f>
        <v/>
      </c>
    </row>
    <row r="4556">
      <c r="M4556" s="2">
        <f>IF(C4556="","",IFERROR(INDEX($S$5:$S$304,MATCH(C4556,$R$5:$R$304,0))&amp;"","?"))</f>
        <v/>
      </c>
      <c r="N4556" s="2">
        <f>IF(E4556="","",IF(ISNUMBER(SEARCH("SUBSOLO",E4556)),IFERROR(-VALUE(LEFT(E4556,FIND("º",SUBSTITUTE(E4556,"°","º"))-1)),-1),IF(LEFT(E4556,6)="TÉRREO",0,IFERROR(VALUE(LEFT(E4556,FIND("º",SUBSTITUTE(E4556,"°","º"))-1)),""))))</f>
        <v/>
      </c>
      <c r="O4556" s="2">
        <f>IF(OR(F4556="",G4556=""),"",IF(G4556&lt;='RETRATO 2027'!$K$5,"CONCLUÍDA",IF(F4556&lt;='RETRATO 2027'!$K$5,"EM ANDAMENTO","A INICIAR")))</f>
        <v/>
      </c>
    </row>
    <row r="4557">
      <c r="M4557" s="2">
        <f>IF(C4557="","",IFERROR(INDEX($S$5:$S$304,MATCH(C4557,$R$5:$R$304,0))&amp;"","?"))</f>
        <v/>
      </c>
      <c r="N4557" s="2">
        <f>IF(E4557="","",IF(ISNUMBER(SEARCH("SUBSOLO",E4557)),IFERROR(-VALUE(LEFT(E4557,FIND("º",SUBSTITUTE(E4557,"°","º"))-1)),-1),IF(LEFT(E4557,6)="TÉRREO",0,IFERROR(VALUE(LEFT(E4557,FIND("º",SUBSTITUTE(E4557,"°","º"))-1)),""))))</f>
        <v/>
      </c>
      <c r="O4557" s="2">
        <f>IF(OR(F4557="",G4557=""),"",IF(G4557&lt;='RETRATO 2027'!$K$5,"CONCLUÍDA",IF(F4557&lt;='RETRATO 2027'!$K$5,"EM ANDAMENTO","A INICIAR")))</f>
        <v/>
      </c>
    </row>
    <row r="4558">
      <c r="M4558" s="2">
        <f>IF(C4558="","",IFERROR(INDEX($S$5:$S$304,MATCH(C4558,$R$5:$R$304,0))&amp;"","?"))</f>
        <v/>
      </c>
      <c r="N4558" s="2">
        <f>IF(E4558="","",IF(ISNUMBER(SEARCH("SUBSOLO",E4558)),IFERROR(-VALUE(LEFT(E4558,FIND("º",SUBSTITUTE(E4558,"°","º"))-1)),-1),IF(LEFT(E4558,6)="TÉRREO",0,IFERROR(VALUE(LEFT(E4558,FIND("º",SUBSTITUTE(E4558,"°","º"))-1)),""))))</f>
        <v/>
      </c>
      <c r="O4558" s="2">
        <f>IF(OR(F4558="",G4558=""),"",IF(G4558&lt;='RETRATO 2027'!$K$5,"CONCLUÍDA",IF(F4558&lt;='RETRATO 2027'!$K$5,"EM ANDAMENTO","A INICIAR")))</f>
        <v/>
      </c>
    </row>
    <row r="4559">
      <c r="M4559" s="2">
        <f>IF(C4559="","",IFERROR(INDEX($S$5:$S$304,MATCH(C4559,$R$5:$R$304,0))&amp;"","?"))</f>
        <v/>
      </c>
      <c r="N4559" s="2">
        <f>IF(E4559="","",IF(ISNUMBER(SEARCH("SUBSOLO",E4559)),IFERROR(-VALUE(LEFT(E4559,FIND("º",SUBSTITUTE(E4559,"°","º"))-1)),-1),IF(LEFT(E4559,6)="TÉRREO",0,IFERROR(VALUE(LEFT(E4559,FIND("º",SUBSTITUTE(E4559,"°","º"))-1)),""))))</f>
        <v/>
      </c>
      <c r="O4559" s="2">
        <f>IF(OR(F4559="",G4559=""),"",IF(G4559&lt;='RETRATO 2027'!$K$5,"CONCLUÍDA",IF(F4559&lt;='RETRATO 2027'!$K$5,"EM ANDAMENTO","A INICIAR")))</f>
        <v/>
      </c>
    </row>
    <row r="4560">
      <c r="M4560" s="2">
        <f>IF(C4560="","",IFERROR(INDEX($S$5:$S$304,MATCH(C4560,$R$5:$R$304,0))&amp;"","?"))</f>
        <v/>
      </c>
      <c r="N4560" s="2">
        <f>IF(E4560="","",IF(ISNUMBER(SEARCH("SUBSOLO",E4560)),IFERROR(-VALUE(LEFT(E4560,FIND("º",SUBSTITUTE(E4560,"°","º"))-1)),-1),IF(LEFT(E4560,6)="TÉRREO",0,IFERROR(VALUE(LEFT(E4560,FIND("º",SUBSTITUTE(E4560,"°","º"))-1)),""))))</f>
        <v/>
      </c>
      <c r="O4560" s="2">
        <f>IF(OR(F4560="",G4560=""),"",IF(G4560&lt;='RETRATO 2027'!$K$5,"CONCLUÍDA",IF(F4560&lt;='RETRATO 2027'!$K$5,"EM ANDAMENTO","A INICIAR")))</f>
        <v/>
      </c>
    </row>
    <row r="4561">
      <c r="M4561" s="2">
        <f>IF(C4561="","",IFERROR(INDEX($S$5:$S$304,MATCH(C4561,$R$5:$R$304,0))&amp;"","?"))</f>
        <v/>
      </c>
      <c r="N4561" s="2">
        <f>IF(E4561="","",IF(ISNUMBER(SEARCH("SUBSOLO",E4561)),IFERROR(-VALUE(LEFT(E4561,FIND("º",SUBSTITUTE(E4561,"°","º"))-1)),-1),IF(LEFT(E4561,6)="TÉRREO",0,IFERROR(VALUE(LEFT(E4561,FIND("º",SUBSTITUTE(E4561,"°","º"))-1)),""))))</f>
        <v/>
      </c>
      <c r="O4561" s="2">
        <f>IF(OR(F4561="",G4561=""),"",IF(G4561&lt;='RETRATO 2027'!$K$5,"CONCLUÍDA",IF(F4561&lt;='RETRATO 2027'!$K$5,"EM ANDAMENTO","A INICIAR")))</f>
        <v/>
      </c>
    </row>
    <row r="4562">
      <c r="M4562" s="2">
        <f>IF(C4562="","",IFERROR(INDEX($S$5:$S$304,MATCH(C4562,$R$5:$R$304,0))&amp;"","?"))</f>
        <v/>
      </c>
      <c r="N4562" s="2">
        <f>IF(E4562="","",IF(ISNUMBER(SEARCH("SUBSOLO",E4562)),IFERROR(-VALUE(LEFT(E4562,FIND("º",SUBSTITUTE(E4562,"°","º"))-1)),-1),IF(LEFT(E4562,6)="TÉRREO",0,IFERROR(VALUE(LEFT(E4562,FIND("º",SUBSTITUTE(E4562,"°","º"))-1)),""))))</f>
        <v/>
      </c>
      <c r="O4562" s="2">
        <f>IF(OR(F4562="",G4562=""),"",IF(G4562&lt;='RETRATO 2027'!$K$5,"CONCLUÍDA",IF(F4562&lt;='RETRATO 2027'!$K$5,"EM ANDAMENTO","A INICIAR")))</f>
        <v/>
      </c>
    </row>
    <row r="4563">
      <c r="M4563" s="2">
        <f>IF(C4563="","",IFERROR(INDEX($S$5:$S$304,MATCH(C4563,$R$5:$R$304,0))&amp;"","?"))</f>
        <v/>
      </c>
      <c r="N4563" s="2">
        <f>IF(E4563="","",IF(ISNUMBER(SEARCH("SUBSOLO",E4563)),IFERROR(-VALUE(LEFT(E4563,FIND("º",SUBSTITUTE(E4563,"°","º"))-1)),-1),IF(LEFT(E4563,6)="TÉRREO",0,IFERROR(VALUE(LEFT(E4563,FIND("º",SUBSTITUTE(E4563,"°","º"))-1)),""))))</f>
        <v/>
      </c>
      <c r="O4563" s="2">
        <f>IF(OR(F4563="",G4563=""),"",IF(G4563&lt;='RETRATO 2027'!$K$5,"CONCLUÍDA",IF(F4563&lt;='RETRATO 2027'!$K$5,"EM ANDAMENTO","A INICIAR")))</f>
        <v/>
      </c>
    </row>
    <row r="4564">
      <c r="M4564" s="2">
        <f>IF(C4564="","",IFERROR(INDEX($S$5:$S$304,MATCH(C4564,$R$5:$R$304,0))&amp;"","?"))</f>
        <v/>
      </c>
      <c r="N4564" s="2">
        <f>IF(E4564="","",IF(ISNUMBER(SEARCH("SUBSOLO",E4564)),IFERROR(-VALUE(LEFT(E4564,FIND("º",SUBSTITUTE(E4564,"°","º"))-1)),-1),IF(LEFT(E4564,6)="TÉRREO",0,IFERROR(VALUE(LEFT(E4564,FIND("º",SUBSTITUTE(E4564,"°","º"))-1)),""))))</f>
        <v/>
      </c>
      <c r="O4564" s="2">
        <f>IF(OR(F4564="",G4564=""),"",IF(G4564&lt;='RETRATO 2027'!$K$5,"CONCLUÍDA",IF(F4564&lt;='RETRATO 2027'!$K$5,"EM ANDAMENTO","A INICIAR")))</f>
        <v/>
      </c>
    </row>
    <row r="4565">
      <c r="M4565" s="2">
        <f>IF(C4565="","",IFERROR(INDEX($S$5:$S$304,MATCH(C4565,$R$5:$R$304,0))&amp;"","?"))</f>
        <v/>
      </c>
      <c r="N4565" s="2">
        <f>IF(E4565="","",IF(ISNUMBER(SEARCH("SUBSOLO",E4565)),IFERROR(-VALUE(LEFT(E4565,FIND("º",SUBSTITUTE(E4565,"°","º"))-1)),-1),IF(LEFT(E4565,6)="TÉRREO",0,IFERROR(VALUE(LEFT(E4565,FIND("º",SUBSTITUTE(E4565,"°","º"))-1)),""))))</f>
        <v/>
      </c>
      <c r="O4565" s="2">
        <f>IF(OR(F4565="",G4565=""),"",IF(G4565&lt;='RETRATO 2027'!$K$5,"CONCLUÍDA",IF(F4565&lt;='RETRATO 2027'!$K$5,"EM ANDAMENTO","A INICIAR")))</f>
        <v/>
      </c>
    </row>
    <row r="4566">
      <c r="M4566" s="2">
        <f>IF(C4566="","",IFERROR(INDEX($S$5:$S$304,MATCH(C4566,$R$5:$R$304,0))&amp;"","?"))</f>
        <v/>
      </c>
      <c r="N4566" s="2">
        <f>IF(E4566="","",IF(ISNUMBER(SEARCH("SUBSOLO",E4566)),IFERROR(-VALUE(LEFT(E4566,FIND("º",SUBSTITUTE(E4566,"°","º"))-1)),-1),IF(LEFT(E4566,6)="TÉRREO",0,IFERROR(VALUE(LEFT(E4566,FIND("º",SUBSTITUTE(E4566,"°","º"))-1)),""))))</f>
        <v/>
      </c>
      <c r="O4566" s="2">
        <f>IF(OR(F4566="",G4566=""),"",IF(G4566&lt;='RETRATO 2027'!$K$5,"CONCLUÍDA",IF(F4566&lt;='RETRATO 2027'!$K$5,"EM ANDAMENTO","A INICIAR")))</f>
        <v/>
      </c>
    </row>
    <row r="4567">
      <c r="M4567" s="2">
        <f>IF(C4567="","",IFERROR(INDEX($S$5:$S$304,MATCH(C4567,$R$5:$R$304,0))&amp;"","?"))</f>
        <v/>
      </c>
      <c r="N4567" s="2">
        <f>IF(E4567="","",IF(ISNUMBER(SEARCH("SUBSOLO",E4567)),IFERROR(-VALUE(LEFT(E4567,FIND("º",SUBSTITUTE(E4567,"°","º"))-1)),-1),IF(LEFT(E4567,6)="TÉRREO",0,IFERROR(VALUE(LEFT(E4567,FIND("º",SUBSTITUTE(E4567,"°","º"))-1)),""))))</f>
        <v/>
      </c>
      <c r="O4567" s="2">
        <f>IF(OR(F4567="",G4567=""),"",IF(G4567&lt;='RETRATO 2027'!$K$5,"CONCLUÍDA",IF(F4567&lt;='RETRATO 2027'!$K$5,"EM ANDAMENTO","A INICIAR")))</f>
        <v/>
      </c>
    </row>
    <row r="4568">
      <c r="M4568" s="2">
        <f>IF(C4568="","",IFERROR(INDEX($S$5:$S$304,MATCH(C4568,$R$5:$R$304,0))&amp;"","?"))</f>
        <v/>
      </c>
      <c r="N4568" s="2">
        <f>IF(E4568="","",IF(ISNUMBER(SEARCH("SUBSOLO",E4568)),IFERROR(-VALUE(LEFT(E4568,FIND("º",SUBSTITUTE(E4568,"°","º"))-1)),-1),IF(LEFT(E4568,6)="TÉRREO",0,IFERROR(VALUE(LEFT(E4568,FIND("º",SUBSTITUTE(E4568,"°","º"))-1)),""))))</f>
        <v/>
      </c>
      <c r="O4568" s="2">
        <f>IF(OR(F4568="",G4568=""),"",IF(G4568&lt;='RETRATO 2027'!$K$5,"CONCLUÍDA",IF(F4568&lt;='RETRATO 2027'!$K$5,"EM ANDAMENTO","A INICIAR")))</f>
        <v/>
      </c>
    </row>
    <row r="4569">
      <c r="M4569" s="2">
        <f>IF(C4569="","",IFERROR(INDEX($S$5:$S$304,MATCH(C4569,$R$5:$R$304,0))&amp;"","?"))</f>
        <v/>
      </c>
      <c r="N4569" s="2">
        <f>IF(E4569="","",IF(ISNUMBER(SEARCH("SUBSOLO",E4569)),IFERROR(-VALUE(LEFT(E4569,FIND("º",SUBSTITUTE(E4569,"°","º"))-1)),-1),IF(LEFT(E4569,6)="TÉRREO",0,IFERROR(VALUE(LEFT(E4569,FIND("º",SUBSTITUTE(E4569,"°","º"))-1)),""))))</f>
        <v/>
      </c>
      <c r="O4569" s="2">
        <f>IF(OR(F4569="",G4569=""),"",IF(G4569&lt;='RETRATO 2027'!$K$5,"CONCLUÍDA",IF(F4569&lt;='RETRATO 2027'!$K$5,"EM ANDAMENTO","A INICIAR")))</f>
        <v/>
      </c>
    </row>
    <row r="4570">
      <c r="M4570" s="2">
        <f>IF(C4570="","",IFERROR(INDEX($S$5:$S$304,MATCH(C4570,$R$5:$R$304,0))&amp;"","?"))</f>
        <v/>
      </c>
      <c r="N4570" s="2">
        <f>IF(E4570="","",IF(ISNUMBER(SEARCH("SUBSOLO",E4570)),IFERROR(-VALUE(LEFT(E4570,FIND("º",SUBSTITUTE(E4570,"°","º"))-1)),-1),IF(LEFT(E4570,6)="TÉRREO",0,IFERROR(VALUE(LEFT(E4570,FIND("º",SUBSTITUTE(E4570,"°","º"))-1)),""))))</f>
        <v/>
      </c>
      <c r="O4570" s="2">
        <f>IF(OR(F4570="",G4570=""),"",IF(G4570&lt;='RETRATO 2027'!$K$5,"CONCLUÍDA",IF(F4570&lt;='RETRATO 2027'!$K$5,"EM ANDAMENTO","A INICIAR")))</f>
        <v/>
      </c>
    </row>
    <row r="4571">
      <c r="M4571" s="2">
        <f>IF(C4571="","",IFERROR(INDEX($S$5:$S$304,MATCH(C4571,$R$5:$R$304,0))&amp;"","?"))</f>
        <v/>
      </c>
      <c r="N4571" s="2">
        <f>IF(E4571="","",IF(ISNUMBER(SEARCH("SUBSOLO",E4571)),IFERROR(-VALUE(LEFT(E4571,FIND("º",SUBSTITUTE(E4571,"°","º"))-1)),-1),IF(LEFT(E4571,6)="TÉRREO",0,IFERROR(VALUE(LEFT(E4571,FIND("º",SUBSTITUTE(E4571,"°","º"))-1)),""))))</f>
        <v/>
      </c>
      <c r="O4571" s="2">
        <f>IF(OR(F4571="",G4571=""),"",IF(G4571&lt;='RETRATO 2027'!$K$5,"CONCLUÍDA",IF(F4571&lt;='RETRATO 2027'!$K$5,"EM ANDAMENTO","A INICIAR")))</f>
        <v/>
      </c>
    </row>
    <row r="4572">
      <c r="M4572" s="2">
        <f>IF(C4572="","",IFERROR(INDEX($S$5:$S$304,MATCH(C4572,$R$5:$R$304,0))&amp;"","?"))</f>
        <v/>
      </c>
      <c r="N4572" s="2">
        <f>IF(E4572="","",IF(ISNUMBER(SEARCH("SUBSOLO",E4572)),IFERROR(-VALUE(LEFT(E4572,FIND("º",SUBSTITUTE(E4572,"°","º"))-1)),-1),IF(LEFT(E4572,6)="TÉRREO",0,IFERROR(VALUE(LEFT(E4572,FIND("º",SUBSTITUTE(E4572,"°","º"))-1)),""))))</f>
        <v/>
      </c>
      <c r="O4572" s="2">
        <f>IF(OR(F4572="",G4572=""),"",IF(G4572&lt;='RETRATO 2027'!$K$5,"CONCLUÍDA",IF(F4572&lt;='RETRATO 2027'!$K$5,"EM ANDAMENTO","A INICIAR")))</f>
        <v/>
      </c>
    </row>
    <row r="4573">
      <c r="M4573" s="2">
        <f>IF(C4573="","",IFERROR(INDEX($S$5:$S$304,MATCH(C4573,$R$5:$R$304,0))&amp;"","?"))</f>
        <v/>
      </c>
      <c r="N4573" s="2">
        <f>IF(E4573="","",IF(ISNUMBER(SEARCH("SUBSOLO",E4573)),IFERROR(-VALUE(LEFT(E4573,FIND("º",SUBSTITUTE(E4573,"°","º"))-1)),-1),IF(LEFT(E4573,6)="TÉRREO",0,IFERROR(VALUE(LEFT(E4573,FIND("º",SUBSTITUTE(E4573,"°","º"))-1)),""))))</f>
        <v/>
      </c>
      <c r="O4573" s="2">
        <f>IF(OR(F4573="",G4573=""),"",IF(G4573&lt;='RETRATO 2027'!$K$5,"CONCLUÍDA",IF(F4573&lt;='RETRATO 2027'!$K$5,"EM ANDAMENTO","A INICIAR")))</f>
        <v/>
      </c>
    </row>
    <row r="4574">
      <c r="M4574" s="2">
        <f>IF(C4574="","",IFERROR(INDEX($S$5:$S$304,MATCH(C4574,$R$5:$R$304,0))&amp;"","?"))</f>
        <v/>
      </c>
      <c r="N4574" s="2">
        <f>IF(E4574="","",IF(ISNUMBER(SEARCH("SUBSOLO",E4574)),IFERROR(-VALUE(LEFT(E4574,FIND("º",SUBSTITUTE(E4574,"°","º"))-1)),-1),IF(LEFT(E4574,6)="TÉRREO",0,IFERROR(VALUE(LEFT(E4574,FIND("º",SUBSTITUTE(E4574,"°","º"))-1)),""))))</f>
        <v/>
      </c>
      <c r="O4574" s="2">
        <f>IF(OR(F4574="",G4574=""),"",IF(G4574&lt;='RETRATO 2027'!$K$5,"CONCLUÍDA",IF(F4574&lt;='RETRATO 2027'!$K$5,"EM ANDAMENTO","A INICIAR")))</f>
        <v/>
      </c>
    </row>
    <row r="4575">
      <c r="M4575" s="2">
        <f>IF(C4575="","",IFERROR(INDEX($S$5:$S$304,MATCH(C4575,$R$5:$R$304,0))&amp;"","?"))</f>
        <v/>
      </c>
      <c r="N4575" s="2">
        <f>IF(E4575="","",IF(ISNUMBER(SEARCH("SUBSOLO",E4575)),IFERROR(-VALUE(LEFT(E4575,FIND("º",SUBSTITUTE(E4575,"°","º"))-1)),-1),IF(LEFT(E4575,6)="TÉRREO",0,IFERROR(VALUE(LEFT(E4575,FIND("º",SUBSTITUTE(E4575,"°","º"))-1)),""))))</f>
        <v/>
      </c>
      <c r="O4575" s="2">
        <f>IF(OR(F4575="",G4575=""),"",IF(G4575&lt;='RETRATO 2027'!$K$5,"CONCLUÍDA",IF(F4575&lt;='RETRATO 2027'!$K$5,"EM ANDAMENTO","A INICIAR")))</f>
        <v/>
      </c>
    </row>
    <row r="4576">
      <c r="M4576" s="2">
        <f>IF(C4576="","",IFERROR(INDEX($S$5:$S$304,MATCH(C4576,$R$5:$R$304,0))&amp;"","?"))</f>
        <v/>
      </c>
      <c r="N4576" s="2">
        <f>IF(E4576="","",IF(ISNUMBER(SEARCH("SUBSOLO",E4576)),IFERROR(-VALUE(LEFT(E4576,FIND("º",SUBSTITUTE(E4576,"°","º"))-1)),-1),IF(LEFT(E4576,6)="TÉRREO",0,IFERROR(VALUE(LEFT(E4576,FIND("º",SUBSTITUTE(E4576,"°","º"))-1)),""))))</f>
        <v/>
      </c>
      <c r="O4576" s="2">
        <f>IF(OR(F4576="",G4576=""),"",IF(G4576&lt;='RETRATO 2027'!$K$5,"CONCLUÍDA",IF(F4576&lt;='RETRATO 2027'!$K$5,"EM ANDAMENTO","A INICIAR")))</f>
        <v/>
      </c>
    </row>
    <row r="4577">
      <c r="M4577" s="2">
        <f>IF(C4577="","",IFERROR(INDEX($S$5:$S$304,MATCH(C4577,$R$5:$R$304,0))&amp;"","?"))</f>
        <v/>
      </c>
      <c r="N4577" s="2">
        <f>IF(E4577="","",IF(ISNUMBER(SEARCH("SUBSOLO",E4577)),IFERROR(-VALUE(LEFT(E4577,FIND("º",SUBSTITUTE(E4577,"°","º"))-1)),-1),IF(LEFT(E4577,6)="TÉRREO",0,IFERROR(VALUE(LEFT(E4577,FIND("º",SUBSTITUTE(E4577,"°","º"))-1)),""))))</f>
        <v/>
      </c>
      <c r="O4577" s="2">
        <f>IF(OR(F4577="",G4577=""),"",IF(G4577&lt;='RETRATO 2027'!$K$5,"CONCLUÍDA",IF(F4577&lt;='RETRATO 2027'!$K$5,"EM ANDAMENTO","A INICIAR")))</f>
        <v/>
      </c>
    </row>
    <row r="4578">
      <c r="M4578" s="2">
        <f>IF(C4578="","",IFERROR(INDEX($S$5:$S$304,MATCH(C4578,$R$5:$R$304,0))&amp;"","?"))</f>
        <v/>
      </c>
      <c r="N4578" s="2">
        <f>IF(E4578="","",IF(ISNUMBER(SEARCH("SUBSOLO",E4578)),IFERROR(-VALUE(LEFT(E4578,FIND("º",SUBSTITUTE(E4578,"°","º"))-1)),-1),IF(LEFT(E4578,6)="TÉRREO",0,IFERROR(VALUE(LEFT(E4578,FIND("º",SUBSTITUTE(E4578,"°","º"))-1)),""))))</f>
        <v/>
      </c>
      <c r="O4578" s="2">
        <f>IF(OR(F4578="",G4578=""),"",IF(G4578&lt;='RETRATO 2027'!$K$5,"CONCLUÍDA",IF(F4578&lt;='RETRATO 2027'!$K$5,"EM ANDAMENTO","A INICIAR")))</f>
        <v/>
      </c>
    </row>
    <row r="4579">
      <c r="M4579" s="2">
        <f>IF(C4579="","",IFERROR(INDEX($S$5:$S$304,MATCH(C4579,$R$5:$R$304,0))&amp;"","?"))</f>
        <v/>
      </c>
      <c r="N4579" s="2">
        <f>IF(E4579="","",IF(ISNUMBER(SEARCH("SUBSOLO",E4579)),IFERROR(-VALUE(LEFT(E4579,FIND("º",SUBSTITUTE(E4579,"°","º"))-1)),-1),IF(LEFT(E4579,6)="TÉRREO",0,IFERROR(VALUE(LEFT(E4579,FIND("º",SUBSTITUTE(E4579,"°","º"))-1)),""))))</f>
        <v/>
      </c>
      <c r="O4579" s="2">
        <f>IF(OR(F4579="",G4579=""),"",IF(G4579&lt;='RETRATO 2027'!$K$5,"CONCLUÍDA",IF(F4579&lt;='RETRATO 2027'!$K$5,"EM ANDAMENTO","A INICIAR")))</f>
        <v/>
      </c>
    </row>
    <row r="4580">
      <c r="M4580" s="2">
        <f>IF(C4580="","",IFERROR(INDEX($S$5:$S$304,MATCH(C4580,$R$5:$R$304,0))&amp;"","?"))</f>
        <v/>
      </c>
      <c r="N4580" s="2">
        <f>IF(E4580="","",IF(ISNUMBER(SEARCH("SUBSOLO",E4580)),IFERROR(-VALUE(LEFT(E4580,FIND("º",SUBSTITUTE(E4580,"°","º"))-1)),-1),IF(LEFT(E4580,6)="TÉRREO",0,IFERROR(VALUE(LEFT(E4580,FIND("º",SUBSTITUTE(E4580,"°","º"))-1)),""))))</f>
        <v/>
      </c>
      <c r="O4580" s="2">
        <f>IF(OR(F4580="",G4580=""),"",IF(G4580&lt;='RETRATO 2027'!$K$5,"CONCLUÍDA",IF(F4580&lt;='RETRATO 2027'!$K$5,"EM ANDAMENTO","A INICIAR")))</f>
        <v/>
      </c>
    </row>
    <row r="4581">
      <c r="M4581" s="2">
        <f>IF(C4581="","",IFERROR(INDEX($S$5:$S$304,MATCH(C4581,$R$5:$R$304,0))&amp;"","?"))</f>
        <v/>
      </c>
      <c r="N4581" s="2">
        <f>IF(E4581="","",IF(ISNUMBER(SEARCH("SUBSOLO",E4581)),IFERROR(-VALUE(LEFT(E4581,FIND("º",SUBSTITUTE(E4581,"°","º"))-1)),-1),IF(LEFT(E4581,6)="TÉRREO",0,IFERROR(VALUE(LEFT(E4581,FIND("º",SUBSTITUTE(E4581,"°","º"))-1)),""))))</f>
        <v/>
      </c>
      <c r="O4581" s="2">
        <f>IF(OR(F4581="",G4581=""),"",IF(G4581&lt;='RETRATO 2027'!$K$5,"CONCLUÍDA",IF(F4581&lt;='RETRATO 2027'!$K$5,"EM ANDAMENTO","A INICIAR")))</f>
        <v/>
      </c>
    </row>
    <row r="4582">
      <c r="M4582" s="2">
        <f>IF(C4582="","",IFERROR(INDEX($S$5:$S$304,MATCH(C4582,$R$5:$R$304,0))&amp;"","?"))</f>
        <v/>
      </c>
      <c r="N4582" s="2">
        <f>IF(E4582="","",IF(ISNUMBER(SEARCH("SUBSOLO",E4582)),IFERROR(-VALUE(LEFT(E4582,FIND("º",SUBSTITUTE(E4582,"°","º"))-1)),-1),IF(LEFT(E4582,6)="TÉRREO",0,IFERROR(VALUE(LEFT(E4582,FIND("º",SUBSTITUTE(E4582,"°","º"))-1)),""))))</f>
        <v/>
      </c>
      <c r="O4582" s="2">
        <f>IF(OR(F4582="",G4582=""),"",IF(G4582&lt;='RETRATO 2027'!$K$5,"CONCLUÍDA",IF(F4582&lt;='RETRATO 2027'!$K$5,"EM ANDAMENTO","A INICIAR")))</f>
        <v/>
      </c>
    </row>
    <row r="4583">
      <c r="M4583" s="2">
        <f>IF(C4583="","",IFERROR(INDEX($S$5:$S$304,MATCH(C4583,$R$5:$R$304,0))&amp;"","?"))</f>
        <v/>
      </c>
      <c r="N4583" s="2">
        <f>IF(E4583="","",IF(ISNUMBER(SEARCH("SUBSOLO",E4583)),IFERROR(-VALUE(LEFT(E4583,FIND("º",SUBSTITUTE(E4583,"°","º"))-1)),-1),IF(LEFT(E4583,6)="TÉRREO",0,IFERROR(VALUE(LEFT(E4583,FIND("º",SUBSTITUTE(E4583,"°","º"))-1)),""))))</f>
        <v/>
      </c>
      <c r="O4583" s="2">
        <f>IF(OR(F4583="",G4583=""),"",IF(G4583&lt;='RETRATO 2027'!$K$5,"CONCLUÍDA",IF(F4583&lt;='RETRATO 2027'!$K$5,"EM ANDAMENTO","A INICIAR")))</f>
        <v/>
      </c>
    </row>
    <row r="4584">
      <c r="M4584" s="2">
        <f>IF(C4584="","",IFERROR(INDEX($S$5:$S$304,MATCH(C4584,$R$5:$R$304,0))&amp;"","?"))</f>
        <v/>
      </c>
      <c r="N4584" s="2">
        <f>IF(E4584="","",IF(ISNUMBER(SEARCH("SUBSOLO",E4584)),IFERROR(-VALUE(LEFT(E4584,FIND("º",SUBSTITUTE(E4584,"°","º"))-1)),-1),IF(LEFT(E4584,6)="TÉRREO",0,IFERROR(VALUE(LEFT(E4584,FIND("º",SUBSTITUTE(E4584,"°","º"))-1)),""))))</f>
        <v/>
      </c>
      <c r="O4584" s="2">
        <f>IF(OR(F4584="",G4584=""),"",IF(G4584&lt;='RETRATO 2027'!$K$5,"CONCLUÍDA",IF(F4584&lt;='RETRATO 2027'!$K$5,"EM ANDAMENTO","A INICIAR")))</f>
        <v/>
      </c>
    </row>
    <row r="4585">
      <c r="M4585" s="2">
        <f>IF(C4585="","",IFERROR(INDEX($S$5:$S$304,MATCH(C4585,$R$5:$R$304,0))&amp;"","?"))</f>
        <v/>
      </c>
      <c r="N4585" s="2">
        <f>IF(E4585="","",IF(ISNUMBER(SEARCH("SUBSOLO",E4585)),IFERROR(-VALUE(LEFT(E4585,FIND("º",SUBSTITUTE(E4585,"°","º"))-1)),-1),IF(LEFT(E4585,6)="TÉRREO",0,IFERROR(VALUE(LEFT(E4585,FIND("º",SUBSTITUTE(E4585,"°","º"))-1)),""))))</f>
        <v/>
      </c>
      <c r="O4585" s="2">
        <f>IF(OR(F4585="",G4585=""),"",IF(G4585&lt;='RETRATO 2027'!$K$5,"CONCLUÍDA",IF(F4585&lt;='RETRATO 2027'!$K$5,"EM ANDAMENTO","A INICIAR")))</f>
        <v/>
      </c>
    </row>
    <row r="4586">
      <c r="M4586" s="2">
        <f>IF(C4586="","",IFERROR(INDEX($S$5:$S$304,MATCH(C4586,$R$5:$R$304,0))&amp;"","?"))</f>
        <v/>
      </c>
      <c r="N4586" s="2">
        <f>IF(E4586="","",IF(ISNUMBER(SEARCH("SUBSOLO",E4586)),IFERROR(-VALUE(LEFT(E4586,FIND("º",SUBSTITUTE(E4586,"°","º"))-1)),-1),IF(LEFT(E4586,6)="TÉRREO",0,IFERROR(VALUE(LEFT(E4586,FIND("º",SUBSTITUTE(E4586,"°","º"))-1)),""))))</f>
        <v/>
      </c>
      <c r="O4586" s="2">
        <f>IF(OR(F4586="",G4586=""),"",IF(G4586&lt;='RETRATO 2027'!$K$5,"CONCLUÍDA",IF(F4586&lt;='RETRATO 2027'!$K$5,"EM ANDAMENTO","A INICIAR")))</f>
        <v/>
      </c>
    </row>
    <row r="4587">
      <c r="M4587" s="2">
        <f>IF(C4587="","",IFERROR(INDEX($S$5:$S$304,MATCH(C4587,$R$5:$R$304,0))&amp;"","?"))</f>
        <v/>
      </c>
      <c r="N4587" s="2">
        <f>IF(E4587="","",IF(ISNUMBER(SEARCH("SUBSOLO",E4587)),IFERROR(-VALUE(LEFT(E4587,FIND("º",SUBSTITUTE(E4587,"°","º"))-1)),-1),IF(LEFT(E4587,6)="TÉRREO",0,IFERROR(VALUE(LEFT(E4587,FIND("º",SUBSTITUTE(E4587,"°","º"))-1)),""))))</f>
        <v/>
      </c>
      <c r="O4587" s="2">
        <f>IF(OR(F4587="",G4587=""),"",IF(G4587&lt;='RETRATO 2027'!$K$5,"CONCLUÍDA",IF(F4587&lt;='RETRATO 2027'!$K$5,"EM ANDAMENTO","A INICIAR")))</f>
        <v/>
      </c>
    </row>
    <row r="4588">
      <c r="M4588" s="2">
        <f>IF(C4588="","",IFERROR(INDEX($S$5:$S$304,MATCH(C4588,$R$5:$R$304,0))&amp;"","?"))</f>
        <v/>
      </c>
      <c r="N4588" s="2">
        <f>IF(E4588="","",IF(ISNUMBER(SEARCH("SUBSOLO",E4588)),IFERROR(-VALUE(LEFT(E4588,FIND("º",SUBSTITUTE(E4588,"°","º"))-1)),-1),IF(LEFT(E4588,6)="TÉRREO",0,IFERROR(VALUE(LEFT(E4588,FIND("º",SUBSTITUTE(E4588,"°","º"))-1)),""))))</f>
        <v/>
      </c>
      <c r="O4588" s="2">
        <f>IF(OR(F4588="",G4588=""),"",IF(G4588&lt;='RETRATO 2027'!$K$5,"CONCLUÍDA",IF(F4588&lt;='RETRATO 2027'!$K$5,"EM ANDAMENTO","A INICIAR")))</f>
        <v/>
      </c>
    </row>
    <row r="4589">
      <c r="M4589" s="2">
        <f>IF(C4589="","",IFERROR(INDEX($S$5:$S$304,MATCH(C4589,$R$5:$R$304,0))&amp;"","?"))</f>
        <v/>
      </c>
      <c r="N4589" s="2">
        <f>IF(E4589="","",IF(ISNUMBER(SEARCH("SUBSOLO",E4589)),IFERROR(-VALUE(LEFT(E4589,FIND("º",SUBSTITUTE(E4589,"°","º"))-1)),-1),IF(LEFT(E4589,6)="TÉRREO",0,IFERROR(VALUE(LEFT(E4589,FIND("º",SUBSTITUTE(E4589,"°","º"))-1)),""))))</f>
        <v/>
      </c>
      <c r="O4589" s="2">
        <f>IF(OR(F4589="",G4589=""),"",IF(G4589&lt;='RETRATO 2027'!$K$5,"CONCLUÍDA",IF(F4589&lt;='RETRATO 2027'!$K$5,"EM ANDAMENTO","A INICIAR")))</f>
        <v/>
      </c>
    </row>
    <row r="4590">
      <c r="M4590" s="2">
        <f>IF(C4590="","",IFERROR(INDEX($S$5:$S$304,MATCH(C4590,$R$5:$R$304,0))&amp;"","?"))</f>
        <v/>
      </c>
      <c r="N4590" s="2">
        <f>IF(E4590="","",IF(ISNUMBER(SEARCH("SUBSOLO",E4590)),IFERROR(-VALUE(LEFT(E4590,FIND("º",SUBSTITUTE(E4590,"°","º"))-1)),-1),IF(LEFT(E4590,6)="TÉRREO",0,IFERROR(VALUE(LEFT(E4590,FIND("º",SUBSTITUTE(E4590,"°","º"))-1)),""))))</f>
        <v/>
      </c>
      <c r="O4590" s="2">
        <f>IF(OR(F4590="",G4590=""),"",IF(G4590&lt;='RETRATO 2027'!$K$5,"CONCLUÍDA",IF(F4590&lt;='RETRATO 2027'!$K$5,"EM ANDAMENTO","A INICIAR")))</f>
        <v/>
      </c>
    </row>
    <row r="4591">
      <c r="M4591" s="2">
        <f>IF(C4591="","",IFERROR(INDEX($S$5:$S$304,MATCH(C4591,$R$5:$R$304,0))&amp;"","?"))</f>
        <v/>
      </c>
      <c r="N4591" s="2">
        <f>IF(E4591="","",IF(ISNUMBER(SEARCH("SUBSOLO",E4591)),IFERROR(-VALUE(LEFT(E4591,FIND("º",SUBSTITUTE(E4591,"°","º"))-1)),-1),IF(LEFT(E4591,6)="TÉRREO",0,IFERROR(VALUE(LEFT(E4591,FIND("º",SUBSTITUTE(E4591,"°","º"))-1)),""))))</f>
        <v/>
      </c>
      <c r="O4591" s="2">
        <f>IF(OR(F4591="",G4591=""),"",IF(G4591&lt;='RETRATO 2027'!$K$5,"CONCLUÍDA",IF(F4591&lt;='RETRATO 2027'!$K$5,"EM ANDAMENTO","A INICIAR")))</f>
        <v/>
      </c>
    </row>
    <row r="4592">
      <c r="M4592" s="2">
        <f>IF(C4592="","",IFERROR(INDEX($S$5:$S$304,MATCH(C4592,$R$5:$R$304,0))&amp;"","?"))</f>
        <v/>
      </c>
      <c r="N4592" s="2">
        <f>IF(E4592="","",IF(ISNUMBER(SEARCH("SUBSOLO",E4592)),IFERROR(-VALUE(LEFT(E4592,FIND("º",SUBSTITUTE(E4592,"°","º"))-1)),-1),IF(LEFT(E4592,6)="TÉRREO",0,IFERROR(VALUE(LEFT(E4592,FIND("º",SUBSTITUTE(E4592,"°","º"))-1)),""))))</f>
        <v/>
      </c>
      <c r="O4592" s="2">
        <f>IF(OR(F4592="",G4592=""),"",IF(G4592&lt;='RETRATO 2027'!$K$5,"CONCLUÍDA",IF(F4592&lt;='RETRATO 2027'!$K$5,"EM ANDAMENTO","A INICIAR")))</f>
        <v/>
      </c>
    </row>
    <row r="4593">
      <c r="M4593" s="2">
        <f>IF(C4593="","",IFERROR(INDEX($S$5:$S$304,MATCH(C4593,$R$5:$R$304,0))&amp;"","?"))</f>
        <v/>
      </c>
      <c r="N4593" s="2">
        <f>IF(E4593="","",IF(ISNUMBER(SEARCH("SUBSOLO",E4593)),IFERROR(-VALUE(LEFT(E4593,FIND("º",SUBSTITUTE(E4593,"°","º"))-1)),-1),IF(LEFT(E4593,6)="TÉRREO",0,IFERROR(VALUE(LEFT(E4593,FIND("º",SUBSTITUTE(E4593,"°","º"))-1)),""))))</f>
        <v/>
      </c>
      <c r="O4593" s="2">
        <f>IF(OR(F4593="",G4593=""),"",IF(G4593&lt;='RETRATO 2027'!$K$5,"CONCLUÍDA",IF(F4593&lt;='RETRATO 2027'!$K$5,"EM ANDAMENTO","A INICIAR")))</f>
        <v/>
      </c>
    </row>
    <row r="4594">
      <c r="M4594" s="2">
        <f>IF(C4594="","",IFERROR(INDEX($S$5:$S$304,MATCH(C4594,$R$5:$R$304,0))&amp;"","?"))</f>
        <v/>
      </c>
      <c r="N4594" s="2">
        <f>IF(E4594="","",IF(ISNUMBER(SEARCH("SUBSOLO",E4594)),IFERROR(-VALUE(LEFT(E4594,FIND("º",SUBSTITUTE(E4594,"°","º"))-1)),-1),IF(LEFT(E4594,6)="TÉRREO",0,IFERROR(VALUE(LEFT(E4594,FIND("º",SUBSTITUTE(E4594,"°","º"))-1)),""))))</f>
        <v/>
      </c>
      <c r="O4594" s="2">
        <f>IF(OR(F4594="",G4594=""),"",IF(G4594&lt;='RETRATO 2027'!$K$5,"CONCLUÍDA",IF(F4594&lt;='RETRATO 2027'!$K$5,"EM ANDAMENTO","A INICIAR")))</f>
        <v/>
      </c>
    </row>
    <row r="4595">
      <c r="M4595" s="2">
        <f>IF(C4595="","",IFERROR(INDEX($S$5:$S$304,MATCH(C4595,$R$5:$R$304,0))&amp;"","?"))</f>
        <v/>
      </c>
      <c r="N4595" s="2">
        <f>IF(E4595="","",IF(ISNUMBER(SEARCH("SUBSOLO",E4595)),IFERROR(-VALUE(LEFT(E4595,FIND("º",SUBSTITUTE(E4595,"°","º"))-1)),-1),IF(LEFT(E4595,6)="TÉRREO",0,IFERROR(VALUE(LEFT(E4595,FIND("º",SUBSTITUTE(E4595,"°","º"))-1)),""))))</f>
        <v/>
      </c>
      <c r="O4595" s="2">
        <f>IF(OR(F4595="",G4595=""),"",IF(G4595&lt;='RETRATO 2027'!$K$5,"CONCLUÍDA",IF(F4595&lt;='RETRATO 2027'!$K$5,"EM ANDAMENTO","A INICIAR")))</f>
        <v/>
      </c>
    </row>
    <row r="4596">
      <c r="M4596" s="2">
        <f>IF(C4596="","",IFERROR(INDEX($S$5:$S$304,MATCH(C4596,$R$5:$R$304,0))&amp;"","?"))</f>
        <v/>
      </c>
      <c r="N4596" s="2">
        <f>IF(E4596="","",IF(ISNUMBER(SEARCH("SUBSOLO",E4596)),IFERROR(-VALUE(LEFT(E4596,FIND("º",SUBSTITUTE(E4596,"°","º"))-1)),-1),IF(LEFT(E4596,6)="TÉRREO",0,IFERROR(VALUE(LEFT(E4596,FIND("º",SUBSTITUTE(E4596,"°","º"))-1)),""))))</f>
        <v/>
      </c>
      <c r="O4596" s="2">
        <f>IF(OR(F4596="",G4596=""),"",IF(G4596&lt;='RETRATO 2027'!$K$5,"CONCLUÍDA",IF(F4596&lt;='RETRATO 2027'!$K$5,"EM ANDAMENTO","A INICIAR")))</f>
        <v/>
      </c>
    </row>
    <row r="4597">
      <c r="M4597" s="2">
        <f>IF(C4597="","",IFERROR(INDEX($S$5:$S$304,MATCH(C4597,$R$5:$R$304,0))&amp;"","?"))</f>
        <v/>
      </c>
      <c r="N4597" s="2">
        <f>IF(E4597="","",IF(ISNUMBER(SEARCH("SUBSOLO",E4597)),IFERROR(-VALUE(LEFT(E4597,FIND("º",SUBSTITUTE(E4597,"°","º"))-1)),-1),IF(LEFT(E4597,6)="TÉRREO",0,IFERROR(VALUE(LEFT(E4597,FIND("º",SUBSTITUTE(E4597,"°","º"))-1)),""))))</f>
        <v/>
      </c>
      <c r="O4597" s="2">
        <f>IF(OR(F4597="",G4597=""),"",IF(G4597&lt;='RETRATO 2027'!$K$5,"CONCLUÍDA",IF(F4597&lt;='RETRATO 2027'!$K$5,"EM ANDAMENTO","A INICIAR")))</f>
        <v/>
      </c>
    </row>
    <row r="4598">
      <c r="M4598" s="2">
        <f>IF(C4598="","",IFERROR(INDEX($S$5:$S$304,MATCH(C4598,$R$5:$R$304,0))&amp;"","?"))</f>
        <v/>
      </c>
      <c r="N4598" s="2">
        <f>IF(E4598="","",IF(ISNUMBER(SEARCH("SUBSOLO",E4598)),IFERROR(-VALUE(LEFT(E4598,FIND("º",SUBSTITUTE(E4598,"°","º"))-1)),-1),IF(LEFT(E4598,6)="TÉRREO",0,IFERROR(VALUE(LEFT(E4598,FIND("º",SUBSTITUTE(E4598,"°","º"))-1)),""))))</f>
        <v/>
      </c>
      <c r="O4598" s="2">
        <f>IF(OR(F4598="",G4598=""),"",IF(G4598&lt;='RETRATO 2027'!$K$5,"CONCLUÍDA",IF(F4598&lt;='RETRATO 2027'!$K$5,"EM ANDAMENTO","A INICIAR")))</f>
        <v/>
      </c>
    </row>
    <row r="4599">
      <c r="M4599" s="2">
        <f>IF(C4599="","",IFERROR(INDEX($S$5:$S$304,MATCH(C4599,$R$5:$R$304,0))&amp;"","?"))</f>
        <v/>
      </c>
      <c r="N4599" s="2">
        <f>IF(E4599="","",IF(ISNUMBER(SEARCH("SUBSOLO",E4599)),IFERROR(-VALUE(LEFT(E4599,FIND("º",SUBSTITUTE(E4599,"°","º"))-1)),-1),IF(LEFT(E4599,6)="TÉRREO",0,IFERROR(VALUE(LEFT(E4599,FIND("º",SUBSTITUTE(E4599,"°","º"))-1)),""))))</f>
        <v/>
      </c>
      <c r="O4599" s="2">
        <f>IF(OR(F4599="",G4599=""),"",IF(G4599&lt;='RETRATO 2027'!$K$5,"CONCLUÍDA",IF(F4599&lt;='RETRATO 2027'!$K$5,"EM ANDAMENTO","A INICIAR")))</f>
        <v/>
      </c>
    </row>
    <row r="4600">
      <c r="M4600" s="2">
        <f>IF(C4600="","",IFERROR(INDEX($S$5:$S$304,MATCH(C4600,$R$5:$R$304,0))&amp;"","?"))</f>
        <v/>
      </c>
      <c r="N4600" s="2">
        <f>IF(E4600="","",IF(ISNUMBER(SEARCH("SUBSOLO",E4600)),IFERROR(-VALUE(LEFT(E4600,FIND("º",SUBSTITUTE(E4600,"°","º"))-1)),-1),IF(LEFT(E4600,6)="TÉRREO",0,IFERROR(VALUE(LEFT(E4600,FIND("º",SUBSTITUTE(E4600,"°","º"))-1)),""))))</f>
        <v/>
      </c>
      <c r="O4600" s="2">
        <f>IF(OR(F4600="",G4600=""),"",IF(G4600&lt;='RETRATO 2027'!$K$5,"CONCLUÍDA",IF(F4600&lt;='RETRATO 2027'!$K$5,"EM ANDAMENTO","A INICIAR")))</f>
        <v/>
      </c>
    </row>
    <row r="4601">
      <c r="M4601" s="2">
        <f>IF(C4601="","",IFERROR(INDEX($S$5:$S$304,MATCH(C4601,$R$5:$R$304,0))&amp;"","?"))</f>
        <v/>
      </c>
      <c r="N4601" s="2">
        <f>IF(E4601="","",IF(ISNUMBER(SEARCH("SUBSOLO",E4601)),IFERROR(-VALUE(LEFT(E4601,FIND("º",SUBSTITUTE(E4601,"°","º"))-1)),-1),IF(LEFT(E4601,6)="TÉRREO",0,IFERROR(VALUE(LEFT(E4601,FIND("º",SUBSTITUTE(E4601,"°","º"))-1)),""))))</f>
        <v/>
      </c>
      <c r="O4601" s="2">
        <f>IF(OR(F4601="",G4601=""),"",IF(G4601&lt;='RETRATO 2027'!$K$5,"CONCLUÍDA",IF(F4601&lt;='RETRATO 2027'!$K$5,"EM ANDAMENTO","A INICIAR")))</f>
        <v/>
      </c>
    </row>
    <row r="4602">
      <c r="M4602" s="2">
        <f>IF(C4602="","",IFERROR(INDEX($S$5:$S$304,MATCH(C4602,$R$5:$R$304,0))&amp;"","?"))</f>
        <v/>
      </c>
      <c r="N4602" s="2">
        <f>IF(E4602="","",IF(ISNUMBER(SEARCH("SUBSOLO",E4602)),IFERROR(-VALUE(LEFT(E4602,FIND("º",SUBSTITUTE(E4602,"°","º"))-1)),-1),IF(LEFT(E4602,6)="TÉRREO",0,IFERROR(VALUE(LEFT(E4602,FIND("º",SUBSTITUTE(E4602,"°","º"))-1)),""))))</f>
        <v/>
      </c>
      <c r="O4602" s="2">
        <f>IF(OR(F4602="",G4602=""),"",IF(G4602&lt;='RETRATO 2027'!$K$5,"CONCLUÍDA",IF(F4602&lt;='RETRATO 2027'!$K$5,"EM ANDAMENTO","A INICIAR")))</f>
        <v/>
      </c>
    </row>
    <row r="4603">
      <c r="M4603" s="2">
        <f>IF(C4603="","",IFERROR(INDEX($S$5:$S$304,MATCH(C4603,$R$5:$R$304,0))&amp;"","?"))</f>
        <v/>
      </c>
      <c r="N4603" s="2">
        <f>IF(E4603="","",IF(ISNUMBER(SEARCH("SUBSOLO",E4603)),IFERROR(-VALUE(LEFT(E4603,FIND("º",SUBSTITUTE(E4603,"°","º"))-1)),-1),IF(LEFT(E4603,6)="TÉRREO",0,IFERROR(VALUE(LEFT(E4603,FIND("º",SUBSTITUTE(E4603,"°","º"))-1)),""))))</f>
        <v/>
      </c>
      <c r="O4603" s="2">
        <f>IF(OR(F4603="",G4603=""),"",IF(G4603&lt;='RETRATO 2027'!$K$5,"CONCLUÍDA",IF(F4603&lt;='RETRATO 2027'!$K$5,"EM ANDAMENTO","A INICIAR")))</f>
        <v/>
      </c>
    </row>
    <row r="4604">
      <c r="M4604" s="2">
        <f>IF(C4604="","",IFERROR(INDEX($S$5:$S$304,MATCH(C4604,$R$5:$R$304,0))&amp;"","?"))</f>
        <v/>
      </c>
      <c r="N4604" s="2">
        <f>IF(E4604="","",IF(ISNUMBER(SEARCH("SUBSOLO",E4604)),IFERROR(-VALUE(LEFT(E4604,FIND("º",SUBSTITUTE(E4604,"°","º"))-1)),-1),IF(LEFT(E4604,6)="TÉRREO",0,IFERROR(VALUE(LEFT(E4604,FIND("º",SUBSTITUTE(E4604,"°","º"))-1)),""))))</f>
        <v/>
      </c>
      <c r="O4604" s="2">
        <f>IF(OR(F4604="",G4604=""),"",IF(G4604&lt;='RETRATO 2027'!$K$5,"CONCLUÍDA",IF(F4604&lt;='RETRATO 2027'!$K$5,"EM ANDAMENTO","A INICIAR")))</f>
        <v/>
      </c>
    </row>
    <row r="4605">
      <c r="M4605" s="2">
        <f>IF(C4605="","",IFERROR(INDEX($S$5:$S$304,MATCH(C4605,$R$5:$R$304,0))&amp;"","?"))</f>
        <v/>
      </c>
      <c r="N4605" s="2">
        <f>IF(E4605="","",IF(ISNUMBER(SEARCH("SUBSOLO",E4605)),IFERROR(-VALUE(LEFT(E4605,FIND("º",SUBSTITUTE(E4605,"°","º"))-1)),-1),IF(LEFT(E4605,6)="TÉRREO",0,IFERROR(VALUE(LEFT(E4605,FIND("º",SUBSTITUTE(E4605,"°","º"))-1)),""))))</f>
        <v/>
      </c>
      <c r="O4605" s="2">
        <f>IF(OR(F4605="",G4605=""),"",IF(G4605&lt;='RETRATO 2027'!$K$5,"CONCLUÍDA",IF(F4605&lt;='RETRATO 2027'!$K$5,"EM ANDAMENTO","A INICIAR")))</f>
        <v/>
      </c>
    </row>
    <row r="4606">
      <c r="M4606" s="2">
        <f>IF(C4606="","",IFERROR(INDEX($S$5:$S$304,MATCH(C4606,$R$5:$R$304,0))&amp;"","?"))</f>
        <v/>
      </c>
      <c r="N4606" s="2">
        <f>IF(E4606="","",IF(ISNUMBER(SEARCH("SUBSOLO",E4606)),IFERROR(-VALUE(LEFT(E4606,FIND("º",SUBSTITUTE(E4606,"°","º"))-1)),-1),IF(LEFT(E4606,6)="TÉRREO",0,IFERROR(VALUE(LEFT(E4606,FIND("º",SUBSTITUTE(E4606,"°","º"))-1)),""))))</f>
        <v/>
      </c>
      <c r="O4606" s="2">
        <f>IF(OR(F4606="",G4606=""),"",IF(G4606&lt;='RETRATO 2027'!$K$5,"CONCLUÍDA",IF(F4606&lt;='RETRATO 2027'!$K$5,"EM ANDAMENTO","A INICIAR")))</f>
        <v/>
      </c>
    </row>
    <row r="4607">
      <c r="M4607" s="2">
        <f>IF(C4607="","",IFERROR(INDEX($S$5:$S$304,MATCH(C4607,$R$5:$R$304,0))&amp;"","?"))</f>
        <v/>
      </c>
      <c r="N4607" s="2">
        <f>IF(E4607="","",IF(ISNUMBER(SEARCH("SUBSOLO",E4607)),IFERROR(-VALUE(LEFT(E4607,FIND("º",SUBSTITUTE(E4607,"°","º"))-1)),-1),IF(LEFT(E4607,6)="TÉRREO",0,IFERROR(VALUE(LEFT(E4607,FIND("º",SUBSTITUTE(E4607,"°","º"))-1)),""))))</f>
        <v/>
      </c>
      <c r="O4607" s="2">
        <f>IF(OR(F4607="",G4607=""),"",IF(G4607&lt;='RETRATO 2027'!$K$5,"CONCLUÍDA",IF(F4607&lt;='RETRATO 2027'!$K$5,"EM ANDAMENTO","A INICIAR")))</f>
        <v/>
      </c>
    </row>
    <row r="4608">
      <c r="M4608" s="2">
        <f>IF(C4608="","",IFERROR(INDEX($S$5:$S$304,MATCH(C4608,$R$5:$R$304,0))&amp;"","?"))</f>
        <v/>
      </c>
      <c r="N4608" s="2">
        <f>IF(E4608="","",IF(ISNUMBER(SEARCH("SUBSOLO",E4608)),IFERROR(-VALUE(LEFT(E4608,FIND("º",SUBSTITUTE(E4608,"°","º"))-1)),-1),IF(LEFT(E4608,6)="TÉRREO",0,IFERROR(VALUE(LEFT(E4608,FIND("º",SUBSTITUTE(E4608,"°","º"))-1)),""))))</f>
        <v/>
      </c>
      <c r="O4608" s="2">
        <f>IF(OR(F4608="",G4608=""),"",IF(G4608&lt;='RETRATO 2027'!$K$5,"CONCLUÍDA",IF(F4608&lt;='RETRATO 2027'!$K$5,"EM ANDAMENTO","A INICIAR")))</f>
        <v/>
      </c>
    </row>
    <row r="4609">
      <c r="M4609" s="2">
        <f>IF(C4609="","",IFERROR(INDEX($S$5:$S$304,MATCH(C4609,$R$5:$R$304,0))&amp;"","?"))</f>
        <v/>
      </c>
      <c r="N4609" s="2">
        <f>IF(E4609="","",IF(ISNUMBER(SEARCH("SUBSOLO",E4609)),IFERROR(-VALUE(LEFT(E4609,FIND("º",SUBSTITUTE(E4609,"°","º"))-1)),-1),IF(LEFT(E4609,6)="TÉRREO",0,IFERROR(VALUE(LEFT(E4609,FIND("º",SUBSTITUTE(E4609,"°","º"))-1)),""))))</f>
        <v/>
      </c>
      <c r="O4609" s="2">
        <f>IF(OR(F4609="",G4609=""),"",IF(G4609&lt;='RETRATO 2027'!$K$5,"CONCLUÍDA",IF(F4609&lt;='RETRATO 2027'!$K$5,"EM ANDAMENTO","A INICIAR")))</f>
        <v/>
      </c>
    </row>
    <row r="4610">
      <c r="M4610" s="2">
        <f>IF(C4610="","",IFERROR(INDEX($S$5:$S$304,MATCH(C4610,$R$5:$R$304,0))&amp;"","?"))</f>
        <v/>
      </c>
      <c r="N4610" s="2">
        <f>IF(E4610="","",IF(ISNUMBER(SEARCH("SUBSOLO",E4610)),IFERROR(-VALUE(LEFT(E4610,FIND("º",SUBSTITUTE(E4610,"°","º"))-1)),-1),IF(LEFT(E4610,6)="TÉRREO",0,IFERROR(VALUE(LEFT(E4610,FIND("º",SUBSTITUTE(E4610,"°","º"))-1)),""))))</f>
        <v/>
      </c>
      <c r="O4610" s="2">
        <f>IF(OR(F4610="",G4610=""),"",IF(G4610&lt;='RETRATO 2027'!$K$5,"CONCLUÍDA",IF(F4610&lt;='RETRATO 2027'!$K$5,"EM ANDAMENTO","A INICIAR")))</f>
        <v/>
      </c>
    </row>
    <row r="4611">
      <c r="M4611" s="2">
        <f>IF(C4611="","",IFERROR(INDEX($S$5:$S$304,MATCH(C4611,$R$5:$R$304,0))&amp;"","?"))</f>
        <v/>
      </c>
      <c r="N4611" s="2">
        <f>IF(E4611="","",IF(ISNUMBER(SEARCH("SUBSOLO",E4611)),IFERROR(-VALUE(LEFT(E4611,FIND("º",SUBSTITUTE(E4611,"°","º"))-1)),-1),IF(LEFT(E4611,6)="TÉRREO",0,IFERROR(VALUE(LEFT(E4611,FIND("º",SUBSTITUTE(E4611,"°","º"))-1)),""))))</f>
        <v/>
      </c>
      <c r="O4611" s="2">
        <f>IF(OR(F4611="",G4611=""),"",IF(G4611&lt;='RETRATO 2027'!$K$5,"CONCLUÍDA",IF(F4611&lt;='RETRATO 2027'!$K$5,"EM ANDAMENTO","A INICIAR")))</f>
        <v/>
      </c>
    </row>
    <row r="4612">
      <c r="M4612" s="2">
        <f>IF(C4612="","",IFERROR(INDEX($S$5:$S$304,MATCH(C4612,$R$5:$R$304,0))&amp;"","?"))</f>
        <v/>
      </c>
      <c r="N4612" s="2">
        <f>IF(E4612="","",IF(ISNUMBER(SEARCH("SUBSOLO",E4612)),IFERROR(-VALUE(LEFT(E4612,FIND("º",SUBSTITUTE(E4612,"°","º"))-1)),-1),IF(LEFT(E4612,6)="TÉRREO",0,IFERROR(VALUE(LEFT(E4612,FIND("º",SUBSTITUTE(E4612,"°","º"))-1)),""))))</f>
        <v/>
      </c>
      <c r="O4612" s="2">
        <f>IF(OR(F4612="",G4612=""),"",IF(G4612&lt;='RETRATO 2027'!$K$5,"CONCLUÍDA",IF(F4612&lt;='RETRATO 2027'!$K$5,"EM ANDAMENTO","A INICIAR")))</f>
        <v/>
      </c>
    </row>
    <row r="4613">
      <c r="M4613" s="2">
        <f>IF(C4613="","",IFERROR(INDEX($S$5:$S$304,MATCH(C4613,$R$5:$R$304,0))&amp;"","?"))</f>
        <v/>
      </c>
      <c r="N4613" s="2">
        <f>IF(E4613="","",IF(ISNUMBER(SEARCH("SUBSOLO",E4613)),IFERROR(-VALUE(LEFT(E4613,FIND("º",SUBSTITUTE(E4613,"°","º"))-1)),-1),IF(LEFT(E4613,6)="TÉRREO",0,IFERROR(VALUE(LEFT(E4613,FIND("º",SUBSTITUTE(E4613,"°","º"))-1)),""))))</f>
        <v/>
      </c>
      <c r="O4613" s="2">
        <f>IF(OR(F4613="",G4613=""),"",IF(G4613&lt;='RETRATO 2027'!$K$5,"CONCLUÍDA",IF(F4613&lt;='RETRATO 2027'!$K$5,"EM ANDAMENTO","A INICIAR")))</f>
        <v/>
      </c>
    </row>
    <row r="4614">
      <c r="M4614" s="2">
        <f>IF(C4614="","",IFERROR(INDEX($S$5:$S$304,MATCH(C4614,$R$5:$R$304,0))&amp;"","?"))</f>
        <v/>
      </c>
      <c r="N4614" s="2">
        <f>IF(E4614="","",IF(ISNUMBER(SEARCH("SUBSOLO",E4614)),IFERROR(-VALUE(LEFT(E4614,FIND("º",SUBSTITUTE(E4614,"°","º"))-1)),-1),IF(LEFT(E4614,6)="TÉRREO",0,IFERROR(VALUE(LEFT(E4614,FIND("º",SUBSTITUTE(E4614,"°","º"))-1)),""))))</f>
        <v/>
      </c>
      <c r="O4614" s="2">
        <f>IF(OR(F4614="",G4614=""),"",IF(G4614&lt;='RETRATO 2027'!$K$5,"CONCLUÍDA",IF(F4614&lt;='RETRATO 2027'!$K$5,"EM ANDAMENTO","A INICIAR")))</f>
        <v/>
      </c>
    </row>
    <row r="4615">
      <c r="M4615" s="2">
        <f>IF(C4615="","",IFERROR(INDEX($S$5:$S$304,MATCH(C4615,$R$5:$R$304,0))&amp;"","?"))</f>
        <v/>
      </c>
      <c r="N4615" s="2">
        <f>IF(E4615="","",IF(ISNUMBER(SEARCH("SUBSOLO",E4615)),IFERROR(-VALUE(LEFT(E4615,FIND("º",SUBSTITUTE(E4615,"°","º"))-1)),-1),IF(LEFT(E4615,6)="TÉRREO",0,IFERROR(VALUE(LEFT(E4615,FIND("º",SUBSTITUTE(E4615,"°","º"))-1)),""))))</f>
        <v/>
      </c>
      <c r="O4615" s="2">
        <f>IF(OR(F4615="",G4615=""),"",IF(G4615&lt;='RETRATO 2027'!$K$5,"CONCLUÍDA",IF(F4615&lt;='RETRATO 2027'!$K$5,"EM ANDAMENTO","A INICIAR")))</f>
        <v/>
      </c>
    </row>
    <row r="4616">
      <c r="M4616" s="2">
        <f>IF(C4616="","",IFERROR(INDEX($S$5:$S$304,MATCH(C4616,$R$5:$R$304,0))&amp;"","?"))</f>
        <v/>
      </c>
      <c r="N4616" s="2">
        <f>IF(E4616="","",IF(ISNUMBER(SEARCH("SUBSOLO",E4616)),IFERROR(-VALUE(LEFT(E4616,FIND("º",SUBSTITUTE(E4616,"°","º"))-1)),-1),IF(LEFT(E4616,6)="TÉRREO",0,IFERROR(VALUE(LEFT(E4616,FIND("º",SUBSTITUTE(E4616,"°","º"))-1)),""))))</f>
        <v/>
      </c>
      <c r="O4616" s="2">
        <f>IF(OR(F4616="",G4616=""),"",IF(G4616&lt;='RETRATO 2027'!$K$5,"CONCLUÍDA",IF(F4616&lt;='RETRATO 2027'!$K$5,"EM ANDAMENTO","A INICIAR")))</f>
        <v/>
      </c>
    </row>
    <row r="4617">
      <c r="M4617" s="2">
        <f>IF(C4617="","",IFERROR(INDEX($S$5:$S$304,MATCH(C4617,$R$5:$R$304,0))&amp;"","?"))</f>
        <v/>
      </c>
      <c r="N4617" s="2">
        <f>IF(E4617="","",IF(ISNUMBER(SEARCH("SUBSOLO",E4617)),IFERROR(-VALUE(LEFT(E4617,FIND("º",SUBSTITUTE(E4617,"°","º"))-1)),-1),IF(LEFT(E4617,6)="TÉRREO",0,IFERROR(VALUE(LEFT(E4617,FIND("º",SUBSTITUTE(E4617,"°","º"))-1)),""))))</f>
        <v/>
      </c>
      <c r="O4617" s="2">
        <f>IF(OR(F4617="",G4617=""),"",IF(G4617&lt;='RETRATO 2027'!$K$5,"CONCLUÍDA",IF(F4617&lt;='RETRATO 2027'!$K$5,"EM ANDAMENTO","A INICIAR")))</f>
        <v/>
      </c>
    </row>
    <row r="4618">
      <c r="M4618" s="2">
        <f>IF(C4618="","",IFERROR(INDEX($S$5:$S$304,MATCH(C4618,$R$5:$R$304,0))&amp;"","?"))</f>
        <v/>
      </c>
      <c r="N4618" s="2">
        <f>IF(E4618="","",IF(ISNUMBER(SEARCH("SUBSOLO",E4618)),IFERROR(-VALUE(LEFT(E4618,FIND("º",SUBSTITUTE(E4618,"°","º"))-1)),-1),IF(LEFT(E4618,6)="TÉRREO",0,IFERROR(VALUE(LEFT(E4618,FIND("º",SUBSTITUTE(E4618,"°","º"))-1)),""))))</f>
        <v/>
      </c>
      <c r="O4618" s="2">
        <f>IF(OR(F4618="",G4618=""),"",IF(G4618&lt;='RETRATO 2027'!$K$5,"CONCLUÍDA",IF(F4618&lt;='RETRATO 2027'!$K$5,"EM ANDAMENTO","A INICIAR")))</f>
        <v/>
      </c>
    </row>
    <row r="4619">
      <c r="M4619" s="2">
        <f>IF(C4619="","",IFERROR(INDEX($S$5:$S$304,MATCH(C4619,$R$5:$R$304,0))&amp;"","?"))</f>
        <v/>
      </c>
      <c r="N4619" s="2">
        <f>IF(E4619="","",IF(ISNUMBER(SEARCH("SUBSOLO",E4619)),IFERROR(-VALUE(LEFT(E4619,FIND("º",SUBSTITUTE(E4619,"°","º"))-1)),-1),IF(LEFT(E4619,6)="TÉRREO",0,IFERROR(VALUE(LEFT(E4619,FIND("º",SUBSTITUTE(E4619,"°","º"))-1)),""))))</f>
        <v/>
      </c>
      <c r="O4619" s="2">
        <f>IF(OR(F4619="",G4619=""),"",IF(G4619&lt;='RETRATO 2027'!$K$5,"CONCLUÍDA",IF(F4619&lt;='RETRATO 2027'!$K$5,"EM ANDAMENTO","A INICIAR")))</f>
        <v/>
      </c>
    </row>
    <row r="4620">
      <c r="M4620" s="2">
        <f>IF(C4620="","",IFERROR(INDEX($S$5:$S$304,MATCH(C4620,$R$5:$R$304,0))&amp;"","?"))</f>
        <v/>
      </c>
      <c r="N4620" s="2">
        <f>IF(E4620="","",IF(ISNUMBER(SEARCH("SUBSOLO",E4620)),IFERROR(-VALUE(LEFT(E4620,FIND("º",SUBSTITUTE(E4620,"°","º"))-1)),-1),IF(LEFT(E4620,6)="TÉRREO",0,IFERROR(VALUE(LEFT(E4620,FIND("º",SUBSTITUTE(E4620,"°","º"))-1)),""))))</f>
        <v/>
      </c>
      <c r="O4620" s="2">
        <f>IF(OR(F4620="",G4620=""),"",IF(G4620&lt;='RETRATO 2027'!$K$5,"CONCLUÍDA",IF(F4620&lt;='RETRATO 2027'!$K$5,"EM ANDAMENTO","A INICIAR")))</f>
        <v/>
      </c>
    </row>
    <row r="4621">
      <c r="M4621" s="2">
        <f>IF(C4621="","",IFERROR(INDEX($S$5:$S$304,MATCH(C4621,$R$5:$R$304,0))&amp;"","?"))</f>
        <v/>
      </c>
      <c r="N4621" s="2">
        <f>IF(E4621="","",IF(ISNUMBER(SEARCH("SUBSOLO",E4621)),IFERROR(-VALUE(LEFT(E4621,FIND("º",SUBSTITUTE(E4621,"°","º"))-1)),-1),IF(LEFT(E4621,6)="TÉRREO",0,IFERROR(VALUE(LEFT(E4621,FIND("º",SUBSTITUTE(E4621,"°","º"))-1)),""))))</f>
        <v/>
      </c>
      <c r="O4621" s="2">
        <f>IF(OR(F4621="",G4621=""),"",IF(G4621&lt;='RETRATO 2027'!$K$5,"CONCLUÍDA",IF(F4621&lt;='RETRATO 2027'!$K$5,"EM ANDAMENTO","A INICIAR")))</f>
        <v/>
      </c>
    </row>
    <row r="4622">
      <c r="M4622" s="2">
        <f>IF(C4622="","",IFERROR(INDEX($S$5:$S$304,MATCH(C4622,$R$5:$R$304,0))&amp;"","?"))</f>
        <v/>
      </c>
      <c r="N4622" s="2">
        <f>IF(E4622="","",IF(ISNUMBER(SEARCH("SUBSOLO",E4622)),IFERROR(-VALUE(LEFT(E4622,FIND("º",SUBSTITUTE(E4622,"°","º"))-1)),-1),IF(LEFT(E4622,6)="TÉRREO",0,IFERROR(VALUE(LEFT(E4622,FIND("º",SUBSTITUTE(E4622,"°","º"))-1)),""))))</f>
        <v/>
      </c>
      <c r="O4622" s="2">
        <f>IF(OR(F4622="",G4622=""),"",IF(G4622&lt;='RETRATO 2027'!$K$5,"CONCLUÍDA",IF(F4622&lt;='RETRATO 2027'!$K$5,"EM ANDAMENTO","A INICIAR")))</f>
        <v/>
      </c>
    </row>
    <row r="4623">
      <c r="M4623" s="2">
        <f>IF(C4623="","",IFERROR(INDEX($S$5:$S$304,MATCH(C4623,$R$5:$R$304,0))&amp;"","?"))</f>
        <v/>
      </c>
      <c r="N4623" s="2">
        <f>IF(E4623="","",IF(ISNUMBER(SEARCH("SUBSOLO",E4623)),IFERROR(-VALUE(LEFT(E4623,FIND("º",SUBSTITUTE(E4623,"°","º"))-1)),-1),IF(LEFT(E4623,6)="TÉRREO",0,IFERROR(VALUE(LEFT(E4623,FIND("º",SUBSTITUTE(E4623,"°","º"))-1)),""))))</f>
        <v/>
      </c>
      <c r="O4623" s="2">
        <f>IF(OR(F4623="",G4623=""),"",IF(G4623&lt;='RETRATO 2027'!$K$5,"CONCLUÍDA",IF(F4623&lt;='RETRATO 2027'!$K$5,"EM ANDAMENTO","A INICIAR")))</f>
        <v/>
      </c>
    </row>
    <row r="4624">
      <c r="M4624" s="2">
        <f>IF(C4624="","",IFERROR(INDEX($S$5:$S$304,MATCH(C4624,$R$5:$R$304,0))&amp;"","?"))</f>
        <v/>
      </c>
      <c r="N4624" s="2">
        <f>IF(E4624="","",IF(ISNUMBER(SEARCH("SUBSOLO",E4624)),IFERROR(-VALUE(LEFT(E4624,FIND("º",SUBSTITUTE(E4624,"°","º"))-1)),-1),IF(LEFT(E4624,6)="TÉRREO",0,IFERROR(VALUE(LEFT(E4624,FIND("º",SUBSTITUTE(E4624,"°","º"))-1)),""))))</f>
        <v/>
      </c>
      <c r="O4624" s="2">
        <f>IF(OR(F4624="",G4624=""),"",IF(G4624&lt;='RETRATO 2027'!$K$5,"CONCLUÍDA",IF(F4624&lt;='RETRATO 2027'!$K$5,"EM ANDAMENTO","A INICIAR")))</f>
        <v/>
      </c>
    </row>
    <row r="4625">
      <c r="M4625" s="2">
        <f>IF(C4625="","",IFERROR(INDEX($S$5:$S$304,MATCH(C4625,$R$5:$R$304,0))&amp;"","?"))</f>
        <v/>
      </c>
      <c r="N4625" s="2">
        <f>IF(E4625="","",IF(ISNUMBER(SEARCH("SUBSOLO",E4625)),IFERROR(-VALUE(LEFT(E4625,FIND("º",SUBSTITUTE(E4625,"°","º"))-1)),-1),IF(LEFT(E4625,6)="TÉRREO",0,IFERROR(VALUE(LEFT(E4625,FIND("º",SUBSTITUTE(E4625,"°","º"))-1)),""))))</f>
        <v/>
      </c>
      <c r="O4625" s="2">
        <f>IF(OR(F4625="",G4625=""),"",IF(G4625&lt;='RETRATO 2027'!$K$5,"CONCLUÍDA",IF(F4625&lt;='RETRATO 2027'!$K$5,"EM ANDAMENTO","A INICIAR")))</f>
        <v/>
      </c>
    </row>
    <row r="4626">
      <c r="M4626" s="2">
        <f>IF(C4626="","",IFERROR(INDEX($S$5:$S$304,MATCH(C4626,$R$5:$R$304,0))&amp;"","?"))</f>
        <v/>
      </c>
      <c r="N4626" s="2">
        <f>IF(E4626="","",IF(ISNUMBER(SEARCH("SUBSOLO",E4626)),IFERROR(-VALUE(LEFT(E4626,FIND("º",SUBSTITUTE(E4626,"°","º"))-1)),-1),IF(LEFT(E4626,6)="TÉRREO",0,IFERROR(VALUE(LEFT(E4626,FIND("º",SUBSTITUTE(E4626,"°","º"))-1)),""))))</f>
        <v/>
      </c>
      <c r="O4626" s="2">
        <f>IF(OR(F4626="",G4626=""),"",IF(G4626&lt;='RETRATO 2027'!$K$5,"CONCLUÍDA",IF(F4626&lt;='RETRATO 2027'!$K$5,"EM ANDAMENTO","A INICIAR")))</f>
        <v/>
      </c>
    </row>
    <row r="4627">
      <c r="M4627" s="2">
        <f>IF(C4627="","",IFERROR(INDEX($S$5:$S$304,MATCH(C4627,$R$5:$R$304,0))&amp;"","?"))</f>
        <v/>
      </c>
      <c r="N4627" s="2">
        <f>IF(E4627="","",IF(ISNUMBER(SEARCH("SUBSOLO",E4627)),IFERROR(-VALUE(LEFT(E4627,FIND("º",SUBSTITUTE(E4627,"°","º"))-1)),-1),IF(LEFT(E4627,6)="TÉRREO",0,IFERROR(VALUE(LEFT(E4627,FIND("º",SUBSTITUTE(E4627,"°","º"))-1)),""))))</f>
        <v/>
      </c>
      <c r="O4627" s="2">
        <f>IF(OR(F4627="",G4627=""),"",IF(G4627&lt;='RETRATO 2027'!$K$5,"CONCLUÍDA",IF(F4627&lt;='RETRATO 2027'!$K$5,"EM ANDAMENTO","A INICIAR")))</f>
        <v/>
      </c>
    </row>
    <row r="4628">
      <c r="M4628" s="2">
        <f>IF(C4628="","",IFERROR(INDEX($S$5:$S$304,MATCH(C4628,$R$5:$R$304,0))&amp;"","?"))</f>
        <v/>
      </c>
      <c r="N4628" s="2">
        <f>IF(E4628="","",IF(ISNUMBER(SEARCH("SUBSOLO",E4628)),IFERROR(-VALUE(LEFT(E4628,FIND("º",SUBSTITUTE(E4628,"°","º"))-1)),-1),IF(LEFT(E4628,6)="TÉRREO",0,IFERROR(VALUE(LEFT(E4628,FIND("º",SUBSTITUTE(E4628,"°","º"))-1)),""))))</f>
        <v/>
      </c>
      <c r="O4628" s="2">
        <f>IF(OR(F4628="",G4628=""),"",IF(G4628&lt;='RETRATO 2027'!$K$5,"CONCLUÍDA",IF(F4628&lt;='RETRATO 2027'!$K$5,"EM ANDAMENTO","A INICIAR")))</f>
        <v/>
      </c>
    </row>
    <row r="4629">
      <c r="M4629" s="2">
        <f>IF(C4629="","",IFERROR(INDEX($S$5:$S$304,MATCH(C4629,$R$5:$R$304,0))&amp;"","?"))</f>
        <v/>
      </c>
      <c r="N4629" s="2">
        <f>IF(E4629="","",IF(ISNUMBER(SEARCH("SUBSOLO",E4629)),IFERROR(-VALUE(LEFT(E4629,FIND("º",SUBSTITUTE(E4629,"°","º"))-1)),-1),IF(LEFT(E4629,6)="TÉRREO",0,IFERROR(VALUE(LEFT(E4629,FIND("º",SUBSTITUTE(E4629,"°","º"))-1)),""))))</f>
        <v/>
      </c>
      <c r="O4629" s="2">
        <f>IF(OR(F4629="",G4629=""),"",IF(G4629&lt;='RETRATO 2027'!$K$5,"CONCLUÍDA",IF(F4629&lt;='RETRATO 2027'!$K$5,"EM ANDAMENTO","A INICIAR")))</f>
        <v/>
      </c>
    </row>
    <row r="4630">
      <c r="M4630" s="2">
        <f>IF(C4630="","",IFERROR(INDEX($S$5:$S$304,MATCH(C4630,$R$5:$R$304,0))&amp;"","?"))</f>
        <v/>
      </c>
      <c r="N4630" s="2">
        <f>IF(E4630="","",IF(ISNUMBER(SEARCH("SUBSOLO",E4630)),IFERROR(-VALUE(LEFT(E4630,FIND("º",SUBSTITUTE(E4630,"°","º"))-1)),-1),IF(LEFT(E4630,6)="TÉRREO",0,IFERROR(VALUE(LEFT(E4630,FIND("º",SUBSTITUTE(E4630,"°","º"))-1)),""))))</f>
        <v/>
      </c>
      <c r="O4630" s="2">
        <f>IF(OR(F4630="",G4630=""),"",IF(G4630&lt;='RETRATO 2027'!$K$5,"CONCLUÍDA",IF(F4630&lt;='RETRATO 2027'!$K$5,"EM ANDAMENTO","A INICIAR")))</f>
        <v/>
      </c>
    </row>
    <row r="4631">
      <c r="M4631" s="2">
        <f>IF(C4631="","",IFERROR(INDEX($S$5:$S$304,MATCH(C4631,$R$5:$R$304,0))&amp;"","?"))</f>
        <v/>
      </c>
      <c r="N4631" s="2">
        <f>IF(E4631="","",IF(ISNUMBER(SEARCH("SUBSOLO",E4631)),IFERROR(-VALUE(LEFT(E4631,FIND("º",SUBSTITUTE(E4631,"°","º"))-1)),-1),IF(LEFT(E4631,6)="TÉRREO",0,IFERROR(VALUE(LEFT(E4631,FIND("º",SUBSTITUTE(E4631,"°","º"))-1)),""))))</f>
        <v/>
      </c>
      <c r="O4631" s="2">
        <f>IF(OR(F4631="",G4631=""),"",IF(G4631&lt;='RETRATO 2027'!$K$5,"CONCLUÍDA",IF(F4631&lt;='RETRATO 2027'!$K$5,"EM ANDAMENTO","A INICIAR")))</f>
        <v/>
      </c>
    </row>
    <row r="4632">
      <c r="M4632" s="2">
        <f>IF(C4632="","",IFERROR(INDEX($S$5:$S$304,MATCH(C4632,$R$5:$R$304,0))&amp;"","?"))</f>
        <v/>
      </c>
      <c r="N4632" s="2">
        <f>IF(E4632="","",IF(ISNUMBER(SEARCH("SUBSOLO",E4632)),IFERROR(-VALUE(LEFT(E4632,FIND("º",SUBSTITUTE(E4632,"°","º"))-1)),-1),IF(LEFT(E4632,6)="TÉRREO",0,IFERROR(VALUE(LEFT(E4632,FIND("º",SUBSTITUTE(E4632,"°","º"))-1)),""))))</f>
        <v/>
      </c>
      <c r="O4632" s="2">
        <f>IF(OR(F4632="",G4632=""),"",IF(G4632&lt;='RETRATO 2027'!$K$5,"CONCLUÍDA",IF(F4632&lt;='RETRATO 2027'!$K$5,"EM ANDAMENTO","A INICIAR")))</f>
        <v/>
      </c>
    </row>
    <row r="4633">
      <c r="M4633" s="2">
        <f>IF(C4633="","",IFERROR(INDEX($S$5:$S$304,MATCH(C4633,$R$5:$R$304,0))&amp;"","?"))</f>
        <v/>
      </c>
      <c r="N4633" s="2">
        <f>IF(E4633="","",IF(ISNUMBER(SEARCH("SUBSOLO",E4633)),IFERROR(-VALUE(LEFT(E4633,FIND("º",SUBSTITUTE(E4633,"°","º"))-1)),-1),IF(LEFT(E4633,6)="TÉRREO",0,IFERROR(VALUE(LEFT(E4633,FIND("º",SUBSTITUTE(E4633,"°","º"))-1)),""))))</f>
        <v/>
      </c>
      <c r="O4633" s="2">
        <f>IF(OR(F4633="",G4633=""),"",IF(G4633&lt;='RETRATO 2027'!$K$5,"CONCLUÍDA",IF(F4633&lt;='RETRATO 2027'!$K$5,"EM ANDAMENTO","A INICIAR")))</f>
        <v/>
      </c>
    </row>
    <row r="4634">
      <c r="M4634" s="2">
        <f>IF(C4634="","",IFERROR(INDEX($S$5:$S$304,MATCH(C4634,$R$5:$R$304,0))&amp;"","?"))</f>
        <v/>
      </c>
      <c r="N4634" s="2">
        <f>IF(E4634="","",IF(ISNUMBER(SEARCH("SUBSOLO",E4634)),IFERROR(-VALUE(LEFT(E4634,FIND("º",SUBSTITUTE(E4634,"°","º"))-1)),-1),IF(LEFT(E4634,6)="TÉRREO",0,IFERROR(VALUE(LEFT(E4634,FIND("º",SUBSTITUTE(E4634,"°","º"))-1)),""))))</f>
        <v/>
      </c>
      <c r="O4634" s="2">
        <f>IF(OR(F4634="",G4634=""),"",IF(G4634&lt;='RETRATO 2027'!$K$5,"CONCLUÍDA",IF(F4634&lt;='RETRATO 2027'!$K$5,"EM ANDAMENTO","A INICIAR")))</f>
        <v/>
      </c>
    </row>
    <row r="4635">
      <c r="M4635" s="2">
        <f>IF(C4635="","",IFERROR(INDEX($S$5:$S$304,MATCH(C4635,$R$5:$R$304,0))&amp;"","?"))</f>
        <v/>
      </c>
      <c r="N4635" s="2">
        <f>IF(E4635="","",IF(ISNUMBER(SEARCH("SUBSOLO",E4635)),IFERROR(-VALUE(LEFT(E4635,FIND("º",SUBSTITUTE(E4635,"°","º"))-1)),-1),IF(LEFT(E4635,6)="TÉRREO",0,IFERROR(VALUE(LEFT(E4635,FIND("º",SUBSTITUTE(E4635,"°","º"))-1)),""))))</f>
        <v/>
      </c>
      <c r="O4635" s="2">
        <f>IF(OR(F4635="",G4635=""),"",IF(G4635&lt;='RETRATO 2027'!$K$5,"CONCLUÍDA",IF(F4635&lt;='RETRATO 2027'!$K$5,"EM ANDAMENTO","A INICIAR")))</f>
        <v/>
      </c>
    </row>
    <row r="4636">
      <c r="M4636" s="2">
        <f>IF(C4636="","",IFERROR(INDEX($S$5:$S$304,MATCH(C4636,$R$5:$R$304,0))&amp;"","?"))</f>
        <v/>
      </c>
      <c r="N4636" s="2">
        <f>IF(E4636="","",IF(ISNUMBER(SEARCH("SUBSOLO",E4636)),IFERROR(-VALUE(LEFT(E4636,FIND("º",SUBSTITUTE(E4636,"°","º"))-1)),-1),IF(LEFT(E4636,6)="TÉRREO",0,IFERROR(VALUE(LEFT(E4636,FIND("º",SUBSTITUTE(E4636,"°","º"))-1)),""))))</f>
        <v/>
      </c>
      <c r="O4636" s="2">
        <f>IF(OR(F4636="",G4636=""),"",IF(G4636&lt;='RETRATO 2027'!$K$5,"CONCLUÍDA",IF(F4636&lt;='RETRATO 2027'!$K$5,"EM ANDAMENTO","A INICIAR")))</f>
        <v/>
      </c>
    </row>
    <row r="4637">
      <c r="M4637" s="2">
        <f>IF(C4637="","",IFERROR(INDEX($S$5:$S$304,MATCH(C4637,$R$5:$R$304,0))&amp;"","?"))</f>
        <v/>
      </c>
      <c r="N4637" s="2">
        <f>IF(E4637="","",IF(ISNUMBER(SEARCH("SUBSOLO",E4637)),IFERROR(-VALUE(LEFT(E4637,FIND("º",SUBSTITUTE(E4637,"°","º"))-1)),-1),IF(LEFT(E4637,6)="TÉRREO",0,IFERROR(VALUE(LEFT(E4637,FIND("º",SUBSTITUTE(E4637,"°","º"))-1)),""))))</f>
        <v/>
      </c>
      <c r="O4637" s="2">
        <f>IF(OR(F4637="",G4637=""),"",IF(G4637&lt;='RETRATO 2027'!$K$5,"CONCLUÍDA",IF(F4637&lt;='RETRATO 2027'!$K$5,"EM ANDAMENTO","A INICIAR")))</f>
        <v/>
      </c>
    </row>
    <row r="4638">
      <c r="M4638" s="2">
        <f>IF(C4638="","",IFERROR(INDEX($S$5:$S$304,MATCH(C4638,$R$5:$R$304,0))&amp;"","?"))</f>
        <v/>
      </c>
      <c r="N4638" s="2">
        <f>IF(E4638="","",IF(ISNUMBER(SEARCH("SUBSOLO",E4638)),IFERROR(-VALUE(LEFT(E4638,FIND("º",SUBSTITUTE(E4638,"°","º"))-1)),-1),IF(LEFT(E4638,6)="TÉRREO",0,IFERROR(VALUE(LEFT(E4638,FIND("º",SUBSTITUTE(E4638,"°","º"))-1)),""))))</f>
        <v/>
      </c>
      <c r="O4638" s="2">
        <f>IF(OR(F4638="",G4638=""),"",IF(G4638&lt;='RETRATO 2027'!$K$5,"CONCLUÍDA",IF(F4638&lt;='RETRATO 2027'!$K$5,"EM ANDAMENTO","A INICIAR")))</f>
        <v/>
      </c>
    </row>
    <row r="4639">
      <c r="M4639" s="2">
        <f>IF(C4639="","",IFERROR(INDEX($S$5:$S$304,MATCH(C4639,$R$5:$R$304,0))&amp;"","?"))</f>
        <v/>
      </c>
      <c r="N4639" s="2">
        <f>IF(E4639="","",IF(ISNUMBER(SEARCH("SUBSOLO",E4639)),IFERROR(-VALUE(LEFT(E4639,FIND("º",SUBSTITUTE(E4639,"°","º"))-1)),-1),IF(LEFT(E4639,6)="TÉRREO",0,IFERROR(VALUE(LEFT(E4639,FIND("º",SUBSTITUTE(E4639,"°","º"))-1)),""))))</f>
        <v/>
      </c>
      <c r="O4639" s="2">
        <f>IF(OR(F4639="",G4639=""),"",IF(G4639&lt;='RETRATO 2027'!$K$5,"CONCLUÍDA",IF(F4639&lt;='RETRATO 2027'!$K$5,"EM ANDAMENTO","A INICIAR")))</f>
        <v/>
      </c>
    </row>
    <row r="4640">
      <c r="M4640" s="2">
        <f>IF(C4640="","",IFERROR(INDEX($S$5:$S$304,MATCH(C4640,$R$5:$R$304,0))&amp;"","?"))</f>
        <v/>
      </c>
      <c r="N4640" s="2">
        <f>IF(E4640="","",IF(ISNUMBER(SEARCH("SUBSOLO",E4640)),IFERROR(-VALUE(LEFT(E4640,FIND("º",SUBSTITUTE(E4640,"°","º"))-1)),-1),IF(LEFT(E4640,6)="TÉRREO",0,IFERROR(VALUE(LEFT(E4640,FIND("º",SUBSTITUTE(E4640,"°","º"))-1)),""))))</f>
        <v/>
      </c>
      <c r="O4640" s="2">
        <f>IF(OR(F4640="",G4640=""),"",IF(G4640&lt;='RETRATO 2027'!$K$5,"CONCLUÍDA",IF(F4640&lt;='RETRATO 2027'!$K$5,"EM ANDAMENTO","A INICIAR")))</f>
        <v/>
      </c>
    </row>
    <row r="4641">
      <c r="M4641" s="2">
        <f>IF(C4641="","",IFERROR(INDEX($S$5:$S$304,MATCH(C4641,$R$5:$R$304,0))&amp;"","?"))</f>
        <v/>
      </c>
      <c r="N4641" s="2">
        <f>IF(E4641="","",IF(ISNUMBER(SEARCH("SUBSOLO",E4641)),IFERROR(-VALUE(LEFT(E4641,FIND("º",SUBSTITUTE(E4641,"°","º"))-1)),-1),IF(LEFT(E4641,6)="TÉRREO",0,IFERROR(VALUE(LEFT(E4641,FIND("º",SUBSTITUTE(E4641,"°","º"))-1)),""))))</f>
        <v/>
      </c>
      <c r="O4641" s="2">
        <f>IF(OR(F4641="",G4641=""),"",IF(G4641&lt;='RETRATO 2027'!$K$5,"CONCLUÍDA",IF(F4641&lt;='RETRATO 2027'!$K$5,"EM ANDAMENTO","A INICIAR")))</f>
        <v/>
      </c>
    </row>
    <row r="4642">
      <c r="M4642" s="2">
        <f>IF(C4642="","",IFERROR(INDEX($S$5:$S$304,MATCH(C4642,$R$5:$R$304,0))&amp;"","?"))</f>
        <v/>
      </c>
      <c r="N4642" s="2">
        <f>IF(E4642="","",IF(ISNUMBER(SEARCH("SUBSOLO",E4642)),IFERROR(-VALUE(LEFT(E4642,FIND("º",SUBSTITUTE(E4642,"°","º"))-1)),-1),IF(LEFT(E4642,6)="TÉRREO",0,IFERROR(VALUE(LEFT(E4642,FIND("º",SUBSTITUTE(E4642,"°","º"))-1)),""))))</f>
        <v/>
      </c>
      <c r="O4642" s="2">
        <f>IF(OR(F4642="",G4642=""),"",IF(G4642&lt;='RETRATO 2027'!$K$5,"CONCLUÍDA",IF(F4642&lt;='RETRATO 2027'!$K$5,"EM ANDAMENTO","A INICIAR")))</f>
        <v/>
      </c>
    </row>
    <row r="4643">
      <c r="M4643" s="2">
        <f>IF(C4643="","",IFERROR(INDEX($S$5:$S$304,MATCH(C4643,$R$5:$R$304,0))&amp;"","?"))</f>
        <v/>
      </c>
      <c r="N4643" s="2">
        <f>IF(E4643="","",IF(ISNUMBER(SEARCH("SUBSOLO",E4643)),IFERROR(-VALUE(LEFT(E4643,FIND("º",SUBSTITUTE(E4643,"°","º"))-1)),-1),IF(LEFT(E4643,6)="TÉRREO",0,IFERROR(VALUE(LEFT(E4643,FIND("º",SUBSTITUTE(E4643,"°","º"))-1)),""))))</f>
        <v/>
      </c>
      <c r="O4643" s="2">
        <f>IF(OR(F4643="",G4643=""),"",IF(G4643&lt;='RETRATO 2027'!$K$5,"CONCLUÍDA",IF(F4643&lt;='RETRATO 2027'!$K$5,"EM ANDAMENTO","A INICIAR")))</f>
        <v/>
      </c>
    </row>
    <row r="4644">
      <c r="M4644" s="2">
        <f>IF(C4644="","",IFERROR(INDEX($S$5:$S$304,MATCH(C4644,$R$5:$R$304,0))&amp;"","?"))</f>
        <v/>
      </c>
      <c r="N4644" s="2">
        <f>IF(E4644="","",IF(ISNUMBER(SEARCH("SUBSOLO",E4644)),IFERROR(-VALUE(LEFT(E4644,FIND("º",SUBSTITUTE(E4644,"°","º"))-1)),-1),IF(LEFT(E4644,6)="TÉRREO",0,IFERROR(VALUE(LEFT(E4644,FIND("º",SUBSTITUTE(E4644,"°","º"))-1)),""))))</f>
        <v/>
      </c>
      <c r="O4644" s="2">
        <f>IF(OR(F4644="",G4644=""),"",IF(G4644&lt;='RETRATO 2027'!$K$5,"CONCLUÍDA",IF(F4644&lt;='RETRATO 2027'!$K$5,"EM ANDAMENTO","A INICIAR")))</f>
        <v/>
      </c>
    </row>
    <row r="4645">
      <c r="M4645" s="2">
        <f>IF(C4645="","",IFERROR(INDEX($S$5:$S$304,MATCH(C4645,$R$5:$R$304,0))&amp;"","?"))</f>
        <v/>
      </c>
      <c r="N4645" s="2">
        <f>IF(E4645="","",IF(ISNUMBER(SEARCH("SUBSOLO",E4645)),IFERROR(-VALUE(LEFT(E4645,FIND("º",SUBSTITUTE(E4645,"°","º"))-1)),-1),IF(LEFT(E4645,6)="TÉRREO",0,IFERROR(VALUE(LEFT(E4645,FIND("º",SUBSTITUTE(E4645,"°","º"))-1)),""))))</f>
        <v/>
      </c>
      <c r="O4645" s="2">
        <f>IF(OR(F4645="",G4645=""),"",IF(G4645&lt;='RETRATO 2027'!$K$5,"CONCLUÍDA",IF(F4645&lt;='RETRATO 2027'!$K$5,"EM ANDAMENTO","A INICIAR")))</f>
        <v/>
      </c>
    </row>
    <row r="4646">
      <c r="M4646" s="2">
        <f>IF(C4646="","",IFERROR(INDEX($S$5:$S$304,MATCH(C4646,$R$5:$R$304,0))&amp;"","?"))</f>
        <v/>
      </c>
      <c r="N4646" s="2">
        <f>IF(E4646="","",IF(ISNUMBER(SEARCH("SUBSOLO",E4646)),IFERROR(-VALUE(LEFT(E4646,FIND("º",SUBSTITUTE(E4646,"°","º"))-1)),-1),IF(LEFT(E4646,6)="TÉRREO",0,IFERROR(VALUE(LEFT(E4646,FIND("º",SUBSTITUTE(E4646,"°","º"))-1)),""))))</f>
        <v/>
      </c>
      <c r="O4646" s="2">
        <f>IF(OR(F4646="",G4646=""),"",IF(G4646&lt;='RETRATO 2027'!$K$5,"CONCLUÍDA",IF(F4646&lt;='RETRATO 2027'!$K$5,"EM ANDAMENTO","A INICIAR")))</f>
        <v/>
      </c>
    </row>
    <row r="4647">
      <c r="M4647" s="2">
        <f>IF(C4647="","",IFERROR(INDEX($S$5:$S$304,MATCH(C4647,$R$5:$R$304,0))&amp;"","?"))</f>
        <v/>
      </c>
      <c r="N4647" s="2">
        <f>IF(E4647="","",IF(ISNUMBER(SEARCH("SUBSOLO",E4647)),IFERROR(-VALUE(LEFT(E4647,FIND("º",SUBSTITUTE(E4647,"°","º"))-1)),-1),IF(LEFT(E4647,6)="TÉRREO",0,IFERROR(VALUE(LEFT(E4647,FIND("º",SUBSTITUTE(E4647,"°","º"))-1)),""))))</f>
        <v/>
      </c>
      <c r="O4647" s="2">
        <f>IF(OR(F4647="",G4647=""),"",IF(G4647&lt;='RETRATO 2027'!$K$5,"CONCLUÍDA",IF(F4647&lt;='RETRATO 2027'!$K$5,"EM ANDAMENTO","A INICIAR")))</f>
        <v/>
      </c>
    </row>
    <row r="4648">
      <c r="M4648" s="2">
        <f>IF(C4648="","",IFERROR(INDEX($S$5:$S$304,MATCH(C4648,$R$5:$R$304,0))&amp;"","?"))</f>
        <v/>
      </c>
      <c r="N4648" s="2">
        <f>IF(E4648="","",IF(ISNUMBER(SEARCH("SUBSOLO",E4648)),IFERROR(-VALUE(LEFT(E4648,FIND("º",SUBSTITUTE(E4648,"°","º"))-1)),-1),IF(LEFT(E4648,6)="TÉRREO",0,IFERROR(VALUE(LEFT(E4648,FIND("º",SUBSTITUTE(E4648,"°","º"))-1)),""))))</f>
        <v/>
      </c>
      <c r="O4648" s="2">
        <f>IF(OR(F4648="",G4648=""),"",IF(G4648&lt;='RETRATO 2027'!$K$5,"CONCLUÍDA",IF(F4648&lt;='RETRATO 2027'!$K$5,"EM ANDAMENTO","A INICIAR")))</f>
        <v/>
      </c>
    </row>
    <row r="4649">
      <c r="M4649" s="2">
        <f>IF(C4649="","",IFERROR(INDEX($S$5:$S$304,MATCH(C4649,$R$5:$R$304,0))&amp;"","?"))</f>
        <v/>
      </c>
      <c r="N4649" s="2">
        <f>IF(E4649="","",IF(ISNUMBER(SEARCH("SUBSOLO",E4649)),IFERROR(-VALUE(LEFT(E4649,FIND("º",SUBSTITUTE(E4649,"°","º"))-1)),-1),IF(LEFT(E4649,6)="TÉRREO",0,IFERROR(VALUE(LEFT(E4649,FIND("º",SUBSTITUTE(E4649,"°","º"))-1)),""))))</f>
        <v/>
      </c>
      <c r="O4649" s="2">
        <f>IF(OR(F4649="",G4649=""),"",IF(G4649&lt;='RETRATO 2027'!$K$5,"CONCLUÍDA",IF(F4649&lt;='RETRATO 2027'!$K$5,"EM ANDAMENTO","A INICIAR")))</f>
        <v/>
      </c>
    </row>
    <row r="4650">
      <c r="M4650" s="2">
        <f>IF(C4650="","",IFERROR(INDEX($S$5:$S$304,MATCH(C4650,$R$5:$R$304,0))&amp;"","?"))</f>
        <v/>
      </c>
      <c r="N4650" s="2">
        <f>IF(E4650="","",IF(ISNUMBER(SEARCH("SUBSOLO",E4650)),IFERROR(-VALUE(LEFT(E4650,FIND("º",SUBSTITUTE(E4650,"°","º"))-1)),-1),IF(LEFT(E4650,6)="TÉRREO",0,IFERROR(VALUE(LEFT(E4650,FIND("º",SUBSTITUTE(E4650,"°","º"))-1)),""))))</f>
        <v/>
      </c>
      <c r="O4650" s="2">
        <f>IF(OR(F4650="",G4650=""),"",IF(G4650&lt;='RETRATO 2027'!$K$5,"CONCLUÍDA",IF(F4650&lt;='RETRATO 2027'!$K$5,"EM ANDAMENTO","A INICIAR")))</f>
        <v/>
      </c>
    </row>
    <row r="4651">
      <c r="M4651" s="2">
        <f>IF(C4651="","",IFERROR(INDEX($S$5:$S$304,MATCH(C4651,$R$5:$R$304,0))&amp;"","?"))</f>
        <v/>
      </c>
      <c r="N4651" s="2">
        <f>IF(E4651="","",IF(ISNUMBER(SEARCH("SUBSOLO",E4651)),IFERROR(-VALUE(LEFT(E4651,FIND("º",SUBSTITUTE(E4651,"°","º"))-1)),-1),IF(LEFT(E4651,6)="TÉRREO",0,IFERROR(VALUE(LEFT(E4651,FIND("º",SUBSTITUTE(E4651,"°","º"))-1)),""))))</f>
        <v/>
      </c>
      <c r="O4651" s="2">
        <f>IF(OR(F4651="",G4651=""),"",IF(G4651&lt;='RETRATO 2027'!$K$5,"CONCLUÍDA",IF(F4651&lt;='RETRATO 2027'!$K$5,"EM ANDAMENTO","A INICIAR")))</f>
        <v/>
      </c>
    </row>
    <row r="4652">
      <c r="M4652" s="2">
        <f>IF(C4652="","",IFERROR(INDEX($S$5:$S$304,MATCH(C4652,$R$5:$R$304,0))&amp;"","?"))</f>
        <v/>
      </c>
      <c r="N4652" s="2">
        <f>IF(E4652="","",IF(ISNUMBER(SEARCH("SUBSOLO",E4652)),IFERROR(-VALUE(LEFT(E4652,FIND("º",SUBSTITUTE(E4652,"°","º"))-1)),-1),IF(LEFT(E4652,6)="TÉRREO",0,IFERROR(VALUE(LEFT(E4652,FIND("º",SUBSTITUTE(E4652,"°","º"))-1)),""))))</f>
        <v/>
      </c>
      <c r="O4652" s="2">
        <f>IF(OR(F4652="",G4652=""),"",IF(G4652&lt;='RETRATO 2027'!$K$5,"CONCLUÍDA",IF(F4652&lt;='RETRATO 2027'!$K$5,"EM ANDAMENTO","A INICIAR")))</f>
        <v/>
      </c>
    </row>
    <row r="4653">
      <c r="M4653" s="2">
        <f>IF(C4653="","",IFERROR(INDEX($S$5:$S$304,MATCH(C4653,$R$5:$R$304,0))&amp;"","?"))</f>
        <v/>
      </c>
      <c r="N4653" s="2">
        <f>IF(E4653="","",IF(ISNUMBER(SEARCH("SUBSOLO",E4653)),IFERROR(-VALUE(LEFT(E4653,FIND("º",SUBSTITUTE(E4653,"°","º"))-1)),-1),IF(LEFT(E4653,6)="TÉRREO",0,IFERROR(VALUE(LEFT(E4653,FIND("º",SUBSTITUTE(E4653,"°","º"))-1)),""))))</f>
        <v/>
      </c>
      <c r="O4653" s="2">
        <f>IF(OR(F4653="",G4653=""),"",IF(G4653&lt;='RETRATO 2027'!$K$5,"CONCLUÍDA",IF(F4653&lt;='RETRATO 2027'!$K$5,"EM ANDAMENTO","A INICIAR")))</f>
        <v/>
      </c>
    </row>
    <row r="4654">
      <c r="M4654" s="2">
        <f>IF(C4654="","",IFERROR(INDEX($S$5:$S$304,MATCH(C4654,$R$5:$R$304,0))&amp;"","?"))</f>
        <v/>
      </c>
      <c r="N4654" s="2">
        <f>IF(E4654="","",IF(ISNUMBER(SEARCH("SUBSOLO",E4654)),IFERROR(-VALUE(LEFT(E4654,FIND("º",SUBSTITUTE(E4654,"°","º"))-1)),-1),IF(LEFT(E4654,6)="TÉRREO",0,IFERROR(VALUE(LEFT(E4654,FIND("º",SUBSTITUTE(E4654,"°","º"))-1)),""))))</f>
        <v/>
      </c>
      <c r="O4654" s="2">
        <f>IF(OR(F4654="",G4654=""),"",IF(G4654&lt;='RETRATO 2027'!$K$5,"CONCLUÍDA",IF(F4654&lt;='RETRATO 2027'!$K$5,"EM ANDAMENTO","A INICIAR")))</f>
        <v/>
      </c>
    </row>
    <row r="4655">
      <c r="M4655" s="2">
        <f>IF(C4655="","",IFERROR(INDEX($S$5:$S$304,MATCH(C4655,$R$5:$R$304,0))&amp;"","?"))</f>
        <v/>
      </c>
      <c r="N4655" s="2">
        <f>IF(E4655="","",IF(ISNUMBER(SEARCH("SUBSOLO",E4655)),IFERROR(-VALUE(LEFT(E4655,FIND("º",SUBSTITUTE(E4655,"°","º"))-1)),-1),IF(LEFT(E4655,6)="TÉRREO",0,IFERROR(VALUE(LEFT(E4655,FIND("º",SUBSTITUTE(E4655,"°","º"))-1)),""))))</f>
        <v/>
      </c>
      <c r="O4655" s="2">
        <f>IF(OR(F4655="",G4655=""),"",IF(G4655&lt;='RETRATO 2027'!$K$5,"CONCLUÍDA",IF(F4655&lt;='RETRATO 2027'!$K$5,"EM ANDAMENTO","A INICIAR")))</f>
        <v/>
      </c>
    </row>
    <row r="4656">
      <c r="M4656" s="2">
        <f>IF(C4656="","",IFERROR(INDEX($S$5:$S$304,MATCH(C4656,$R$5:$R$304,0))&amp;"","?"))</f>
        <v/>
      </c>
      <c r="N4656" s="2">
        <f>IF(E4656="","",IF(ISNUMBER(SEARCH("SUBSOLO",E4656)),IFERROR(-VALUE(LEFT(E4656,FIND("º",SUBSTITUTE(E4656,"°","º"))-1)),-1),IF(LEFT(E4656,6)="TÉRREO",0,IFERROR(VALUE(LEFT(E4656,FIND("º",SUBSTITUTE(E4656,"°","º"))-1)),""))))</f>
        <v/>
      </c>
      <c r="O4656" s="2">
        <f>IF(OR(F4656="",G4656=""),"",IF(G4656&lt;='RETRATO 2027'!$K$5,"CONCLUÍDA",IF(F4656&lt;='RETRATO 2027'!$K$5,"EM ANDAMENTO","A INICIAR")))</f>
        <v/>
      </c>
    </row>
    <row r="4657">
      <c r="M4657" s="2">
        <f>IF(C4657="","",IFERROR(INDEX($S$5:$S$304,MATCH(C4657,$R$5:$R$304,0))&amp;"","?"))</f>
        <v/>
      </c>
      <c r="N4657" s="2">
        <f>IF(E4657="","",IF(ISNUMBER(SEARCH("SUBSOLO",E4657)),IFERROR(-VALUE(LEFT(E4657,FIND("º",SUBSTITUTE(E4657,"°","º"))-1)),-1),IF(LEFT(E4657,6)="TÉRREO",0,IFERROR(VALUE(LEFT(E4657,FIND("º",SUBSTITUTE(E4657,"°","º"))-1)),""))))</f>
        <v/>
      </c>
      <c r="O4657" s="2">
        <f>IF(OR(F4657="",G4657=""),"",IF(G4657&lt;='RETRATO 2027'!$K$5,"CONCLUÍDA",IF(F4657&lt;='RETRATO 2027'!$K$5,"EM ANDAMENTO","A INICIAR")))</f>
        <v/>
      </c>
    </row>
    <row r="4658">
      <c r="M4658" s="2">
        <f>IF(C4658="","",IFERROR(INDEX($S$5:$S$304,MATCH(C4658,$R$5:$R$304,0))&amp;"","?"))</f>
        <v/>
      </c>
      <c r="N4658" s="2">
        <f>IF(E4658="","",IF(ISNUMBER(SEARCH("SUBSOLO",E4658)),IFERROR(-VALUE(LEFT(E4658,FIND("º",SUBSTITUTE(E4658,"°","º"))-1)),-1),IF(LEFT(E4658,6)="TÉRREO",0,IFERROR(VALUE(LEFT(E4658,FIND("º",SUBSTITUTE(E4658,"°","º"))-1)),""))))</f>
        <v/>
      </c>
      <c r="O4658" s="2">
        <f>IF(OR(F4658="",G4658=""),"",IF(G4658&lt;='RETRATO 2027'!$K$5,"CONCLUÍDA",IF(F4658&lt;='RETRATO 2027'!$K$5,"EM ANDAMENTO","A INICIAR")))</f>
        <v/>
      </c>
    </row>
    <row r="4659">
      <c r="M4659" s="2">
        <f>IF(C4659="","",IFERROR(INDEX($S$5:$S$304,MATCH(C4659,$R$5:$R$304,0))&amp;"","?"))</f>
        <v/>
      </c>
      <c r="N4659" s="2">
        <f>IF(E4659="","",IF(ISNUMBER(SEARCH("SUBSOLO",E4659)),IFERROR(-VALUE(LEFT(E4659,FIND("º",SUBSTITUTE(E4659,"°","º"))-1)),-1),IF(LEFT(E4659,6)="TÉRREO",0,IFERROR(VALUE(LEFT(E4659,FIND("º",SUBSTITUTE(E4659,"°","º"))-1)),""))))</f>
        <v/>
      </c>
      <c r="O4659" s="2">
        <f>IF(OR(F4659="",G4659=""),"",IF(G4659&lt;='RETRATO 2027'!$K$5,"CONCLUÍDA",IF(F4659&lt;='RETRATO 2027'!$K$5,"EM ANDAMENTO","A INICIAR")))</f>
        <v/>
      </c>
    </row>
    <row r="4660">
      <c r="M4660" s="2">
        <f>IF(C4660="","",IFERROR(INDEX($S$5:$S$304,MATCH(C4660,$R$5:$R$304,0))&amp;"","?"))</f>
        <v/>
      </c>
      <c r="N4660" s="2">
        <f>IF(E4660="","",IF(ISNUMBER(SEARCH("SUBSOLO",E4660)),IFERROR(-VALUE(LEFT(E4660,FIND("º",SUBSTITUTE(E4660,"°","º"))-1)),-1),IF(LEFT(E4660,6)="TÉRREO",0,IFERROR(VALUE(LEFT(E4660,FIND("º",SUBSTITUTE(E4660,"°","º"))-1)),""))))</f>
        <v/>
      </c>
      <c r="O4660" s="2">
        <f>IF(OR(F4660="",G4660=""),"",IF(G4660&lt;='RETRATO 2027'!$K$5,"CONCLUÍDA",IF(F4660&lt;='RETRATO 2027'!$K$5,"EM ANDAMENTO","A INICIAR")))</f>
        <v/>
      </c>
    </row>
    <row r="4661">
      <c r="M4661" s="2">
        <f>IF(C4661="","",IFERROR(INDEX($S$5:$S$304,MATCH(C4661,$R$5:$R$304,0))&amp;"","?"))</f>
        <v/>
      </c>
      <c r="N4661" s="2">
        <f>IF(E4661="","",IF(ISNUMBER(SEARCH("SUBSOLO",E4661)),IFERROR(-VALUE(LEFT(E4661,FIND("º",SUBSTITUTE(E4661,"°","º"))-1)),-1),IF(LEFT(E4661,6)="TÉRREO",0,IFERROR(VALUE(LEFT(E4661,FIND("º",SUBSTITUTE(E4661,"°","º"))-1)),""))))</f>
        <v/>
      </c>
      <c r="O4661" s="2">
        <f>IF(OR(F4661="",G4661=""),"",IF(G4661&lt;='RETRATO 2027'!$K$5,"CONCLUÍDA",IF(F4661&lt;='RETRATO 2027'!$K$5,"EM ANDAMENTO","A INICIAR")))</f>
        <v/>
      </c>
    </row>
    <row r="4662">
      <c r="M4662" s="2">
        <f>IF(C4662="","",IFERROR(INDEX($S$5:$S$304,MATCH(C4662,$R$5:$R$304,0))&amp;"","?"))</f>
        <v/>
      </c>
      <c r="N4662" s="2">
        <f>IF(E4662="","",IF(ISNUMBER(SEARCH("SUBSOLO",E4662)),IFERROR(-VALUE(LEFT(E4662,FIND("º",SUBSTITUTE(E4662,"°","º"))-1)),-1),IF(LEFT(E4662,6)="TÉRREO",0,IFERROR(VALUE(LEFT(E4662,FIND("º",SUBSTITUTE(E4662,"°","º"))-1)),""))))</f>
        <v/>
      </c>
      <c r="O4662" s="2">
        <f>IF(OR(F4662="",G4662=""),"",IF(G4662&lt;='RETRATO 2027'!$K$5,"CONCLUÍDA",IF(F4662&lt;='RETRATO 2027'!$K$5,"EM ANDAMENTO","A INICIAR")))</f>
        <v/>
      </c>
    </row>
    <row r="4663">
      <c r="M4663" s="2">
        <f>IF(C4663="","",IFERROR(INDEX($S$5:$S$304,MATCH(C4663,$R$5:$R$304,0))&amp;"","?"))</f>
        <v/>
      </c>
      <c r="N4663" s="2">
        <f>IF(E4663="","",IF(ISNUMBER(SEARCH("SUBSOLO",E4663)),IFERROR(-VALUE(LEFT(E4663,FIND("º",SUBSTITUTE(E4663,"°","º"))-1)),-1),IF(LEFT(E4663,6)="TÉRREO",0,IFERROR(VALUE(LEFT(E4663,FIND("º",SUBSTITUTE(E4663,"°","º"))-1)),""))))</f>
        <v/>
      </c>
      <c r="O4663" s="2">
        <f>IF(OR(F4663="",G4663=""),"",IF(G4663&lt;='RETRATO 2027'!$K$5,"CONCLUÍDA",IF(F4663&lt;='RETRATO 2027'!$K$5,"EM ANDAMENTO","A INICIAR")))</f>
        <v/>
      </c>
    </row>
    <row r="4664">
      <c r="M4664" s="2">
        <f>IF(C4664="","",IFERROR(INDEX($S$5:$S$304,MATCH(C4664,$R$5:$R$304,0))&amp;"","?"))</f>
        <v/>
      </c>
      <c r="N4664" s="2">
        <f>IF(E4664="","",IF(ISNUMBER(SEARCH("SUBSOLO",E4664)),IFERROR(-VALUE(LEFT(E4664,FIND("º",SUBSTITUTE(E4664,"°","º"))-1)),-1),IF(LEFT(E4664,6)="TÉRREO",0,IFERROR(VALUE(LEFT(E4664,FIND("º",SUBSTITUTE(E4664,"°","º"))-1)),""))))</f>
        <v/>
      </c>
      <c r="O4664" s="2">
        <f>IF(OR(F4664="",G4664=""),"",IF(G4664&lt;='RETRATO 2027'!$K$5,"CONCLUÍDA",IF(F4664&lt;='RETRATO 2027'!$K$5,"EM ANDAMENTO","A INICIAR")))</f>
        <v/>
      </c>
    </row>
    <row r="4665">
      <c r="M4665" s="2">
        <f>IF(C4665="","",IFERROR(INDEX($S$5:$S$304,MATCH(C4665,$R$5:$R$304,0))&amp;"","?"))</f>
        <v/>
      </c>
      <c r="N4665" s="2">
        <f>IF(E4665="","",IF(ISNUMBER(SEARCH("SUBSOLO",E4665)),IFERROR(-VALUE(LEFT(E4665,FIND("º",SUBSTITUTE(E4665,"°","º"))-1)),-1),IF(LEFT(E4665,6)="TÉRREO",0,IFERROR(VALUE(LEFT(E4665,FIND("º",SUBSTITUTE(E4665,"°","º"))-1)),""))))</f>
        <v/>
      </c>
      <c r="O4665" s="2">
        <f>IF(OR(F4665="",G4665=""),"",IF(G4665&lt;='RETRATO 2027'!$K$5,"CONCLUÍDA",IF(F4665&lt;='RETRATO 2027'!$K$5,"EM ANDAMENTO","A INICIAR")))</f>
        <v/>
      </c>
    </row>
    <row r="4666">
      <c r="M4666" s="2">
        <f>IF(C4666="","",IFERROR(INDEX($S$5:$S$304,MATCH(C4666,$R$5:$R$304,0))&amp;"","?"))</f>
        <v/>
      </c>
      <c r="N4666" s="2">
        <f>IF(E4666="","",IF(ISNUMBER(SEARCH("SUBSOLO",E4666)),IFERROR(-VALUE(LEFT(E4666,FIND("º",SUBSTITUTE(E4666,"°","º"))-1)),-1),IF(LEFT(E4666,6)="TÉRREO",0,IFERROR(VALUE(LEFT(E4666,FIND("º",SUBSTITUTE(E4666,"°","º"))-1)),""))))</f>
        <v/>
      </c>
      <c r="O4666" s="2">
        <f>IF(OR(F4666="",G4666=""),"",IF(G4666&lt;='RETRATO 2027'!$K$5,"CONCLUÍDA",IF(F4666&lt;='RETRATO 2027'!$K$5,"EM ANDAMENTO","A INICIAR")))</f>
        <v/>
      </c>
    </row>
    <row r="4667">
      <c r="M4667" s="2">
        <f>IF(C4667="","",IFERROR(INDEX($S$5:$S$304,MATCH(C4667,$R$5:$R$304,0))&amp;"","?"))</f>
        <v/>
      </c>
      <c r="N4667" s="2">
        <f>IF(E4667="","",IF(ISNUMBER(SEARCH("SUBSOLO",E4667)),IFERROR(-VALUE(LEFT(E4667,FIND("º",SUBSTITUTE(E4667,"°","º"))-1)),-1),IF(LEFT(E4667,6)="TÉRREO",0,IFERROR(VALUE(LEFT(E4667,FIND("º",SUBSTITUTE(E4667,"°","º"))-1)),""))))</f>
        <v/>
      </c>
      <c r="O4667" s="2">
        <f>IF(OR(F4667="",G4667=""),"",IF(G4667&lt;='RETRATO 2027'!$K$5,"CONCLUÍDA",IF(F4667&lt;='RETRATO 2027'!$K$5,"EM ANDAMENTO","A INICIAR")))</f>
        <v/>
      </c>
    </row>
    <row r="4668">
      <c r="M4668" s="2">
        <f>IF(C4668="","",IFERROR(INDEX($S$5:$S$304,MATCH(C4668,$R$5:$R$304,0))&amp;"","?"))</f>
        <v/>
      </c>
      <c r="N4668" s="2">
        <f>IF(E4668="","",IF(ISNUMBER(SEARCH("SUBSOLO",E4668)),IFERROR(-VALUE(LEFT(E4668,FIND("º",SUBSTITUTE(E4668,"°","º"))-1)),-1),IF(LEFT(E4668,6)="TÉRREO",0,IFERROR(VALUE(LEFT(E4668,FIND("º",SUBSTITUTE(E4668,"°","º"))-1)),""))))</f>
        <v/>
      </c>
      <c r="O4668" s="2">
        <f>IF(OR(F4668="",G4668=""),"",IF(G4668&lt;='RETRATO 2027'!$K$5,"CONCLUÍDA",IF(F4668&lt;='RETRATO 2027'!$K$5,"EM ANDAMENTO","A INICIAR")))</f>
        <v/>
      </c>
    </row>
    <row r="4669">
      <c r="M4669" s="2">
        <f>IF(C4669="","",IFERROR(INDEX($S$5:$S$304,MATCH(C4669,$R$5:$R$304,0))&amp;"","?"))</f>
        <v/>
      </c>
      <c r="N4669" s="2">
        <f>IF(E4669="","",IF(ISNUMBER(SEARCH("SUBSOLO",E4669)),IFERROR(-VALUE(LEFT(E4669,FIND("º",SUBSTITUTE(E4669,"°","º"))-1)),-1),IF(LEFT(E4669,6)="TÉRREO",0,IFERROR(VALUE(LEFT(E4669,FIND("º",SUBSTITUTE(E4669,"°","º"))-1)),""))))</f>
        <v/>
      </c>
      <c r="O4669" s="2">
        <f>IF(OR(F4669="",G4669=""),"",IF(G4669&lt;='RETRATO 2027'!$K$5,"CONCLUÍDA",IF(F4669&lt;='RETRATO 2027'!$K$5,"EM ANDAMENTO","A INICIAR")))</f>
        <v/>
      </c>
    </row>
    <row r="4670">
      <c r="M4670" s="2">
        <f>IF(C4670="","",IFERROR(INDEX($S$5:$S$304,MATCH(C4670,$R$5:$R$304,0))&amp;"","?"))</f>
        <v/>
      </c>
      <c r="N4670" s="2">
        <f>IF(E4670="","",IF(ISNUMBER(SEARCH("SUBSOLO",E4670)),IFERROR(-VALUE(LEFT(E4670,FIND("º",SUBSTITUTE(E4670,"°","º"))-1)),-1),IF(LEFT(E4670,6)="TÉRREO",0,IFERROR(VALUE(LEFT(E4670,FIND("º",SUBSTITUTE(E4670,"°","º"))-1)),""))))</f>
        <v/>
      </c>
      <c r="O4670" s="2">
        <f>IF(OR(F4670="",G4670=""),"",IF(G4670&lt;='RETRATO 2027'!$K$5,"CONCLUÍDA",IF(F4670&lt;='RETRATO 2027'!$K$5,"EM ANDAMENTO","A INICIAR")))</f>
        <v/>
      </c>
    </row>
    <row r="4671">
      <c r="M4671" s="2">
        <f>IF(C4671="","",IFERROR(INDEX($S$5:$S$304,MATCH(C4671,$R$5:$R$304,0))&amp;"","?"))</f>
        <v/>
      </c>
      <c r="N4671" s="2">
        <f>IF(E4671="","",IF(ISNUMBER(SEARCH("SUBSOLO",E4671)),IFERROR(-VALUE(LEFT(E4671,FIND("º",SUBSTITUTE(E4671,"°","º"))-1)),-1),IF(LEFT(E4671,6)="TÉRREO",0,IFERROR(VALUE(LEFT(E4671,FIND("º",SUBSTITUTE(E4671,"°","º"))-1)),""))))</f>
        <v/>
      </c>
      <c r="O4671" s="2">
        <f>IF(OR(F4671="",G4671=""),"",IF(G4671&lt;='RETRATO 2027'!$K$5,"CONCLUÍDA",IF(F4671&lt;='RETRATO 2027'!$K$5,"EM ANDAMENTO","A INICIAR")))</f>
        <v/>
      </c>
    </row>
    <row r="4672">
      <c r="M4672" s="2">
        <f>IF(C4672="","",IFERROR(INDEX($S$5:$S$304,MATCH(C4672,$R$5:$R$304,0))&amp;"","?"))</f>
        <v/>
      </c>
      <c r="N4672" s="2">
        <f>IF(E4672="","",IF(ISNUMBER(SEARCH("SUBSOLO",E4672)),IFERROR(-VALUE(LEFT(E4672,FIND("º",SUBSTITUTE(E4672,"°","º"))-1)),-1),IF(LEFT(E4672,6)="TÉRREO",0,IFERROR(VALUE(LEFT(E4672,FIND("º",SUBSTITUTE(E4672,"°","º"))-1)),""))))</f>
        <v/>
      </c>
      <c r="O4672" s="2">
        <f>IF(OR(F4672="",G4672=""),"",IF(G4672&lt;='RETRATO 2027'!$K$5,"CONCLUÍDA",IF(F4672&lt;='RETRATO 2027'!$K$5,"EM ANDAMENTO","A INICIAR")))</f>
        <v/>
      </c>
    </row>
    <row r="4673">
      <c r="M4673" s="2">
        <f>IF(C4673="","",IFERROR(INDEX($S$5:$S$304,MATCH(C4673,$R$5:$R$304,0))&amp;"","?"))</f>
        <v/>
      </c>
      <c r="N4673" s="2">
        <f>IF(E4673="","",IF(ISNUMBER(SEARCH("SUBSOLO",E4673)),IFERROR(-VALUE(LEFT(E4673,FIND("º",SUBSTITUTE(E4673,"°","º"))-1)),-1),IF(LEFT(E4673,6)="TÉRREO",0,IFERROR(VALUE(LEFT(E4673,FIND("º",SUBSTITUTE(E4673,"°","º"))-1)),""))))</f>
        <v/>
      </c>
      <c r="O4673" s="2">
        <f>IF(OR(F4673="",G4673=""),"",IF(G4673&lt;='RETRATO 2027'!$K$5,"CONCLUÍDA",IF(F4673&lt;='RETRATO 2027'!$K$5,"EM ANDAMENTO","A INICIAR")))</f>
        <v/>
      </c>
    </row>
    <row r="4674">
      <c r="M4674" s="2">
        <f>IF(C4674="","",IFERROR(INDEX($S$5:$S$304,MATCH(C4674,$R$5:$R$304,0))&amp;"","?"))</f>
        <v/>
      </c>
      <c r="N4674" s="2">
        <f>IF(E4674="","",IF(ISNUMBER(SEARCH("SUBSOLO",E4674)),IFERROR(-VALUE(LEFT(E4674,FIND("º",SUBSTITUTE(E4674,"°","º"))-1)),-1),IF(LEFT(E4674,6)="TÉRREO",0,IFERROR(VALUE(LEFT(E4674,FIND("º",SUBSTITUTE(E4674,"°","º"))-1)),""))))</f>
        <v/>
      </c>
      <c r="O4674" s="2">
        <f>IF(OR(F4674="",G4674=""),"",IF(G4674&lt;='RETRATO 2027'!$K$5,"CONCLUÍDA",IF(F4674&lt;='RETRATO 2027'!$K$5,"EM ANDAMENTO","A INICIAR")))</f>
        <v/>
      </c>
    </row>
    <row r="4675">
      <c r="M4675" s="2">
        <f>IF(C4675="","",IFERROR(INDEX($S$5:$S$304,MATCH(C4675,$R$5:$R$304,0))&amp;"","?"))</f>
        <v/>
      </c>
      <c r="N4675" s="2">
        <f>IF(E4675="","",IF(ISNUMBER(SEARCH("SUBSOLO",E4675)),IFERROR(-VALUE(LEFT(E4675,FIND("º",SUBSTITUTE(E4675,"°","º"))-1)),-1),IF(LEFT(E4675,6)="TÉRREO",0,IFERROR(VALUE(LEFT(E4675,FIND("º",SUBSTITUTE(E4675,"°","º"))-1)),""))))</f>
        <v/>
      </c>
      <c r="O4675" s="2">
        <f>IF(OR(F4675="",G4675=""),"",IF(G4675&lt;='RETRATO 2027'!$K$5,"CONCLUÍDA",IF(F4675&lt;='RETRATO 2027'!$K$5,"EM ANDAMENTO","A INICIAR")))</f>
        <v/>
      </c>
    </row>
    <row r="4676">
      <c r="M4676" s="2">
        <f>IF(C4676="","",IFERROR(INDEX($S$5:$S$304,MATCH(C4676,$R$5:$R$304,0))&amp;"","?"))</f>
        <v/>
      </c>
      <c r="N4676" s="2">
        <f>IF(E4676="","",IF(ISNUMBER(SEARCH("SUBSOLO",E4676)),IFERROR(-VALUE(LEFT(E4676,FIND("º",SUBSTITUTE(E4676,"°","º"))-1)),-1),IF(LEFT(E4676,6)="TÉRREO",0,IFERROR(VALUE(LEFT(E4676,FIND("º",SUBSTITUTE(E4676,"°","º"))-1)),""))))</f>
        <v/>
      </c>
      <c r="O4676" s="2">
        <f>IF(OR(F4676="",G4676=""),"",IF(G4676&lt;='RETRATO 2027'!$K$5,"CONCLUÍDA",IF(F4676&lt;='RETRATO 2027'!$K$5,"EM ANDAMENTO","A INICIAR")))</f>
        <v/>
      </c>
    </row>
    <row r="4677">
      <c r="M4677" s="2">
        <f>IF(C4677="","",IFERROR(INDEX($S$5:$S$304,MATCH(C4677,$R$5:$R$304,0))&amp;"","?"))</f>
        <v/>
      </c>
      <c r="N4677" s="2">
        <f>IF(E4677="","",IF(ISNUMBER(SEARCH("SUBSOLO",E4677)),IFERROR(-VALUE(LEFT(E4677,FIND("º",SUBSTITUTE(E4677,"°","º"))-1)),-1),IF(LEFT(E4677,6)="TÉRREO",0,IFERROR(VALUE(LEFT(E4677,FIND("º",SUBSTITUTE(E4677,"°","º"))-1)),""))))</f>
        <v/>
      </c>
      <c r="O4677" s="2">
        <f>IF(OR(F4677="",G4677=""),"",IF(G4677&lt;='RETRATO 2027'!$K$5,"CONCLUÍDA",IF(F4677&lt;='RETRATO 2027'!$K$5,"EM ANDAMENTO","A INICIAR")))</f>
        <v/>
      </c>
    </row>
    <row r="4678">
      <c r="M4678" s="2">
        <f>IF(C4678="","",IFERROR(INDEX($S$5:$S$304,MATCH(C4678,$R$5:$R$304,0))&amp;"","?"))</f>
        <v/>
      </c>
      <c r="N4678" s="2">
        <f>IF(E4678="","",IF(ISNUMBER(SEARCH("SUBSOLO",E4678)),IFERROR(-VALUE(LEFT(E4678,FIND("º",SUBSTITUTE(E4678,"°","º"))-1)),-1),IF(LEFT(E4678,6)="TÉRREO",0,IFERROR(VALUE(LEFT(E4678,FIND("º",SUBSTITUTE(E4678,"°","º"))-1)),""))))</f>
        <v/>
      </c>
      <c r="O4678" s="2">
        <f>IF(OR(F4678="",G4678=""),"",IF(G4678&lt;='RETRATO 2027'!$K$5,"CONCLUÍDA",IF(F4678&lt;='RETRATO 2027'!$K$5,"EM ANDAMENTO","A INICIAR")))</f>
        <v/>
      </c>
    </row>
    <row r="4679">
      <c r="M4679" s="2">
        <f>IF(C4679="","",IFERROR(INDEX($S$5:$S$304,MATCH(C4679,$R$5:$R$304,0))&amp;"","?"))</f>
        <v/>
      </c>
      <c r="N4679" s="2">
        <f>IF(E4679="","",IF(ISNUMBER(SEARCH("SUBSOLO",E4679)),IFERROR(-VALUE(LEFT(E4679,FIND("º",SUBSTITUTE(E4679,"°","º"))-1)),-1),IF(LEFT(E4679,6)="TÉRREO",0,IFERROR(VALUE(LEFT(E4679,FIND("º",SUBSTITUTE(E4679,"°","º"))-1)),""))))</f>
        <v/>
      </c>
      <c r="O4679" s="2">
        <f>IF(OR(F4679="",G4679=""),"",IF(G4679&lt;='RETRATO 2027'!$K$5,"CONCLUÍDA",IF(F4679&lt;='RETRATO 2027'!$K$5,"EM ANDAMENTO","A INICIAR")))</f>
        <v/>
      </c>
    </row>
    <row r="4680">
      <c r="M4680" s="2">
        <f>IF(C4680="","",IFERROR(INDEX($S$5:$S$304,MATCH(C4680,$R$5:$R$304,0))&amp;"","?"))</f>
        <v/>
      </c>
      <c r="N4680" s="2">
        <f>IF(E4680="","",IF(ISNUMBER(SEARCH("SUBSOLO",E4680)),IFERROR(-VALUE(LEFT(E4680,FIND("º",SUBSTITUTE(E4680,"°","º"))-1)),-1),IF(LEFT(E4680,6)="TÉRREO",0,IFERROR(VALUE(LEFT(E4680,FIND("º",SUBSTITUTE(E4680,"°","º"))-1)),""))))</f>
        <v/>
      </c>
      <c r="O4680" s="2">
        <f>IF(OR(F4680="",G4680=""),"",IF(G4680&lt;='RETRATO 2027'!$K$5,"CONCLUÍDA",IF(F4680&lt;='RETRATO 2027'!$K$5,"EM ANDAMENTO","A INICIAR")))</f>
        <v/>
      </c>
    </row>
    <row r="4681">
      <c r="M4681" s="2">
        <f>IF(C4681="","",IFERROR(INDEX($S$5:$S$304,MATCH(C4681,$R$5:$R$304,0))&amp;"","?"))</f>
        <v/>
      </c>
      <c r="N4681" s="2">
        <f>IF(E4681="","",IF(ISNUMBER(SEARCH("SUBSOLO",E4681)),IFERROR(-VALUE(LEFT(E4681,FIND("º",SUBSTITUTE(E4681,"°","º"))-1)),-1),IF(LEFT(E4681,6)="TÉRREO",0,IFERROR(VALUE(LEFT(E4681,FIND("º",SUBSTITUTE(E4681,"°","º"))-1)),""))))</f>
        <v/>
      </c>
      <c r="O4681" s="2">
        <f>IF(OR(F4681="",G4681=""),"",IF(G4681&lt;='RETRATO 2027'!$K$5,"CONCLUÍDA",IF(F4681&lt;='RETRATO 2027'!$K$5,"EM ANDAMENTO","A INICIAR")))</f>
        <v/>
      </c>
    </row>
    <row r="4682">
      <c r="M4682" s="2">
        <f>IF(C4682="","",IFERROR(INDEX($S$5:$S$304,MATCH(C4682,$R$5:$R$304,0))&amp;"","?"))</f>
        <v/>
      </c>
      <c r="N4682" s="2">
        <f>IF(E4682="","",IF(ISNUMBER(SEARCH("SUBSOLO",E4682)),IFERROR(-VALUE(LEFT(E4682,FIND("º",SUBSTITUTE(E4682,"°","º"))-1)),-1),IF(LEFT(E4682,6)="TÉRREO",0,IFERROR(VALUE(LEFT(E4682,FIND("º",SUBSTITUTE(E4682,"°","º"))-1)),""))))</f>
        <v/>
      </c>
      <c r="O4682" s="2">
        <f>IF(OR(F4682="",G4682=""),"",IF(G4682&lt;='RETRATO 2027'!$K$5,"CONCLUÍDA",IF(F4682&lt;='RETRATO 2027'!$K$5,"EM ANDAMENTO","A INICIAR")))</f>
        <v/>
      </c>
    </row>
    <row r="4683">
      <c r="M4683" s="2">
        <f>IF(C4683="","",IFERROR(INDEX($S$5:$S$304,MATCH(C4683,$R$5:$R$304,0))&amp;"","?"))</f>
        <v/>
      </c>
      <c r="N4683" s="2">
        <f>IF(E4683="","",IF(ISNUMBER(SEARCH("SUBSOLO",E4683)),IFERROR(-VALUE(LEFT(E4683,FIND("º",SUBSTITUTE(E4683,"°","º"))-1)),-1),IF(LEFT(E4683,6)="TÉRREO",0,IFERROR(VALUE(LEFT(E4683,FIND("º",SUBSTITUTE(E4683,"°","º"))-1)),""))))</f>
        <v/>
      </c>
      <c r="O4683" s="2">
        <f>IF(OR(F4683="",G4683=""),"",IF(G4683&lt;='RETRATO 2027'!$K$5,"CONCLUÍDA",IF(F4683&lt;='RETRATO 2027'!$K$5,"EM ANDAMENTO","A INICIAR")))</f>
        <v/>
      </c>
    </row>
    <row r="4684">
      <c r="M4684" s="2">
        <f>IF(C4684="","",IFERROR(INDEX($S$5:$S$304,MATCH(C4684,$R$5:$R$304,0))&amp;"","?"))</f>
        <v/>
      </c>
      <c r="N4684" s="2">
        <f>IF(E4684="","",IF(ISNUMBER(SEARCH("SUBSOLO",E4684)),IFERROR(-VALUE(LEFT(E4684,FIND("º",SUBSTITUTE(E4684,"°","º"))-1)),-1),IF(LEFT(E4684,6)="TÉRREO",0,IFERROR(VALUE(LEFT(E4684,FIND("º",SUBSTITUTE(E4684,"°","º"))-1)),""))))</f>
        <v/>
      </c>
      <c r="O4684" s="2">
        <f>IF(OR(F4684="",G4684=""),"",IF(G4684&lt;='RETRATO 2027'!$K$5,"CONCLUÍDA",IF(F4684&lt;='RETRATO 2027'!$K$5,"EM ANDAMENTO","A INICIAR")))</f>
        <v/>
      </c>
    </row>
    <row r="4685">
      <c r="M4685" s="2">
        <f>IF(C4685="","",IFERROR(INDEX($S$5:$S$304,MATCH(C4685,$R$5:$R$304,0))&amp;"","?"))</f>
        <v/>
      </c>
      <c r="N4685" s="2">
        <f>IF(E4685="","",IF(ISNUMBER(SEARCH("SUBSOLO",E4685)),IFERROR(-VALUE(LEFT(E4685,FIND("º",SUBSTITUTE(E4685,"°","º"))-1)),-1),IF(LEFT(E4685,6)="TÉRREO",0,IFERROR(VALUE(LEFT(E4685,FIND("º",SUBSTITUTE(E4685,"°","º"))-1)),""))))</f>
        <v/>
      </c>
      <c r="O4685" s="2">
        <f>IF(OR(F4685="",G4685=""),"",IF(G4685&lt;='RETRATO 2027'!$K$5,"CONCLUÍDA",IF(F4685&lt;='RETRATO 2027'!$K$5,"EM ANDAMENTO","A INICIAR")))</f>
        <v/>
      </c>
    </row>
    <row r="4686">
      <c r="M4686" s="2">
        <f>IF(C4686="","",IFERROR(INDEX($S$5:$S$304,MATCH(C4686,$R$5:$R$304,0))&amp;"","?"))</f>
        <v/>
      </c>
      <c r="N4686" s="2">
        <f>IF(E4686="","",IF(ISNUMBER(SEARCH("SUBSOLO",E4686)),IFERROR(-VALUE(LEFT(E4686,FIND("º",SUBSTITUTE(E4686,"°","º"))-1)),-1),IF(LEFT(E4686,6)="TÉRREO",0,IFERROR(VALUE(LEFT(E4686,FIND("º",SUBSTITUTE(E4686,"°","º"))-1)),""))))</f>
        <v/>
      </c>
      <c r="O4686" s="2">
        <f>IF(OR(F4686="",G4686=""),"",IF(G4686&lt;='RETRATO 2027'!$K$5,"CONCLUÍDA",IF(F4686&lt;='RETRATO 2027'!$K$5,"EM ANDAMENTO","A INICIAR")))</f>
        <v/>
      </c>
    </row>
    <row r="4687">
      <c r="M4687" s="2">
        <f>IF(C4687="","",IFERROR(INDEX($S$5:$S$304,MATCH(C4687,$R$5:$R$304,0))&amp;"","?"))</f>
        <v/>
      </c>
      <c r="N4687" s="2">
        <f>IF(E4687="","",IF(ISNUMBER(SEARCH("SUBSOLO",E4687)),IFERROR(-VALUE(LEFT(E4687,FIND("º",SUBSTITUTE(E4687,"°","º"))-1)),-1),IF(LEFT(E4687,6)="TÉRREO",0,IFERROR(VALUE(LEFT(E4687,FIND("º",SUBSTITUTE(E4687,"°","º"))-1)),""))))</f>
        <v/>
      </c>
      <c r="O4687" s="2">
        <f>IF(OR(F4687="",G4687=""),"",IF(G4687&lt;='RETRATO 2027'!$K$5,"CONCLUÍDA",IF(F4687&lt;='RETRATO 2027'!$K$5,"EM ANDAMENTO","A INICIAR")))</f>
        <v/>
      </c>
    </row>
    <row r="4688">
      <c r="M4688" s="2">
        <f>IF(C4688="","",IFERROR(INDEX($S$5:$S$304,MATCH(C4688,$R$5:$R$304,0))&amp;"","?"))</f>
        <v/>
      </c>
      <c r="N4688" s="2">
        <f>IF(E4688="","",IF(ISNUMBER(SEARCH("SUBSOLO",E4688)),IFERROR(-VALUE(LEFT(E4688,FIND("º",SUBSTITUTE(E4688,"°","º"))-1)),-1),IF(LEFT(E4688,6)="TÉRREO",0,IFERROR(VALUE(LEFT(E4688,FIND("º",SUBSTITUTE(E4688,"°","º"))-1)),""))))</f>
        <v/>
      </c>
      <c r="O4688" s="2">
        <f>IF(OR(F4688="",G4688=""),"",IF(G4688&lt;='RETRATO 2027'!$K$5,"CONCLUÍDA",IF(F4688&lt;='RETRATO 2027'!$K$5,"EM ANDAMENTO","A INICIAR")))</f>
        <v/>
      </c>
    </row>
    <row r="4689">
      <c r="M4689" s="2">
        <f>IF(C4689="","",IFERROR(INDEX($S$5:$S$304,MATCH(C4689,$R$5:$R$304,0))&amp;"","?"))</f>
        <v/>
      </c>
      <c r="N4689" s="2">
        <f>IF(E4689="","",IF(ISNUMBER(SEARCH("SUBSOLO",E4689)),IFERROR(-VALUE(LEFT(E4689,FIND("º",SUBSTITUTE(E4689,"°","º"))-1)),-1),IF(LEFT(E4689,6)="TÉRREO",0,IFERROR(VALUE(LEFT(E4689,FIND("º",SUBSTITUTE(E4689,"°","º"))-1)),""))))</f>
        <v/>
      </c>
      <c r="O4689" s="2">
        <f>IF(OR(F4689="",G4689=""),"",IF(G4689&lt;='RETRATO 2027'!$K$5,"CONCLUÍDA",IF(F4689&lt;='RETRATO 2027'!$K$5,"EM ANDAMENTO","A INICIAR")))</f>
        <v/>
      </c>
    </row>
    <row r="4690">
      <c r="M4690" s="2">
        <f>IF(C4690="","",IFERROR(INDEX($S$5:$S$304,MATCH(C4690,$R$5:$R$304,0))&amp;"","?"))</f>
        <v/>
      </c>
      <c r="N4690" s="2">
        <f>IF(E4690="","",IF(ISNUMBER(SEARCH("SUBSOLO",E4690)),IFERROR(-VALUE(LEFT(E4690,FIND("º",SUBSTITUTE(E4690,"°","º"))-1)),-1),IF(LEFT(E4690,6)="TÉRREO",0,IFERROR(VALUE(LEFT(E4690,FIND("º",SUBSTITUTE(E4690,"°","º"))-1)),""))))</f>
        <v/>
      </c>
      <c r="O4690" s="2">
        <f>IF(OR(F4690="",G4690=""),"",IF(G4690&lt;='RETRATO 2027'!$K$5,"CONCLUÍDA",IF(F4690&lt;='RETRATO 2027'!$K$5,"EM ANDAMENTO","A INICIAR")))</f>
        <v/>
      </c>
    </row>
    <row r="4691">
      <c r="M4691" s="2">
        <f>IF(C4691="","",IFERROR(INDEX($S$5:$S$304,MATCH(C4691,$R$5:$R$304,0))&amp;"","?"))</f>
        <v/>
      </c>
      <c r="N4691" s="2">
        <f>IF(E4691="","",IF(ISNUMBER(SEARCH("SUBSOLO",E4691)),IFERROR(-VALUE(LEFT(E4691,FIND("º",SUBSTITUTE(E4691,"°","º"))-1)),-1),IF(LEFT(E4691,6)="TÉRREO",0,IFERROR(VALUE(LEFT(E4691,FIND("º",SUBSTITUTE(E4691,"°","º"))-1)),""))))</f>
        <v/>
      </c>
      <c r="O4691" s="2">
        <f>IF(OR(F4691="",G4691=""),"",IF(G4691&lt;='RETRATO 2027'!$K$5,"CONCLUÍDA",IF(F4691&lt;='RETRATO 2027'!$K$5,"EM ANDAMENTO","A INICIAR")))</f>
        <v/>
      </c>
    </row>
    <row r="4692">
      <c r="M4692" s="2">
        <f>IF(C4692="","",IFERROR(INDEX($S$5:$S$304,MATCH(C4692,$R$5:$R$304,0))&amp;"","?"))</f>
        <v/>
      </c>
      <c r="N4692" s="2">
        <f>IF(E4692="","",IF(ISNUMBER(SEARCH("SUBSOLO",E4692)),IFERROR(-VALUE(LEFT(E4692,FIND("º",SUBSTITUTE(E4692,"°","º"))-1)),-1),IF(LEFT(E4692,6)="TÉRREO",0,IFERROR(VALUE(LEFT(E4692,FIND("º",SUBSTITUTE(E4692,"°","º"))-1)),""))))</f>
        <v/>
      </c>
      <c r="O4692" s="2">
        <f>IF(OR(F4692="",G4692=""),"",IF(G4692&lt;='RETRATO 2027'!$K$5,"CONCLUÍDA",IF(F4692&lt;='RETRATO 2027'!$K$5,"EM ANDAMENTO","A INICIAR")))</f>
        <v/>
      </c>
    </row>
    <row r="4693">
      <c r="M4693" s="2">
        <f>IF(C4693="","",IFERROR(INDEX($S$5:$S$304,MATCH(C4693,$R$5:$R$304,0))&amp;"","?"))</f>
        <v/>
      </c>
      <c r="N4693" s="2">
        <f>IF(E4693="","",IF(ISNUMBER(SEARCH("SUBSOLO",E4693)),IFERROR(-VALUE(LEFT(E4693,FIND("º",SUBSTITUTE(E4693,"°","º"))-1)),-1),IF(LEFT(E4693,6)="TÉRREO",0,IFERROR(VALUE(LEFT(E4693,FIND("º",SUBSTITUTE(E4693,"°","º"))-1)),""))))</f>
        <v/>
      </c>
      <c r="O4693" s="2">
        <f>IF(OR(F4693="",G4693=""),"",IF(G4693&lt;='RETRATO 2027'!$K$5,"CONCLUÍDA",IF(F4693&lt;='RETRATO 2027'!$K$5,"EM ANDAMENTO","A INICIAR")))</f>
        <v/>
      </c>
    </row>
    <row r="4694">
      <c r="M4694" s="2">
        <f>IF(C4694="","",IFERROR(INDEX($S$5:$S$304,MATCH(C4694,$R$5:$R$304,0))&amp;"","?"))</f>
        <v/>
      </c>
      <c r="N4694" s="2">
        <f>IF(E4694="","",IF(ISNUMBER(SEARCH("SUBSOLO",E4694)),IFERROR(-VALUE(LEFT(E4694,FIND("º",SUBSTITUTE(E4694,"°","º"))-1)),-1),IF(LEFT(E4694,6)="TÉRREO",0,IFERROR(VALUE(LEFT(E4694,FIND("º",SUBSTITUTE(E4694,"°","º"))-1)),""))))</f>
        <v/>
      </c>
      <c r="O4694" s="2">
        <f>IF(OR(F4694="",G4694=""),"",IF(G4694&lt;='RETRATO 2027'!$K$5,"CONCLUÍDA",IF(F4694&lt;='RETRATO 2027'!$K$5,"EM ANDAMENTO","A INICIAR")))</f>
        <v/>
      </c>
    </row>
    <row r="4695">
      <c r="M4695" s="2">
        <f>IF(C4695="","",IFERROR(INDEX($S$5:$S$304,MATCH(C4695,$R$5:$R$304,0))&amp;"","?"))</f>
        <v/>
      </c>
      <c r="N4695" s="2">
        <f>IF(E4695="","",IF(ISNUMBER(SEARCH("SUBSOLO",E4695)),IFERROR(-VALUE(LEFT(E4695,FIND("º",SUBSTITUTE(E4695,"°","º"))-1)),-1),IF(LEFT(E4695,6)="TÉRREO",0,IFERROR(VALUE(LEFT(E4695,FIND("º",SUBSTITUTE(E4695,"°","º"))-1)),""))))</f>
        <v/>
      </c>
      <c r="O4695" s="2">
        <f>IF(OR(F4695="",G4695=""),"",IF(G4695&lt;='RETRATO 2027'!$K$5,"CONCLUÍDA",IF(F4695&lt;='RETRATO 2027'!$K$5,"EM ANDAMENTO","A INICIAR")))</f>
        <v/>
      </c>
    </row>
    <row r="4696">
      <c r="M4696" s="2">
        <f>IF(C4696="","",IFERROR(INDEX($S$5:$S$304,MATCH(C4696,$R$5:$R$304,0))&amp;"","?"))</f>
        <v/>
      </c>
      <c r="N4696" s="2">
        <f>IF(E4696="","",IF(ISNUMBER(SEARCH("SUBSOLO",E4696)),IFERROR(-VALUE(LEFT(E4696,FIND("º",SUBSTITUTE(E4696,"°","º"))-1)),-1),IF(LEFT(E4696,6)="TÉRREO",0,IFERROR(VALUE(LEFT(E4696,FIND("º",SUBSTITUTE(E4696,"°","º"))-1)),""))))</f>
        <v/>
      </c>
      <c r="O4696" s="2">
        <f>IF(OR(F4696="",G4696=""),"",IF(G4696&lt;='RETRATO 2027'!$K$5,"CONCLUÍDA",IF(F4696&lt;='RETRATO 2027'!$K$5,"EM ANDAMENTO","A INICIAR")))</f>
        <v/>
      </c>
    </row>
    <row r="4697">
      <c r="M4697" s="2">
        <f>IF(C4697="","",IFERROR(INDEX($S$5:$S$304,MATCH(C4697,$R$5:$R$304,0))&amp;"","?"))</f>
        <v/>
      </c>
      <c r="N4697" s="2">
        <f>IF(E4697="","",IF(ISNUMBER(SEARCH("SUBSOLO",E4697)),IFERROR(-VALUE(LEFT(E4697,FIND("º",SUBSTITUTE(E4697,"°","º"))-1)),-1),IF(LEFT(E4697,6)="TÉRREO",0,IFERROR(VALUE(LEFT(E4697,FIND("º",SUBSTITUTE(E4697,"°","º"))-1)),""))))</f>
        <v/>
      </c>
      <c r="O4697" s="2">
        <f>IF(OR(F4697="",G4697=""),"",IF(G4697&lt;='RETRATO 2027'!$K$5,"CONCLUÍDA",IF(F4697&lt;='RETRATO 2027'!$K$5,"EM ANDAMENTO","A INICIAR")))</f>
        <v/>
      </c>
    </row>
    <row r="4698">
      <c r="M4698" s="2">
        <f>IF(C4698="","",IFERROR(INDEX($S$5:$S$304,MATCH(C4698,$R$5:$R$304,0))&amp;"","?"))</f>
        <v/>
      </c>
      <c r="N4698" s="2">
        <f>IF(E4698="","",IF(ISNUMBER(SEARCH("SUBSOLO",E4698)),IFERROR(-VALUE(LEFT(E4698,FIND("º",SUBSTITUTE(E4698,"°","º"))-1)),-1),IF(LEFT(E4698,6)="TÉRREO",0,IFERROR(VALUE(LEFT(E4698,FIND("º",SUBSTITUTE(E4698,"°","º"))-1)),""))))</f>
        <v/>
      </c>
      <c r="O4698" s="2">
        <f>IF(OR(F4698="",G4698=""),"",IF(G4698&lt;='RETRATO 2027'!$K$5,"CONCLUÍDA",IF(F4698&lt;='RETRATO 2027'!$K$5,"EM ANDAMENTO","A INICIAR")))</f>
        <v/>
      </c>
    </row>
    <row r="4699">
      <c r="M4699" s="2">
        <f>IF(C4699="","",IFERROR(INDEX($S$5:$S$304,MATCH(C4699,$R$5:$R$304,0))&amp;"","?"))</f>
        <v/>
      </c>
      <c r="N4699" s="2">
        <f>IF(E4699="","",IF(ISNUMBER(SEARCH("SUBSOLO",E4699)),IFERROR(-VALUE(LEFT(E4699,FIND("º",SUBSTITUTE(E4699,"°","º"))-1)),-1),IF(LEFT(E4699,6)="TÉRREO",0,IFERROR(VALUE(LEFT(E4699,FIND("º",SUBSTITUTE(E4699,"°","º"))-1)),""))))</f>
        <v/>
      </c>
      <c r="O4699" s="2">
        <f>IF(OR(F4699="",G4699=""),"",IF(G4699&lt;='RETRATO 2027'!$K$5,"CONCLUÍDA",IF(F4699&lt;='RETRATO 2027'!$K$5,"EM ANDAMENTO","A INICIAR")))</f>
        <v/>
      </c>
    </row>
    <row r="4700">
      <c r="M4700" s="2">
        <f>IF(C4700="","",IFERROR(INDEX($S$5:$S$304,MATCH(C4700,$R$5:$R$304,0))&amp;"","?"))</f>
        <v/>
      </c>
      <c r="N4700" s="2">
        <f>IF(E4700="","",IF(ISNUMBER(SEARCH("SUBSOLO",E4700)),IFERROR(-VALUE(LEFT(E4700,FIND("º",SUBSTITUTE(E4700,"°","º"))-1)),-1),IF(LEFT(E4700,6)="TÉRREO",0,IFERROR(VALUE(LEFT(E4700,FIND("º",SUBSTITUTE(E4700,"°","º"))-1)),""))))</f>
        <v/>
      </c>
      <c r="O4700" s="2">
        <f>IF(OR(F4700="",G4700=""),"",IF(G4700&lt;='RETRATO 2027'!$K$5,"CONCLUÍDA",IF(F4700&lt;='RETRATO 2027'!$K$5,"EM ANDAMENTO","A INICIAR")))</f>
        <v/>
      </c>
    </row>
    <row r="4701">
      <c r="M4701" s="2">
        <f>IF(C4701="","",IFERROR(INDEX($S$5:$S$304,MATCH(C4701,$R$5:$R$304,0))&amp;"","?"))</f>
        <v/>
      </c>
      <c r="N4701" s="2">
        <f>IF(E4701="","",IF(ISNUMBER(SEARCH("SUBSOLO",E4701)),IFERROR(-VALUE(LEFT(E4701,FIND("º",SUBSTITUTE(E4701,"°","º"))-1)),-1),IF(LEFT(E4701,6)="TÉRREO",0,IFERROR(VALUE(LEFT(E4701,FIND("º",SUBSTITUTE(E4701,"°","º"))-1)),""))))</f>
        <v/>
      </c>
      <c r="O4701" s="2">
        <f>IF(OR(F4701="",G4701=""),"",IF(G4701&lt;='RETRATO 2027'!$K$5,"CONCLUÍDA",IF(F4701&lt;='RETRATO 2027'!$K$5,"EM ANDAMENTO","A INICIAR")))</f>
        <v/>
      </c>
    </row>
    <row r="4702">
      <c r="M4702" s="2">
        <f>IF(C4702="","",IFERROR(INDEX($S$5:$S$304,MATCH(C4702,$R$5:$R$304,0))&amp;"","?"))</f>
        <v/>
      </c>
      <c r="N4702" s="2">
        <f>IF(E4702="","",IF(ISNUMBER(SEARCH("SUBSOLO",E4702)),IFERROR(-VALUE(LEFT(E4702,FIND("º",SUBSTITUTE(E4702,"°","º"))-1)),-1),IF(LEFT(E4702,6)="TÉRREO",0,IFERROR(VALUE(LEFT(E4702,FIND("º",SUBSTITUTE(E4702,"°","º"))-1)),""))))</f>
        <v/>
      </c>
      <c r="O4702" s="2">
        <f>IF(OR(F4702="",G4702=""),"",IF(G4702&lt;='RETRATO 2027'!$K$5,"CONCLUÍDA",IF(F4702&lt;='RETRATO 2027'!$K$5,"EM ANDAMENTO","A INICIAR")))</f>
        <v/>
      </c>
    </row>
    <row r="4703">
      <c r="M4703" s="2">
        <f>IF(C4703="","",IFERROR(INDEX($S$5:$S$304,MATCH(C4703,$R$5:$R$304,0))&amp;"","?"))</f>
        <v/>
      </c>
      <c r="N4703" s="2">
        <f>IF(E4703="","",IF(ISNUMBER(SEARCH("SUBSOLO",E4703)),IFERROR(-VALUE(LEFT(E4703,FIND("º",SUBSTITUTE(E4703,"°","º"))-1)),-1),IF(LEFT(E4703,6)="TÉRREO",0,IFERROR(VALUE(LEFT(E4703,FIND("º",SUBSTITUTE(E4703,"°","º"))-1)),""))))</f>
        <v/>
      </c>
      <c r="O4703" s="2">
        <f>IF(OR(F4703="",G4703=""),"",IF(G4703&lt;='RETRATO 2027'!$K$5,"CONCLUÍDA",IF(F4703&lt;='RETRATO 2027'!$K$5,"EM ANDAMENTO","A INICIAR")))</f>
        <v/>
      </c>
    </row>
    <row r="4704">
      <c r="M4704" s="2">
        <f>IF(C4704="","",IFERROR(INDEX($S$5:$S$304,MATCH(C4704,$R$5:$R$304,0))&amp;"","?"))</f>
        <v/>
      </c>
      <c r="N4704" s="2">
        <f>IF(E4704="","",IF(ISNUMBER(SEARCH("SUBSOLO",E4704)),IFERROR(-VALUE(LEFT(E4704,FIND("º",SUBSTITUTE(E4704,"°","º"))-1)),-1),IF(LEFT(E4704,6)="TÉRREO",0,IFERROR(VALUE(LEFT(E4704,FIND("º",SUBSTITUTE(E4704,"°","º"))-1)),""))))</f>
        <v/>
      </c>
      <c r="O4704" s="2">
        <f>IF(OR(F4704="",G4704=""),"",IF(G4704&lt;='RETRATO 2027'!$K$5,"CONCLUÍDA",IF(F4704&lt;='RETRATO 2027'!$K$5,"EM ANDAMENTO","A INICIAR")))</f>
        <v/>
      </c>
    </row>
    <row r="4705">
      <c r="M4705" s="2">
        <f>IF(C4705="","",IFERROR(INDEX($S$5:$S$304,MATCH(C4705,$R$5:$R$304,0))&amp;"","?"))</f>
        <v/>
      </c>
      <c r="N4705" s="2">
        <f>IF(E4705="","",IF(ISNUMBER(SEARCH("SUBSOLO",E4705)),IFERROR(-VALUE(LEFT(E4705,FIND("º",SUBSTITUTE(E4705,"°","º"))-1)),-1),IF(LEFT(E4705,6)="TÉRREO",0,IFERROR(VALUE(LEFT(E4705,FIND("º",SUBSTITUTE(E4705,"°","º"))-1)),""))))</f>
        <v/>
      </c>
      <c r="O4705" s="2">
        <f>IF(OR(F4705="",G4705=""),"",IF(G4705&lt;='RETRATO 2027'!$K$5,"CONCLUÍDA",IF(F4705&lt;='RETRATO 2027'!$K$5,"EM ANDAMENTO","A INICIAR")))</f>
        <v/>
      </c>
    </row>
    <row r="4706">
      <c r="M4706" s="2">
        <f>IF(C4706="","",IFERROR(INDEX($S$5:$S$304,MATCH(C4706,$R$5:$R$304,0))&amp;"","?"))</f>
        <v/>
      </c>
      <c r="N4706" s="2">
        <f>IF(E4706="","",IF(ISNUMBER(SEARCH("SUBSOLO",E4706)),IFERROR(-VALUE(LEFT(E4706,FIND("º",SUBSTITUTE(E4706,"°","º"))-1)),-1),IF(LEFT(E4706,6)="TÉRREO",0,IFERROR(VALUE(LEFT(E4706,FIND("º",SUBSTITUTE(E4706,"°","º"))-1)),""))))</f>
        <v/>
      </c>
      <c r="O4706" s="2">
        <f>IF(OR(F4706="",G4706=""),"",IF(G4706&lt;='RETRATO 2027'!$K$5,"CONCLUÍDA",IF(F4706&lt;='RETRATO 2027'!$K$5,"EM ANDAMENTO","A INICIAR")))</f>
        <v/>
      </c>
    </row>
    <row r="4707">
      <c r="M4707" s="2">
        <f>IF(C4707="","",IFERROR(INDEX($S$5:$S$304,MATCH(C4707,$R$5:$R$304,0))&amp;"","?"))</f>
        <v/>
      </c>
      <c r="N4707" s="2">
        <f>IF(E4707="","",IF(ISNUMBER(SEARCH("SUBSOLO",E4707)),IFERROR(-VALUE(LEFT(E4707,FIND("º",SUBSTITUTE(E4707,"°","º"))-1)),-1),IF(LEFT(E4707,6)="TÉRREO",0,IFERROR(VALUE(LEFT(E4707,FIND("º",SUBSTITUTE(E4707,"°","º"))-1)),""))))</f>
        <v/>
      </c>
      <c r="O4707" s="2">
        <f>IF(OR(F4707="",G4707=""),"",IF(G4707&lt;='RETRATO 2027'!$K$5,"CONCLUÍDA",IF(F4707&lt;='RETRATO 2027'!$K$5,"EM ANDAMENTO","A INICIAR")))</f>
        <v/>
      </c>
    </row>
    <row r="4708">
      <c r="M4708" s="2">
        <f>IF(C4708="","",IFERROR(INDEX($S$5:$S$304,MATCH(C4708,$R$5:$R$304,0))&amp;"","?"))</f>
        <v/>
      </c>
      <c r="N4708" s="2">
        <f>IF(E4708="","",IF(ISNUMBER(SEARCH("SUBSOLO",E4708)),IFERROR(-VALUE(LEFT(E4708,FIND("º",SUBSTITUTE(E4708,"°","º"))-1)),-1),IF(LEFT(E4708,6)="TÉRREO",0,IFERROR(VALUE(LEFT(E4708,FIND("º",SUBSTITUTE(E4708,"°","º"))-1)),""))))</f>
        <v/>
      </c>
      <c r="O4708" s="2">
        <f>IF(OR(F4708="",G4708=""),"",IF(G4708&lt;='RETRATO 2027'!$K$5,"CONCLUÍDA",IF(F4708&lt;='RETRATO 2027'!$K$5,"EM ANDAMENTO","A INICIAR")))</f>
        <v/>
      </c>
    </row>
    <row r="4709">
      <c r="M4709" s="2">
        <f>IF(C4709="","",IFERROR(INDEX($S$5:$S$304,MATCH(C4709,$R$5:$R$304,0))&amp;"","?"))</f>
        <v/>
      </c>
      <c r="N4709" s="2">
        <f>IF(E4709="","",IF(ISNUMBER(SEARCH("SUBSOLO",E4709)),IFERROR(-VALUE(LEFT(E4709,FIND("º",SUBSTITUTE(E4709,"°","º"))-1)),-1),IF(LEFT(E4709,6)="TÉRREO",0,IFERROR(VALUE(LEFT(E4709,FIND("º",SUBSTITUTE(E4709,"°","º"))-1)),""))))</f>
        <v/>
      </c>
      <c r="O4709" s="2">
        <f>IF(OR(F4709="",G4709=""),"",IF(G4709&lt;='RETRATO 2027'!$K$5,"CONCLUÍDA",IF(F4709&lt;='RETRATO 2027'!$K$5,"EM ANDAMENTO","A INICIAR")))</f>
        <v/>
      </c>
    </row>
    <row r="4710">
      <c r="M4710" s="2">
        <f>IF(C4710="","",IFERROR(INDEX($S$5:$S$304,MATCH(C4710,$R$5:$R$304,0))&amp;"","?"))</f>
        <v/>
      </c>
      <c r="N4710" s="2">
        <f>IF(E4710="","",IF(ISNUMBER(SEARCH("SUBSOLO",E4710)),IFERROR(-VALUE(LEFT(E4710,FIND("º",SUBSTITUTE(E4710,"°","º"))-1)),-1),IF(LEFT(E4710,6)="TÉRREO",0,IFERROR(VALUE(LEFT(E4710,FIND("º",SUBSTITUTE(E4710,"°","º"))-1)),""))))</f>
        <v/>
      </c>
      <c r="O4710" s="2">
        <f>IF(OR(F4710="",G4710=""),"",IF(G4710&lt;='RETRATO 2027'!$K$5,"CONCLUÍDA",IF(F4710&lt;='RETRATO 2027'!$K$5,"EM ANDAMENTO","A INICIAR")))</f>
        <v/>
      </c>
    </row>
    <row r="4711">
      <c r="M4711" s="2">
        <f>IF(C4711="","",IFERROR(INDEX($S$5:$S$304,MATCH(C4711,$R$5:$R$304,0))&amp;"","?"))</f>
        <v/>
      </c>
      <c r="N4711" s="2">
        <f>IF(E4711="","",IF(ISNUMBER(SEARCH("SUBSOLO",E4711)),IFERROR(-VALUE(LEFT(E4711,FIND("º",SUBSTITUTE(E4711,"°","º"))-1)),-1),IF(LEFT(E4711,6)="TÉRREO",0,IFERROR(VALUE(LEFT(E4711,FIND("º",SUBSTITUTE(E4711,"°","º"))-1)),""))))</f>
        <v/>
      </c>
      <c r="O4711" s="2">
        <f>IF(OR(F4711="",G4711=""),"",IF(G4711&lt;='RETRATO 2027'!$K$5,"CONCLUÍDA",IF(F4711&lt;='RETRATO 2027'!$K$5,"EM ANDAMENTO","A INICIAR")))</f>
        <v/>
      </c>
    </row>
    <row r="4712">
      <c r="M4712" s="2">
        <f>IF(C4712="","",IFERROR(INDEX($S$5:$S$304,MATCH(C4712,$R$5:$R$304,0))&amp;"","?"))</f>
        <v/>
      </c>
      <c r="N4712" s="2">
        <f>IF(E4712="","",IF(ISNUMBER(SEARCH("SUBSOLO",E4712)),IFERROR(-VALUE(LEFT(E4712,FIND("º",SUBSTITUTE(E4712,"°","º"))-1)),-1),IF(LEFT(E4712,6)="TÉRREO",0,IFERROR(VALUE(LEFT(E4712,FIND("º",SUBSTITUTE(E4712,"°","º"))-1)),""))))</f>
        <v/>
      </c>
      <c r="O4712" s="2">
        <f>IF(OR(F4712="",G4712=""),"",IF(G4712&lt;='RETRATO 2027'!$K$5,"CONCLUÍDA",IF(F4712&lt;='RETRATO 2027'!$K$5,"EM ANDAMENTO","A INICIAR")))</f>
        <v/>
      </c>
    </row>
    <row r="4713">
      <c r="M4713" s="2">
        <f>IF(C4713="","",IFERROR(INDEX($S$5:$S$304,MATCH(C4713,$R$5:$R$304,0))&amp;"","?"))</f>
        <v/>
      </c>
      <c r="N4713" s="2">
        <f>IF(E4713="","",IF(ISNUMBER(SEARCH("SUBSOLO",E4713)),IFERROR(-VALUE(LEFT(E4713,FIND("º",SUBSTITUTE(E4713,"°","º"))-1)),-1),IF(LEFT(E4713,6)="TÉRREO",0,IFERROR(VALUE(LEFT(E4713,FIND("º",SUBSTITUTE(E4713,"°","º"))-1)),""))))</f>
        <v/>
      </c>
      <c r="O4713" s="2">
        <f>IF(OR(F4713="",G4713=""),"",IF(G4713&lt;='RETRATO 2027'!$K$5,"CONCLUÍDA",IF(F4713&lt;='RETRATO 2027'!$K$5,"EM ANDAMENTO","A INICIAR")))</f>
        <v/>
      </c>
    </row>
    <row r="4714">
      <c r="M4714" s="2">
        <f>IF(C4714="","",IFERROR(INDEX($S$5:$S$304,MATCH(C4714,$R$5:$R$304,0))&amp;"","?"))</f>
        <v/>
      </c>
      <c r="N4714" s="2">
        <f>IF(E4714="","",IF(ISNUMBER(SEARCH("SUBSOLO",E4714)),IFERROR(-VALUE(LEFT(E4714,FIND("º",SUBSTITUTE(E4714,"°","º"))-1)),-1),IF(LEFT(E4714,6)="TÉRREO",0,IFERROR(VALUE(LEFT(E4714,FIND("º",SUBSTITUTE(E4714,"°","º"))-1)),""))))</f>
        <v/>
      </c>
      <c r="O4714" s="2">
        <f>IF(OR(F4714="",G4714=""),"",IF(G4714&lt;='RETRATO 2027'!$K$5,"CONCLUÍDA",IF(F4714&lt;='RETRATO 2027'!$K$5,"EM ANDAMENTO","A INICIAR")))</f>
        <v/>
      </c>
    </row>
    <row r="4715">
      <c r="M4715" s="2">
        <f>IF(C4715="","",IFERROR(INDEX($S$5:$S$304,MATCH(C4715,$R$5:$R$304,0))&amp;"","?"))</f>
        <v/>
      </c>
      <c r="N4715" s="2">
        <f>IF(E4715="","",IF(ISNUMBER(SEARCH("SUBSOLO",E4715)),IFERROR(-VALUE(LEFT(E4715,FIND("º",SUBSTITUTE(E4715,"°","º"))-1)),-1),IF(LEFT(E4715,6)="TÉRREO",0,IFERROR(VALUE(LEFT(E4715,FIND("º",SUBSTITUTE(E4715,"°","º"))-1)),""))))</f>
        <v/>
      </c>
      <c r="O4715" s="2">
        <f>IF(OR(F4715="",G4715=""),"",IF(G4715&lt;='RETRATO 2027'!$K$5,"CONCLUÍDA",IF(F4715&lt;='RETRATO 2027'!$K$5,"EM ANDAMENTO","A INICIAR")))</f>
        <v/>
      </c>
    </row>
    <row r="4716">
      <c r="M4716" s="2">
        <f>IF(C4716="","",IFERROR(INDEX($S$5:$S$304,MATCH(C4716,$R$5:$R$304,0))&amp;"","?"))</f>
        <v/>
      </c>
      <c r="N4716" s="2">
        <f>IF(E4716="","",IF(ISNUMBER(SEARCH("SUBSOLO",E4716)),IFERROR(-VALUE(LEFT(E4716,FIND("º",SUBSTITUTE(E4716,"°","º"))-1)),-1),IF(LEFT(E4716,6)="TÉRREO",0,IFERROR(VALUE(LEFT(E4716,FIND("º",SUBSTITUTE(E4716,"°","º"))-1)),""))))</f>
        <v/>
      </c>
      <c r="O4716" s="2">
        <f>IF(OR(F4716="",G4716=""),"",IF(G4716&lt;='RETRATO 2027'!$K$5,"CONCLUÍDA",IF(F4716&lt;='RETRATO 2027'!$K$5,"EM ANDAMENTO","A INICIAR")))</f>
        <v/>
      </c>
    </row>
    <row r="4717">
      <c r="M4717" s="2">
        <f>IF(C4717="","",IFERROR(INDEX($S$5:$S$304,MATCH(C4717,$R$5:$R$304,0))&amp;"","?"))</f>
        <v/>
      </c>
      <c r="N4717" s="2">
        <f>IF(E4717="","",IF(ISNUMBER(SEARCH("SUBSOLO",E4717)),IFERROR(-VALUE(LEFT(E4717,FIND("º",SUBSTITUTE(E4717,"°","º"))-1)),-1),IF(LEFT(E4717,6)="TÉRREO",0,IFERROR(VALUE(LEFT(E4717,FIND("º",SUBSTITUTE(E4717,"°","º"))-1)),""))))</f>
        <v/>
      </c>
      <c r="O4717" s="2">
        <f>IF(OR(F4717="",G4717=""),"",IF(G4717&lt;='RETRATO 2027'!$K$5,"CONCLUÍDA",IF(F4717&lt;='RETRATO 2027'!$K$5,"EM ANDAMENTO","A INICIAR")))</f>
        <v/>
      </c>
    </row>
    <row r="4718">
      <c r="M4718" s="2">
        <f>IF(C4718="","",IFERROR(INDEX($S$5:$S$304,MATCH(C4718,$R$5:$R$304,0))&amp;"","?"))</f>
        <v/>
      </c>
      <c r="N4718" s="2">
        <f>IF(E4718="","",IF(ISNUMBER(SEARCH("SUBSOLO",E4718)),IFERROR(-VALUE(LEFT(E4718,FIND("º",SUBSTITUTE(E4718,"°","º"))-1)),-1),IF(LEFT(E4718,6)="TÉRREO",0,IFERROR(VALUE(LEFT(E4718,FIND("º",SUBSTITUTE(E4718,"°","º"))-1)),""))))</f>
        <v/>
      </c>
      <c r="O4718" s="2">
        <f>IF(OR(F4718="",G4718=""),"",IF(G4718&lt;='RETRATO 2027'!$K$5,"CONCLUÍDA",IF(F4718&lt;='RETRATO 2027'!$K$5,"EM ANDAMENTO","A INICIAR")))</f>
        <v/>
      </c>
    </row>
    <row r="4719">
      <c r="M4719" s="2">
        <f>IF(C4719="","",IFERROR(INDEX($S$5:$S$304,MATCH(C4719,$R$5:$R$304,0))&amp;"","?"))</f>
        <v/>
      </c>
      <c r="N4719" s="2">
        <f>IF(E4719="","",IF(ISNUMBER(SEARCH("SUBSOLO",E4719)),IFERROR(-VALUE(LEFT(E4719,FIND("º",SUBSTITUTE(E4719,"°","º"))-1)),-1),IF(LEFT(E4719,6)="TÉRREO",0,IFERROR(VALUE(LEFT(E4719,FIND("º",SUBSTITUTE(E4719,"°","º"))-1)),""))))</f>
        <v/>
      </c>
      <c r="O4719" s="2">
        <f>IF(OR(F4719="",G4719=""),"",IF(G4719&lt;='RETRATO 2027'!$K$5,"CONCLUÍDA",IF(F4719&lt;='RETRATO 2027'!$K$5,"EM ANDAMENTO","A INICIAR")))</f>
        <v/>
      </c>
    </row>
    <row r="4720">
      <c r="M4720" s="2">
        <f>IF(C4720="","",IFERROR(INDEX($S$5:$S$304,MATCH(C4720,$R$5:$R$304,0))&amp;"","?"))</f>
        <v/>
      </c>
      <c r="N4720" s="2">
        <f>IF(E4720="","",IF(ISNUMBER(SEARCH("SUBSOLO",E4720)),IFERROR(-VALUE(LEFT(E4720,FIND("º",SUBSTITUTE(E4720,"°","º"))-1)),-1),IF(LEFT(E4720,6)="TÉRREO",0,IFERROR(VALUE(LEFT(E4720,FIND("º",SUBSTITUTE(E4720,"°","º"))-1)),""))))</f>
        <v/>
      </c>
      <c r="O4720" s="2">
        <f>IF(OR(F4720="",G4720=""),"",IF(G4720&lt;='RETRATO 2027'!$K$5,"CONCLUÍDA",IF(F4720&lt;='RETRATO 2027'!$K$5,"EM ANDAMENTO","A INICIAR")))</f>
        <v/>
      </c>
    </row>
    <row r="4721">
      <c r="M4721" s="2">
        <f>IF(C4721="","",IFERROR(INDEX($S$5:$S$304,MATCH(C4721,$R$5:$R$304,0))&amp;"","?"))</f>
        <v/>
      </c>
      <c r="N4721" s="2">
        <f>IF(E4721="","",IF(ISNUMBER(SEARCH("SUBSOLO",E4721)),IFERROR(-VALUE(LEFT(E4721,FIND("º",SUBSTITUTE(E4721,"°","º"))-1)),-1),IF(LEFT(E4721,6)="TÉRREO",0,IFERROR(VALUE(LEFT(E4721,FIND("º",SUBSTITUTE(E4721,"°","º"))-1)),""))))</f>
        <v/>
      </c>
      <c r="O4721" s="2">
        <f>IF(OR(F4721="",G4721=""),"",IF(G4721&lt;='RETRATO 2027'!$K$5,"CONCLUÍDA",IF(F4721&lt;='RETRATO 2027'!$K$5,"EM ANDAMENTO","A INICIAR")))</f>
        <v/>
      </c>
    </row>
    <row r="4722">
      <c r="M4722" s="2">
        <f>IF(C4722="","",IFERROR(INDEX($S$5:$S$304,MATCH(C4722,$R$5:$R$304,0))&amp;"","?"))</f>
        <v/>
      </c>
      <c r="N4722" s="2">
        <f>IF(E4722="","",IF(ISNUMBER(SEARCH("SUBSOLO",E4722)),IFERROR(-VALUE(LEFT(E4722,FIND("º",SUBSTITUTE(E4722,"°","º"))-1)),-1),IF(LEFT(E4722,6)="TÉRREO",0,IFERROR(VALUE(LEFT(E4722,FIND("º",SUBSTITUTE(E4722,"°","º"))-1)),""))))</f>
        <v/>
      </c>
      <c r="O4722" s="2">
        <f>IF(OR(F4722="",G4722=""),"",IF(G4722&lt;='RETRATO 2027'!$K$5,"CONCLUÍDA",IF(F4722&lt;='RETRATO 2027'!$K$5,"EM ANDAMENTO","A INICIAR")))</f>
        <v/>
      </c>
    </row>
    <row r="4723">
      <c r="M4723" s="2">
        <f>IF(C4723="","",IFERROR(INDEX($S$5:$S$304,MATCH(C4723,$R$5:$R$304,0))&amp;"","?"))</f>
        <v/>
      </c>
      <c r="N4723" s="2">
        <f>IF(E4723="","",IF(ISNUMBER(SEARCH("SUBSOLO",E4723)),IFERROR(-VALUE(LEFT(E4723,FIND("º",SUBSTITUTE(E4723,"°","º"))-1)),-1),IF(LEFT(E4723,6)="TÉRREO",0,IFERROR(VALUE(LEFT(E4723,FIND("º",SUBSTITUTE(E4723,"°","º"))-1)),""))))</f>
        <v/>
      </c>
      <c r="O4723" s="2">
        <f>IF(OR(F4723="",G4723=""),"",IF(G4723&lt;='RETRATO 2027'!$K$5,"CONCLUÍDA",IF(F4723&lt;='RETRATO 2027'!$K$5,"EM ANDAMENTO","A INICIAR")))</f>
        <v/>
      </c>
    </row>
    <row r="4724">
      <c r="M4724" s="2">
        <f>IF(C4724="","",IFERROR(INDEX($S$5:$S$304,MATCH(C4724,$R$5:$R$304,0))&amp;"","?"))</f>
        <v/>
      </c>
      <c r="N4724" s="2">
        <f>IF(E4724="","",IF(ISNUMBER(SEARCH("SUBSOLO",E4724)),IFERROR(-VALUE(LEFT(E4724,FIND("º",SUBSTITUTE(E4724,"°","º"))-1)),-1),IF(LEFT(E4724,6)="TÉRREO",0,IFERROR(VALUE(LEFT(E4724,FIND("º",SUBSTITUTE(E4724,"°","º"))-1)),""))))</f>
        <v/>
      </c>
      <c r="O4724" s="2">
        <f>IF(OR(F4724="",G4724=""),"",IF(G4724&lt;='RETRATO 2027'!$K$5,"CONCLUÍDA",IF(F4724&lt;='RETRATO 2027'!$K$5,"EM ANDAMENTO","A INICIAR")))</f>
        <v/>
      </c>
    </row>
    <row r="4725">
      <c r="M4725" s="2">
        <f>IF(C4725="","",IFERROR(INDEX($S$5:$S$304,MATCH(C4725,$R$5:$R$304,0))&amp;"","?"))</f>
        <v/>
      </c>
      <c r="N4725" s="2">
        <f>IF(E4725="","",IF(ISNUMBER(SEARCH("SUBSOLO",E4725)),IFERROR(-VALUE(LEFT(E4725,FIND("º",SUBSTITUTE(E4725,"°","º"))-1)),-1),IF(LEFT(E4725,6)="TÉRREO",0,IFERROR(VALUE(LEFT(E4725,FIND("º",SUBSTITUTE(E4725,"°","º"))-1)),""))))</f>
        <v/>
      </c>
      <c r="O4725" s="2">
        <f>IF(OR(F4725="",G4725=""),"",IF(G4725&lt;='RETRATO 2027'!$K$5,"CONCLUÍDA",IF(F4725&lt;='RETRATO 2027'!$K$5,"EM ANDAMENTO","A INICIAR")))</f>
        <v/>
      </c>
    </row>
    <row r="4726">
      <c r="M4726" s="2">
        <f>IF(C4726="","",IFERROR(INDEX($S$5:$S$304,MATCH(C4726,$R$5:$R$304,0))&amp;"","?"))</f>
        <v/>
      </c>
      <c r="N4726" s="2">
        <f>IF(E4726="","",IF(ISNUMBER(SEARCH("SUBSOLO",E4726)),IFERROR(-VALUE(LEFT(E4726,FIND("º",SUBSTITUTE(E4726,"°","º"))-1)),-1),IF(LEFT(E4726,6)="TÉRREO",0,IFERROR(VALUE(LEFT(E4726,FIND("º",SUBSTITUTE(E4726,"°","º"))-1)),""))))</f>
        <v/>
      </c>
      <c r="O4726" s="2">
        <f>IF(OR(F4726="",G4726=""),"",IF(G4726&lt;='RETRATO 2027'!$K$5,"CONCLUÍDA",IF(F4726&lt;='RETRATO 2027'!$K$5,"EM ANDAMENTO","A INICIAR")))</f>
        <v/>
      </c>
    </row>
    <row r="4727">
      <c r="M4727" s="2">
        <f>IF(C4727="","",IFERROR(INDEX($S$5:$S$304,MATCH(C4727,$R$5:$R$304,0))&amp;"","?"))</f>
        <v/>
      </c>
      <c r="N4727" s="2">
        <f>IF(E4727="","",IF(ISNUMBER(SEARCH("SUBSOLO",E4727)),IFERROR(-VALUE(LEFT(E4727,FIND("º",SUBSTITUTE(E4727,"°","º"))-1)),-1),IF(LEFT(E4727,6)="TÉRREO",0,IFERROR(VALUE(LEFT(E4727,FIND("º",SUBSTITUTE(E4727,"°","º"))-1)),""))))</f>
        <v/>
      </c>
      <c r="O4727" s="2">
        <f>IF(OR(F4727="",G4727=""),"",IF(G4727&lt;='RETRATO 2027'!$K$5,"CONCLUÍDA",IF(F4727&lt;='RETRATO 2027'!$K$5,"EM ANDAMENTO","A INICIAR")))</f>
        <v/>
      </c>
    </row>
    <row r="4728">
      <c r="M4728" s="2">
        <f>IF(C4728="","",IFERROR(INDEX($S$5:$S$304,MATCH(C4728,$R$5:$R$304,0))&amp;"","?"))</f>
        <v/>
      </c>
      <c r="N4728" s="2">
        <f>IF(E4728="","",IF(ISNUMBER(SEARCH("SUBSOLO",E4728)),IFERROR(-VALUE(LEFT(E4728,FIND("º",SUBSTITUTE(E4728,"°","º"))-1)),-1),IF(LEFT(E4728,6)="TÉRREO",0,IFERROR(VALUE(LEFT(E4728,FIND("º",SUBSTITUTE(E4728,"°","º"))-1)),""))))</f>
        <v/>
      </c>
      <c r="O4728" s="2">
        <f>IF(OR(F4728="",G4728=""),"",IF(G4728&lt;='RETRATO 2027'!$K$5,"CONCLUÍDA",IF(F4728&lt;='RETRATO 2027'!$K$5,"EM ANDAMENTO","A INICIAR")))</f>
        <v/>
      </c>
    </row>
    <row r="4729">
      <c r="M4729" s="2">
        <f>IF(C4729="","",IFERROR(INDEX($S$5:$S$304,MATCH(C4729,$R$5:$R$304,0))&amp;"","?"))</f>
        <v/>
      </c>
      <c r="N4729" s="2">
        <f>IF(E4729="","",IF(ISNUMBER(SEARCH("SUBSOLO",E4729)),IFERROR(-VALUE(LEFT(E4729,FIND("º",SUBSTITUTE(E4729,"°","º"))-1)),-1),IF(LEFT(E4729,6)="TÉRREO",0,IFERROR(VALUE(LEFT(E4729,FIND("º",SUBSTITUTE(E4729,"°","º"))-1)),""))))</f>
        <v/>
      </c>
      <c r="O4729" s="2">
        <f>IF(OR(F4729="",G4729=""),"",IF(G4729&lt;='RETRATO 2027'!$K$5,"CONCLUÍDA",IF(F4729&lt;='RETRATO 2027'!$K$5,"EM ANDAMENTO","A INICIAR")))</f>
        <v/>
      </c>
    </row>
    <row r="4730">
      <c r="M4730" s="2">
        <f>IF(C4730="","",IFERROR(INDEX($S$5:$S$304,MATCH(C4730,$R$5:$R$304,0))&amp;"","?"))</f>
        <v/>
      </c>
      <c r="N4730" s="2">
        <f>IF(E4730="","",IF(ISNUMBER(SEARCH("SUBSOLO",E4730)),IFERROR(-VALUE(LEFT(E4730,FIND("º",SUBSTITUTE(E4730,"°","º"))-1)),-1),IF(LEFT(E4730,6)="TÉRREO",0,IFERROR(VALUE(LEFT(E4730,FIND("º",SUBSTITUTE(E4730,"°","º"))-1)),""))))</f>
        <v/>
      </c>
      <c r="O4730" s="2">
        <f>IF(OR(F4730="",G4730=""),"",IF(G4730&lt;='RETRATO 2027'!$K$5,"CONCLUÍDA",IF(F4730&lt;='RETRATO 2027'!$K$5,"EM ANDAMENTO","A INICIAR")))</f>
        <v/>
      </c>
    </row>
    <row r="4731">
      <c r="M4731" s="2">
        <f>IF(C4731="","",IFERROR(INDEX($S$5:$S$304,MATCH(C4731,$R$5:$R$304,0))&amp;"","?"))</f>
        <v/>
      </c>
      <c r="N4731" s="2">
        <f>IF(E4731="","",IF(ISNUMBER(SEARCH("SUBSOLO",E4731)),IFERROR(-VALUE(LEFT(E4731,FIND("º",SUBSTITUTE(E4731,"°","º"))-1)),-1),IF(LEFT(E4731,6)="TÉRREO",0,IFERROR(VALUE(LEFT(E4731,FIND("º",SUBSTITUTE(E4731,"°","º"))-1)),""))))</f>
        <v/>
      </c>
      <c r="O4731" s="2">
        <f>IF(OR(F4731="",G4731=""),"",IF(G4731&lt;='RETRATO 2027'!$K$5,"CONCLUÍDA",IF(F4731&lt;='RETRATO 2027'!$K$5,"EM ANDAMENTO","A INICIAR")))</f>
        <v/>
      </c>
    </row>
    <row r="4732">
      <c r="M4732" s="2">
        <f>IF(C4732="","",IFERROR(INDEX($S$5:$S$304,MATCH(C4732,$R$5:$R$304,0))&amp;"","?"))</f>
        <v/>
      </c>
      <c r="N4732" s="2">
        <f>IF(E4732="","",IF(ISNUMBER(SEARCH("SUBSOLO",E4732)),IFERROR(-VALUE(LEFT(E4732,FIND("º",SUBSTITUTE(E4732,"°","º"))-1)),-1),IF(LEFT(E4732,6)="TÉRREO",0,IFERROR(VALUE(LEFT(E4732,FIND("º",SUBSTITUTE(E4732,"°","º"))-1)),""))))</f>
        <v/>
      </c>
      <c r="O4732" s="2">
        <f>IF(OR(F4732="",G4732=""),"",IF(G4732&lt;='RETRATO 2027'!$K$5,"CONCLUÍDA",IF(F4732&lt;='RETRATO 2027'!$K$5,"EM ANDAMENTO","A INICIAR")))</f>
        <v/>
      </c>
    </row>
    <row r="4733">
      <c r="M4733" s="2">
        <f>IF(C4733="","",IFERROR(INDEX($S$5:$S$304,MATCH(C4733,$R$5:$R$304,0))&amp;"","?"))</f>
        <v/>
      </c>
      <c r="N4733" s="2">
        <f>IF(E4733="","",IF(ISNUMBER(SEARCH("SUBSOLO",E4733)),IFERROR(-VALUE(LEFT(E4733,FIND("º",SUBSTITUTE(E4733,"°","º"))-1)),-1),IF(LEFT(E4733,6)="TÉRREO",0,IFERROR(VALUE(LEFT(E4733,FIND("º",SUBSTITUTE(E4733,"°","º"))-1)),""))))</f>
        <v/>
      </c>
      <c r="O4733" s="2">
        <f>IF(OR(F4733="",G4733=""),"",IF(G4733&lt;='RETRATO 2027'!$K$5,"CONCLUÍDA",IF(F4733&lt;='RETRATO 2027'!$K$5,"EM ANDAMENTO","A INICIAR")))</f>
        <v/>
      </c>
    </row>
    <row r="4734">
      <c r="M4734" s="2">
        <f>IF(C4734="","",IFERROR(INDEX($S$5:$S$304,MATCH(C4734,$R$5:$R$304,0))&amp;"","?"))</f>
        <v/>
      </c>
      <c r="N4734" s="2">
        <f>IF(E4734="","",IF(ISNUMBER(SEARCH("SUBSOLO",E4734)),IFERROR(-VALUE(LEFT(E4734,FIND("º",SUBSTITUTE(E4734,"°","º"))-1)),-1),IF(LEFT(E4734,6)="TÉRREO",0,IFERROR(VALUE(LEFT(E4734,FIND("º",SUBSTITUTE(E4734,"°","º"))-1)),""))))</f>
        <v/>
      </c>
      <c r="O4734" s="2">
        <f>IF(OR(F4734="",G4734=""),"",IF(G4734&lt;='RETRATO 2027'!$K$5,"CONCLUÍDA",IF(F4734&lt;='RETRATO 2027'!$K$5,"EM ANDAMENTO","A INICIAR")))</f>
        <v/>
      </c>
    </row>
    <row r="4735">
      <c r="M4735" s="2">
        <f>IF(C4735="","",IFERROR(INDEX($S$5:$S$304,MATCH(C4735,$R$5:$R$304,0))&amp;"","?"))</f>
        <v/>
      </c>
      <c r="N4735" s="2">
        <f>IF(E4735="","",IF(ISNUMBER(SEARCH("SUBSOLO",E4735)),IFERROR(-VALUE(LEFT(E4735,FIND("º",SUBSTITUTE(E4735,"°","º"))-1)),-1),IF(LEFT(E4735,6)="TÉRREO",0,IFERROR(VALUE(LEFT(E4735,FIND("º",SUBSTITUTE(E4735,"°","º"))-1)),""))))</f>
        <v/>
      </c>
      <c r="O4735" s="2">
        <f>IF(OR(F4735="",G4735=""),"",IF(G4735&lt;='RETRATO 2027'!$K$5,"CONCLUÍDA",IF(F4735&lt;='RETRATO 2027'!$K$5,"EM ANDAMENTO","A INICIAR")))</f>
        <v/>
      </c>
    </row>
    <row r="4736">
      <c r="M4736" s="2">
        <f>IF(C4736="","",IFERROR(INDEX($S$5:$S$304,MATCH(C4736,$R$5:$R$304,0))&amp;"","?"))</f>
        <v/>
      </c>
      <c r="N4736" s="2">
        <f>IF(E4736="","",IF(ISNUMBER(SEARCH("SUBSOLO",E4736)),IFERROR(-VALUE(LEFT(E4736,FIND("º",SUBSTITUTE(E4736,"°","º"))-1)),-1),IF(LEFT(E4736,6)="TÉRREO",0,IFERROR(VALUE(LEFT(E4736,FIND("º",SUBSTITUTE(E4736,"°","º"))-1)),""))))</f>
        <v/>
      </c>
      <c r="O4736" s="2">
        <f>IF(OR(F4736="",G4736=""),"",IF(G4736&lt;='RETRATO 2027'!$K$5,"CONCLUÍDA",IF(F4736&lt;='RETRATO 2027'!$K$5,"EM ANDAMENTO","A INICIAR")))</f>
        <v/>
      </c>
    </row>
    <row r="4737">
      <c r="M4737" s="2">
        <f>IF(C4737="","",IFERROR(INDEX($S$5:$S$304,MATCH(C4737,$R$5:$R$304,0))&amp;"","?"))</f>
        <v/>
      </c>
      <c r="N4737" s="2">
        <f>IF(E4737="","",IF(ISNUMBER(SEARCH("SUBSOLO",E4737)),IFERROR(-VALUE(LEFT(E4737,FIND("º",SUBSTITUTE(E4737,"°","º"))-1)),-1),IF(LEFT(E4737,6)="TÉRREO",0,IFERROR(VALUE(LEFT(E4737,FIND("º",SUBSTITUTE(E4737,"°","º"))-1)),""))))</f>
        <v/>
      </c>
      <c r="O4737" s="2">
        <f>IF(OR(F4737="",G4737=""),"",IF(G4737&lt;='RETRATO 2027'!$K$5,"CONCLUÍDA",IF(F4737&lt;='RETRATO 2027'!$K$5,"EM ANDAMENTO","A INICIAR")))</f>
        <v/>
      </c>
    </row>
    <row r="4738">
      <c r="M4738" s="2">
        <f>IF(C4738="","",IFERROR(INDEX($S$5:$S$304,MATCH(C4738,$R$5:$R$304,0))&amp;"","?"))</f>
        <v/>
      </c>
      <c r="N4738" s="2">
        <f>IF(E4738="","",IF(ISNUMBER(SEARCH("SUBSOLO",E4738)),IFERROR(-VALUE(LEFT(E4738,FIND("º",SUBSTITUTE(E4738,"°","º"))-1)),-1),IF(LEFT(E4738,6)="TÉRREO",0,IFERROR(VALUE(LEFT(E4738,FIND("º",SUBSTITUTE(E4738,"°","º"))-1)),""))))</f>
        <v/>
      </c>
      <c r="O4738" s="2">
        <f>IF(OR(F4738="",G4738=""),"",IF(G4738&lt;='RETRATO 2027'!$K$5,"CONCLUÍDA",IF(F4738&lt;='RETRATO 2027'!$K$5,"EM ANDAMENTO","A INICIAR")))</f>
        <v/>
      </c>
    </row>
    <row r="4739">
      <c r="M4739" s="2">
        <f>IF(C4739="","",IFERROR(INDEX($S$5:$S$304,MATCH(C4739,$R$5:$R$304,0))&amp;"","?"))</f>
        <v/>
      </c>
      <c r="N4739" s="2">
        <f>IF(E4739="","",IF(ISNUMBER(SEARCH("SUBSOLO",E4739)),IFERROR(-VALUE(LEFT(E4739,FIND("º",SUBSTITUTE(E4739,"°","º"))-1)),-1),IF(LEFT(E4739,6)="TÉRREO",0,IFERROR(VALUE(LEFT(E4739,FIND("º",SUBSTITUTE(E4739,"°","º"))-1)),""))))</f>
        <v/>
      </c>
      <c r="O4739" s="2">
        <f>IF(OR(F4739="",G4739=""),"",IF(G4739&lt;='RETRATO 2027'!$K$5,"CONCLUÍDA",IF(F4739&lt;='RETRATO 2027'!$K$5,"EM ANDAMENTO","A INICIAR")))</f>
        <v/>
      </c>
    </row>
    <row r="4740">
      <c r="M4740" s="2">
        <f>IF(C4740="","",IFERROR(INDEX($S$5:$S$304,MATCH(C4740,$R$5:$R$304,0))&amp;"","?"))</f>
        <v/>
      </c>
      <c r="N4740" s="2">
        <f>IF(E4740="","",IF(ISNUMBER(SEARCH("SUBSOLO",E4740)),IFERROR(-VALUE(LEFT(E4740,FIND("º",SUBSTITUTE(E4740,"°","º"))-1)),-1),IF(LEFT(E4740,6)="TÉRREO",0,IFERROR(VALUE(LEFT(E4740,FIND("º",SUBSTITUTE(E4740,"°","º"))-1)),""))))</f>
        <v/>
      </c>
      <c r="O4740" s="2">
        <f>IF(OR(F4740="",G4740=""),"",IF(G4740&lt;='RETRATO 2027'!$K$5,"CONCLUÍDA",IF(F4740&lt;='RETRATO 2027'!$K$5,"EM ANDAMENTO","A INICIAR")))</f>
        <v/>
      </c>
    </row>
    <row r="4741">
      <c r="M4741" s="2">
        <f>IF(C4741="","",IFERROR(INDEX($S$5:$S$304,MATCH(C4741,$R$5:$R$304,0))&amp;"","?"))</f>
        <v/>
      </c>
      <c r="N4741" s="2">
        <f>IF(E4741="","",IF(ISNUMBER(SEARCH("SUBSOLO",E4741)),IFERROR(-VALUE(LEFT(E4741,FIND("º",SUBSTITUTE(E4741,"°","º"))-1)),-1),IF(LEFT(E4741,6)="TÉRREO",0,IFERROR(VALUE(LEFT(E4741,FIND("º",SUBSTITUTE(E4741,"°","º"))-1)),""))))</f>
        <v/>
      </c>
      <c r="O4741" s="2">
        <f>IF(OR(F4741="",G4741=""),"",IF(G4741&lt;='RETRATO 2027'!$K$5,"CONCLUÍDA",IF(F4741&lt;='RETRATO 2027'!$K$5,"EM ANDAMENTO","A INICIAR")))</f>
        <v/>
      </c>
    </row>
    <row r="4742">
      <c r="M4742" s="2">
        <f>IF(C4742="","",IFERROR(INDEX($S$5:$S$304,MATCH(C4742,$R$5:$R$304,0))&amp;"","?"))</f>
        <v/>
      </c>
      <c r="N4742" s="2">
        <f>IF(E4742="","",IF(ISNUMBER(SEARCH("SUBSOLO",E4742)),IFERROR(-VALUE(LEFT(E4742,FIND("º",SUBSTITUTE(E4742,"°","º"))-1)),-1),IF(LEFT(E4742,6)="TÉRREO",0,IFERROR(VALUE(LEFT(E4742,FIND("º",SUBSTITUTE(E4742,"°","º"))-1)),""))))</f>
        <v/>
      </c>
      <c r="O4742" s="2">
        <f>IF(OR(F4742="",G4742=""),"",IF(G4742&lt;='RETRATO 2027'!$K$5,"CONCLUÍDA",IF(F4742&lt;='RETRATO 2027'!$K$5,"EM ANDAMENTO","A INICIAR")))</f>
        <v/>
      </c>
    </row>
    <row r="4743">
      <c r="M4743" s="2">
        <f>IF(C4743="","",IFERROR(INDEX($S$5:$S$304,MATCH(C4743,$R$5:$R$304,0))&amp;"","?"))</f>
        <v/>
      </c>
      <c r="N4743" s="2">
        <f>IF(E4743="","",IF(ISNUMBER(SEARCH("SUBSOLO",E4743)),IFERROR(-VALUE(LEFT(E4743,FIND("º",SUBSTITUTE(E4743,"°","º"))-1)),-1),IF(LEFT(E4743,6)="TÉRREO",0,IFERROR(VALUE(LEFT(E4743,FIND("º",SUBSTITUTE(E4743,"°","º"))-1)),""))))</f>
        <v/>
      </c>
      <c r="O4743" s="2">
        <f>IF(OR(F4743="",G4743=""),"",IF(G4743&lt;='RETRATO 2027'!$K$5,"CONCLUÍDA",IF(F4743&lt;='RETRATO 2027'!$K$5,"EM ANDAMENTO","A INICIAR")))</f>
        <v/>
      </c>
    </row>
    <row r="4744">
      <c r="M4744" s="2">
        <f>IF(C4744="","",IFERROR(INDEX($S$5:$S$304,MATCH(C4744,$R$5:$R$304,0))&amp;"","?"))</f>
        <v/>
      </c>
      <c r="N4744" s="2">
        <f>IF(E4744="","",IF(ISNUMBER(SEARCH("SUBSOLO",E4744)),IFERROR(-VALUE(LEFT(E4744,FIND("º",SUBSTITUTE(E4744,"°","º"))-1)),-1),IF(LEFT(E4744,6)="TÉRREO",0,IFERROR(VALUE(LEFT(E4744,FIND("º",SUBSTITUTE(E4744,"°","º"))-1)),""))))</f>
        <v/>
      </c>
      <c r="O4744" s="2">
        <f>IF(OR(F4744="",G4744=""),"",IF(G4744&lt;='RETRATO 2027'!$K$5,"CONCLUÍDA",IF(F4744&lt;='RETRATO 2027'!$K$5,"EM ANDAMENTO","A INICIAR")))</f>
        <v/>
      </c>
    </row>
    <row r="4745">
      <c r="M4745" s="2">
        <f>IF(C4745="","",IFERROR(INDEX($S$5:$S$304,MATCH(C4745,$R$5:$R$304,0))&amp;"","?"))</f>
        <v/>
      </c>
      <c r="N4745" s="2">
        <f>IF(E4745="","",IF(ISNUMBER(SEARCH("SUBSOLO",E4745)),IFERROR(-VALUE(LEFT(E4745,FIND("º",SUBSTITUTE(E4745,"°","º"))-1)),-1),IF(LEFT(E4745,6)="TÉRREO",0,IFERROR(VALUE(LEFT(E4745,FIND("º",SUBSTITUTE(E4745,"°","º"))-1)),""))))</f>
        <v/>
      </c>
      <c r="O4745" s="2">
        <f>IF(OR(F4745="",G4745=""),"",IF(G4745&lt;='RETRATO 2027'!$K$5,"CONCLUÍDA",IF(F4745&lt;='RETRATO 2027'!$K$5,"EM ANDAMENTO","A INICIAR")))</f>
        <v/>
      </c>
    </row>
    <row r="4746">
      <c r="M4746" s="2">
        <f>IF(C4746="","",IFERROR(INDEX($S$5:$S$304,MATCH(C4746,$R$5:$R$304,0))&amp;"","?"))</f>
        <v/>
      </c>
      <c r="N4746" s="2">
        <f>IF(E4746="","",IF(ISNUMBER(SEARCH("SUBSOLO",E4746)),IFERROR(-VALUE(LEFT(E4746,FIND("º",SUBSTITUTE(E4746,"°","º"))-1)),-1),IF(LEFT(E4746,6)="TÉRREO",0,IFERROR(VALUE(LEFT(E4746,FIND("º",SUBSTITUTE(E4746,"°","º"))-1)),""))))</f>
        <v/>
      </c>
      <c r="O4746" s="2">
        <f>IF(OR(F4746="",G4746=""),"",IF(G4746&lt;='RETRATO 2027'!$K$5,"CONCLUÍDA",IF(F4746&lt;='RETRATO 2027'!$K$5,"EM ANDAMENTO","A INICIAR")))</f>
        <v/>
      </c>
    </row>
    <row r="4747">
      <c r="M4747" s="2">
        <f>IF(C4747="","",IFERROR(INDEX($S$5:$S$304,MATCH(C4747,$R$5:$R$304,0))&amp;"","?"))</f>
        <v/>
      </c>
      <c r="N4747" s="2">
        <f>IF(E4747="","",IF(ISNUMBER(SEARCH("SUBSOLO",E4747)),IFERROR(-VALUE(LEFT(E4747,FIND("º",SUBSTITUTE(E4747,"°","º"))-1)),-1),IF(LEFT(E4747,6)="TÉRREO",0,IFERROR(VALUE(LEFT(E4747,FIND("º",SUBSTITUTE(E4747,"°","º"))-1)),""))))</f>
        <v/>
      </c>
      <c r="O4747" s="2">
        <f>IF(OR(F4747="",G4747=""),"",IF(G4747&lt;='RETRATO 2027'!$K$5,"CONCLUÍDA",IF(F4747&lt;='RETRATO 2027'!$K$5,"EM ANDAMENTO","A INICIAR")))</f>
        <v/>
      </c>
    </row>
    <row r="4748">
      <c r="M4748" s="2">
        <f>IF(C4748="","",IFERROR(INDEX($S$5:$S$304,MATCH(C4748,$R$5:$R$304,0))&amp;"","?"))</f>
        <v/>
      </c>
      <c r="N4748" s="2">
        <f>IF(E4748="","",IF(ISNUMBER(SEARCH("SUBSOLO",E4748)),IFERROR(-VALUE(LEFT(E4748,FIND("º",SUBSTITUTE(E4748,"°","º"))-1)),-1),IF(LEFT(E4748,6)="TÉRREO",0,IFERROR(VALUE(LEFT(E4748,FIND("º",SUBSTITUTE(E4748,"°","º"))-1)),""))))</f>
        <v/>
      </c>
      <c r="O4748" s="2">
        <f>IF(OR(F4748="",G4748=""),"",IF(G4748&lt;='RETRATO 2027'!$K$5,"CONCLUÍDA",IF(F4748&lt;='RETRATO 2027'!$K$5,"EM ANDAMENTO","A INICIAR")))</f>
        <v/>
      </c>
    </row>
    <row r="4749">
      <c r="M4749" s="2">
        <f>IF(C4749="","",IFERROR(INDEX($S$5:$S$304,MATCH(C4749,$R$5:$R$304,0))&amp;"","?"))</f>
        <v/>
      </c>
      <c r="N4749" s="2">
        <f>IF(E4749="","",IF(ISNUMBER(SEARCH("SUBSOLO",E4749)),IFERROR(-VALUE(LEFT(E4749,FIND("º",SUBSTITUTE(E4749,"°","º"))-1)),-1),IF(LEFT(E4749,6)="TÉRREO",0,IFERROR(VALUE(LEFT(E4749,FIND("º",SUBSTITUTE(E4749,"°","º"))-1)),""))))</f>
        <v/>
      </c>
      <c r="O4749" s="2">
        <f>IF(OR(F4749="",G4749=""),"",IF(G4749&lt;='RETRATO 2027'!$K$5,"CONCLUÍDA",IF(F4749&lt;='RETRATO 2027'!$K$5,"EM ANDAMENTO","A INICIAR")))</f>
        <v/>
      </c>
    </row>
    <row r="4750">
      <c r="M4750" s="2">
        <f>IF(C4750="","",IFERROR(INDEX($S$5:$S$304,MATCH(C4750,$R$5:$R$304,0))&amp;"","?"))</f>
        <v/>
      </c>
      <c r="N4750" s="2">
        <f>IF(E4750="","",IF(ISNUMBER(SEARCH("SUBSOLO",E4750)),IFERROR(-VALUE(LEFT(E4750,FIND("º",SUBSTITUTE(E4750,"°","º"))-1)),-1),IF(LEFT(E4750,6)="TÉRREO",0,IFERROR(VALUE(LEFT(E4750,FIND("º",SUBSTITUTE(E4750,"°","º"))-1)),""))))</f>
        <v/>
      </c>
      <c r="O4750" s="2">
        <f>IF(OR(F4750="",G4750=""),"",IF(G4750&lt;='RETRATO 2027'!$K$5,"CONCLUÍDA",IF(F4750&lt;='RETRATO 2027'!$K$5,"EM ANDAMENTO","A INICIAR")))</f>
        <v/>
      </c>
    </row>
    <row r="4751">
      <c r="M4751" s="2">
        <f>IF(C4751="","",IFERROR(INDEX($S$5:$S$304,MATCH(C4751,$R$5:$R$304,0))&amp;"","?"))</f>
        <v/>
      </c>
      <c r="N4751" s="2">
        <f>IF(E4751="","",IF(ISNUMBER(SEARCH("SUBSOLO",E4751)),IFERROR(-VALUE(LEFT(E4751,FIND("º",SUBSTITUTE(E4751,"°","º"))-1)),-1),IF(LEFT(E4751,6)="TÉRREO",0,IFERROR(VALUE(LEFT(E4751,FIND("º",SUBSTITUTE(E4751,"°","º"))-1)),""))))</f>
        <v/>
      </c>
      <c r="O4751" s="2">
        <f>IF(OR(F4751="",G4751=""),"",IF(G4751&lt;='RETRATO 2027'!$K$5,"CONCLUÍDA",IF(F4751&lt;='RETRATO 2027'!$K$5,"EM ANDAMENTO","A INICIAR")))</f>
        <v/>
      </c>
    </row>
    <row r="4752">
      <c r="M4752" s="2">
        <f>IF(C4752="","",IFERROR(INDEX($S$5:$S$304,MATCH(C4752,$R$5:$R$304,0))&amp;"","?"))</f>
        <v/>
      </c>
      <c r="N4752" s="2">
        <f>IF(E4752="","",IF(ISNUMBER(SEARCH("SUBSOLO",E4752)),IFERROR(-VALUE(LEFT(E4752,FIND("º",SUBSTITUTE(E4752,"°","º"))-1)),-1),IF(LEFT(E4752,6)="TÉRREO",0,IFERROR(VALUE(LEFT(E4752,FIND("º",SUBSTITUTE(E4752,"°","º"))-1)),""))))</f>
        <v/>
      </c>
      <c r="O4752" s="2">
        <f>IF(OR(F4752="",G4752=""),"",IF(G4752&lt;='RETRATO 2027'!$K$5,"CONCLUÍDA",IF(F4752&lt;='RETRATO 2027'!$K$5,"EM ANDAMENTO","A INICIAR")))</f>
        <v/>
      </c>
    </row>
    <row r="4753">
      <c r="M4753" s="2">
        <f>IF(C4753="","",IFERROR(INDEX($S$5:$S$304,MATCH(C4753,$R$5:$R$304,0))&amp;"","?"))</f>
        <v/>
      </c>
      <c r="N4753" s="2">
        <f>IF(E4753="","",IF(ISNUMBER(SEARCH("SUBSOLO",E4753)),IFERROR(-VALUE(LEFT(E4753,FIND("º",SUBSTITUTE(E4753,"°","º"))-1)),-1),IF(LEFT(E4753,6)="TÉRREO",0,IFERROR(VALUE(LEFT(E4753,FIND("º",SUBSTITUTE(E4753,"°","º"))-1)),""))))</f>
        <v/>
      </c>
      <c r="O4753" s="2">
        <f>IF(OR(F4753="",G4753=""),"",IF(G4753&lt;='RETRATO 2027'!$K$5,"CONCLUÍDA",IF(F4753&lt;='RETRATO 2027'!$K$5,"EM ANDAMENTO","A INICIAR")))</f>
        <v/>
      </c>
    </row>
    <row r="4754">
      <c r="M4754" s="2">
        <f>IF(C4754="","",IFERROR(INDEX($S$5:$S$304,MATCH(C4754,$R$5:$R$304,0))&amp;"","?"))</f>
        <v/>
      </c>
      <c r="N4754" s="2">
        <f>IF(E4754="","",IF(ISNUMBER(SEARCH("SUBSOLO",E4754)),IFERROR(-VALUE(LEFT(E4754,FIND("º",SUBSTITUTE(E4754,"°","º"))-1)),-1),IF(LEFT(E4754,6)="TÉRREO",0,IFERROR(VALUE(LEFT(E4754,FIND("º",SUBSTITUTE(E4754,"°","º"))-1)),""))))</f>
        <v/>
      </c>
      <c r="O4754" s="2">
        <f>IF(OR(F4754="",G4754=""),"",IF(G4754&lt;='RETRATO 2027'!$K$5,"CONCLUÍDA",IF(F4754&lt;='RETRATO 2027'!$K$5,"EM ANDAMENTO","A INICIAR")))</f>
        <v/>
      </c>
    </row>
    <row r="4755">
      <c r="M4755" s="2">
        <f>IF(C4755="","",IFERROR(INDEX($S$5:$S$304,MATCH(C4755,$R$5:$R$304,0))&amp;"","?"))</f>
        <v/>
      </c>
      <c r="N4755" s="2">
        <f>IF(E4755="","",IF(ISNUMBER(SEARCH("SUBSOLO",E4755)),IFERROR(-VALUE(LEFT(E4755,FIND("º",SUBSTITUTE(E4755,"°","º"))-1)),-1),IF(LEFT(E4755,6)="TÉRREO",0,IFERROR(VALUE(LEFT(E4755,FIND("º",SUBSTITUTE(E4755,"°","º"))-1)),""))))</f>
        <v/>
      </c>
      <c r="O4755" s="2">
        <f>IF(OR(F4755="",G4755=""),"",IF(G4755&lt;='RETRATO 2027'!$K$5,"CONCLUÍDA",IF(F4755&lt;='RETRATO 2027'!$K$5,"EM ANDAMENTO","A INICIAR")))</f>
        <v/>
      </c>
    </row>
    <row r="4756">
      <c r="M4756" s="2">
        <f>IF(C4756="","",IFERROR(INDEX($S$5:$S$304,MATCH(C4756,$R$5:$R$304,0))&amp;"","?"))</f>
        <v/>
      </c>
      <c r="N4756" s="2">
        <f>IF(E4756="","",IF(ISNUMBER(SEARCH("SUBSOLO",E4756)),IFERROR(-VALUE(LEFT(E4756,FIND("º",SUBSTITUTE(E4756,"°","º"))-1)),-1),IF(LEFT(E4756,6)="TÉRREO",0,IFERROR(VALUE(LEFT(E4756,FIND("º",SUBSTITUTE(E4756,"°","º"))-1)),""))))</f>
        <v/>
      </c>
      <c r="O4756" s="2">
        <f>IF(OR(F4756="",G4756=""),"",IF(G4756&lt;='RETRATO 2027'!$K$5,"CONCLUÍDA",IF(F4756&lt;='RETRATO 2027'!$K$5,"EM ANDAMENTO","A INICIAR")))</f>
        <v/>
      </c>
    </row>
    <row r="4757">
      <c r="M4757" s="2">
        <f>IF(C4757="","",IFERROR(INDEX($S$5:$S$304,MATCH(C4757,$R$5:$R$304,0))&amp;"","?"))</f>
        <v/>
      </c>
      <c r="N4757" s="2">
        <f>IF(E4757="","",IF(ISNUMBER(SEARCH("SUBSOLO",E4757)),IFERROR(-VALUE(LEFT(E4757,FIND("º",SUBSTITUTE(E4757,"°","º"))-1)),-1),IF(LEFT(E4757,6)="TÉRREO",0,IFERROR(VALUE(LEFT(E4757,FIND("º",SUBSTITUTE(E4757,"°","º"))-1)),""))))</f>
        <v/>
      </c>
      <c r="O4757" s="2">
        <f>IF(OR(F4757="",G4757=""),"",IF(G4757&lt;='RETRATO 2027'!$K$5,"CONCLUÍDA",IF(F4757&lt;='RETRATO 2027'!$K$5,"EM ANDAMENTO","A INICIAR")))</f>
        <v/>
      </c>
    </row>
    <row r="4758">
      <c r="M4758" s="2">
        <f>IF(C4758="","",IFERROR(INDEX($S$5:$S$304,MATCH(C4758,$R$5:$R$304,0))&amp;"","?"))</f>
        <v/>
      </c>
      <c r="N4758" s="2">
        <f>IF(E4758="","",IF(ISNUMBER(SEARCH("SUBSOLO",E4758)),IFERROR(-VALUE(LEFT(E4758,FIND("º",SUBSTITUTE(E4758,"°","º"))-1)),-1),IF(LEFT(E4758,6)="TÉRREO",0,IFERROR(VALUE(LEFT(E4758,FIND("º",SUBSTITUTE(E4758,"°","º"))-1)),""))))</f>
        <v/>
      </c>
      <c r="O4758" s="2">
        <f>IF(OR(F4758="",G4758=""),"",IF(G4758&lt;='RETRATO 2027'!$K$5,"CONCLUÍDA",IF(F4758&lt;='RETRATO 2027'!$K$5,"EM ANDAMENTO","A INICIAR")))</f>
        <v/>
      </c>
    </row>
    <row r="4759">
      <c r="M4759" s="2">
        <f>IF(C4759="","",IFERROR(INDEX($S$5:$S$304,MATCH(C4759,$R$5:$R$304,0))&amp;"","?"))</f>
        <v/>
      </c>
      <c r="N4759" s="2">
        <f>IF(E4759="","",IF(ISNUMBER(SEARCH("SUBSOLO",E4759)),IFERROR(-VALUE(LEFT(E4759,FIND("º",SUBSTITUTE(E4759,"°","º"))-1)),-1),IF(LEFT(E4759,6)="TÉRREO",0,IFERROR(VALUE(LEFT(E4759,FIND("º",SUBSTITUTE(E4759,"°","º"))-1)),""))))</f>
        <v/>
      </c>
      <c r="O4759" s="2">
        <f>IF(OR(F4759="",G4759=""),"",IF(G4759&lt;='RETRATO 2027'!$K$5,"CONCLUÍDA",IF(F4759&lt;='RETRATO 2027'!$K$5,"EM ANDAMENTO","A INICIAR")))</f>
        <v/>
      </c>
    </row>
    <row r="4760">
      <c r="M4760" s="2">
        <f>IF(C4760="","",IFERROR(INDEX($S$5:$S$304,MATCH(C4760,$R$5:$R$304,0))&amp;"","?"))</f>
        <v/>
      </c>
      <c r="N4760" s="2">
        <f>IF(E4760="","",IF(ISNUMBER(SEARCH("SUBSOLO",E4760)),IFERROR(-VALUE(LEFT(E4760,FIND("º",SUBSTITUTE(E4760,"°","º"))-1)),-1),IF(LEFT(E4760,6)="TÉRREO",0,IFERROR(VALUE(LEFT(E4760,FIND("º",SUBSTITUTE(E4760,"°","º"))-1)),""))))</f>
        <v/>
      </c>
      <c r="O4760" s="2">
        <f>IF(OR(F4760="",G4760=""),"",IF(G4760&lt;='RETRATO 2027'!$K$5,"CONCLUÍDA",IF(F4760&lt;='RETRATO 2027'!$K$5,"EM ANDAMENTO","A INICIAR")))</f>
        <v/>
      </c>
    </row>
    <row r="4761">
      <c r="M4761" s="2">
        <f>IF(C4761="","",IFERROR(INDEX($S$5:$S$304,MATCH(C4761,$R$5:$R$304,0))&amp;"","?"))</f>
        <v/>
      </c>
      <c r="N4761" s="2">
        <f>IF(E4761="","",IF(ISNUMBER(SEARCH("SUBSOLO",E4761)),IFERROR(-VALUE(LEFT(E4761,FIND("º",SUBSTITUTE(E4761,"°","º"))-1)),-1),IF(LEFT(E4761,6)="TÉRREO",0,IFERROR(VALUE(LEFT(E4761,FIND("º",SUBSTITUTE(E4761,"°","º"))-1)),""))))</f>
        <v/>
      </c>
      <c r="O4761" s="2">
        <f>IF(OR(F4761="",G4761=""),"",IF(G4761&lt;='RETRATO 2027'!$K$5,"CONCLUÍDA",IF(F4761&lt;='RETRATO 2027'!$K$5,"EM ANDAMENTO","A INICIAR")))</f>
        <v/>
      </c>
    </row>
    <row r="4762">
      <c r="M4762" s="2">
        <f>IF(C4762="","",IFERROR(INDEX($S$5:$S$304,MATCH(C4762,$R$5:$R$304,0))&amp;"","?"))</f>
        <v/>
      </c>
      <c r="N4762" s="2">
        <f>IF(E4762="","",IF(ISNUMBER(SEARCH("SUBSOLO",E4762)),IFERROR(-VALUE(LEFT(E4762,FIND("º",SUBSTITUTE(E4762,"°","º"))-1)),-1),IF(LEFT(E4762,6)="TÉRREO",0,IFERROR(VALUE(LEFT(E4762,FIND("º",SUBSTITUTE(E4762,"°","º"))-1)),""))))</f>
        <v/>
      </c>
      <c r="O4762" s="2">
        <f>IF(OR(F4762="",G4762=""),"",IF(G4762&lt;='RETRATO 2027'!$K$5,"CONCLUÍDA",IF(F4762&lt;='RETRATO 2027'!$K$5,"EM ANDAMENTO","A INICIAR")))</f>
        <v/>
      </c>
    </row>
    <row r="4763">
      <c r="M4763" s="2">
        <f>IF(C4763="","",IFERROR(INDEX($S$5:$S$304,MATCH(C4763,$R$5:$R$304,0))&amp;"","?"))</f>
        <v/>
      </c>
      <c r="N4763" s="2">
        <f>IF(E4763="","",IF(ISNUMBER(SEARCH("SUBSOLO",E4763)),IFERROR(-VALUE(LEFT(E4763,FIND("º",SUBSTITUTE(E4763,"°","º"))-1)),-1),IF(LEFT(E4763,6)="TÉRREO",0,IFERROR(VALUE(LEFT(E4763,FIND("º",SUBSTITUTE(E4763,"°","º"))-1)),""))))</f>
        <v/>
      </c>
      <c r="O4763" s="2">
        <f>IF(OR(F4763="",G4763=""),"",IF(G4763&lt;='RETRATO 2027'!$K$5,"CONCLUÍDA",IF(F4763&lt;='RETRATO 2027'!$K$5,"EM ANDAMENTO","A INICIAR")))</f>
        <v/>
      </c>
    </row>
    <row r="4764">
      <c r="M4764" s="2">
        <f>IF(C4764="","",IFERROR(INDEX($S$5:$S$304,MATCH(C4764,$R$5:$R$304,0))&amp;"","?"))</f>
        <v/>
      </c>
      <c r="N4764" s="2">
        <f>IF(E4764="","",IF(ISNUMBER(SEARCH("SUBSOLO",E4764)),IFERROR(-VALUE(LEFT(E4764,FIND("º",SUBSTITUTE(E4764,"°","º"))-1)),-1),IF(LEFT(E4764,6)="TÉRREO",0,IFERROR(VALUE(LEFT(E4764,FIND("º",SUBSTITUTE(E4764,"°","º"))-1)),""))))</f>
        <v/>
      </c>
      <c r="O4764" s="2">
        <f>IF(OR(F4764="",G4764=""),"",IF(G4764&lt;='RETRATO 2027'!$K$5,"CONCLUÍDA",IF(F4764&lt;='RETRATO 2027'!$K$5,"EM ANDAMENTO","A INICIAR")))</f>
        <v/>
      </c>
    </row>
    <row r="4765">
      <c r="M4765" s="2">
        <f>IF(C4765="","",IFERROR(INDEX($S$5:$S$304,MATCH(C4765,$R$5:$R$304,0))&amp;"","?"))</f>
        <v/>
      </c>
      <c r="N4765" s="2">
        <f>IF(E4765="","",IF(ISNUMBER(SEARCH("SUBSOLO",E4765)),IFERROR(-VALUE(LEFT(E4765,FIND("º",SUBSTITUTE(E4765,"°","º"))-1)),-1),IF(LEFT(E4765,6)="TÉRREO",0,IFERROR(VALUE(LEFT(E4765,FIND("º",SUBSTITUTE(E4765,"°","º"))-1)),""))))</f>
        <v/>
      </c>
      <c r="O4765" s="2">
        <f>IF(OR(F4765="",G4765=""),"",IF(G4765&lt;='RETRATO 2027'!$K$5,"CONCLUÍDA",IF(F4765&lt;='RETRATO 2027'!$K$5,"EM ANDAMENTO","A INICIAR")))</f>
        <v/>
      </c>
    </row>
    <row r="4766">
      <c r="M4766" s="2">
        <f>IF(C4766="","",IFERROR(INDEX($S$5:$S$304,MATCH(C4766,$R$5:$R$304,0))&amp;"","?"))</f>
        <v/>
      </c>
      <c r="N4766" s="2">
        <f>IF(E4766="","",IF(ISNUMBER(SEARCH("SUBSOLO",E4766)),IFERROR(-VALUE(LEFT(E4766,FIND("º",SUBSTITUTE(E4766,"°","º"))-1)),-1),IF(LEFT(E4766,6)="TÉRREO",0,IFERROR(VALUE(LEFT(E4766,FIND("º",SUBSTITUTE(E4766,"°","º"))-1)),""))))</f>
        <v/>
      </c>
      <c r="O4766" s="2">
        <f>IF(OR(F4766="",G4766=""),"",IF(G4766&lt;='RETRATO 2027'!$K$5,"CONCLUÍDA",IF(F4766&lt;='RETRATO 2027'!$K$5,"EM ANDAMENTO","A INICIAR")))</f>
        <v/>
      </c>
    </row>
    <row r="4767">
      <c r="M4767" s="2">
        <f>IF(C4767="","",IFERROR(INDEX($S$5:$S$304,MATCH(C4767,$R$5:$R$304,0))&amp;"","?"))</f>
        <v/>
      </c>
      <c r="N4767" s="2">
        <f>IF(E4767="","",IF(ISNUMBER(SEARCH("SUBSOLO",E4767)),IFERROR(-VALUE(LEFT(E4767,FIND("º",SUBSTITUTE(E4767,"°","º"))-1)),-1),IF(LEFT(E4767,6)="TÉRREO",0,IFERROR(VALUE(LEFT(E4767,FIND("º",SUBSTITUTE(E4767,"°","º"))-1)),""))))</f>
        <v/>
      </c>
      <c r="O4767" s="2">
        <f>IF(OR(F4767="",G4767=""),"",IF(G4767&lt;='RETRATO 2027'!$K$5,"CONCLUÍDA",IF(F4767&lt;='RETRATO 2027'!$K$5,"EM ANDAMENTO","A INICIAR")))</f>
        <v/>
      </c>
    </row>
    <row r="4768">
      <c r="M4768" s="2">
        <f>IF(C4768="","",IFERROR(INDEX($S$5:$S$304,MATCH(C4768,$R$5:$R$304,0))&amp;"","?"))</f>
        <v/>
      </c>
      <c r="N4768" s="2">
        <f>IF(E4768="","",IF(ISNUMBER(SEARCH("SUBSOLO",E4768)),IFERROR(-VALUE(LEFT(E4768,FIND("º",SUBSTITUTE(E4768,"°","º"))-1)),-1),IF(LEFT(E4768,6)="TÉRREO",0,IFERROR(VALUE(LEFT(E4768,FIND("º",SUBSTITUTE(E4768,"°","º"))-1)),""))))</f>
        <v/>
      </c>
      <c r="O4768" s="2">
        <f>IF(OR(F4768="",G4768=""),"",IF(G4768&lt;='RETRATO 2027'!$K$5,"CONCLUÍDA",IF(F4768&lt;='RETRATO 2027'!$K$5,"EM ANDAMENTO","A INICIAR")))</f>
        <v/>
      </c>
    </row>
    <row r="4769">
      <c r="M4769" s="2">
        <f>IF(C4769="","",IFERROR(INDEX($S$5:$S$304,MATCH(C4769,$R$5:$R$304,0))&amp;"","?"))</f>
        <v/>
      </c>
      <c r="N4769" s="2">
        <f>IF(E4769="","",IF(ISNUMBER(SEARCH("SUBSOLO",E4769)),IFERROR(-VALUE(LEFT(E4769,FIND("º",SUBSTITUTE(E4769,"°","º"))-1)),-1),IF(LEFT(E4769,6)="TÉRREO",0,IFERROR(VALUE(LEFT(E4769,FIND("º",SUBSTITUTE(E4769,"°","º"))-1)),""))))</f>
        <v/>
      </c>
      <c r="O4769" s="2">
        <f>IF(OR(F4769="",G4769=""),"",IF(G4769&lt;='RETRATO 2027'!$K$5,"CONCLUÍDA",IF(F4769&lt;='RETRATO 2027'!$K$5,"EM ANDAMENTO","A INICIAR")))</f>
        <v/>
      </c>
    </row>
    <row r="4770">
      <c r="M4770" s="2">
        <f>IF(C4770="","",IFERROR(INDEX($S$5:$S$304,MATCH(C4770,$R$5:$R$304,0))&amp;"","?"))</f>
        <v/>
      </c>
      <c r="N4770" s="2">
        <f>IF(E4770="","",IF(ISNUMBER(SEARCH("SUBSOLO",E4770)),IFERROR(-VALUE(LEFT(E4770,FIND("º",SUBSTITUTE(E4770,"°","º"))-1)),-1),IF(LEFT(E4770,6)="TÉRREO",0,IFERROR(VALUE(LEFT(E4770,FIND("º",SUBSTITUTE(E4770,"°","º"))-1)),""))))</f>
        <v/>
      </c>
      <c r="O4770" s="2">
        <f>IF(OR(F4770="",G4770=""),"",IF(G4770&lt;='RETRATO 2027'!$K$5,"CONCLUÍDA",IF(F4770&lt;='RETRATO 2027'!$K$5,"EM ANDAMENTO","A INICIAR")))</f>
        <v/>
      </c>
    </row>
    <row r="4771">
      <c r="M4771" s="2">
        <f>IF(C4771="","",IFERROR(INDEX($S$5:$S$304,MATCH(C4771,$R$5:$R$304,0))&amp;"","?"))</f>
        <v/>
      </c>
      <c r="N4771" s="2">
        <f>IF(E4771="","",IF(ISNUMBER(SEARCH("SUBSOLO",E4771)),IFERROR(-VALUE(LEFT(E4771,FIND("º",SUBSTITUTE(E4771,"°","º"))-1)),-1),IF(LEFT(E4771,6)="TÉRREO",0,IFERROR(VALUE(LEFT(E4771,FIND("º",SUBSTITUTE(E4771,"°","º"))-1)),""))))</f>
        <v/>
      </c>
      <c r="O4771" s="2">
        <f>IF(OR(F4771="",G4771=""),"",IF(G4771&lt;='RETRATO 2027'!$K$5,"CONCLUÍDA",IF(F4771&lt;='RETRATO 2027'!$K$5,"EM ANDAMENTO","A INICIAR")))</f>
        <v/>
      </c>
    </row>
    <row r="4772">
      <c r="M4772" s="2">
        <f>IF(C4772="","",IFERROR(INDEX($S$5:$S$304,MATCH(C4772,$R$5:$R$304,0))&amp;"","?"))</f>
        <v/>
      </c>
      <c r="N4772" s="2">
        <f>IF(E4772="","",IF(ISNUMBER(SEARCH("SUBSOLO",E4772)),IFERROR(-VALUE(LEFT(E4772,FIND("º",SUBSTITUTE(E4772,"°","º"))-1)),-1),IF(LEFT(E4772,6)="TÉRREO",0,IFERROR(VALUE(LEFT(E4772,FIND("º",SUBSTITUTE(E4772,"°","º"))-1)),""))))</f>
        <v/>
      </c>
      <c r="O4772" s="2">
        <f>IF(OR(F4772="",G4772=""),"",IF(G4772&lt;='RETRATO 2027'!$K$5,"CONCLUÍDA",IF(F4772&lt;='RETRATO 2027'!$K$5,"EM ANDAMENTO","A INICIAR")))</f>
        <v/>
      </c>
    </row>
    <row r="4773">
      <c r="M4773" s="2">
        <f>IF(C4773="","",IFERROR(INDEX($S$5:$S$304,MATCH(C4773,$R$5:$R$304,0))&amp;"","?"))</f>
        <v/>
      </c>
      <c r="N4773" s="2">
        <f>IF(E4773="","",IF(ISNUMBER(SEARCH("SUBSOLO",E4773)),IFERROR(-VALUE(LEFT(E4773,FIND("º",SUBSTITUTE(E4773,"°","º"))-1)),-1),IF(LEFT(E4773,6)="TÉRREO",0,IFERROR(VALUE(LEFT(E4773,FIND("º",SUBSTITUTE(E4773,"°","º"))-1)),""))))</f>
        <v/>
      </c>
      <c r="O4773" s="2">
        <f>IF(OR(F4773="",G4773=""),"",IF(G4773&lt;='RETRATO 2027'!$K$5,"CONCLUÍDA",IF(F4773&lt;='RETRATO 2027'!$K$5,"EM ANDAMENTO","A INICIAR")))</f>
        <v/>
      </c>
    </row>
    <row r="4774">
      <c r="M4774" s="2">
        <f>IF(C4774="","",IFERROR(INDEX($S$5:$S$304,MATCH(C4774,$R$5:$R$304,0))&amp;"","?"))</f>
        <v/>
      </c>
      <c r="N4774" s="2">
        <f>IF(E4774="","",IF(ISNUMBER(SEARCH("SUBSOLO",E4774)),IFERROR(-VALUE(LEFT(E4774,FIND("º",SUBSTITUTE(E4774,"°","º"))-1)),-1),IF(LEFT(E4774,6)="TÉRREO",0,IFERROR(VALUE(LEFT(E4774,FIND("º",SUBSTITUTE(E4774,"°","º"))-1)),""))))</f>
        <v/>
      </c>
      <c r="O4774" s="2">
        <f>IF(OR(F4774="",G4774=""),"",IF(G4774&lt;='RETRATO 2027'!$K$5,"CONCLUÍDA",IF(F4774&lt;='RETRATO 2027'!$K$5,"EM ANDAMENTO","A INICIAR")))</f>
        <v/>
      </c>
    </row>
    <row r="4775">
      <c r="M4775" s="2">
        <f>IF(C4775="","",IFERROR(INDEX($S$5:$S$304,MATCH(C4775,$R$5:$R$304,0))&amp;"","?"))</f>
        <v/>
      </c>
      <c r="N4775" s="2">
        <f>IF(E4775="","",IF(ISNUMBER(SEARCH("SUBSOLO",E4775)),IFERROR(-VALUE(LEFT(E4775,FIND("º",SUBSTITUTE(E4775,"°","º"))-1)),-1),IF(LEFT(E4775,6)="TÉRREO",0,IFERROR(VALUE(LEFT(E4775,FIND("º",SUBSTITUTE(E4775,"°","º"))-1)),""))))</f>
        <v/>
      </c>
      <c r="O4775" s="2">
        <f>IF(OR(F4775="",G4775=""),"",IF(G4775&lt;='RETRATO 2027'!$K$5,"CONCLUÍDA",IF(F4775&lt;='RETRATO 2027'!$K$5,"EM ANDAMENTO","A INICIAR")))</f>
        <v/>
      </c>
    </row>
    <row r="4776">
      <c r="M4776" s="2">
        <f>IF(C4776="","",IFERROR(INDEX($S$5:$S$304,MATCH(C4776,$R$5:$R$304,0))&amp;"","?"))</f>
        <v/>
      </c>
      <c r="N4776" s="2">
        <f>IF(E4776="","",IF(ISNUMBER(SEARCH("SUBSOLO",E4776)),IFERROR(-VALUE(LEFT(E4776,FIND("º",SUBSTITUTE(E4776,"°","º"))-1)),-1),IF(LEFT(E4776,6)="TÉRREO",0,IFERROR(VALUE(LEFT(E4776,FIND("º",SUBSTITUTE(E4776,"°","º"))-1)),""))))</f>
        <v/>
      </c>
      <c r="O4776" s="2">
        <f>IF(OR(F4776="",G4776=""),"",IF(G4776&lt;='RETRATO 2027'!$K$5,"CONCLUÍDA",IF(F4776&lt;='RETRATO 2027'!$K$5,"EM ANDAMENTO","A INICIAR")))</f>
        <v/>
      </c>
    </row>
    <row r="4777">
      <c r="M4777" s="2">
        <f>IF(C4777="","",IFERROR(INDEX($S$5:$S$304,MATCH(C4777,$R$5:$R$304,0))&amp;"","?"))</f>
        <v/>
      </c>
      <c r="N4777" s="2">
        <f>IF(E4777="","",IF(ISNUMBER(SEARCH("SUBSOLO",E4777)),IFERROR(-VALUE(LEFT(E4777,FIND("º",SUBSTITUTE(E4777,"°","º"))-1)),-1),IF(LEFT(E4777,6)="TÉRREO",0,IFERROR(VALUE(LEFT(E4777,FIND("º",SUBSTITUTE(E4777,"°","º"))-1)),""))))</f>
        <v/>
      </c>
      <c r="O4777" s="2">
        <f>IF(OR(F4777="",G4777=""),"",IF(G4777&lt;='RETRATO 2027'!$K$5,"CONCLUÍDA",IF(F4777&lt;='RETRATO 2027'!$K$5,"EM ANDAMENTO","A INICIAR")))</f>
        <v/>
      </c>
    </row>
    <row r="4778">
      <c r="M4778" s="2">
        <f>IF(C4778="","",IFERROR(INDEX($S$5:$S$304,MATCH(C4778,$R$5:$R$304,0))&amp;"","?"))</f>
        <v/>
      </c>
      <c r="N4778" s="2">
        <f>IF(E4778="","",IF(ISNUMBER(SEARCH("SUBSOLO",E4778)),IFERROR(-VALUE(LEFT(E4778,FIND("º",SUBSTITUTE(E4778,"°","º"))-1)),-1),IF(LEFT(E4778,6)="TÉRREO",0,IFERROR(VALUE(LEFT(E4778,FIND("º",SUBSTITUTE(E4778,"°","º"))-1)),""))))</f>
        <v/>
      </c>
      <c r="O4778" s="2">
        <f>IF(OR(F4778="",G4778=""),"",IF(G4778&lt;='RETRATO 2027'!$K$5,"CONCLUÍDA",IF(F4778&lt;='RETRATO 2027'!$K$5,"EM ANDAMENTO","A INICIAR")))</f>
        <v/>
      </c>
    </row>
    <row r="4779">
      <c r="M4779" s="2">
        <f>IF(C4779="","",IFERROR(INDEX($S$5:$S$304,MATCH(C4779,$R$5:$R$304,0))&amp;"","?"))</f>
        <v/>
      </c>
      <c r="N4779" s="2">
        <f>IF(E4779="","",IF(ISNUMBER(SEARCH("SUBSOLO",E4779)),IFERROR(-VALUE(LEFT(E4779,FIND("º",SUBSTITUTE(E4779,"°","º"))-1)),-1),IF(LEFT(E4779,6)="TÉRREO",0,IFERROR(VALUE(LEFT(E4779,FIND("º",SUBSTITUTE(E4779,"°","º"))-1)),""))))</f>
        <v/>
      </c>
      <c r="O4779" s="2">
        <f>IF(OR(F4779="",G4779=""),"",IF(G4779&lt;='RETRATO 2027'!$K$5,"CONCLUÍDA",IF(F4779&lt;='RETRATO 2027'!$K$5,"EM ANDAMENTO","A INICIAR")))</f>
        <v/>
      </c>
    </row>
    <row r="4780">
      <c r="M4780" s="2">
        <f>IF(C4780="","",IFERROR(INDEX($S$5:$S$304,MATCH(C4780,$R$5:$R$304,0))&amp;"","?"))</f>
        <v/>
      </c>
      <c r="N4780" s="2">
        <f>IF(E4780="","",IF(ISNUMBER(SEARCH("SUBSOLO",E4780)),IFERROR(-VALUE(LEFT(E4780,FIND("º",SUBSTITUTE(E4780,"°","º"))-1)),-1),IF(LEFT(E4780,6)="TÉRREO",0,IFERROR(VALUE(LEFT(E4780,FIND("º",SUBSTITUTE(E4780,"°","º"))-1)),""))))</f>
        <v/>
      </c>
      <c r="O4780" s="2">
        <f>IF(OR(F4780="",G4780=""),"",IF(G4780&lt;='RETRATO 2027'!$K$5,"CONCLUÍDA",IF(F4780&lt;='RETRATO 2027'!$K$5,"EM ANDAMENTO","A INICIAR")))</f>
        <v/>
      </c>
    </row>
    <row r="4781">
      <c r="M4781" s="2">
        <f>IF(C4781="","",IFERROR(INDEX($S$5:$S$304,MATCH(C4781,$R$5:$R$304,0))&amp;"","?"))</f>
        <v/>
      </c>
      <c r="N4781" s="2">
        <f>IF(E4781="","",IF(ISNUMBER(SEARCH("SUBSOLO",E4781)),IFERROR(-VALUE(LEFT(E4781,FIND("º",SUBSTITUTE(E4781,"°","º"))-1)),-1),IF(LEFT(E4781,6)="TÉRREO",0,IFERROR(VALUE(LEFT(E4781,FIND("º",SUBSTITUTE(E4781,"°","º"))-1)),""))))</f>
        <v/>
      </c>
      <c r="O4781" s="2">
        <f>IF(OR(F4781="",G4781=""),"",IF(G4781&lt;='RETRATO 2027'!$K$5,"CONCLUÍDA",IF(F4781&lt;='RETRATO 2027'!$K$5,"EM ANDAMENTO","A INICIAR")))</f>
        <v/>
      </c>
    </row>
    <row r="4782">
      <c r="M4782" s="2">
        <f>IF(C4782="","",IFERROR(INDEX($S$5:$S$304,MATCH(C4782,$R$5:$R$304,0))&amp;"","?"))</f>
        <v/>
      </c>
      <c r="N4782" s="2">
        <f>IF(E4782="","",IF(ISNUMBER(SEARCH("SUBSOLO",E4782)),IFERROR(-VALUE(LEFT(E4782,FIND("º",SUBSTITUTE(E4782,"°","º"))-1)),-1),IF(LEFT(E4782,6)="TÉRREO",0,IFERROR(VALUE(LEFT(E4782,FIND("º",SUBSTITUTE(E4782,"°","º"))-1)),""))))</f>
        <v/>
      </c>
      <c r="O4782" s="2">
        <f>IF(OR(F4782="",G4782=""),"",IF(G4782&lt;='RETRATO 2027'!$K$5,"CONCLUÍDA",IF(F4782&lt;='RETRATO 2027'!$K$5,"EM ANDAMENTO","A INICIAR")))</f>
        <v/>
      </c>
    </row>
    <row r="4783">
      <c r="M4783" s="2">
        <f>IF(C4783="","",IFERROR(INDEX($S$5:$S$304,MATCH(C4783,$R$5:$R$304,0))&amp;"","?"))</f>
        <v/>
      </c>
      <c r="N4783" s="2">
        <f>IF(E4783="","",IF(ISNUMBER(SEARCH("SUBSOLO",E4783)),IFERROR(-VALUE(LEFT(E4783,FIND("º",SUBSTITUTE(E4783,"°","º"))-1)),-1),IF(LEFT(E4783,6)="TÉRREO",0,IFERROR(VALUE(LEFT(E4783,FIND("º",SUBSTITUTE(E4783,"°","º"))-1)),""))))</f>
        <v/>
      </c>
      <c r="O4783" s="2">
        <f>IF(OR(F4783="",G4783=""),"",IF(G4783&lt;='RETRATO 2027'!$K$5,"CONCLUÍDA",IF(F4783&lt;='RETRATO 2027'!$K$5,"EM ANDAMENTO","A INICIAR")))</f>
        <v/>
      </c>
    </row>
    <row r="4784">
      <c r="M4784" s="2">
        <f>IF(C4784="","",IFERROR(INDEX($S$5:$S$304,MATCH(C4784,$R$5:$R$304,0))&amp;"","?"))</f>
        <v/>
      </c>
      <c r="N4784" s="2">
        <f>IF(E4784="","",IF(ISNUMBER(SEARCH("SUBSOLO",E4784)),IFERROR(-VALUE(LEFT(E4784,FIND("º",SUBSTITUTE(E4784,"°","º"))-1)),-1),IF(LEFT(E4784,6)="TÉRREO",0,IFERROR(VALUE(LEFT(E4784,FIND("º",SUBSTITUTE(E4784,"°","º"))-1)),""))))</f>
        <v/>
      </c>
      <c r="O4784" s="2">
        <f>IF(OR(F4784="",G4784=""),"",IF(G4784&lt;='RETRATO 2027'!$K$5,"CONCLUÍDA",IF(F4784&lt;='RETRATO 2027'!$K$5,"EM ANDAMENTO","A INICIAR")))</f>
        <v/>
      </c>
    </row>
    <row r="4785">
      <c r="M4785" s="2">
        <f>IF(C4785="","",IFERROR(INDEX($S$5:$S$304,MATCH(C4785,$R$5:$R$304,0))&amp;"","?"))</f>
        <v/>
      </c>
      <c r="N4785" s="2">
        <f>IF(E4785="","",IF(ISNUMBER(SEARCH("SUBSOLO",E4785)),IFERROR(-VALUE(LEFT(E4785,FIND("º",SUBSTITUTE(E4785,"°","º"))-1)),-1),IF(LEFT(E4785,6)="TÉRREO",0,IFERROR(VALUE(LEFT(E4785,FIND("º",SUBSTITUTE(E4785,"°","º"))-1)),""))))</f>
        <v/>
      </c>
      <c r="O4785" s="2">
        <f>IF(OR(F4785="",G4785=""),"",IF(G4785&lt;='RETRATO 2027'!$K$5,"CONCLUÍDA",IF(F4785&lt;='RETRATO 2027'!$K$5,"EM ANDAMENTO","A INICIAR")))</f>
        <v/>
      </c>
    </row>
    <row r="4786">
      <c r="M4786" s="2">
        <f>IF(C4786="","",IFERROR(INDEX($S$5:$S$304,MATCH(C4786,$R$5:$R$304,0))&amp;"","?"))</f>
        <v/>
      </c>
      <c r="N4786" s="2">
        <f>IF(E4786="","",IF(ISNUMBER(SEARCH("SUBSOLO",E4786)),IFERROR(-VALUE(LEFT(E4786,FIND("º",SUBSTITUTE(E4786,"°","º"))-1)),-1),IF(LEFT(E4786,6)="TÉRREO",0,IFERROR(VALUE(LEFT(E4786,FIND("º",SUBSTITUTE(E4786,"°","º"))-1)),""))))</f>
        <v/>
      </c>
      <c r="O4786" s="2">
        <f>IF(OR(F4786="",G4786=""),"",IF(G4786&lt;='RETRATO 2027'!$K$5,"CONCLUÍDA",IF(F4786&lt;='RETRATO 2027'!$K$5,"EM ANDAMENTO","A INICIAR")))</f>
        <v/>
      </c>
    </row>
    <row r="4787">
      <c r="M4787" s="2">
        <f>IF(C4787="","",IFERROR(INDEX($S$5:$S$304,MATCH(C4787,$R$5:$R$304,0))&amp;"","?"))</f>
        <v/>
      </c>
      <c r="N4787" s="2">
        <f>IF(E4787="","",IF(ISNUMBER(SEARCH("SUBSOLO",E4787)),IFERROR(-VALUE(LEFT(E4787,FIND("º",SUBSTITUTE(E4787,"°","º"))-1)),-1),IF(LEFT(E4787,6)="TÉRREO",0,IFERROR(VALUE(LEFT(E4787,FIND("º",SUBSTITUTE(E4787,"°","º"))-1)),""))))</f>
        <v/>
      </c>
      <c r="O4787" s="2">
        <f>IF(OR(F4787="",G4787=""),"",IF(G4787&lt;='RETRATO 2027'!$K$5,"CONCLUÍDA",IF(F4787&lt;='RETRATO 2027'!$K$5,"EM ANDAMENTO","A INICIAR")))</f>
        <v/>
      </c>
    </row>
    <row r="4788">
      <c r="M4788" s="2">
        <f>IF(C4788="","",IFERROR(INDEX($S$5:$S$304,MATCH(C4788,$R$5:$R$304,0))&amp;"","?"))</f>
        <v/>
      </c>
      <c r="N4788" s="2">
        <f>IF(E4788="","",IF(ISNUMBER(SEARCH("SUBSOLO",E4788)),IFERROR(-VALUE(LEFT(E4788,FIND("º",SUBSTITUTE(E4788,"°","º"))-1)),-1),IF(LEFT(E4788,6)="TÉRREO",0,IFERROR(VALUE(LEFT(E4788,FIND("º",SUBSTITUTE(E4788,"°","º"))-1)),""))))</f>
        <v/>
      </c>
      <c r="O4788" s="2">
        <f>IF(OR(F4788="",G4788=""),"",IF(G4788&lt;='RETRATO 2027'!$K$5,"CONCLUÍDA",IF(F4788&lt;='RETRATO 2027'!$K$5,"EM ANDAMENTO","A INICIAR")))</f>
        <v/>
      </c>
    </row>
    <row r="4789">
      <c r="M4789" s="2">
        <f>IF(C4789="","",IFERROR(INDEX($S$5:$S$304,MATCH(C4789,$R$5:$R$304,0))&amp;"","?"))</f>
        <v/>
      </c>
      <c r="N4789" s="2">
        <f>IF(E4789="","",IF(ISNUMBER(SEARCH("SUBSOLO",E4789)),IFERROR(-VALUE(LEFT(E4789,FIND("º",SUBSTITUTE(E4789,"°","º"))-1)),-1),IF(LEFT(E4789,6)="TÉRREO",0,IFERROR(VALUE(LEFT(E4789,FIND("º",SUBSTITUTE(E4789,"°","º"))-1)),""))))</f>
        <v/>
      </c>
      <c r="O4789" s="2">
        <f>IF(OR(F4789="",G4789=""),"",IF(G4789&lt;='RETRATO 2027'!$K$5,"CONCLUÍDA",IF(F4789&lt;='RETRATO 2027'!$K$5,"EM ANDAMENTO","A INICIAR")))</f>
        <v/>
      </c>
    </row>
    <row r="4790">
      <c r="M4790" s="2">
        <f>IF(C4790="","",IFERROR(INDEX($S$5:$S$304,MATCH(C4790,$R$5:$R$304,0))&amp;"","?"))</f>
        <v/>
      </c>
      <c r="N4790" s="2">
        <f>IF(E4790="","",IF(ISNUMBER(SEARCH("SUBSOLO",E4790)),IFERROR(-VALUE(LEFT(E4790,FIND("º",SUBSTITUTE(E4790,"°","º"))-1)),-1),IF(LEFT(E4790,6)="TÉRREO",0,IFERROR(VALUE(LEFT(E4790,FIND("º",SUBSTITUTE(E4790,"°","º"))-1)),""))))</f>
        <v/>
      </c>
      <c r="O4790" s="2">
        <f>IF(OR(F4790="",G4790=""),"",IF(G4790&lt;='RETRATO 2027'!$K$5,"CONCLUÍDA",IF(F4790&lt;='RETRATO 2027'!$K$5,"EM ANDAMENTO","A INICIAR")))</f>
        <v/>
      </c>
    </row>
    <row r="4791">
      <c r="M4791" s="2">
        <f>IF(C4791="","",IFERROR(INDEX($S$5:$S$304,MATCH(C4791,$R$5:$R$304,0))&amp;"","?"))</f>
        <v/>
      </c>
      <c r="N4791" s="2">
        <f>IF(E4791="","",IF(ISNUMBER(SEARCH("SUBSOLO",E4791)),IFERROR(-VALUE(LEFT(E4791,FIND("º",SUBSTITUTE(E4791,"°","º"))-1)),-1),IF(LEFT(E4791,6)="TÉRREO",0,IFERROR(VALUE(LEFT(E4791,FIND("º",SUBSTITUTE(E4791,"°","º"))-1)),""))))</f>
        <v/>
      </c>
      <c r="O4791" s="2">
        <f>IF(OR(F4791="",G4791=""),"",IF(G4791&lt;='RETRATO 2027'!$K$5,"CONCLUÍDA",IF(F4791&lt;='RETRATO 2027'!$K$5,"EM ANDAMENTO","A INICIAR")))</f>
        <v/>
      </c>
    </row>
    <row r="4792">
      <c r="M4792" s="2">
        <f>IF(C4792="","",IFERROR(INDEX($S$5:$S$304,MATCH(C4792,$R$5:$R$304,0))&amp;"","?"))</f>
        <v/>
      </c>
      <c r="N4792" s="2">
        <f>IF(E4792="","",IF(ISNUMBER(SEARCH("SUBSOLO",E4792)),IFERROR(-VALUE(LEFT(E4792,FIND("º",SUBSTITUTE(E4792,"°","º"))-1)),-1),IF(LEFT(E4792,6)="TÉRREO",0,IFERROR(VALUE(LEFT(E4792,FIND("º",SUBSTITUTE(E4792,"°","º"))-1)),""))))</f>
        <v/>
      </c>
      <c r="O4792" s="2">
        <f>IF(OR(F4792="",G4792=""),"",IF(G4792&lt;='RETRATO 2027'!$K$5,"CONCLUÍDA",IF(F4792&lt;='RETRATO 2027'!$K$5,"EM ANDAMENTO","A INICIAR")))</f>
        <v/>
      </c>
    </row>
    <row r="4793">
      <c r="M4793" s="2">
        <f>IF(C4793="","",IFERROR(INDEX($S$5:$S$304,MATCH(C4793,$R$5:$R$304,0))&amp;"","?"))</f>
        <v/>
      </c>
      <c r="N4793" s="2">
        <f>IF(E4793="","",IF(ISNUMBER(SEARCH("SUBSOLO",E4793)),IFERROR(-VALUE(LEFT(E4793,FIND("º",SUBSTITUTE(E4793,"°","º"))-1)),-1),IF(LEFT(E4793,6)="TÉRREO",0,IFERROR(VALUE(LEFT(E4793,FIND("º",SUBSTITUTE(E4793,"°","º"))-1)),""))))</f>
        <v/>
      </c>
      <c r="O4793" s="2">
        <f>IF(OR(F4793="",G4793=""),"",IF(G4793&lt;='RETRATO 2027'!$K$5,"CONCLUÍDA",IF(F4793&lt;='RETRATO 2027'!$K$5,"EM ANDAMENTO","A INICIAR")))</f>
        <v/>
      </c>
    </row>
    <row r="4794">
      <c r="M4794" s="2">
        <f>IF(C4794="","",IFERROR(INDEX($S$5:$S$304,MATCH(C4794,$R$5:$R$304,0))&amp;"","?"))</f>
        <v/>
      </c>
      <c r="N4794" s="2">
        <f>IF(E4794="","",IF(ISNUMBER(SEARCH("SUBSOLO",E4794)),IFERROR(-VALUE(LEFT(E4794,FIND("º",SUBSTITUTE(E4794,"°","º"))-1)),-1),IF(LEFT(E4794,6)="TÉRREO",0,IFERROR(VALUE(LEFT(E4794,FIND("º",SUBSTITUTE(E4794,"°","º"))-1)),""))))</f>
        <v/>
      </c>
      <c r="O4794" s="2">
        <f>IF(OR(F4794="",G4794=""),"",IF(G4794&lt;='RETRATO 2027'!$K$5,"CONCLUÍDA",IF(F4794&lt;='RETRATO 2027'!$K$5,"EM ANDAMENTO","A INICIAR")))</f>
        <v/>
      </c>
    </row>
    <row r="4795">
      <c r="M4795" s="2">
        <f>IF(C4795="","",IFERROR(INDEX($S$5:$S$304,MATCH(C4795,$R$5:$R$304,0))&amp;"","?"))</f>
        <v/>
      </c>
      <c r="N4795" s="2">
        <f>IF(E4795="","",IF(ISNUMBER(SEARCH("SUBSOLO",E4795)),IFERROR(-VALUE(LEFT(E4795,FIND("º",SUBSTITUTE(E4795,"°","º"))-1)),-1),IF(LEFT(E4795,6)="TÉRREO",0,IFERROR(VALUE(LEFT(E4795,FIND("º",SUBSTITUTE(E4795,"°","º"))-1)),""))))</f>
        <v/>
      </c>
      <c r="O4795" s="2">
        <f>IF(OR(F4795="",G4795=""),"",IF(G4795&lt;='RETRATO 2027'!$K$5,"CONCLUÍDA",IF(F4795&lt;='RETRATO 2027'!$K$5,"EM ANDAMENTO","A INICIAR")))</f>
        <v/>
      </c>
    </row>
    <row r="4796">
      <c r="M4796" s="2">
        <f>IF(C4796="","",IFERROR(INDEX($S$5:$S$304,MATCH(C4796,$R$5:$R$304,0))&amp;"","?"))</f>
        <v/>
      </c>
      <c r="N4796" s="2">
        <f>IF(E4796="","",IF(ISNUMBER(SEARCH("SUBSOLO",E4796)),IFERROR(-VALUE(LEFT(E4796,FIND("º",SUBSTITUTE(E4796,"°","º"))-1)),-1),IF(LEFT(E4796,6)="TÉRREO",0,IFERROR(VALUE(LEFT(E4796,FIND("º",SUBSTITUTE(E4796,"°","º"))-1)),""))))</f>
        <v/>
      </c>
      <c r="O4796" s="2">
        <f>IF(OR(F4796="",G4796=""),"",IF(G4796&lt;='RETRATO 2027'!$K$5,"CONCLUÍDA",IF(F4796&lt;='RETRATO 2027'!$K$5,"EM ANDAMENTO","A INICIAR")))</f>
        <v/>
      </c>
    </row>
    <row r="4797">
      <c r="M4797" s="2">
        <f>IF(C4797="","",IFERROR(INDEX($S$5:$S$304,MATCH(C4797,$R$5:$R$304,0))&amp;"","?"))</f>
        <v/>
      </c>
      <c r="N4797" s="2">
        <f>IF(E4797="","",IF(ISNUMBER(SEARCH("SUBSOLO",E4797)),IFERROR(-VALUE(LEFT(E4797,FIND("º",SUBSTITUTE(E4797,"°","º"))-1)),-1),IF(LEFT(E4797,6)="TÉRREO",0,IFERROR(VALUE(LEFT(E4797,FIND("º",SUBSTITUTE(E4797,"°","º"))-1)),""))))</f>
        <v/>
      </c>
      <c r="O4797" s="2">
        <f>IF(OR(F4797="",G4797=""),"",IF(G4797&lt;='RETRATO 2027'!$K$5,"CONCLUÍDA",IF(F4797&lt;='RETRATO 2027'!$K$5,"EM ANDAMENTO","A INICIAR")))</f>
        <v/>
      </c>
    </row>
    <row r="4798">
      <c r="M4798" s="2">
        <f>IF(C4798="","",IFERROR(INDEX($S$5:$S$304,MATCH(C4798,$R$5:$R$304,0))&amp;"","?"))</f>
        <v/>
      </c>
      <c r="N4798" s="2">
        <f>IF(E4798="","",IF(ISNUMBER(SEARCH("SUBSOLO",E4798)),IFERROR(-VALUE(LEFT(E4798,FIND("º",SUBSTITUTE(E4798,"°","º"))-1)),-1),IF(LEFT(E4798,6)="TÉRREO",0,IFERROR(VALUE(LEFT(E4798,FIND("º",SUBSTITUTE(E4798,"°","º"))-1)),""))))</f>
        <v/>
      </c>
      <c r="O4798" s="2">
        <f>IF(OR(F4798="",G4798=""),"",IF(G4798&lt;='RETRATO 2027'!$K$5,"CONCLUÍDA",IF(F4798&lt;='RETRATO 2027'!$K$5,"EM ANDAMENTO","A INICIAR")))</f>
        <v/>
      </c>
    </row>
    <row r="4799">
      <c r="M4799" s="2">
        <f>IF(C4799="","",IFERROR(INDEX($S$5:$S$304,MATCH(C4799,$R$5:$R$304,0))&amp;"","?"))</f>
        <v/>
      </c>
      <c r="N4799" s="2">
        <f>IF(E4799="","",IF(ISNUMBER(SEARCH("SUBSOLO",E4799)),IFERROR(-VALUE(LEFT(E4799,FIND("º",SUBSTITUTE(E4799,"°","º"))-1)),-1),IF(LEFT(E4799,6)="TÉRREO",0,IFERROR(VALUE(LEFT(E4799,FIND("º",SUBSTITUTE(E4799,"°","º"))-1)),""))))</f>
        <v/>
      </c>
      <c r="O4799" s="2">
        <f>IF(OR(F4799="",G4799=""),"",IF(G4799&lt;='RETRATO 2027'!$K$5,"CONCLUÍDA",IF(F4799&lt;='RETRATO 2027'!$K$5,"EM ANDAMENTO","A INICIAR")))</f>
        <v/>
      </c>
    </row>
    <row r="4800">
      <c r="M4800" s="2">
        <f>IF(C4800="","",IFERROR(INDEX($S$5:$S$304,MATCH(C4800,$R$5:$R$304,0))&amp;"","?"))</f>
        <v/>
      </c>
      <c r="N4800" s="2">
        <f>IF(E4800="","",IF(ISNUMBER(SEARCH("SUBSOLO",E4800)),IFERROR(-VALUE(LEFT(E4800,FIND("º",SUBSTITUTE(E4800,"°","º"))-1)),-1),IF(LEFT(E4800,6)="TÉRREO",0,IFERROR(VALUE(LEFT(E4800,FIND("º",SUBSTITUTE(E4800,"°","º"))-1)),""))))</f>
        <v/>
      </c>
      <c r="O4800" s="2">
        <f>IF(OR(F4800="",G4800=""),"",IF(G4800&lt;='RETRATO 2027'!$K$5,"CONCLUÍDA",IF(F4800&lt;='RETRATO 2027'!$K$5,"EM ANDAMENTO","A INICIAR")))</f>
        <v/>
      </c>
    </row>
    <row r="4801">
      <c r="M4801" s="2">
        <f>IF(C4801="","",IFERROR(INDEX($S$5:$S$304,MATCH(C4801,$R$5:$R$304,0))&amp;"","?"))</f>
        <v/>
      </c>
      <c r="N4801" s="2">
        <f>IF(E4801="","",IF(ISNUMBER(SEARCH("SUBSOLO",E4801)),IFERROR(-VALUE(LEFT(E4801,FIND("º",SUBSTITUTE(E4801,"°","º"))-1)),-1),IF(LEFT(E4801,6)="TÉRREO",0,IFERROR(VALUE(LEFT(E4801,FIND("º",SUBSTITUTE(E4801,"°","º"))-1)),""))))</f>
        <v/>
      </c>
      <c r="O4801" s="2">
        <f>IF(OR(F4801="",G4801=""),"",IF(G4801&lt;='RETRATO 2027'!$K$5,"CONCLUÍDA",IF(F4801&lt;='RETRATO 2027'!$K$5,"EM ANDAMENTO","A INICIAR")))</f>
        <v/>
      </c>
    </row>
    <row r="4802">
      <c r="M4802" s="2">
        <f>IF(C4802="","",IFERROR(INDEX($S$5:$S$304,MATCH(C4802,$R$5:$R$304,0))&amp;"","?"))</f>
        <v/>
      </c>
      <c r="N4802" s="2">
        <f>IF(E4802="","",IF(ISNUMBER(SEARCH("SUBSOLO",E4802)),IFERROR(-VALUE(LEFT(E4802,FIND("º",SUBSTITUTE(E4802,"°","º"))-1)),-1),IF(LEFT(E4802,6)="TÉRREO",0,IFERROR(VALUE(LEFT(E4802,FIND("º",SUBSTITUTE(E4802,"°","º"))-1)),""))))</f>
        <v/>
      </c>
      <c r="O4802" s="2">
        <f>IF(OR(F4802="",G4802=""),"",IF(G4802&lt;='RETRATO 2027'!$K$5,"CONCLUÍDA",IF(F4802&lt;='RETRATO 2027'!$K$5,"EM ANDAMENTO","A INICIAR")))</f>
        <v/>
      </c>
    </row>
    <row r="4803">
      <c r="M4803" s="2">
        <f>IF(C4803="","",IFERROR(INDEX($S$5:$S$304,MATCH(C4803,$R$5:$R$304,0))&amp;"","?"))</f>
        <v/>
      </c>
      <c r="N4803" s="2">
        <f>IF(E4803="","",IF(ISNUMBER(SEARCH("SUBSOLO",E4803)),IFERROR(-VALUE(LEFT(E4803,FIND("º",SUBSTITUTE(E4803,"°","º"))-1)),-1),IF(LEFT(E4803,6)="TÉRREO",0,IFERROR(VALUE(LEFT(E4803,FIND("º",SUBSTITUTE(E4803,"°","º"))-1)),""))))</f>
        <v/>
      </c>
      <c r="O4803" s="2">
        <f>IF(OR(F4803="",G4803=""),"",IF(G4803&lt;='RETRATO 2027'!$K$5,"CONCLUÍDA",IF(F4803&lt;='RETRATO 2027'!$K$5,"EM ANDAMENTO","A INICIAR")))</f>
        <v/>
      </c>
    </row>
    <row r="4804">
      <c r="M4804" s="2">
        <f>IF(C4804="","",IFERROR(INDEX($S$5:$S$304,MATCH(C4804,$R$5:$R$304,0))&amp;"","?"))</f>
        <v/>
      </c>
      <c r="N4804" s="2">
        <f>IF(E4804="","",IF(ISNUMBER(SEARCH("SUBSOLO",E4804)),IFERROR(-VALUE(LEFT(E4804,FIND("º",SUBSTITUTE(E4804,"°","º"))-1)),-1),IF(LEFT(E4804,6)="TÉRREO",0,IFERROR(VALUE(LEFT(E4804,FIND("º",SUBSTITUTE(E4804,"°","º"))-1)),""))))</f>
        <v/>
      </c>
      <c r="O4804" s="2">
        <f>IF(OR(F4804="",G4804=""),"",IF(G4804&lt;='RETRATO 2027'!$K$5,"CONCLUÍDA",IF(F4804&lt;='RETRATO 2027'!$K$5,"EM ANDAMENTO","A INICIAR")))</f>
        <v/>
      </c>
    </row>
    <row r="4805">
      <c r="M4805" s="2">
        <f>IF(C4805="","",IFERROR(INDEX($S$5:$S$304,MATCH(C4805,$R$5:$R$304,0))&amp;"","?"))</f>
        <v/>
      </c>
      <c r="N4805" s="2">
        <f>IF(E4805="","",IF(ISNUMBER(SEARCH("SUBSOLO",E4805)),IFERROR(-VALUE(LEFT(E4805,FIND("º",SUBSTITUTE(E4805,"°","º"))-1)),-1),IF(LEFT(E4805,6)="TÉRREO",0,IFERROR(VALUE(LEFT(E4805,FIND("º",SUBSTITUTE(E4805,"°","º"))-1)),""))))</f>
        <v/>
      </c>
      <c r="O4805" s="2">
        <f>IF(OR(F4805="",G4805=""),"",IF(G4805&lt;='RETRATO 2027'!$K$5,"CONCLUÍDA",IF(F4805&lt;='RETRATO 2027'!$K$5,"EM ANDAMENTO","A INICIAR")))</f>
        <v/>
      </c>
    </row>
    <row r="4806">
      <c r="M4806" s="2">
        <f>IF(C4806="","",IFERROR(INDEX($S$5:$S$304,MATCH(C4806,$R$5:$R$304,0))&amp;"","?"))</f>
        <v/>
      </c>
      <c r="N4806" s="2">
        <f>IF(E4806="","",IF(ISNUMBER(SEARCH("SUBSOLO",E4806)),IFERROR(-VALUE(LEFT(E4806,FIND("º",SUBSTITUTE(E4806,"°","º"))-1)),-1),IF(LEFT(E4806,6)="TÉRREO",0,IFERROR(VALUE(LEFT(E4806,FIND("º",SUBSTITUTE(E4806,"°","º"))-1)),""))))</f>
        <v/>
      </c>
      <c r="O4806" s="2">
        <f>IF(OR(F4806="",G4806=""),"",IF(G4806&lt;='RETRATO 2027'!$K$5,"CONCLUÍDA",IF(F4806&lt;='RETRATO 2027'!$K$5,"EM ANDAMENTO","A INICIAR")))</f>
        <v/>
      </c>
    </row>
    <row r="4807">
      <c r="M4807" s="2">
        <f>IF(C4807="","",IFERROR(INDEX($S$5:$S$304,MATCH(C4807,$R$5:$R$304,0))&amp;"","?"))</f>
        <v/>
      </c>
      <c r="N4807" s="2">
        <f>IF(E4807="","",IF(ISNUMBER(SEARCH("SUBSOLO",E4807)),IFERROR(-VALUE(LEFT(E4807,FIND("º",SUBSTITUTE(E4807,"°","º"))-1)),-1),IF(LEFT(E4807,6)="TÉRREO",0,IFERROR(VALUE(LEFT(E4807,FIND("º",SUBSTITUTE(E4807,"°","º"))-1)),""))))</f>
        <v/>
      </c>
      <c r="O4807" s="2">
        <f>IF(OR(F4807="",G4807=""),"",IF(G4807&lt;='RETRATO 2027'!$K$5,"CONCLUÍDA",IF(F4807&lt;='RETRATO 2027'!$K$5,"EM ANDAMENTO","A INICIAR")))</f>
        <v/>
      </c>
    </row>
    <row r="4808">
      <c r="M4808" s="2">
        <f>IF(C4808="","",IFERROR(INDEX($S$5:$S$304,MATCH(C4808,$R$5:$R$304,0))&amp;"","?"))</f>
        <v/>
      </c>
      <c r="N4808" s="2">
        <f>IF(E4808="","",IF(ISNUMBER(SEARCH("SUBSOLO",E4808)),IFERROR(-VALUE(LEFT(E4808,FIND("º",SUBSTITUTE(E4808,"°","º"))-1)),-1),IF(LEFT(E4808,6)="TÉRREO",0,IFERROR(VALUE(LEFT(E4808,FIND("º",SUBSTITUTE(E4808,"°","º"))-1)),""))))</f>
        <v/>
      </c>
      <c r="O4808" s="2">
        <f>IF(OR(F4808="",G4808=""),"",IF(G4808&lt;='RETRATO 2027'!$K$5,"CONCLUÍDA",IF(F4808&lt;='RETRATO 2027'!$K$5,"EM ANDAMENTO","A INICIAR")))</f>
        <v/>
      </c>
    </row>
    <row r="4809">
      <c r="M4809" s="2">
        <f>IF(C4809="","",IFERROR(INDEX($S$5:$S$304,MATCH(C4809,$R$5:$R$304,0))&amp;"","?"))</f>
        <v/>
      </c>
      <c r="N4809" s="2">
        <f>IF(E4809="","",IF(ISNUMBER(SEARCH("SUBSOLO",E4809)),IFERROR(-VALUE(LEFT(E4809,FIND("º",SUBSTITUTE(E4809,"°","º"))-1)),-1),IF(LEFT(E4809,6)="TÉRREO",0,IFERROR(VALUE(LEFT(E4809,FIND("º",SUBSTITUTE(E4809,"°","º"))-1)),""))))</f>
        <v/>
      </c>
      <c r="O4809" s="2">
        <f>IF(OR(F4809="",G4809=""),"",IF(G4809&lt;='RETRATO 2027'!$K$5,"CONCLUÍDA",IF(F4809&lt;='RETRATO 2027'!$K$5,"EM ANDAMENTO","A INICIAR")))</f>
        <v/>
      </c>
    </row>
    <row r="4810">
      <c r="M4810" s="2">
        <f>IF(C4810="","",IFERROR(INDEX($S$5:$S$304,MATCH(C4810,$R$5:$R$304,0))&amp;"","?"))</f>
        <v/>
      </c>
      <c r="N4810" s="2">
        <f>IF(E4810="","",IF(ISNUMBER(SEARCH("SUBSOLO",E4810)),IFERROR(-VALUE(LEFT(E4810,FIND("º",SUBSTITUTE(E4810,"°","º"))-1)),-1),IF(LEFT(E4810,6)="TÉRREO",0,IFERROR(VALUE(LEFT(E4810,FIND("º",SUBSTITUTE(E4810,"°","º"))-1)),""))))</f>
        <v/>
      </c>
      <c r="O4810" s="2">
        <f>IF(OR(F4810="",G4810=""),"",IF(G4810&lt;='RETRATO 2027'!$K$5,"CONCLUÍDA",IF(F4810&lt;='RETRATO 2027'!$K$5,"EM ANDAMENTO","A INICIAR")))</f>
        <v/>
      </c>
    </row>
    <row r="4811">
      <c r="M4811" s="2">
        <f>IF(C4811="","",IFERROR(INDEX($S$5:$S$304,MATCH(C4811,$R$5:$R$304,0))&amp;"","?"))</f>
        <v/>
      </c>
      <c r="N4811" s="2">
        <f>IF(E4811="","",IF(ISNUMBER(SEARCH("SUBSOLO",E4811)),IFERROR(-VALUE(LEFT(E4811,FIND("º",SUBSTITUTE(E4811,"°","º"))-1)),-1),IF(LEFT(E4811,6)="TÉRREO",0,IFERROR(VALUE(LEFT(E4811,FIND("º",SUBSTITUTE(E4811,"°","º"))-1)),""))))</f>
        <v/>
      </c>
      <c r="O4811" s="2">
        <f>IF(OR(F4811="",G4811=""),"",IF(G4811&lt;='RETRATO 2027'!$K$5,"CONCLUÍDA",IF(F4811&lt;='RETRATO 2027'!$K$5,"EM ANDAMENTO","A INICIAR")))</f>
        <v/>
      </c>
    </row>
    <row r="4812">
      <c r="M4812" s="2">
        <f>IF(C4812="","",IFERROR(INDEX($S$5:$S$304,MATCH(C4812,$R$5:$R$304,0))&amp;"","?"))</f>
        <v/>
      </c>
      <c r="N4812" s="2">
        <f>IF(E4812="","",IF(ISNUMBER(SEARCH("SUBSOLO",E4812)),IFERROR(-VALUE(LEFT(E4812,FIND("º",SUBSTITUTE(E4812,"°","º"))-1)),-1),IF(LEFT(E4812,6)="TÉRREO",0,IFERROR(VALUE(LEFT(E4812,FIND("º",SUBSTITUTE(E4812,"°","º"))-1)),""))))</f>
        <v/>
      </c>
      <c r="O4812" s="2">
        <f>IF(OR(F4812="",G4812=""),"",IF(G4812&lt;='RETRATO 2027'!$K$5,"CONCLUÍDA",IF(F4812&lt;='RETRATO 2027'!$K$5,"EM ANDAMENTO","A INICIAR")))</f>
        <v/>
      </c>
    </row>
    <row r="4813">
      <c r="M4813" s="2">
        <f>IF(C4813="","",IFERROR(INDEX($S$5:$S$304,MATCH(C4813,$R$5:$R$304,0))&amp;"","?"))</f>
        <v/>
      </c>
      <c r="N4813" s="2">
        <f>IF(E4813="","",IF(ISNUMBER(SEARCH("SUBSOLO",E4813)),IFERROR(-VALUE(LEFT(E4813,FIND("º",SUBSTITUTE(E4813,"°","º"))-1)),-1),IF(LEFT(E4813,6)="TÉRREO",0,IFERROR(VALUE(LEFT(E4813,FIND("º",SUBSTITUTE(E4813,"°","º"))-1)),""))))</f>
        <v/>
      </c>
      <c r="O4813" s="2">
        <f>IF(OR(F4813="",G4813=""),"",IF(G4813&lt;='RETRATO 2027'!$K$5,"CONCLUÍDA",IF(F4813&lt;='RETRATO 2027'!$K$5,"EM ANDAMENTO","A INICIAR")))</f>
        <v/>
      </c>
    </row>
    <row r="4814">
      <c r="M4814" s="2">
        <f>IF(C4814="","",IFERROR(INDEX($S$5:$S$304,MATCH(C4814,$R$5:$R$304,0))&amp;"","?"))</f>
        <v/>
      </c>
      <c r="N4814" s="2">
        <f>IF(E4814="","",IF(ISNUMBER(SEARCH("SUBSOLO",E4814)),IFERROR(-VALUE(LEFT(E4814,FIND("º",SUBSTITUTE(E4814,"°","º"))-1)),-1),IF(LEFT(E4814,6)="TÉRREO",0,IFERROR(VALUE(LEFT(E4814,FIND("º",SUBSTITUTE(E4814,"°","º"))-1)),""))))</f>
        <v/>
      </c>
      <c r="O4814" s="2">
        <f>IF(OR(F4814="",G4814=""),"",IF(G4814&lt;='RETRATO 2027'!$K$5,"CONCLUÍDA",IF(F4814&lt;='RETRATO 2027'!$K$5,"EM ANDAMENTO","A INICIAR")))</f>
        <v/>
      </c>
    </row>
    <row r="4815">
      <c r="M4815" s="2">
        <f>IF(C4815="","",IFERROR(INDEX($S$5:$S$304,MATCH(C4815,$R$5:$R$304,0))&amp;"","?"))</f>
        <v/>
      </c>
      <c r="N4815" s="2">
        <f>IF(E4815="","",IF(ISNUMBER(SEARCH("SUBSOLO",E4815)),IFERROR(-VALUE(LEFT(E4815,FIND("º",SUBSTITUTE(E4815,"°","º"))-1)),-1),IF(LEFT(E4815,6)="TÉRREO",0,IFERROR(VALUE(LEFT(E4815,FIND("º",SUBSTITUTE(E4815,"°","º"))-1)),""))))</f>
        <v/>
      </c>
      <c r="O4815" s="2">
        <f>IF(OR(F4815="",G4815=""),"",IF(G4815&lt;='RETRATO 2027'!$K$5,"CONCLUÍDA",IF(F4815&lt;='RETRATO 2027'!$K$5,"EM ANDAMENTO","A INICIAR")))</f>
        <v/>
      </c>
    </row>
    <row r="4816">
      <c r="M4816" s="2">
        <f>IF(C4816="","",IFERROR(INDEX($S$5:$S$304,MATCH(C4816,$R$5:$R$304,0))&amp;"","?"))</f>
        <v/>
      </c>
      <c r="N4816" s="2">
        <f>IF(E4816="","",IF(ISNUMBER(SEARCH("SUBSOLO",E4816)),IFERROR(-VALUE(LEFT(E4816,FIND("º",SUBSTITUTE(E4816,"°","º"))-1)),-1),IF(LEFT(E4816,6)="TÉRREO",0,IFERROR(VALUE(LEFT(E4816,FIND("º",SUBSTITUTE(E4816,"°","º"))-1)),""))))</f>
        <v/>
      </c>
      <c r="O4816" s="2">
        <f>IF(OR(F4816="",G4816=""),"",IF(G4816&lt;='RETRATO 2027'!$K$5,"CONCLUÍDA",IF(F4816&lt;='RETRATO 2027'!$K$5,"EM ANDAMENTO","A INICIAR")))</f>
        <v/>
      </c>
    </row>
    <row r="4817">
      <c r="M4817" s="2">
        <f>IF(C4817="","",IFERROR(INDEX($S$5:$S$304,MATCH(C4817,$R$5:$R$304,0))&amp;"","?"))</f>
        <v/>
      </c>
      <c r="N4817" s="2">
        <f>IF(E4817="","",IF(ISNUMBER(SEARCH("SUBSOLO",E4817)),IFERROR(-VALUE(LEFT(E4817,FIND("º",SUBSTITUTE(E4817,"°","º"))-1)),-1),IF(LEFT(E4817,6)="TÉRREO",0,IFERROR(VALUE(LEFT(E4817,FIND("º",SUBSTITUTE(E4817,"°","º"))-1)),""))))</f>
        <v/>
      </c>
      <c r="O4817" s="2">
        <f>IF(OR(F4817="",G4817=""),"",IF(G4817&lt;='RETRATO 2027'!$K$5,"CONCLUÍDA",IF(F4817&lt;='RETRATO 2027'!$K$5,"EM ANDAMENTO","A INICIAR")))</f>
        <v/>
      </c>
    </row>
    <row r="4818">
      <c r="M4818" s="2">
        <f>IF(C4818="","",IFERROR(INDEX($S$5:$S$304,MATCH(C4818,$R$5:$R$304,0))&amp;"","?"))</f>
        <v/>
      </c>
      <c r="N4818" s="2">
        <f>IF(E4818="","",IF(ISNUMBER(SEARCH("SUBSOLO",E4818)),IFERROR(-VALUE(LEFT(E4818,FIND("º",SUBSTITUTE(E4818,"°","º"))-1)),-1),IF(LEFT(E4818,6)="TÉRREO",0,IFERROR(VALUE(LEFT(E4818,FIND("º",SUBSTITUTE(E4818,"°","º"))-1)),""))))</f>
        <v/>
      </c>
      <c r="O4818" s="2">
        <f>IF(OR(F4818="",G4818=""),"",IF(G4818&lt;='RETRATO 2027'!$K$5,"CONCLUÍDA",IF(F4818&lt;='RETRATO 2027'!$K$5,"EM ANDAMENTO","A INICIAR")))</f>
        <v/>
      </c>
    </row>
    <row r="4819">
      <c r="M4819" s="2">
        <f>IF(C4819="","",IFERROR(INDEX($S$5:$S$304,MATCH(C4819,$R$5:$R$304,0))&amp;"","?"))</f>
        <v/>
      </c>
      <c r="N4819" s="2">
        <f>IF(E4819="","",IF(ISNUMBER(SEARCH("SUBSOLO",E4819)),IFERROR(-VALUE(LEFT(E4819,FIND("º",SUBSTITUTE(E4819,"°","º"))-1)),-1),IF(LEFT(E4819,6)="TÉRREO",0,IFERROR(VALUE(LEFT(E4819,FIND("º",SUBSTITUTE(E4819,"°","º"))-1)),""))))</f>
        <v/>
      </c>
      <c r="O4819" s="2">
        <f>IF(OR(F4819="",G4819=""),"",IF(G4819&lt;='RETRATO 2027'!$K$5,"CONCLUÍDA",IF(F4819&lt;='RETRATO 2027'!$K$5,"EM ANDAMENTO","A INICIAR")))</f>
        <v/>
      </c>
    </row>
    <row r="4820">
      <c r="M4820" s="2">
        <f>IF(C4820="","",IFERROR(INDEX($S$5:$S$304,MATCH(C4820,$R$5:$R$304,0))&amp;"","?"))</f>
        <v/>
      </c>
      <c r="N4820" s="2">
        <f>IF(E4820="","",IF(ISNUMBER(SEARCH("SUBSOLO",E4820)),IFERROR(-VALUE(LEFT(E4820,FIND("º",SUBSTITUTE(E4820,"°","º"))-1)),-1),IF(LEFT(E4820,6)="TÉRREO",0,IFERROR(VALUE(LEFT(E4820,FIND("º",SUBSTITUTE(E4820,"°","º"))-1)),""))))</f>
        <v/>
      </c>
      <c r="O4820" s="2">
        <f>IF(OR(F4820="",G4820=""),"",IF(G4820&lt;='RETRATO 2027'!$K$5,"CONCLUÍDA",IF(F4820&lt;='RETRATO 2027'!$K$5,"EM ANDAMENTO","A INICIAR")))</f>
        <v/>
      </c>
    </row>
    <row r="4821">
      <c r="M4821" s="2">
        <f>IF(C4821="","",IFERROR(INDEX($S$5:$S$304,MATCH(C4821,$R$5:$R$304,0))&amp;"","?"))</f>
        <v/>
      </c>
      <c r="N4821" s="2">
        <f>IF(E4821="","",IF(ISNUMBER(SEARCH("SUBSOLO",E4821)),IFERROR(-VALUE(LEFT(E4821,FIND("º",SUBSTITUTE(E4821,"°","º"))-1)),-1),IF(LEFT(E4821,6)="TÉRREO",0,IFERROR(VALUE(LEFT(E4821,FIND("º",SUBSTITUTE(E4821,"°","º"))-1)),""))))</f>
        <v/>
      </c>
      <c r="O4821" s="2">
        <f>IF(OR(F4821="",G4821=""),"",IF(G4821&lt;='RETRATO 2027'!$K$5,"CONCLUÍDA",IF(F4821&lt;='RETRATO 2027'!$K$5,"EM ANDAMENTO","A INICIAR")))</f>
        <v/>
      </c>
    </row>
    <row r="4822">
      <c r="M4822" s="2">
        <f>IF(C4822="","",IFERROR(INDEX($S$5:$S$304,MATCH(C4822,$R$5:$R$304,0))&amp;"","?"))</f>
        <v/>
      </c>
      <c r="N4822" s="2">
        <f>IF(E4822="","",IF(ISNUMBER(SEARCH("SUBSOLO",E4822)),IFERROR(-VALUE(LEFT(E4822,FIND("º",SUBSTITUTE(E4822,"°","º"))-1)),-1),IF(LEFT(E4822,6)="TÉRREO",0,IFERROR(VALUE(LEFT(E4822,FIND("º",SUBSTITUTE(E4822,"°","º"))-1)),""))))</f>
        <v/>
      </c>
      <c r="O4822" s="2">
        <f>IF(OR(F4822="",G4822=""),"",IF(G4822&lt;='RETRATO 2027'!$K$5,"CONCLUÍDA",IF(F4822&lt;='RETRATO 2027'!$K$5,"EM ANDAMENTO","A INICIAR")))</f>
        <v/>
      </c>
    </row>
    <row r="4823">
      <c r="M4823" s="2">
        <f>IF(C4823="","",IFERROR(INDEX($S$5:$S$304,MATCH(C4823,$R$5:$R$304,0))&amp;"","?"))</f>
        <v/>
      </c>
      <c r="N4823" s="2">
        <f>IF(E4823="","",IF(ISNUMBER(SEARCH("SUBSOLO",E4823)),IFERROR(-VALUE(LEFT(E4823,FIND("º",SUBSTITUTE(E4823,"°","º"))-1)),-1),IF(LEFT(E4823,6)="TÉRREO",0,IFERROR(VALUE(LEFT(E4823,FIND("º",SUBSTITUTE(E4823,"°","º"))-1)),""))))</f>
        <v/>
      </c>
      <c r="O4823" s="2">
        <f>IF(OR(F4823="",G4823=""),"",IF(G4823&lt;='RETRATO 2027'!$K$5,"CONCLUÍDA",IF(F4823&lt;='RETRATO 2027'!$K$5,"EM ANDAMENTO","A INICIAR")))</f>
        <v/>
      </c>
    </row>
    <row r="4824">
      <c r="M4824" s="2">
        <f>IF(C4824="","",IFERROR(INDEX($S$5:$S$304,MATCH(C4824,$R$5:$R$304,0))&amp;"","?"))</f>
        <v/>
      </c>
      <c r="N4824" s="2">
        <f>IF(E4824="","",IF(ISNUMBER(SEARCH("SUBSOLO",E4824)),IFERROR(-VALUE(LEFT(E4824,FIND("º",SUBSTITUTE(E4824,"°","º"))-1)),-1),IF(LEFT(E4824,6)="TÉRREO",0,IFERROR(VALUE(LEFT(E4824,FIND("º",SUBSTITUTE(E4824,"°","º"))-1)),""))))</f>
        <v/>
      </c>
      <c r="O4824" s="2">
        <f>IF(OR(F4824="",G4824=""),"",IF(G4824&lt;='RETRATO 2027'!$K$5,"CONCLUÍDA",IF(F4824&lt;='RETRATO 2027'!$K$5,"EM ANDAMENTO","A INICIAR")))</f>
        <v/>
      </c>
    </row>
    <row r="4825">
      <c r="M4825" s="2">
        <f>IF(C4825="","",IFERROR(INDEX($S$5:$S$304,MATCH(C4825,$R$5:$R$304,0))&amp;"","?"))</f>
        <v/>
      </c>
      <c r="N4825" s="2">
        <f>IF(E4825="","",IF(ISNUMBER(SEARCH("SUBSOLO",E4825)),IFERROR(-VALUE(LEFT(E4825,FIND("º",SUBSTITUTE(E4825,"°","º"))-1)),-1),IF(LEFT(E4825,6)="TÉRREO",0,IFERROR(VALUE(LEFT(E4825,FIND("º",SUBSTITUTE(E4825,"°","º"))-1)),""))))</f>
        <v/>
      </c>
      <c r="O4825" s="2">
        <f>IF(OR(F4825="",G4825=""),"",IF(G4825&lt;='RETRATO 2027'!$K$5,"CONCLUÍDA",IF(F4825&lt;='RETRATO 2027'!$K$5,"EM ANDAMENTO","A INICIAR")))</f>
        <v/>
      </c>
    </row>
    <row r="4826">
      <c r="M4826" s="2">
        <f>IF(C4826="","",IFERROR(INDEX($S$5:$S$304,MATCH(C4826,$R$5:$R$304,0))&amp;"","?"))</f>
        <v/>
      </c>
      <c r="N4826" s="2">
        <f>IF(E4826="","",IF(ISNUMBER(SEARCH("SUBSOLO",E4826)),IFERROR(-VALUE(LEFT(E4826,FIND("º",SUBSTITUTE(E4826,"°","º"))-1)),-1),IF(LEFT(E4826,6)="TÉRREO",0,IFERROR(VALUE(LEFT(E4826,FIND("º",SUBSTITUTE(E4826,"°","º"))-1)),""))))</f>
        <v/>
      </c>
      <c r="O4826" s="2">
        <f>IF(OR(F4826="",G4826=""),"",IF(G4826&lt;='RETRATO 2027'!$K$5,"CONCLUÍDA",IF(F4826&lt;='RETRATO 2027'!$K$5,"EM ANDAMENTO","A INICIAR")))</f>
        <v/>
      </c>
    </row>
    <row r="4827">
      <c r="M4827" s="2">
        <f>IF(C4827="","",IFERROR(INDEX($S$5:$S$304,MATCH(C4827,$R$5:$R$304,0))&amp;"","?"))</f>
        <v/>
      </c>
      <c r="N4827" s="2">
        <f>IF(E4827="","",IF(ISNUMBER(SEARCH("SUBSOLO",E4827)),IFERROR(-VALUE(LEFT(E4827,FIND("º",SUBSTITUTE(E4827,"°","º"))-1)),-1),IF(LEFT(E4827,6)="TÉRREO",0,IFERROR(VALUE(LEFT(E4827,FIND("º",SUBSTITUTE(E4827,"°","º"))-1)),""))))</f>
        <v/>
      </c>
      <c r="O4827" s="2">
        <f>IF(OR(F4827="",G4827=""),"",IF(G4827&lt;='RETRATO 2027'!$K$5,"CONCLUÍDA",IF(F4827&lt;='RETRATO 2027'!$K$5,"EM ANDAMENTO","A INICIAR")))</f>
        <v/>
      </c>
    </row>
    <row r="4828">
      <c r="M4828" s="2">
        <f>IF(C4828="","",IFERROR(INDEX($S$5:$S$304,MATCH(C4828,$R$5:$R$304,0))&amp;"","?"))</f>
        <v/>
      </c>
      <c r="N4828" s="2">
        <f>IF(E4828="","",IF(ISNUMBER(SEARCH("SUBSOLO",E4828)),IFERROR(-VALUE(LEFT(E4828,FIND("º",SUBSTITUTE(E4828,"°","º"))-1)),-1),IF(LEFT(E4828,6)="TÉRREO",0,IFERROR(VALUE(LEFT(E4828,FIND("º",SUBSTITUTE(E4828,"°","º"))-1)),""))))</f>
        <v/>
      </c>
      <c r="O4828" s="2">
        <f>IF(OR(F4828="",G4828=""),"",IF(G4828&lt;='RETRATO 2027'!$K$5,"CONCLUÍDA",IF(F4828&lt;='RETRATO 2027'!$K$5,"EM ANDAMENTO","A INICIAR")))</f>
        <v/>
      </c>
    </row>
    <row r="4829">
      <c r="M4829" s="2">
        <f>IF(C4829="","",IFERROR(INDEX($S$5:$S$304,MATCH(C4829,$R$5:$R$304,0))&amp;"","?"))</f>
        <v/>
      </c>
      <c r="N4829" s="2">
        <f>IF(E4829="","",IF(ISNUMBER(SEARCH("SUBSOLO",E4829)),IFERROR(-VALUE(LEFT(E4829,FIND("º",SUBSTITUTE(E4829,"°","º"))-1)),-1),IF(LEFT(E4829,6)="TÉRREO",0,IFERROR(VALUE(LEFT(E4829,FIND("º",SUBSTITUTE(E4829,"°","º"))-1)),""))))</f>
        <v/>
      </c>
      <c r="O4829" s="2">
        <f>IF(OR(F4829="",G4829=""),"",IF(G4829&lt;='RETRATO 2027'!$K$5,"CONCLUÍDA",IF(F4829&lt;='RETRATO 2027'!$K$5,"EM ANDAMENTO","A INICIAR")))</f>
        <v/>
      </c>
    </row>
    <row r="4830">
      <c r="M4830" s="2">
        <f>IF(C4830="","",IFERROR(INDEX($S$5:$S$304,MATCH(C4830,$R$5:$R$304,0))&amp;"","?"))</f>
        <v/>
      </c>
      <c r="N4830" s="2">
        <f>IF(E4830="","",IF(ISNUMBER(SEARCH("SUBSOLO",E4830)),IFERROR(-VALUE(LEFT(E4830,FIND("º",SUBSTITUTE(E4830,"°","º"))-1)),-1),IF(LEFT(E4830,6)="TÉRREO",0,IFERROR(VALUE(LEFT(E4830,FIND("º",SUBSTITUTE(E4830,"°","º"))-1)),""))))</f>
        <v/>
      </c>
      <c r="O4830" s="2">
        <f>IF(OR(F4830="",G4830=""),"",IF(G4830&lt;='RETRATO 2027'!$K$5,"CONCLUÍDA",IF(F4830&lt;='RETRATO 2027'!$K$5,"EM ANDAMENTO","A INICIAR")))</f>
        <v/>
      </c>
    </row>
    <row r="4831">
      <c r="M4831" s="2">
        <f>IF(C4831="","",IFERROR(INDEX($S$5:$S$304,MATCH(C4831,$R$5:$R$304,0))&amp;"","?"))</f>
        <v/>
      </c>
      <c r="N4831" s="2">
        <f>IF(E4831="","",IF(ISNUMBER(SEARCH("SUBSOLO",E4831)),IFERROR(-VALUE(LEFT(E4831,FIND("º",SUBSTITUTE(E4831,"°","º"))-1)),-1),IF(LEFT(E4831,6)="TÉRREO",0,IFERROR(VALUE(LEFT(E4831,FIND("º",SUBSTITUTE(E4831,"°","º"))-1)),""))))</f>
        <v/>
      </c>
      <c r="O4831" s="2">
        <f>IF(OR(F4831="",G4831=""),"",IF(G4831&lt;='RETRATO 2027'!$K$5,"CONCLUÍDA",IF(F4831&lt;='RETRATO 2027'!$K$5,"EM ANDAMENTO","A INICIAR")))</f>
        <v/>
      </c>
    </row>
    <row r="4832">
      <c r="M4832" s="2">
        <f>IF(C4832="","",IFERROR(INDEX($S$5:$S$304,MATCH(C4832,$R$5:$R$304,0))&amp;"","?"))</f>
        <v/>
      </c>
      <c r="N4832" s="2">
        <f>IF(E4832="","",IF(ISNUMBER(SEARCH("SUBSOLO",E4832)),IFERROR(-VALUE(LEFT(E4832,FIND("º",SUBSTITUTE(E4832,"°","º"))-1)),-1),IF(LEFT(E4832,6)="TÉRREO",0,IFERROR(VALUE(LEFT(E4832,FIND("º",SUBSTITUTE(E4832,"°","º"))-1)),""))))</f>
        <v/>
      </c>
      <c r="O4832" s="2">
        <f>IF(OR(F4832="",G4832=""),"",IF(G4832&lt;='RETRATO 2027'!$K$5,"CONCLUÍDA",IF(F4832&lt;='RETRATO 2027'!$K$5,"EM ANDAMENTO","A INICIAR")))</f>
        <v/>
      </c>
    </row>
    <row r="4833">
      <c r="M4833" s="2">
        <f>IF(C4833="","",IFERROR(INDEX($S$5:$S$304,MATCH(C4833,$R$5:$R$304,0))&amp;"","?"))</f>
        <v/>
      </c>
      <c r="N4833" s="2">
        <f>IF(E4833="","",IF(ISNUMBER(SEARCH("SUBSOLO",E4833)),IFERROR(-VALUE(LEFT(E4833,FIND("º",SUBSTITUTE(E4833,"°","º"))-1)),-1),IF(LEFT(E4833,6)="TÉRREO",0,IFERROR(VALUE(LEFT(E4833,FIND("º",SUBSTITUTE(E4833,"°","º"))-1)),""))))</f>
        <v/>
      </c>
      <c r="O4833" s="2">
        <f>IF(OR(F4833="",G4833=""),"",IF(G4833&lt;='RETRATO 2027'!$K$5,"CONCLUÍDA",IF(F4833&lt;='RETRATO 2027'!$K$5,"EM ANDAMENTO","A INICIAR")))</f>
        <v/>
      </c>
    </row>
    <row r="4834">
      <c r="M4834" s="2">
        <f>IF(C4834="","",IFERROR(INDEX($S$5:$S$304,MATCH(C4834,$R$5:$R$304,0))&amp;"","?"))</f>
        <v/>
      </c>
      <c r="N4834" s="2">
        <f>IF(E4834="","",IF(ISNUMBER(SEARCH("SUBSOLO",E4834)),IFERROR(-VALUE(LEFT(E4834,FIND("º",SUBSTITUTE(E4834,"°","º"))-1)),-1),IF(LEFT(E4834,6)="TÉRREO",0,IFERROR(VALUE(LEFT(E4834,FIND("º",SUBSTITUTE(E4834,"°","º"))-1)),""))))</f>
        <v/>
      </c>
      <c r="O4834" s="2">
        <f>IF(OR(F4834="",G4834=""),"",IF(G4834&lt;='RETRATO 2027'!$K$5,"CONCLUÍDA",IF(F4834&lt;='RETRATO 2027'!$K$5,"EM ANDAMENTO","A INICIAR")))</f>
        <v/>
      </c>
    </row>
    <row r="4835">
      <c r="M4835" s="2">
        <f>IF(C4835="","",IFERROR(INDEX($S$5:$S$304,MATCH(C4835,$R$5:$R$304,0))&amp;"","?"))</f>
        <v/>
      </c>
      <c r="N4835" s="2">
        <f>IF(E4835="","",IF(ISNUMBER(SEARCH("SUBSOLO",E4835)),IFERROR(-VALUE(LEFT(E4835,FIND("º",SUBSTITUTE(E4835,"°","º"))-1)),-1),IF(LEFT(E4835,6)="TÉRREO",0,IFERROR(VALUE(LEFT(E4835,FIND("º",SUBSTITUTE(E4835,"°","º"))-1)),""))))</f>
        <v/>
      </c>
      <c r="O4835" s="2">
        <f>IF(OR(F4835="",G4835=""),"",IF(G4835&lt;='RETRATO 2027'!$K$5,"CONCLUÍDA",IF(F4835&lt;='RETRATO 2027'!$K$5,"EM ANDAMENTO","A INICIAR")))</f>
        <v/>
      </c>
    </row>
    <row r="4836">
      <c r="M4836" s="2">
        <f>IF(C4836="","",IFERROR(INDEX($S$5:$S$304,MATCH(C4836,$R$5:$R$304,0))&amp;"","?"))</f>
        <v/>
      </c>
      <c r="N4836" s="2">
        <f>IF(E4836="","",IF(ISNUMBER(SEARCH("SUBSOLO",E4836)),IFERROR(-VALUE(LEFT(E4836,FIND("º",SUBSTITUTE(E4836,"°","º"))-1)),-1),IF(LEFT(E4836,6)="TÉRREO",0,IFERROR(VALUE(LEFT(E4836,FIND("º",SUBSTITUTE(E4836,"°","º"))-1)),""))))</f>
        <v/>
      </c>
      <c r="O4836" s="2">
        <f>IF(OR(F4836="",G4836=""),"",IF(G4836&lt;='RETRATO 2027'!$K$5,"CONCLUÍDA",IF(F4836&lt;='RETRATO 2027'!$K$5,"EM ANDAMENTO","A INICIAR")))</f>
        <v/>
      </c>
    </row>
    <row r="4837">
      <c r="M4837" s="2">
        <f>IF(C4837="","",IFERROR(INDEX($S$5:$S$304,MATCH(C4837,$R$5:$R$304,0))&amp;"","?"))</f>
        <v/>
      </c>
      <c r="N4837" s="2">
        <f>IF(E4837="","",IF(ISNUMBER(SEARCH("SUBSOLO",E4837)),IFERROR(-VALUE(LEFT(E4837,FIND("º",SUBSTITUTE(E4837,"°","º"))-1)),-1),IF(LEFT(E4837,6)="TÉRREO",0,IFERROR(VALUE(LEFT(E4837,FIND("º",SUBSTITUTE(E4837,"°","º"))-1)),""))))</f>
        <v/>
      </c>
      <c r="O4837" s="2">
        <f>IF(OR(F4837="",G4837=""),"",IF(G4837&lt;='RETRATO 2027'!$K$5,"CONCLUÍDA",IF(F4837&lt;='RETRATO 2027'!$K$5,"EM ANDAMENTO","A INICIAR")))</f>
        <v/>
      </c>
    </row>
    <row r="4838">
      <c r="M4838" s="2">
        <f>IF(C4838="","",IFERROR(INDEX($S$5:$S$304,MATCH(C4838,$R$5:$R$304,0))&amp;"","?"))</f>
        <v/>
      </c>
      <c r="N4838" s="2">
        <f>IF(E4838="","",IF(ISNUMBER(SEARCH("SUBSOLO",E4838)),IFERROR(-VALUE(LEFT(E4838,FIND("º",SUBSTITUTE(E4838,"°","º"))-1)),-1),IF(LEFT(E4838,6)="TÉRREO",0,IFERROR(VALUE(LEFT(E4838,FIND("º",SUBSTITUTE(E4838,"°","º"))-1)),""))))</f>
        <v/>
      </c>
      <c r="O4838" s="2">
        <f>IF(OR(F4838="",G4838=""),"",IF(G4838&lt;='RETRATO 2027'!$K$5,"CONCLUÍDA",IF(F4838&lt;='RETRATO 2027'!$K$5,"EM ANDAMENTO","A INICIAR")))</f>
        <v/>
      </c>
    </row>
    <row r="4839">
      <c r="M4839" s="2">
        <f>IF(C4839="","",IFERROR(INDEX($S$5:$S$304,MATCH(C4839,$R$5:$R$304,0))&amp;"","?"))</f>
        <v/>
      </c>
      <c r="N4839" s="2">
        <f>IF(E4839="","",IF(ISNUMBER(SEARCH("SUBSOLO",E4839)),IFERROR(-VALUE(LEFT(E4839,FIND("º",SUBSTITUTE(E4839,"°","º"))-1)),-1),IF(LEFT(E4839,6)="TÉRREO",0,IFERROR(VALUE(LEFT(E4839,FIND("º",SUBSTITUTE(E4839,"°","º"))-1)),""))))</f>
        <v/>
      </c>
      <c r="O4839" s="2">
        <f>IF(OR(F4839="",G4839=""),"",IF(G4839&lt;='RETRATO 2027'!$K$5,"CONCLUÍDA",IF(F4839&lt;='RETRATO 2027'!$K$5,"EM ANDAMENTO","A INICIAR")))</f>
        <v/>
      </c>
    </row>
    <row r="4840">
      <c r="M4840" s="2">
        <f>IF(C4840="","",IFERROR(INDEX($S$5:$S$304,MATCH(C4840,$R$5:$R$304,0))&amp;"","?"))</f>
        <v/>
      </c>
      <c r="N4840" s="2">
        <f>IF(E4840="","",IF(ISNUMBER(SEARCH("SUBSOLO",E4840)),IFERROR(-VALUE(LEFT(E4840,FIND("º",SUBSTITUTE(E4840,"°","º"))-1)),-1),IF(LEFT(E4840,6)="TÉRREO",0,IFERROR(VALUE(LEFT(E4840,FIND("º",SUBSTITUTE(E4840,"°","º"))-1)),""))))</f>
        <v/>
      </c>
      <c r="O4840" s="2">
        <f>IF(OR(F4840="",G4840=""),"",IF(G4840&lt;='RETRATO 2027'!$K$5,"CONCLUÍDA",IF(F4840&lt;='RETRATO 2027'!$K$5,"EM ANDAMENTO","A INICIAR")))</f>
        <v/>
      </c>
    </row>
    <row r="4841">
      <c r="M4841" s="2">
        <f>IF(C4841="","",IFERROR(INDEX($S$5:$S$304,MATCH(C4841,$R$5:$R$304,0))&amp;"","?"))</f>
        <v/>
      </c>
      <c r="N4841" s="2">
        <f>IF(E4841="","",IF(ISNUMBER(SEARCH("SUBSOLO",E4841)),IFERROR(-VALUE(LEFT(E4841,FIND("º",SUBSTITUTE(E4841,"°","º"))-1)),-1),IF(LEFT(E4841,6)="TÉRREO",0,IFERROR(VALUE(LEFT(E4841,FIND("º",SUBSTITUTE(E4841,"°","º"))-1)),""))))</f>
        <v/>
      </c>
      <c r="O4841" s="2">
        <f>IF(OR(F4841="",G4841=""),"",IF(G4841&lt;='RETRATO 2027'!$K$5,"CONCLUÍDA",IF(F4841&lt;='RETRATO 2027'!$K$5,"EM ANDAMENTO","A INICIAR")))</f>
        <v/>
      </c>
    </row>
    <row r="4842">
      <c r="M4842" s="2">
        <f>IF(C4842="","",IFERROR(INDEX($S$5:$S$304,MATCH(C4842,$R$5:$R$304,0))&amp;"","?"))</f>
        <v/>
      </c>
      <c r="N4842" s="2">
        <f>IF(E4842="","",IF(ISNUMBER(SEARCH("SUBSOLO",E4842)),IFERROR(-VALUE(LEFT(E4842,FIND("º",SUBSTITUTE(E4842,"°","º"))-1)),-1),IF(LEFT(E4842,6)="TÉRREO",0,IFERROR(VALUE(LEFT(E4842,FIND("º",SUBSTITUTE(E4842,"°","º"))-1)),""))))</f>
        <v/>
      </c>
      <c r="O4842" s="2">
        <f>IF(OR(F4842="",G4842=""),"",IF(G4842&lt;='RETRATO 2027'!$K$5,"CONCLUÍDA",IF(F4842&lt;='RETRATO 2027'!$K$5,"EM ANDAMENTO","A INICIAR")))</f>
        <v/>
      </c>
    </row>
    <row r="4843">
      <c r="M4843" s="2">
        <f>IF(C4843="","",IFERROR(INDEX($S$5:$S$304,MATCH(C4843,$R$5:$R$304,0))&amp;"","?"))</f>
        <v/>
      </c>
      <c r="N4843" s="2">
        <f>IF(E4843="","",IF(ISNUMBER(SEARCH("SUBSOLO",E4843)),IFERROR(-VALUE(LEFT(E4843,FIND("º",SUBSTITUTE(E4843,"°","º"))-1)),-1),IF(LEFT(E4843,6)="TÉRREO",0,IFERROR(VALUE(LEFT(E4843,FIND("º",SUBSTITUTE(E4843,"°","º"))-1)),""))))</f>
        <v/>
      </c>
      <c r="O4843" s="2">
        <f>IF(OR(F4843="",G4843=""),"",IF(G4843&lt;='RETRATO 2027'!$K$5,"CONCLUÍDA",IF(F4843&lt;='RETRATO 2027'!$K$5,"EM ANDAMENTO","A INICIAR")))</f>
        <v/>
      </c>
    </row>
    <row r="4844">
      <c r="M4844" s="2">
        <f>IF(C4844="","",IFERROR(INDEX($S$5:$S$304,MATCH(C4844,$R$5:$R$304,0))&amp;"","?"))</f>
        <v/>
      </c>
      <c r="N4844" s="2">
        <f>IF(E4844="","",IF(ISNUMBER(SEARCH("SUBSOLO",E4844)),IFERROR(-VALUE(LEFT(E4844,FIND("º",SUBSTITUTE(E4844,"°","º"))-1)),-1),IF(LEFT(E4844,6)="TÉRREO",0,IFERROR(VALUE(LEFT(E4844,FIND("º",SUBSTITUTE(E4844,"°","º"))-1)),""))))</f>
        <v/>
      </c>
      <c r="O4844" s="2">
        <f>IF(OR(F4844="",G4844=""),"",IF(G4844&lt;='RETRATO 2027'!$K$5,"CONCLUÍDA",IF(F4844&lt;='RETRATO 2027'!$K$5,"EM ANDAMENTO","A INICIAR")))</f>
        <v/>
      </c>
    </row>
    <row r="4845">
      <c r="M4845" s="2">
        <f>IF(C4845="","",IFERROR(INDEX($S$5:$S$304,MATCH(C4845,$R$5:$R$304,0))&amp;"","?"))</f>
        <v/>
      </c>
      <c r="N4845" s="2">
        <f>IF(E4845="","",IF(ISNUMBER(SEARCH("SUBSOLO",E4845)),IFERROR(-VALUE(LEFT(E4845,FIND("º",SUBSTITUTE(E4845,"°","º"))-1)),-1),IF(LEFT(E4845,6)="TÉRREO",0,IFERROR(VALUE(LEFT(E4845,FIND("º",SUBSTITUTE(E4845,"°","º"))-1)),""))))</f>
        <v/>
      </c>
      <c r="O4845" s="2">
        <f>IF(OR(F4845="",G4845=""),"",IF(G4845&lt;='RETRATO 2027'!$K$5,"CONCLUÍDA",IF(F4845&lt;='RETRATO 2027'!$K$5,"EM ANDAMENTO","A INICIAR")))</f>
        <v/>
      </c>
    </row>
    <row r="4846">
      <c r="M4846" s="2">
        <f>IF(C4846="","",IFERROR(INDEX($S$5:$S$304,MATCH(C4846,$R$5:$R$304,0))&amp;"","?"))</f>
        <v/>
      </c>
      <c r="N4846" s="2">
        <f>IF(E4846="","",IF(ISNUMBER(SEARCH("SUBSOLO",E4846)),IFERROR(-VALUE(LEFT(E4846,FIND("º",SUBSTITUTE(E4846,"°","º"))-1)),-1),IF(LEFT(E4846,6)="TÉRREO",0,IFERROR(VALUE(LEFT(E4846,FIND("º",SUBSTITUTE(E4846,"°","º"))-1)),""))))</f>
        <v/>
      </c>
      <c r="O4846" s="2">
        <f>IF(OR(F4846="",G4846=""),"",IF(G4846&lt;='RETRATO 2027'!$K$5,"CONCLUÍDA",IF(F4846&lt;='RETRATO 2027'!$K$5,"EM ANDAMENTO","A INICIAR")))</f>
        <v/>
      </c>
    </row>
    <row r="4847">
      <c r="M4847" s="2">
        <f>IF(C4847="","",IFERROR(INDEX($S$5:$S$304,MATCH(C4847,$R$5:$R$304,0))&amp;"","?"))</f>
        <v/>
      </c>
      <c r="N4847" s="2">
        <f>IF(E4847="","",IF(ISNUMBER(SEARCH("SUBSOLO",E4847)),IFERROR(-VALUE(LEFT(E4847,FIND("º",SUBSTITUTE(E4847,"°","º"))-1)),-1),IF(LEFT(E4847,6)="TÉRREO",0,IFERROR(VALUE(LEFT(E4847,FIND("º",SUBSTITUTE(E4847,"°","º"))-1)),""))))</f>
        <v/>
      </c>
      <c r="O4847" s="2">
        <f>IF(OR(F4847="",G4847=""),"",IF(G4847&lt;='RETRATO 2027'!$K$5,"CONCLUÍDA",IF(F4847&lt;='RETRATO 2027'!$K$5,"EM ANDAMENTO","A INICIAR")))</f>
        <v/>
      </c>
    </row>
    <row r="4848">
      <c r="M4848" s="2">
        <f>IF(C4848="","",IFERROR(INDEX($S$5:$S$304,MATCH(C4848,$R$5:$R$304,0))&amp;"","?"))</f>
        <v/>
      </c>
      <c r="N4848" s="2">
        <f>IF(E4848="","",IF(ISNUMBER(SEARCH("SUBSOLO",E4848)),IFERROR(-VALUE(LEFT(E4848,FIND("º",SUBSTITUTE(E4848,"°","º"))-1)),-1),IF(LEFT(E4848,6)="TÉRREO",0,IFERROR(VALUE(LEFT(E4848,FIND("º",SUBSTITUTE(E4848,"°","º"))-1)),""))))</f>
        <v/>
      </c>
      <c r="O4848" s="2">
        <f>IF(OR(F4848="",G4848=""),"",IF(G4848&lt;='RETRATO 2027'!$K$5,"CONCLUÍDA",IF(F4848&lt;='RETRATO 2027'!$K$5,"EM ANDAMENTO","A INICIAR")))</f>
        <v/>
      </c>
    </row>
    <row r="4849">
      <c r="M4849" s="2">
        <f>IF(C4849="","",IFERROR(INDEX($S$5:$S$304,MATCH(C4849,$R$5:$R$304,0))&amp;"","?"))</f>
        <v/>
      </c>
      <c r="N4849" s="2">
        <f>IF(E4849="","",IF(ISNUMBER(SEARCH("SUBSOLO",E4849)),IFERROR(-VALUE(LEFT(E4849,FIND("º",SUBSTITUTE(E4849,"°","º"))-1)),-1),IF(LEFT(E4849,6)="TÉRREO",0,IFERROR(VALUE(LEFT(E4849,FIND("º",SUBSTITUTE(E4849,"°","º"))-1)),""))))</f>
        <v/>
      </c>
      <c r="O4849" s="2">
        <f>IF(OR(F4849="",G4849=""),"",IF(G4849&lt;='RETRATO 2027'!$K$5,"CONCLUÍDA",IF(F4849&lt;='RETRATO 2027'!$K$5,"EM ANDAMENTO","A INICIAR")))</f>
        <v/>
      </c>
    </row>
    <row r="4850">
      <c r="M4850" s="2">
        <f>IF(C4850="","",IFERROR(INDEX($S$5:$S$304,MATCH(C4850,$R$5:$R$304,0))&amp;"","?"))</f>
        <v/>
      </c>
      <c r="N4850" s="2">
        <f>IF(E4850="","",IF(ISNUMBER(SEARCH("SUBSOLO",E4850)),IFERROR(-VALUE(LEFT(E4850,FIND("º",SUBSTITUTE(E4850,"°","º"))-1)),-1),IF(LEFT(E4850,6)="TÉRREO",0,IFERROR(VALUE(LEFT(E4850,FIND("º",SUBSTITUTE(E4850,"°","º"))-1)),""))))</f>
        <v/>
      </c>
      <c r="O4850" s="2">
        <f>IF(OR(F4850="",G4850=""),"",IF(G4850&lt;='RETRATO 2027'!$K$5,"CONCLUÍDA",IF(F4850&lt;='RETRATO 2027'!$K$5,"EM ANDAMENTO","A INICIAR")))</f>
        <v/>
      </c>
    </row>
    <row r="4851">
      <c r="M4851" s="2">
        <f>IF(C4851="","",IFERROR(INDEX($S$5:$S$304,MATCH(C4851,$R$5:$R$304,0))&amp;"","?"))</f>
        <v/>
      </c>
      <c r="N4851" s="2">
        <f>IF(E4851="","",IF(ISNUMBER(SEARCH("SUBSOLO",E4851)),IFERROR(-VALUE(LEFT(E4851,FIND("º",SUBSTITUTE(E4851,"°","º"))-1)),-1),IF(LEFT(E4851,6)="TÉRREO",0,IFERROR(VALUE(LEFT(E4851,FIND("º",SUBSTITUTE(E4851,"°","º"))-1)),""))))</f>
        <v/>
      </c>
      <c r="O4851" s="2">
        <f>IF(OR(F4851="",G4851=""),"",IF(G4851&lt;='RETRATO 2027'!$K$5,"CONCLUÍDA",IF(F4851&lt;='RETRATO 2027'!$K$5,"EM ANDAMENTO","A INICIAR")))</f>
        <v/>
      </c>
    </row>
    <row r="4852">
      <c r="M4852" s="2">
        <f>IF(C4852="","",IFERROR(INDEX($S$5:$S$304,MATCH(C4852,$R$5:$R$304,0))&amp;"","?"))</f>
        <v/>
      </c>
      <c r="N4852" s="2">
        <f>IF(E4852="","",IF(ISNUMBER(SEARCH("SUBSOLO",E4852)),IFERROR(-VALUE(LEFT(E4852,FIND("º",SUBSTITUTE(E4852,"°","º"))-1)),-1),IF(LEFT(E4852,6)="TÉRREO",0,IFERROR(VALUE(LEFT(E4852,FIND("º",SUBSTITUTE(E4852,"°","º"))-1)),""))))</f>
        <v/>
      </c>
      <c r="O4852" s="2">
        <f>IF(OR(F4852="",G4852=""),"",IF(G4852&lt;='RETRATO 2027'!$K$5,"CONCLUÍDA",IF(F4852&lt;='RETRATO 2027'!$K$5,"EM ANDAMENTO","A INICIAR")))</f>
        <v/>
      </c>
    </row>
    <row r="4853">
      <c r="M4853" s="2">
        <f>IF(C4853="","",IFERROR(INDEX($S$5:$S$304,MATCH(C4853,$R$5:$R$304,0))&amp;"","?"))</f>
        <v/>
      </c>
      <c r="N4853" s="2">
        <f>IF(E4853="","",IF(ISNUMBER(SEARCH("SUBSOLO",E4853)),IFERROR(-VALUE(LEFT(E4853,FIND("º",SUBSTITUTE(E4853,"°","º"))-1)),-1),IF(LEFT(E4853,6)="TÉRREO",0,IFERROR(VALUE(LEFT(E4853,FIND("º",SUBSTITUTE(E4853,"°","º"))-1)),""))))</f>
        <v/>
      </c>
      <c r="O4853" s="2">
        <f>IF(OR(F4853="",G4853=""),"",IF(G4853&lt;='RETRATO 2027'!$K$5,"CONCLUÍDA",IF(F4853&lt;='RETRATO 2027'!$K$5,"EM ANDAMENTO","A INICIAR")))</f>
        <v/>
      </c>
    </row>
    <row r="4854">
      <c r="M4854" s="2">
        <f>IF(C4854="","",IFERROR(INDEX($S$5:$S$304,MATCH(C4854,$R$5:$R$304,0))&amp;"","?"))</f>
        <v/>
      </c>
      <c r="N4854" s="2">
        <f>IF(E4854="","",IF(ISNUMBER(SEARCH("SUBSOLO",E4854)),IFERROR(-VALUE(LEFT(E4854,FIND("º",SUBSTITUTE(E4854,"°","º"))-1)),-1),IF(LEFT(E4854,6)="TÉRREO",0,IFERROR(VALUE(LEFT(E4854,FIND("º",SUBSTITUTE(E4854,"°","º"))-1)),""))))</f>
        <v/>
      </c>
      <c r="O4854" s="2">
        <f>IF(OR(F4854="",G4854=""),"",IF(G4854&lt;='RETRATO 2027'!$K$5,"CONCLUÍDA",IF(F4854&lt;='RETRATO 2027'!$K$5,"EM ANDAMENTO","A INICIAR")))</f>
        <v/>
      </c>
    </row>
    <row r="4855">
      <c r="M4855" s="2">
        <f>IF(C4855="","",IFERROR(INDEX($S$5:$S$304,MATCH(C4855,$R$5:$R$304,0))&amp;"","?"))</f>
        <v/>
      </c>
      <c r="N4855" s="2">
        <f>IF(E4855="","",IF(ISNUMBER(SEARCH("SUBSOLO",E4855)),IFERROR(-VALUE(LEFT(E4855,FIND("º",SUBSTITUTE(E4855,"°","º"))-1)),-1),IF(LEFT(E4855,6)="TÉRREO",0,IFERROR(VALUE(LEFT(E4855,FIND("º",SUBSTITUTE(E4855,"°","º"))-1)),""))))</f>
        <v/>
      </c>
      <c r="O4855" s="2">
        <f>IF(OR(F4855="",G4855=""),"",IF(G4855&lt;='RETRATO 2027'!$K$5,"CONCLUÍDA",IF(F4855&lt;='RETRATO 2027'!$K$5,"EM ANDAMENTO","A INICIAR")))</f>
        <v/>
      </c>
    </row>
    <row r="4856">
      <c r="M4856" s="2">
        <f>IF(C4856="","",IFERROR(INDEX($S$5:$S$304,MATCH(C4856,$R$5:$R$304,0))&amp;"","?"))</f>
        <v/>
      </c>
      <c r="N4856" s="2">
        <f>IF(E4856="","",IF(ISNUMBER(SEARCH("SUBSOLO",E4856)),IFERROR(-VALUE(LEFT(E4856,FIND("º",SUBSTITUTE(E4856,"°","º"))-1)),-1),IF(LEFT(E4856,6)="TÉRREO",0,IFERROR(VALUE(LEFT(E4856,FIND("º",SUBSTITUTE(E4856,"°","º"))-1)),""))))</f>
        <v/>
      </c>
      <c r="O4856" s="2">
        <f>IF(OR(F4856="",G4856=""),"",IF(G4856&lt;='RETRATO 2027'!$K$5,"CONCLUÍDA",IF(F4856&lt;='RETRATO 2027'!$K$5,"EM ANDAMENTO","A INICIAR")))</f>
        <v/>
      </c>
    </row>
    <row r="4857">
      <c r="M4857" s="2">
        <f>IF(C4857="","",IFERROR(INDEX($S$5:$S$304,MATCH(C4857,$R$5:$R$304,0))&amp;"","?"))</f>
        <v/>
      </c>
      <c r="N4857" s="2">
        <f>IF(E4857="","",IF(ISNUMBER(SEARCH("SUBSOLO",E4857)),IFERROR(-VALUE(LEFT(E4857,FIND("º",SUBSTITUTE(E4857,"°","º"))-1)),-1),IF(LEFT(E4857,6)="TÉRREO",0,IFERROR(VALUE(LEFT(E4857,FIND("º",SUBSTITUTE(E4857,"°","º"))-1)),""))))</f>
        <v/>
      </c>
      <c r="O4857" s="2">
        <f>IF(OR(F4857="",G4857=""),"",IF(G4857&lt;='RETRATO 2027'!$K$5,"CONCLUÍDA",IF(F4857&lt;='RETRATO 2027'!$K$5,"EM ANDAMENTO","A INICIAR")))</f>
        <v/>
      </c>
    </row>
    <row r="4858">
      <c r="M4858" s="2">
        <f>IF(C4858="","",IFERROR(INDEX($S$5:$S$304,MATCH(C4858,$R$5:$R$304,0))&amp;"","?"))</f>
        <v/>
      </c>
      <c r="N4858" s="2">
        <f>IF(E4858="","",IF(ISNUMBER(SEARCH("SUBSOLO",E4858)),IFERROR(-VALUE(LEFT(E4858,FIND("º",SUBSTITUTE(E4858,"°","º"))-1)),-1),IF(LEFT(E4858,6)="TÉRREO",0,IFERROR(VALUE(LEFT(E4858,FIND("º",SUBSTITUTE(E4858,"°","º"))-1)),""))))</f>
        <v/>
      </c>
      <c r="O4858" s="2">
        <f>IF(OR(F4858="",G4858=""),"",IF(G4858&lt;='RETRATO 2027'!$K$5,"CONCLUÍDA",IF(F4858&lt;='RETRATO 2027'!$K$5,"EM ANDAMENTO","A INICIAR")))</f>
        <v/>
      </c>
    </row>
    <row r="4859">
      <c r="M4859" s="2">
        <f>IF(C4859="","",IFERROR(INDEX($S$5:$S$304,MATCH(C4859,$R$5:$R$304,0))&amp;"","?"))</f>
        <v/>
      </c>
      <c r="N4859" s="2">
        <f>IF(E4859="","",IF(ISNUMBER(SEARCH("SUBSOLO",E4859)),IFERROR(-VALUE(LEFT(E4859,FIND("º",SUBSTITUTE(E4859,"°","º"))-1)),-1),IF(LEFT(E4859,6)="TÉRREO",0,IFERROR(VALUE(LEFT(E4859,FIND("º",SUBSTITUTE(E4859,"°","º"))-1)),""))))</f>
        <v/>
      </c>
      <c r="O4859" s="2">
        <f>IF(OR(F4859="",G4859=""),"",IF(G4859&lt;='RETRATO 2027'!$K$5,"CONCLUÍDA",IF(F4859&lt;='RETRATO 2027'!$K$5,"EM ANDAMENTO","A INICIAR")))</f>
        <v/>
      </c>
    </row>
    <row r="4860">
      <c r="M4860" s="2">
        <f>IF(C4860="","",IFERROR(INDEX($S$5:$S$304,MATCH(C4860,$R$5:$R$304,0))&amp;"","?"))</f>
        <v/>
      </c>
      <c r="N4860" s="2">
        <f>IF(E4860="","",IF(ISNUMBER(SEARCH("SUBSOLO",E4860)),IFERROR(-VALUE(LEFT(E4860,FIND("º",SUBSTITUTE(E4860,"°","º"))-1)),-1),IF(LEFT(E4860,6)="TÉRREO",0,IFERROR(VALUE(LEFT(E4860,FIND("º",SUBSTITUTE(E4860,"°","º"))-1)),""))))</f>
        <v/>
      </c>
      <c r="O4860" s="2">
        <f>IF(OR(F4860="",G4860=""),"",IF(G4860&lt;='RETRATO 2027'!$K$5,"CONCLUÍDA",IF(F4860&lt;='RETRATO 2027'!$K$5,"EM ANDAMENTO","A INICIAR")))</f>
        <v/>
      </c>
    </row>
    <row r="4861">
      <c r="M4861" s="2">
        <f>IF(C4861="","",IFERROR(INDEX($S$5:$S$304,MATCH(C4861,$R$5:$R$304,0))&amp;"","?"))</f>
        <v/>
      </c>
      <c r="N4861" s="2">
        <f>IF(E4861="","",IF(ISNUMBER(SEARCH("SUBSOLO",E4861)),IFERROR(-VALUE(LEFT(E4861,FIND("º",SUBSTITUTE(E4861,"°","º"))-1)),-1),IF(LEFT(E4861,6)="TÉRREO",0,IFERROR(VALUE(LEFT(E4861,FIND("º",SUBSTITUTE(E4861,"°","º"))-1)),""))))</f>
        <v/>
      </c>
      <c r="O4861" s="2">
        <f>IF(OR(F4861="",G4861=""),"",IF(G4861&lt;='RETRATO 2027'!$K$5,"CONCLUÍDA",IF(F4861&lt;='RETRATO 2027'!$K$5,"EM ANDAMENTO","A INICIAR")))</f>
        <v/>
      </c>
    </row>
    <row r="4862">
      <c r="M4862" s="2">
        <f>IF(C4862="","",IFERROR(INDEX($S$5:$S$304,MATCH(C4862,$R$5:$R$304,0))&amp;"","?"))</f>
        <v/>
      </c>
      <c r="N4862" s="2">
        <f>IF(E4862="","",IF(ISNUMBER(SEARCH("SUBSOLO",E4862)),IFERROR(-VALUE(LEFT(E4862,FIND("º",SUBSTITUTE(E4862,"°","º"))-1)),-1),IF(LEFT(E4862,6)="TÉRREO",0,IFERROR(VALUE(LEFT(E4862,FIND("º",SUBSTITUTE(E4862,"°","º"))-1)),""))))</f>
        <v/>
      </c>
      <c r="O4862" s="2">
        <f>IF(OR(F4862="",G4862=""),"",IF(G4862&lt;='RETRATO 2027'!$K$5,"CONCLUÍDA",IF(F4862&lt;='RETRATO 2027'!$K$5,"EM ANDAMENTO","A INICIAR")))</f>
        <v/>
      </c>
    </row>
    <row r="4863">
      <c r="M4863" s="2">
        <f>IF(C4863="","",IFERROR(INDEX($S$5:$S$304,MATCH(C4863,$R$5:$R$304,0))&amp;"","?"))</f>
        <v/>
      </c>
      <c r="N4863" s="2">
        <f>IF(E4863="","",IF(ISNUMBER(SEARCH("SUBSOLO",E4863)),IFERROR(-VALUE(LEFT(E4863,FIND("º",SUBSTITUTE(E4863,"°","º"))-1)),-1),IF(LEFT(E4863,6)="TÉRREO",0,IFERROR(VALUE(LEFT(E4863,FIND("º",SUBSTITUTE(E4863,"°","º"))-1)),""))))</f>
        <v/>
      </c>
      <c r="O4863" s="2">
        <f>IF(OR(F4863="",G4863=""),"",IF(G4863&lt;='RETRATO 2027'!$K$5,"CONCLUÍDA",IF(F4863&lt;='RETRATO 2027'!$K$5,"EM ANDAMENTO","A INICIAR")))</f>
        <v/>
      </c>
    </row>
    <row r="4864">
      <c r="M4864" s="2">
        <f>IF(C4864="","",IFERROR(INDEX($S$5:$S$304,MATCH(C4864,$R$5:$R$304,0))&amp;"","?"))</f>
        <v/>
      </c>
      <c r="N4864" s="2">
        <f>IF(E4864="","",IF(ISNUMBER(SEARCH("SUBSOLO",E4864)),IFERROR(-VALUE(LEFT(E4864,FIND("º",SUBSTITUTE(E4864,"°","º"))-1)),-1),IF(LEFT(E4864,6)="TÉRREO",0,IFERROR(VALUE(LEFT(E4864,FIND("º",SUBSTITUTE(E4864,"°","º"))-1)),""))))</f>
        <v/>
      </c>
      <c r="O4864" s="2">
        <f>IF(OR(F4864="",G4864=""),"",IF(G4864&lt;='RETRATO 2027'!$K$5,"CONCLUÍDA",IF(F4864&lt;='RETRATO 2027'!$K$5,"EM ANDAMENTO","A INICIAR")))</f>
        <v/>
      </c>
    </row>
    <row r="4865">
      <c r="M4865" s="2">
        <f>IF(C4865="","",IFERROR(INDEX($S$5:$S$304,MATCH(C4865,$R$5:$R$304,0))&amp;"","?"))</f>
        <v/>
      </c>
      <c r="N4865" s="2">
        <f>IF(E4865="","",IF(ISNUMBER(SEARCH("SUBSOLO",E4865)),IFERROR(-VALUE(LEFT(E4865,FIND("º",SUBSTITUTE(E4865,"°","º"))-1)),-1),IF(LEFT(E4865,6)="TÉRREO",0,IFERROR(VALUE(LEFT(E4865,FIND("º",SUBSTITUTE(E4865,"°","º"))-1)),""))))</f>
        <v/>
      </c>
      <c r="O4865" s="2">
        <f>IF(OR(F4865="",G4865=""),"",IF(G4865&lt;='RETRATO 2027'!$K$5,"CONCLUÍDA",IF(F4865&lt;='RETRATO 2027'!$K$5,"EM ANDAMENTO","A INICIAR")))</f>
        <v/>
      </c>
    </row>
    <row r="4866">
      <c r="M4866" s="2">
        <f>IF(C4866="","",IFERROR(INDEX($S$5:$S$304,MATCH(C4866,$R$5:$R$304,0))&amp;"","?"))</f>
        <v/>
      </c>
      <c r="N4866" s="2">
        <f>IF(E4866="","",IF(ISNUMBER(SEARCH("SUBSOLO",E4866)),IFERROR(-VALUE(LEFT(E4866,FIND("º",SUBSTITUTE(E4866,"°","º"))-1)),-1),IF(LEFT(E4866,6)="TÉRREO",0,IFERROR(VALUE(LEFT(E4866,FIND("º",SUBSTITUTE(E4866,"°","º"))-1)),""))))</f>
        <v/>
      </c>
      <c r="O4866" s="2">
        <f>IF(OR(F4866="",G4866=""),"",IF(G4866&lt;='RETRATO 2027'!$K$5,"CONCLUÍDA",IF(F4866&lt;='RETRATO 2027'!$K$5,"EM ANDAMENTO","A INICIAR")))</f>
        <v/>
      </c>
    </row>
    <row r="4867">
      <c r="M4867" s="2">
        <f>IF(C4867="","",IFERROR(INDEX($S$5:$S$304,MATCH(C4867,$R$5:$R$304,0))&amp;"","?"))</f>
        <v/>
      </c>
      <c r="N4867" s="2">
        <f>IF(E4867="","",IF(ISNUMBER(SEARCH("SUBSOLO",E4867)),IFERROR(-VALUE(LEFT(E4867,FIND("º",SUBSTITUTE(E4867,"°","º"))-1)),-1),IF(LEFT(E4867,6)="TÉRREO",0,IFERROR(VALUE(LEFT(E4867,FIND("º",SUBSTITUTE(E4867,"°","º"))-1)),""))))</f>
        <v/>
      </c>
      <c r="O4867" s="2">
        <f>IF(OR(F4867="",G4867=""),"",IF(G4867&lt;='RETRATO 2027'!$K$5,"CONCLUÍDA",IF(F4867&lt;='RETRATO 2027'!$K$5,"EM ANDAMENTO","A INICIAR")))</f>
        <v/>
      </c>
    </row>
    <row r="4868">
      <c r="M4868" s="2">
        <f>IF(C4868="","",IFERROR(INDEX($S$5:$S$304,MATCH(C4868,$R$5:$R$304,0))&amp;"","?"))</f>
        <v/>
      </c>
      <c r="N4868" s="2">
        <f>IF(E4868="","",IF(ISNUMBER(SEARCH("SUBSOLO",E4868)),IFERROR(-VALUE(LEFT(E4868,FIND("º",SUBSTITUTE(E4868,"°","º"))-1)),-1),IF(LEFT(E4868,6)="TÉRREO",0,IFERROR(VALUE(LEFT(E4868,FIND("º",SUBSTITUTE(E4868,"°","º"))-1)),""))))</f>
        <v/>
      </c>
      <c r="O4868" s="2">
        <f>IF(OR(F4868="",G4868=""),"",IF(G4868&lt;='RETRATO 2027'!$K$5,"CONCLUÍDA",IF(F4868&lt;='RETRATO 2027'!$K$5,"EM ANDAMENTO","A INICIAR")))</f>
        <v/>
      </c>
    </row>
    <row r="4869">
      <c r="M4869" s="2">
        <f>IF(C4869="","",IFERROR(INDEX($S$5:$S$304,MATCH(C4869,$R$5:$R$304,0))&amp;"","?"))</f>
        <v/>
      </c>
      <c r="N4869" s="2">
        <f>IF(E4869="","",IF(ISNUMBER(SEARCH("SUBSOLO",E4869)),IFERROR(-VALUE(LEFT(E4869,FIND("º",SUBSTITUTE(E4869,"°","º"))-1)),-1),IF(LEFT(E4869,6)="TÉRREO",0,IFERROR(VALUE(LEFT(E4869,FIND("º",SUBSTITUTE(E4869,"°","º"))-1)),""))))</f>
        <v/>
      </c>
      <c r="O4869" s="2">
        <f>IF(OR(F4869="",G4869=""),"",IF(G4869&lt;='RETRATO 2027'!$K$5,"CONCLUÍDA",IF(F4869&lt;='RETRATO 2027'!$K$5,"EM ANDAMENTO","A INICIAR")))</f>
        <v/>
      </c>
    </row>
    <row r="4870">
      <c r="M4870" s="2">
        <f>IF(C4870="","",IFERROR(INDEX($S$5:$S$304,MATCH(C4870,$R$5:$R$304,0))&amp;"","?"))</f>
        <v/>
      </c>
      <c r="N4870" s="2">
        <f>IF(E4870="","",IF(ISNUMBER(SEARCH("SUBSOLO",E4870)),IFERROR(-VALUE(LEFT(E4870,FIND("º",SUBSTITUTE(E4870,"°","º"))-1)),-1),IF(LEFT(E4870,6)="TÉRREO",0,IFERROR(VALUE(LEFT(E4870,FIND("º",SUBSTITUTE(E4870,"°","º"))-1)),""))))</f>
        <v/>
      </c>
      <c r="O4870" s="2">
        <f>IF(OR(F4870="",G4870=""),"",IF(G4870&lt;='RETRATO 2027'!$K$5,"CONCLUÍDA",IF(F4870&lt;='RETRATO 2027'!$K$5,"EM ANDAMENTO","A INICIAR")))</f>
        <v/>
      </c>
    </row>
    <row r="4871">
      <c r="M4871" s="2">
        <f>IF(C4871="","",IFERROR(INDEX($S$5:$S$304,MATCH(C4871,$R$5:$R$304,0))&amp;"","?"))</f>
        <v/>
      </c>
      <c r="N4871" s="2">
        <f>IF(E4871="","",IF(ISNUMBER(SEARCH("SUBSOLO",E4871)),IFERROR(-VALUE(LEFT(E4871,FIND("º",SUBSTITUTE(E4871,"°","º"))-1)),-1),IF(LEFT(E4871,6)="TÉRREO",0,IFERROR(VALUE(LEFT(E4871,FIND("º",SUBSTITUTE(E4871,"°","º"))-1)),""))))</f>
        <v/>
      </c>
      <c r="O4871" s="2">
        <f>IF(OR(F4871="",G4871=""),"",IF(G4871&lt;='RETRATO 2027'!$K$5,"CONCLUÍDA",IF(F4871&lt;='RETRATO 2027'!$K$5,"EM ANDAMENTO","A INICIAR")))</f>
        <v/>
      </c>
    </row>
    <row r="4872">
      <c r="M4872" s="2">
        <f>IF(C4872="","",IFERROR(INDEX($S$5:$S$304,MATCH(C4872,$R$5:$R$304,0))&amp;"","?"))</f>
        <v/>
      </c>
      <c r="N4872" s="2">
        <f>IF(E4872="","",IF(ISNUMBER(SEARCH("SUBSOLO",E4872)),IFERROR(-VALUE(LEFT(E4872,FIND("º",SUBSTITUTE(E4872,"°","º"))-1)),-1),IF(LEFT(E4872,6)="TÉRREO",0,IFERROR(VALUE(LEFT(E4872,FIND("º",SUBSTITUTE(E4872,"°","º"))-1)),""))))</f>
        <v/>
      </c>
      <c r="O4872" s="2">
        <f>IF(OR(F4872="",G4872=""),"",IF(G4872&lt;='RETRATO 2027'!$K$5,"CONCLUÍDA",IF(F4872&lt;='RETRATO 2027'!$K$5,"EM ANDAMENTO","A INICIAR")))</f>
        <v/>
      </c>
    </row>
    <row r="4873">
      <c r="M4873" s="2">
        <f>IF(C4873="","",IFERROR(INDEX($S$5:$S$304,MATCH(C4873,$R$5:$R$304,0))&amp;"","?"))</f>
        <v/>
      </c>
      <c r="N4873" s="2">
        <f>IF(E4873="","",IF(ISNUMBER(SEARCH("SUBSOLO",E4873)),IFERROR(-VALUE(LEFT(E4873,FIND("º",SUBSTITUTE(E4873,"°","º"))-1)),-1),IF(LEFT(E4873,6)="TÉRREO",0,IFERROR(VALUE(LEFT(E4873,FIND("º",SUBSTITUTE(E4873,"°","º"))-1)),""))))</f>
        <v/>
      </c>
      <c r="O4873" s="2">
        <f>IF(OR(F4873="",G4873=""),"",IF(G4873&lt;='RETRATO 2027'!$K$5,"CONCLUÍDA",IF(F4873&lt;='RETRATO 2027'!$K$5,"EM ANDAMENTO","A INICIAR")))</f>
        <v/>
      </c>
    </row>
    <row r="4874">
      <c r="M4874" s="2">
        <f>IF(C4874="","",IFERROR(INDEX($S$5:$S$304,MATCH(C4874,$R$5:$R$304,0))&amp;"","?"))</f>
        <v/>
      </c>
      <c r="N4874" s="2">
        <f>IF(E4874="","",IF(ISNUMBER(SEARCH("SUBSOLO",E4874)),IFERROR(-VALUE(LEFT(E4874,FIND("º",SUBSTITUTE(E4874,"°","º"))-1)),-1),IF(LEFT(E4874,6)="TÉRREO",0,IFERROR(VALUE(LEFT(E4874,FIND("º",SUBSTITUTE(E4874,"°","º"))-1)),""))))</f>
        <v/>
      </c>
      <c r="O4874" s="2">
        <f>IF(OR(F4874="",G4874=""),"",IF(G4874&lt;='RETRATO 2027'!$K$5,"CONCLUÍDA",IF(F4874&lt;='RETRATO 2027'!$K$5,"EM ANDAMENTO","A INICIAR")))</f>
        <v/>
      </c>
    </row>
    <row r="4875">
      <c r="M4875" s="2">
        <f>IF(C4875="","",IFERROR(INDEX($S$5:$S$304,MATCH(C4875,$R$5:$R$304,0))&amp;"","?"))</f>
        <v/>
      </c>
      <c r="N4875" s="2">
        <f>IF(E4875="","",IF(ISNUMBER(SEARCH("SUBSOLO",E4875)),IFERROR(-VALUE(LEFT(E4875,FIND("º",SUBSTITUTE(E4875,"°","º"))-1)),-1),IF(LEFT(E4875,6)="TÉRREO",0,IFERROR(VALUE(LEFT(E4875,FIND("º",SUBSTITUTE(E4875,"°","º"))-1)),""))))</f>
        <v/>
      </c>
      <c r="O4875" s="2">
        <f>IF(OR(F4875="",G4875=""),"",IF(G4875&lt;='RETRATO 2027'!$K$5,"CONCLUÍDA",IF(F4875&lt;='RETRATO 2027'!$K$5,"EM ANDAMENTO","A INICIAR")))</f>
        <v/>
      </c>
    </row>
    <row r="4876">
      <c r="M4876" s="2">
        <f>IF(C4876="","",IFERROR(INDEX($S$5:$S$304,MATCH(C4876,$R$5:$R$304,0))&amp;"","?"))</f>
        <v/>
      </c>
      <c r="N4876" s="2">
        <f>IF(E4876="","",IF(ISNUMBER(SEARCH("SUBSOLO",E4876)),IFERROR(-VALUE(LEFT(E4876,FIND("º",SUBSTITUTE(E4876,"°","º"))-1)),-1),IF(LEFT(E4876,6)="TÉRREO",0,IFERROR(VALUE(LEFT(E4876,FIND("º",SUBSTITUTE(E4876,"°","º"))-1)),""))))</f>
        <v/>
      </c>
      <c r="O4876" s="2">
        <f>IF(OR(F4876="",G4876=""),"",IF(G4876&lt;='RETRATO 2027'!$K$5,"CONCLUÍDA",IF(F4876&lt;='RETRATO 2027'!$K$5,"EM ANDAMENTO","A INICIAR")))</f>
        <v/>
      </c>
    </row>
    <row r="4877">
      <c r="M4877" s="2">
        <f>IF(C4877="","",IFERROR(INDEX($S$5:$S$304,MATCH(C4877,$R$5:$R$304,0))&amp;"","?"))</f>
        <v/>
      </c>
      <c r="N4877" s="2">
        <f>IF(E4877="","",IF(ISNUMBER(SEARCH("SUBSOLO",E4877)),IFERROR(-VALUE(LEFT(E4877,FIND("º",SUBSTITUTE(E4877,"°","º"))-1)),-1),IF(LEFT(E4877,6)="TÉRREO",0,IFERROR(VALUE(LEFT(E4877,FIND("º",SUBSTITUTE(E4877,"°","º"))-1)),""))))</f>
        <v/>
      </c>
      <c r="O4877" s="2">
        <f>IF(OR(F4877="",G4877=""),"",IF(G4877&lt;='RETRATO 2027'!$K$5,"CONCLUÍDA",IF(F4877&lt;='RETRATO 2027'!$K$5,"EM ANDAMENTO","A INICIAR")))</f>
        <v/>
      </c>
    </row>
    <row r="4878">
      <c r="M4878" s="2">
        <f>IF(C4878="","",IFERROR(INDEX($S$5:$S$304,MATCH(C4878,$R$5:$R$304,0))&amp;"","?"))</f>
        <v/>
      </c>
      <c r="N4878" s="2">
        <f>IF(E4878="","",IF(ISNUMBER(SEARCH("SUBSOLO",E4878)),IFERROR(-VALUE(LEFT(E4878,FIND("º",SUBSTITUTE(E4878,"°","º"))-1)),-1),IF(LEFT(E4878,6)="TÉRREO",0,IFERROR(VALUE(LEFT(E4878,FIND("º",SUBSTITUTE(E4878,"°","º"))-1)),""))))</f>
        <v/>
      </c>
      <c r="O4878" s="2">
        <f>IF(OR(F4878="",G4878=""),"",IF(G4878&lt;='RETRATO 2027'!$K$5,"CONCLUÍDA",IF(F4878&lt;='RETRATO 2027'!$K$5,"EM ANDAMENTO","A INICIAR")))</f>
        <v/>
      </c>
    </row>
    <row r="4879">
      <c r="M4879" s="2">
        <f>IF(C4879="","",IFERROR(INDEX($S$5:$S$304,MATCH(C4879,$R$5:$R$304,0))&amp;"","?"))</f>
        <v/>
      </c>
      <c r="N4879" s="2">
        <f>IF(E4879="","",IF(ISNUMBER(SEARCH("SUBSOLO",E4879)),IFERROR(-VALUE(LEFT(E4879,FIND("º",SUBSTITUTE(E4879,"°","º"))-1)),-1),IF(LEFT(E4879,6)="TÉRREO",0,IFERROR(VALUE(LEFT(E4879,FIND("º",SUBSTITUTE(E4879,"°","º"))-1)),""))))</f>
        <v/>
      </c>
      <c r="O4879" s="2">
        <f>IF(OR(F4879="",G4879=""),"",IF(G4879&lt;='RETRATO 2027'!$K$5,"CONCLUÍDA",IF(F4879&lt;='RETRATO 2027'!$K$5,"EM ANDAMENTO","A INICIAR")))</f>
        <v/>
      </c>
    </row>
    <row r="4880">
      <c r="M4880" s="2">
        <f>IF(C4880="","",IFERROR(INDEX($S$5:$S$304,MATCH(C4880,$R$5:$R$304,0))&amp;"","?"))</f>
        <v/>
      </c>
      <c r="N4880" s="2">
        <f>IF(E4880="","",IF(ISNUMBER(SEARCH("SUBSOLO",E4880)),IFERROR(-VALUE(LEFT(E4880,FIND("º",SUBSTITUTE(E4880,"°","º"))-1)),-1),IF(LEFT(E4880,6)="TÉRREO",0,IFERROR(VALUE(LEFT(E4880,FIND("º",SUBSTITUTE(E4880,"°","º"))-1)),""))))</f>
        <v/>
      </c>
      <c r="O4880" s="2">
        <f>IF(OR(F4880="",G4880=""),"",IF(G4880&lt;='RETRATO 2027'!$K$5,"CONCLUÍDA",IF(F4880&lt;='RETRATO 2027'!$K$5,"EM ANDAMENTO","A INICIAR")))</f>
        <v/>
      </c>
    </row>
    <row r="4881">
      <c r="M4881" s="2">
        <f>IF(C4881="","",IFERROR(INDEX($S$5:$S$304,MATCH(C4881,$R$5:$R$304,0))&amp;"","?"))</f>
        <v/>
      </c>
      <c r="N4881" s="2">
        <f>IF(E4881="","",IF(ISNUMBER(SEARCH("SUBSOLO",E4881)),IFERROR(-VALUE(LEFT(E4881,FIND("º",SUBSTITUTE(E4881,"°","º"))-1)),-1),IF(LEFT(E4881,6)="TÉRREO",0,IFERROR(VALUE(LEFT(E4881,FIND("º",SUBSTITUTE(E4881,"°","º"))-1)),""))))</f>
        <v/>
      </c>
      <c r="O4881" s="2">
        <f>IF(OR(F4881="",G4881=""),"",IF(G4881&lt;='RETRATO 2027'!$K$5,"CONCLUÍDA",IF(F4881&lt;='RETRATO 2027'!$K$5,"EM ANDAMENTO","A INICIAR")))</f>
        <v/>
      </c>
    </row>
    <row r="4882">
      <c r="M4882" s="2">
        <f>IF(C4882="","",IFERROR(INDEX($S$5:$S$304,MATCH(C4882,$R$5:$R$304,0))&amp;"","?"))</f>
        <v/>
      </c>
      <c r="N4882" s="2">
        <f>IF(E4882="","",IF(ISNUMBER(SEARCH("SUBSOLO",E4882)),IFERROR(-VALUE(LEFT(E4882,FIND("º",SUBSTITUTE(E4882,"°","º"))-1)),-1),IF(LEFT(E4882,6)="TÉRREO",0,IFERROR(VALUE(LEFT(E4882,FIND("º",SUBSTITUTE(E4882,"°","º"))-1)),""))))</f>
        <v/>
      </c>
      <c r="O4882" s="2">
        <f>IF(OR(F4882="",G4882=""),"",IF(G4882&lt;='RETRATO 2027'!$K$5,"CONCLUÍDA",IF(F4882&lt;='RETRATO 2027'!$K$5,"EM ANDAMENTO","A INICIAR")))</f>
        <v/>
      </c>
    </row>
    <row r="4883">
      <c r="M4883" s="2">
        <f>IF(C4883="","",IFERROR(INDEX($S$5:$S$304,MATCH(C4883,$R$5:$R$304,0))&amp;"","?"))</f>
        <v/>
      </c>
      <c r="N4883" s="2">
        <f>IF(E4883="","",IF(ISNUMBER(SEARCH("SUBSOLO",E4883)),IFERROR(-VALUE(LEFT(E4883,FIND("º",SUBSTITUTE(E4883,"°","º"))-1)),-1),IF(LEFT(E4883,6)="TÉRREO",0,IFERROR(VALUE(LEFT(E4883,FIND("º",SUBSTITUTE(E4883,"°","º"))-1)),""))))</f>
        <v/>
      </c>
      <c r="O4883" s="2">
        <f>IF(OR(F4883="",G4883=""),"",IF(G4883&lt;='RETRATO 2027'!$K$5,"CONCLUÍDA",IF(F4883&lt;='RETRATO 2027'!$K$5,"EM ANDAMENTO","A INICIAR")))</f>
        <v/>
      </c>
    </row>
    <row r="4884">
      <c r="M4884" s="2">
        <f>IF(C4884="","",IFERROR(INDEX($S$5:$S$304,MATCH(C4884,$R$5:$R$304,0))&amp;"","?"))</f>
        <v/>
      </c>
      <c r="N4884" s="2">
        <f>IF(E4884="","",IF(ISNUMBER(SEARCH("SUBSOLO",E4884)),IFERROR(-VALUE(LEFT(E4884,FIND("º",SUBSTITUTE(E4884,"°","º"))-1)),-1),IF(LEFT(E4884,6)="TÉRREO",0,IFERROR(VALUE(LEFT(E4884,FIND("º",SUBSTITUTE(E4884,"°","º"))-1)),""))))</f>
        <v/>
      </c>
      <c r="O4884" s="2">
        <f>IF(OR(F4884="",G4884=""),"",IF(G4884&lt;='RETRATO 2027'!$K$5,"CONCLUÍDA",IF(F4884&lt;='RETRATO 2027'!$K$5,"EM ANDAMENTO","A INICIAR")))</f>
        <v/>
      </c>
    </row>
    <row r="4885">
      <c r="M4885" s="2">
        <f>IF(C4885="","",IFERROR(INDEX($S$5:$S$304,MATCH(C4885,$R$5:$R$304,0))&amp;"","?"))</f>
        <v/>
      </c>
      <c r="N4885" s="2">
        <f>IF(E4885="","",IF(ISNUMBER(SEARCH("SUBSOLO",E4885)),IFERROR(-VALUE(LEFT(E4885,FIND("º",SUBSTITUTE(E4885,"°","º"))-1)),-1),IF(LEFT(E4885,6)="TÉRREO",0,IFERROR(VALUE(LEFT(E4885,FIND("º",SUBSTITUTE(E4885,"°","º"))-1)),""))))</f>
        <v/>
      </c>
      <c r="O4885" s="2">
        <f>IF(OR(F4885="",G4885=""),"",IF(G4885&lt;='RETRATO 2027'!$K$5,"CONCLUÍDA",IF(F4885&lt;='RETRATO 2027'!$K$5,"EM ANDAMENTO","A INICIAR")))</f>
        <v/>
      </c>
    </row>
    <row r="4886">
      <c r="M4886" s="2">
        <f>IF(C4886="","",IFERROR(INDEX($S$5:$S$304,MATCH(C4886,$R$5:$R$304,0))&amp;"","?"))</f>
        <v/>
      </c>
      <c r="N4886" s="2">
        <f>IF(E4886="","",IF(ISNUMBER(SEARCH("SUBSOLO",E4886)),IFERROR(-VALUE(LEFT(E4886,FIND("º",SUBSTITUTE(E4886,"°","º"))-1)),-1),IF(LEFT(E4886,6)="TÉRREO",0,IFERROR(VALUE(LEFT(E4886,FIND("º",SUBSTITUTE(E4886,"°","º"))-1)),""))))</f>
        <v/>
      </c>
      <c r="O4886" s="2">
        <f>IF(OR(F4886="",G4886=""),"",IF(G4886&lt;='RETRATO 2027'!$K$5,"CONCLUÍDA",IF(F4886&lt;='RETRATO 2027'!$K$5,"EM ANDAMENTO","A INICIAR")))</f>
        <v/>
      </c>
    </row>
    <row r="4887">
      <c r="M4887" s="2">
        <f>IF(C4887="","",IFERROR(INDEX($S$5:$S$304,MATCH(C4887,$R$5:$R$304,0))&amp;"","?"))</f>
        <v/>
      </c>
      <c r="N4887" s="2">
        <f>IF(E4887="","",IF(ISNUMBER(SEARCH("SUBSOLO",E4887)),IFERROR(-VALUE(LEFT(E4887,FIND("º",SUBSTITUTE(E4887,"°","º"))-1)),-1),IF(LEFT(E4887,6)="TÉRREO",0,IFERROR(VALUE(LEFT(E4887,FIND("º",SUBSTITUTE(E4887,"°","º"))-1)),""))))</f>
        <v/>
      </c>
      <c r="O4887" s="2">
        <f>IF(OR(F4887="",G4887=""),"",IF(G4887&lt;='RETRATO 2027'!$K$5,"CONCLUÍDA",IF(F4887&lt;='RETRATO 2027'!$K$5,"EM ANDAMENTO","A INICIAR")))</f>
        <v/>
      </c>
    </row>
    <row r="4888">
      <c r="M4888" s="2">
        <f>IF(C4888="","",IFERROR(INDEX($S$5:$S$304,MATCH(C4888,$R$5:$R$304,0))&amp;"","?"))</f>
        <v/>
      </c>
      <c r="N4888" s="2">
        <f>IF(E4888="","",IF(ISNUMBER(SEARCH("SUBSOLO",E4888)),IFERROR(-VALUE(LEFT(E4888,FIND("º",SUBSTITUTE(E4888,"°","º"))-1)),-1),IF(LEFT(E4888,6)="TÉRREO",0,IFERROR(VALUE(LEFT(E4888,FIND("º",SUBSTITUTE(E4888,"°","º"))-1)),""))))</f>
        <v/>
      </c>
      <c r="O4888" s="2">
        <f>IF(OR(F4888="",G4888=""),"",IF(G4888&lt;='RETRATO 2027'!$K$5,"CONCLUÍDA",IF(F4888&lt;='RETRATO 2027'!$K$5,"EM ANDAMENTO","A INICIAR")))</f>
        <v/>
      </c>
    </row>
    <row r="4889">
      <c r="M4889" s="2">
        <f>IF(C4889="","",IFERROR(INDEX($S$5:$S$304,MATCH(C4889,$R$5:$R$304,0))&amp;"","?"))</f>
        <v/>
      </c>
      <c r="N4889" s="2">
        <f>IF(E4889="","",IF(ISNUMBER(SEARCH("SUBSOLO",E4889)),IFERROR(-VALUE(LEFT(E4889,FIND("º",SUBSTITUTE(E4889,"°","º"))-1)),-1),IF(LEFT(E4889,6)="TÉRREO",0,IFERROR(VALUE(LEFT(E4889,FIND("º",SUBSTITUTE(E4889,"°","º"))-1)),""))))</f>
        <v/>
      </c>
      <c r="O4889" s="2">
        <f>IF(OR(F4889="",G4889=""),"",IF(G4889&lt;='RETRATO 2027'!$K$5,"CONCLUÍDA",IF(F4889&lt;='RETRATO 2027'!$K$5,"EM ANDAMENTO","A INICIAR")))</f>
        <v/>
      </c>
    </row>
    <row r="4890">
      <c r="M4890" s="2">
        <f>IF(C4890="","",IFERROR(INDEX($S$5:$S$304,MATCH(C4890,$R$5:$R$304,0))&amp;"","?"))</f>
        <v/>
      </c>
      <c r="N4890" s="2">
        <f>IF(E4890="","",IF(ISNUMBER(SEARCH("SUBSOLO",E4890)),IFERROR(-VALUE(LEFT(E4890,FIND("º",SUBSTITUTE(E4890,"°","º"))-1)),-1),IF(LEFT(E4890,6)="TÉRREO",0,IFERROR(VALUE(LEFT(E4890,FIND("º",SUBSTITUTE(E4890,"°","º"))-1)),""))))</f>
        <v/>
      </c>
      <c r="O4890" s="2">
        <f>IF(OR(F4890="",G4890=""),"",IF(G4890&lt;='RETRATO 2027'!$K$5,"CONCLUÍDA",IF(F4890&lt;='RETRATO 2027'!$K$5,"EM ANDAMENTO","A INICIAR")))</f>
        <v/>
      </c>
    </row>
    <row r="4891">
      <c r="M4891" s="2">
        <f>IF(C4891="","",IFERROR(INDEX($S$5:$S$304,MATCH(C4891,$R$5:$R$304,0))&amp;"","?"))</f>
        <v/>
      </c>
      <c r="N4891" s="2">
        <f>IF(E4891="","",IF(ISNUMBER(SEARCH("SUBSOLO",E4891)),IFERROR(-VALUE(LEFT(E4891,FIND("º",SUBSTITUTE(E4891,"°","º"))-1)),-1),IF(LEFT(E4891,6)="TÉRREO",0,IFERROR(VALUE(LEFT(E4891,FIND("º",SUBSTITUTE(E4891,"°","º"))-1)),""))))</f>
        <v/>
      </c>
      <c r="O4891" s="2">
        <f>IF(OR(F4891="",G4891=""),"",IF(G4891&lt;='RETRATO 2027'!$K$5,"CONCLUÍDA",IF(F4891&lt;='RETRATO 2027'!$K$5,"EM ANDAMENTO","A INICIAR")))</f>
        <v/>
      </c>
    </row>
    <row r="4892">
      <c r="M4892" s="2">
        <f>IF(C4892="","",IFERROR(INDEX($S$5:$S$304,MATCH(C4892,$R$5:$R$304,0))&amp;"","?"))</f>
        <v/>
      </c>
      <c r="N4892" s="2">
        <f>IF(E4892="","",IF(ISNUMBER(SEARCH("SUBSOLO",E4892)),IFERROR(-VALUE(LEFT(E4892,FIND("º",SUBSTITUTE(E4892,"°","º"))-1)),-1),IF(LEFT(E4892,6)="TÉRREO",0,IFERROR(VALUE(LEFT(E4892,FIND("º",SUBSTITUTE(E4892,"°","º"))-1)),""))))</f>
        <v/>
      </c>
      <c r="O4892" s="2">
        <f>IF(OR(F4892="",G4892=""),"",IF(G4892&lt;='RETRATO 2027'!$K$5,"CONCLUÍDA",IF(F4892&lt;='RETRATO 2027'!$K$5,"EM ANDAMENTO","A INICIAR")))</f>
        <v/>
      </c>
    </row>
    <row r="4893">
      <c r="M4893" s="2">
        <f>IF(C4893="","",IFERROR(INDEX($S$5:$S$304,MATCH(C4893,$R$5:$R$304,0))&amp;"","?"))</f>
        <v/>
      </c>
      <c r="N4893" s="2">
        <f>IF(E4893="","",IF(ISNUMBER(SEARCH("SUBSOLO",E4893)),IFERROR(-VALUE(LEFT(E4893,FIND("º",SUBSTITUTE(E4893,"°","º"))-1)),-1),IF(LEFT(E4893,6)="TÉRREO",0,IFERROR(VALUE(LEFT(E4893,FIND("º",SUBSTITUTE(E4893,"°","º"))-1)),""))))</f>
        <v/>
      </c>
      <c r="O4893" s="2">
        <f>IF(OR(F4893="",G4893=""),"",IF(G4893&lt;='RETRATO 2027'!$K$5,"CONCLUÍDA",IF(F4893&lt;='RETRATO 2027'!$K$5,"EM ANDAMENTO","A INICIAR")))</f>
        <v/>
      </c>
    </row>
    <row r="4894">
      <c r="M4894" s="2">
        <f>IF(C4894="","",IFERROR(INDEX($S$5:$S$304,MATCH(C4894,$R$5:$R$304,0))&amp;"","?"))</f>
        <v/>
      </c>
      <c r="N4894" s="2">
        <f>IF(E4894="","",IF(ISNUMBER(SEARCH("SUBSOLO",E4894)),IFERROR(-VALUE(LEFT(E4894,FIND("º",SUBSTITUTE(E4894,"°","º"))-1)),-1),IF(LEFT(E4894,6)="TÉRREO",0,IFERROR(VALUE(LEFT(E4894,FIND("º",SUBSTITUTE(E4894,"°","º"))-1)),""))))</f>
        <v/>
      </c>
      <c r="O4894" s="2">
        <f>IF(OR(F4894="",G4894=""),"",IF(G4894&lt;='RETRATO 2027'!$K$5,"CONCLUÍDA",IF(F4894&lt;='RETRATO 2027'!$K$5,"EM ANDAMENTO","A INICIAR")))</f>
        <v/>
      </c>
    </row>
    <row r="4895">
      <c r="M4895" s="2">
        <f>IF(C4895="","",IFERROR(INDEX($S$5:$S$304,MATCH(C4895,$R$5:$R$304,0))&amp;"","?"))</f>
        <v/>
      </c>
      <c r="N4895" s="2">
        <f>IF(E4895="","",IF(ISNUMBER(SEARCH("SUBSOLO",E4895)),IFERROR(-VALUE(LEFT(E4895,FIND("º",SUBSTITUTE(E4895,"°","º"))-1)),-1),IF(LEFT(E4895,6)="TÉRREO",0,IFERROR(VALUE(LEFT(E4895,FIND("º",SUBSTITUTE(E4895,"°","º"))-1)),""))))</f>
        <v/>
      </c>
      <c r="O4895" s="2">
        <f>IF(OR(F4895="",G4895=""),"",IF(G4895&lt;='RETRATO 2027'!$K$5,"CONCLUÍDA",IF(F4895&lt;='RETRATO 2027'!$K$5,"EM ANDAMENTO","A INICIAR")))</f>
        <v/>
      </c>
    </row>
    <row r="4896">
      <c r="M4896" s="2">
        <f>IF(C4896="","",IFERROR(INDEX($S$5:$S$304,MATCH(C4896,$R$5:$R$304,0))&amp;"","?"))</f>
        <v/>
      </c>
      <c r="N4896" s="2">
        <f>IF(E4896="","",IF(ISNUMBER(SEARCH("SUBSOLO",E4896)),IFERROR(-VALUE(LEFT(E4896,FIND("º",SUBSTITUTE(E4896,"°","º"))-1)),-1),IF(LEFT(E4896,6)="TÉRREO",0,IFERROR(VALUE(LEFT(E4896,FIND("º",SUBSTITUTE(E4896,"°","º"))-1)),""))))</f>
        <v/>
      </c>
      <c r="O4896" s="2">
        <f>IF(OR(F4896="",G4896=""),"",IF(G4896&lt;='RETRATO 2027'!$K$5,"CONCLUÍDA",IF(F4896&lt;='RETRATO 2027'!$K$5,"EM ANDAMENTO","A INICIAR")))</f>
        <v/>
      </c>
    </row>
    <row r="4897">
      <c r="M4897" s="2">
        <f>IF(C4897="","",IFERROR(INDEX($S$5:$S$304,MATCH(C4897,$R$5:$R$304,0))&amp;"","?"))</f>
        <v/>
      </c>
      <c r="N4897" s="2">
        <f>IF(E4897="","",IF(ISNUMBER(SEARCH("SUBSOLO",E4897)),IFERROR(-VALUE(LEFT(E4897,FIND("º",SUBSTITUTE(E4897,"°","º"))-1)),-1),IF(LEFT(E4897,6)="TÉRREO",0,IFERROR(VALUE(LEFT(E4897,FIND("º",SUBSTITUTE(E4897,"°","º"))-1)),""))))</f>
        <v/>
      </c>
      <c r="O4897" s="2">
        <f>IF(OR(F4897="",G4897=""),"",IF(G4897&lt;='RETRATO 2027'!$K$5,"CONCLUÍDA",IF(F4897&lt;='RETRATO 2027'!$K$5,"EM ANDAMENTO","A INICIAR")))</f>
        <v/>
      </c>
    </row>
    <row r="4898">
      <c r="M4898" s="2">
        <f>IF(C4898="","",IFERROR(INDEX($S$5:$S$304,MATCH(C4898,$R$5:$R$304,0))&amp;"","?"))</f>
        <v/>
      </c>
      <c r="N4898" s="2">
        <f>IF(E4898="","",IF(ISNUMBER(SEARCH("SUBSOLO",E4898)),IFERROR(-VALUE(LEFT(E4898,FIND("º",SUBSTITUTE(E4898,"°","º"))-1)),-1),IF(LEFT(E4898,6)="TÉRREO",0,IFERROR(VALUE(LEFT(E4898,FIND("º",SUBSTITUTE(E4898,"°","º"))-1)),""))))</f>
        <v/>
      </c>
      <c r="O4898" s="2">
        <f>IF(OR(F4898="",G4898=""),"",IF(G4898&lt;='RETRATO 2027'!$K$5,"CONCLUÍDA",IF(F4898&lt;='RETRATO 2027'!$K$5,"EM ANDAMENTO","A INICIAR")))</f>
        <v/>
      </c>
    </row>
    <row r="4899">
      <c r="M4899" s="2">
        <f>IF(C4899="","",IFERROR(INDEX($S$5:$S$304,MATCH(C4899,$R$5:$R$304,0))&amp;"","?"))</f>
        <v/>
      </c>
      <c r="N4899" s="2">
        <f>IF(E4899="","",IF(ISNUMBER(SEARCH("SUBSOLO",E4899)),IFERROR(-VALUE(LEFT(E4899,FIND("º",SUBSTITUTE(E4899,"°","º"))-1)),-1),IF(LEFT(E4899,6)="TÉRREO",0,IFERROR(VALUE(LEFT(E4899,FIND("º",SUBSTITUTE(E4899,"°","º"))-1)),""))))</f>
        <v/>
      </c>
      <c r="O4899" s="2">
        <f>IF(OR(F4899="",G4899=""),"",IF(G4899&lt;='RETRATO 2027'!$K$5,"CONCLUÍDA",IF(F4899&lt;='RETRATO 2027'!$K$5,"EM ANDAMENTO","A INICIAR")))</f>
        <v/>
      </c>
    </row>
    <row r="4900">
      <c r="M4900" s="2">
        <f>IF(C4900="","",IFERROR(INDEX($S$5:$S$304,MATCH(C4900,$R$5:$R$304,0))&amp;"","?"))</f>
        <v/>
      </c>
      <c r="N4900" s="2">
        <f>IF(E4900="","",IF(ISNUMBER(SEARCH("SUBSOLO",E4900)),IFERROR(-VALUE(LEFT(E4900,FIND("º",SUBSTITUTE(E4900,"°","º"))-1)),-1),IF(LEFT(E4900,6)="TÉRREO",0,IFERROR(VALUE(LEFT(E4900,FIND("º",SUBSTITUTE(E4900,"°","º"))-1)),""))))</f>
        <v/>
      </c>
      <c r="O4900" s="2">
        <f>IF(OR(F4900="",G4900=""),"",IF(G4900&lt;='RETRATO 2027'!$K$5,"CONCLUÍDA",IF(F4900&lt;='RETRATO 2027'!$K$5,"EM ANDAMENTO","A INICIAR")))</f>
        <v/>
      </c>
    </row>
    <row r="4901">
      <c r="M4901" s="2">
        <f>IF(C4901="","",IFERROR(INDEX($S$5:$S$304,MATCH(C4901,$R$5:$R$304,0))&amp;"","?"))</f>
        <v/>
      </c>
      <c r="N4901" s="2">
        <f>IF(E4901="","",IF(ISNUMBER(SEARCH("SUBSOLO",E4901)),IFERROR(-VALUE(LEFT(E4901,FIND("º",SUBSTITUTE(E4901,"°","º"))-1)),-1),IF(LEFT(E4901,6)="TÉRREO",0,IFERROR(VALUE(LEFT(E4901,FIND("º",SUBSTITUTE(E4901,"°","º"))-1)),""))))</f>
        <v/>
      </c>
      <c r="O4901" s="2">
        <f>IF(OR(F4901="",G4901=""),"",IF(G4901&lt;='RETRATO 2027'!$K$5,"CONCLUÍDA",IF(F4901&lt;='RETRATO 2027'!$K$5,"EM ANDAMENTO","A INICIAR")))</f>
        <v/>
      </c>
    </row>
    <row r="4902">
      <c r="M4902" s="2">
        <f>IF(C4902="","",IFERROR(INDEX($S$5:$S$304,MATCH(C4902,$R$5:$R$304,0))&amp;"","?"))</f>
        <v/>
      </c>
      <c r="N4902" s="2">
        <f>IF(E4902="","",IF(ISNUMBER(SEARCH("SUBSOLO",E4902)),IFERROR(-VALUE(LEFT(E4902,FIND("º",SUBSTITUTE(E4902,"°","º"))-1)),-1),IF(LEFT(E4902,6)="TÉRREO",0,IFERROR(VALUE(LEFT(E4902,FIND("º",SUBSTITUTE(E4902,"°","º"))-1)),""))))</f>
        <v/>
      </c>
      <c r="O4902" s="2">
        <f>IF(OR(F4902="",G4902=""),"",IF(G4902&lt;='RETRATO 2027'!$K$5,"CONCLUÍDA",IF(F4902&lt;='RETRATO 2027'!$K$5,"EM ANDAMENTO","A INICIAR")))</f>
        <v/>
      </c>
    </row>
    <row r="4903">
      <c r="M4903" s="2">
        <f>IF(C4903="","",IFERROR(INDEX($S$5:$S$304,MATCH(C4903,$R$5:$R$304,0))&amp;"","?"))</f>
        <v/>
      </c>
      <c r="N4903" s="2">
        <f>IF(E4903="","",IF(ISNUMBER(SEARCH("SUBSOLO",E4903)),IFERROR(-VALUE(LEFT(E4903,FIND("º",SUBSTITUTE(E4903,"°","º"))-1)),-1),IF(LEFT(E4903,6)="TÉRREO",0,IFERROR(VALUE(LEFT(E4903,FIND("º",SUBSTITUTE(E4903,"°","º"))-1)),""))))</f>
        <v/>
      </c>
      <c r="O4903" s="2">
        <f>IF(OR(F4903="",G4903=""),"",IF(G4903&lt;='RETRATO 2027'!$K$5,"CONCLUÍDA",IF(F4903&lt;='RETRATO 2027'!$K$5,"EM ANDAMENTO","A INICIAR")))</f>
        <v/>
      </c>
    </row>
    <row r="4904">
      <c r="M4904" s="2">
        <f>IF(C4904="","",IFERROR(INDEX($S$5:$S$304,MATCH(C4904,$R$5:$R$304,0))&amp;"","?"))</f>
        <v/>
      </c>
      <c r="N4904" s="2">
        <f>IF(E4904="","",IF(ISNUMBER(SEARCH("SUBSOLO",E4904)),IFERROR(-VALUE(LEFT(E4904,FIND("º",SUBSTITUTE(E4904,"°","º"))-1)),-1),IF(LEFT(E4904,6)="TÉRREO",0,IFERROR(VALUE(LEFT(E4904,FIND("º",SUBSTITUTE(E4904,"°","º"))-1)),""))))</f>
        <v/>
      </c>
      <c r="O4904" s="2">
        <f>IF(OR(F4904="",G4904=""),"",IF(G4904&lt;='RETRATO 2027'!$K$5,"CONCLUÍDA",IF(F4904&lt;='RETRATO 2027'!$K$5,"EM ANDAMENTO","A INICIAR")))</f>
        <v/>
      </c>
    </row>
    <row r="4905">
      <c r="M4905" s="2">
        <f>IF(C4905="","",IFERROR(INDEX($S$5:$S$304,MATCH(C4905,$R$5:$R$304,0))&amp;"","?"))</f>
        <v/>
      </c>
      <c r="N4905" s="2">
        <f>IF(E4905="","",IF(ISNUMBER(SEARCH("SUBSOLO",E4905)),IFERROR(-VALUE(LEFT(E4905,FIND("º",SUBSTITUTE(E4905,"°","º"))-1)),-1),IF(LEFT(E4905,6)="TÉRREO",0,IFERROR(VALUE(LEFT(E4905,FIND("º",SUBSTITUTE(E4905,"°","º"))-1)),""))))</f>
        <v/>
      </c>
      <c r="O4905" s="2">
        <f>IF(OR(F4905="",G4905=""),"",IF(G4905&lt;='RETRATO 2027'!$K$5,"CONCLUÍDA",IF(F4905&lt;='RETRATO 2027'!$K$5,"EM ANDAMENTO","A INICIAR")))</f>
        <v/>
      </c>
    </row>
    <row r="4906">
      <c r="M4906" s="2">
        <f>IF(C4906="","",IFERROR(INDEX($S$5:$S$304,MATCH(C4906,$R$5:$R$304,0))&amp;"","?"))</f>
        <v/>
      </c>
      <c r="N4906" s="2">
        <f>IF(E4906="","",IF(ISNUMBER(SEARCH("SUBSOLO",E4906)),IFERROR(-VALUE(LEFT(E4906,FIND("º",SUBSTITUTE(E4906,"°","º"))-1)),-1),IF(LEFT(E4906,6)="TÉRREO",0,IFERROR(VALUE(LEFT(E4906,FIND("º",SUBSTITUTE(E4906,"°","º"))-1)),""))))</f>
        <v/>
      </c>
      <c r="O4906" s="2">
        <f>IF(OR(F4906="",G4906=""),"",IF(G4906&lt;='RETRATO 2027'!$K$5,"CONCLUÍDA",IF(F4906&lt;='RETRATO 2027'!$K$5,"EM ANDAMENTO","A INICIAR")))</f>
        <v/>
      </c>
    </row>
    <row r="4907">
      <c r="M4907" s="2">
        <f>IF(C4907="","",IFERROR(INDEX($S$5:$S$304,MATCH(C4907,$R$5:$R$304,0))&amp;"","?"))</f>
        <v/>
      </c>
      <c r="N4907" s="2">
        <f>IF(E4907="","",IF(ISNUMBER(SEARCH("SUBSOLO",E4907)),IFERROR(-VALUE(LEFT(E4907,FIND("º",SUBSTITUTE(E4907,"°","º"))-1)),-1),IF(LEFT(E4907,6)="TÉRREO",0,IFERROR(VALUE(LEFT(E4907,FIND("º",SUBSTITUTE(E4907,"°","º"))-1)),""))))</f>
        <v/>
      </c>
      <c r="O4907" s="2">
        <f>IF(OR(F4907="",G4907=""),"",IF(G4907&lt;='RETRATO 2027'!$K$5,"CONCLUÍDA",IF(F4907&lt;='RETRATO 2027'!$K$5,"EM ANDAMENTO","A INICIAR")))</f>
        <v/>
      </c>
    </row>
    <row r="4908">
      <c r="M4908" s="2">
        <f>IF(C4908="","",IFERROR(INDEX($S$5:$S$304,MATCH(C4908,$R$5:$R$304,0))&amp;"","?"))</f>
        <v/>
      </c>
      <c r="N4908" s="2">
        <f>IF(E4908="","",IF(ISNUMBER(SEARCH("SUBSOLO",E4908)),IFERROR(-VALUE(LEFT(E4908,FIND("º",SUBSTITUTE(E4908,"°","º"))-1)),-1),IF(LEFT(E4908,6)="TÉRREO",0,IFERROR(VALUE(LEFT(E4908,FIND("º",SUBSTITUTE(E4908,"°","º"))-1)),""))))</f>
        <v/>
      </c>
      <c r="O4908" s="2">
        <f>IF(OR(F4908="",G4908=""),"",IF(G4908&lt;='RETRATO 2027'!$K$5,"CONCLUÍDA",IF(F4908&lt;='RETRATO 2027'!$K$5,"EM ANDAMENTO","A INICIAR")))</f>
        <v/>
      </c>
    </row>
    <row r="4909">
      <c r="M4909" s="2">
        <f>IF(C4909="","",IFERROR(INDEX($S$5:$S$304,MATCH(C4909,$R$5:$R$304,0))&amp;"","?"))</f>
        <v/>
      </c>
      <c r="N4909" s="2">
        <f>IF(E4909="","",IF(ISNUMBER(SEARCH("SUBSOLO",E4909)),IFERROR(-VALUE(LEFT(E4909,FIND("º",SUBSTITUTE(E4909,"°","º"))-1)),-1),IF(LEFT(E4909,6)="TÉRREO",0,IFERROR(VALUE(LEFT(E4909,FIND("º",SUBSTITUTE(E4909,"°","º"))-1)),""))))</f>
        <v/>
      </c>
      <c r="O4909" s="2">
        <f>IF(OR(F4909="",G4909=""),"",IF(G4909&lt;='RETRATO 2027'!$K$5,"CONCLUÍDA",IF(F4909&lt;='RETRATO 2027'!$K$5,"EM ANDAMENTO","A INICIAR")))</f>
        <v/>
      </c>
    </row>
    <row r="4910">
      <c r="M4910" s="2">
        <f>IF(C4910="","",IFERROR(INDEX($S$5:$S$304,MATCH(C4910,$R$5:$R$304,0))&amp;"","?"))</f>
        <v/>
      </c>
      <c r="N4910" s="2">
        <f>IF(E4910="","",IF(ISNUMBER(SEARCH("SUBSOLO",E4910)),IFERROR(-VALUE(LEFT(E4910,FIND("º",SUBSTITUTE(E4910,"°","º"))-1)),-1),IF(LEFT(E4910,6)="TÉRREO",0,IFERROR(VALUE(LEFT(E4910,FIND("º",SUBSTITUTE(E4910,"°","º"))-1)),""))))</f>
        <v/>
      </c>
      <c r="O4910" s="2">
        <f>IF(OR(F4910="",G4910=""),"",IF(G4910&lt;='RETRATO 2027'!$K$5,"CONCLUÍDA",IF(F4910&lt;='RETRATO 2027'!$K$5,"EM ANDAMENTO","A INICIAR")))</f>
        <v/>
      </c>
    </row>
    <row r="4911">
      <c r="M4911" s="2">
        <f>IF(C4911="","",IFERROR(INDEX($S$5:$S$304,MATCH(C4911,$R$5:$R$304,0))&amp;"","?"))</f>
        <v/>
      </c>
      <c r="N4911" s="2">
        <f>IF(E4911="","",IF(ISNUMBER(SEARCH("SUBSOLO",E4911)),IFERROR(-VALUE(LEFT(E4911,FIND("º",SUBSTITUTE(E4911,"°","º"))-1)),-1),IF(LEFT(E4911,6)="TÉRREO",0,IFERROR(VALUE(LEFT(E4911,FIND("º",SUBSTITUTE(E4911,"°","º"))-1)),""))))</f>
        <v/>
      </c>
      <c r="O4911" s="2">
        <f>IF(OR(F4911="",G4911=""),"",IF(G4911&lt;='RETRATO 2027'!$K$5,"CONCLUÍDA",IF(F4911&lt;='RETRATO 2027'!$K$5,"EM ANDAMENTO","A INICIAR")))</f>
        <v/>
      </c>
    </row>
    <row r="4912">
      <c r="M4912" s="2">
        <f>IF(C4912="","",IFERROR(INDEX($S$5:$S$304,MATCH(C4912,$R$5:$R$304,0))&amp;"","?"))</f>
        <v/>
      </c>
      <c r="N4912" s="2">
        <f>IF(E4912="","",IF(ISNUMBER(SEARCH("SUBSOLO",E4912)),IFERROR(-VALUE(LEFT(E4912,FIND("º",SUBSTITUTE(E4912,"°","º"))-1)),-1),IF(LEFT(E4912,6)="TÉRREO",0,IFERROR(VALUE(LEFT(E4912,FIND("º",SUBSTITUTE(E4912,"°","º"))-1)),""))))</f>
        <v/>
      </c>
      <c r="O4912" s="2">
        <f>IF(OR(F4912="",G4912=""),"",IF(G4912&lt;='RETRATO 2027'!$K$5,"CONCLUÍDA",IF(F4912&lt;='RETRATO 2027'!$K$5,"EM ANDAMENTO","A INICIAR")))</f>
        <v/>
      </c>
    </row>
    <row r="4913">
      <c r="M4913" s="2">
        <f>IF(C4913="","",IFERROR(INDEX($S$5:$S$304,MATCH(C4913,$R$5:$R$304,0))&amp;"","?"))</f>
        <v/>
      </c>
      <c r="N4913" s="2">
        <f>IF(E4913="","",IF(ISNUMBER(SEARCH("SUBSOLO",E4913)),IFERROR(-VALUE(LEFT(E4913,FIND("º",SUBSTITUTE(E4913,"°","º"))-1)),-1),IF(LEFT(E4913,6)="TÉRREO",0,IFERROR(VALUE(LEFT(E4913,FIND("º",SUBSTITUTE(E4913,"°","º"))-1)),""))))</f>
        <v/>
      </c>
      <c r="O4913" s="2">
        <f>IF(OR(F4913="",G4913=""),"",IF(G4913&lt;='RETRATO 2027'!$K$5,"CONCLUÍDA",IF(F4913&lt;='RETRATO 2027'!$K$5,"EM ANDAMENTO","A INICIAR")))</f>
        <v/>
      </c>
    </row>
    <row r="4914">
      <c r="M4914" s="2">
        <f>IF(C4914="","",IFERROR(INDEX($S$5:$S$304,MATCH(C4914,$R$5:$R$304,0))&amp;"","?"))</f>
        <v/>
      </c>
      <c r="N4914" s="2">
        <f>IF(E4914="","",IF(ISNUMBER(SEARCH("SUBSOLO",E4914)),IFERROR(-VALUE(LEFT(E4914,FIND("º",SUBSTITUTE(E4914,"°","º"))-1)),-1),IF(LEFT(E4914,6)="TÉRREO",0,IFERROR(VALUE(LEFT(E4914,FIND("º",SUBSTITUTE(E4914,"°","º"))-1)),""))))</f>
        <v/>
      </c>
      <c r="O4914" s="2">
        <f>IF(OR(F4914="",G4914=""),"",IF(G4914&lt;='RETRATO 2027'!$K$5,"CONCLUÍDA",IF(F4914&lt;='RETRATO 2027'!$K$5,"EM ANDAMENTO","A INICIAR")))</f>
        <v/>
      </c>
    </row>
    <row r="4915">
      <c r="M4915" s="2">
        <f>IF(C4915="","",IFERROR(INDEX($S$5:$S$304,MATCH(C4915,$R$5:$R$304,0))&amp;"","?"))</f>
        <v/>
      </c>
      <c r="N4915" s="2">
        <f>IF(E4915="","",IF(ISNUMBER(SEARCH("SUBSOLO",E4915)),IFERROR(-VALUE(LEFT(E4915,FIND("º",SUBSTITUTE(E4915,"°","º"))-1)),-1),IF(LEFT(E4915,6)="TÉRREO",0,IFERROR(VALUE(LEFT(E4915,FIND("º",SUBSTITUTE(E4915,"°","º"))-1)),""))))</f>
        <v/>
      </c>
      <c r="O4915" s="2">
        <f>IF(OR(F4915="",G4915=""),"",IF(G4915&lt;='RETRATO 2027'!$K$5,"CONCLUÍDA",IF(F4915&lt;='RETRATO 2027'!$K$5,"EM ANDAMENTO","A INICIAR")))</f>
        <v/>
      </c>
    </row>
    <row r="4916">
      <c r="M4916" s="2">
        <f>IF(C4916="","",IFERROR(INDEX($S$5:$S$304,MATCH(C4916,$R$5:$R$304,0))&amp;"","?"))</f>
        <v/>
      </c>
      <c r="N4916" s="2">
        <f>IF(E4916="","",IF(ISNUMBER(SEARCH("SUBSOLO",E4916)),IFERROR(-VALUE(LEFT(E4916,FIND("º",SUBSTITUTE(E4916,"°","º"))-1)),-1),IF(LEFT(E4916,6)="TÉRREO",0,IFERROR(VALUE(LEFT(E4916,FIND("º",SUBSTITUTE(E4916,"°","º"))-1)),""))))</f>
        <v/>
      </c>
      <c r="O4916" s="2">
        <f>IF(OR(F4916="",G4916=""),"",IF(G4916&lt;='RETRATO 2027'!$K$5,"CONCLUÍDA",IF(F4916&lt;='RETRATO 2027'!$K$5,"EM ANDAMENTO","A INICIAR")))</f>
        <v/>
      </c>
    </row>
    <row r="4917">
      <c r="M4917" s="2">
        <f>IF(C4917="","",IFERROR(INDEX($S$5:$S$304,MATCH(C4917,$R$5:$R$304,0))&amp;"","?"))</f>
        <v/>
      </c>
      <c r="N4917" s="2">
        <f>IF(E4917="","",IF(ISNUMBER(SEARCH("SUBSOLO",E4917)),IFERROR(-VALUE(LEFT(E4917,FIND("º",SUBSTITUTE(E4917,"°","º"))-1)),-1),IF(LEFT(E4917,6)="TÉRREO",0,IFERROR(VALUE(LEFT(E4917,FIND("º",SUBSTITUTE(E4917,"°","º"))-1)),""))))</f>
        <v/>
      </c>
      <c r="O4917" s="2">
        <f>IF(OR(F4917="",G4917=""),"",IF(G4917&lt;='RETRATO 2027'!$K$5,"CONCLUÍDA",IF(F4917&lt;='RETRATO 2027'!$K$5,"EM ANDAMENTO","A INICIAR")))</f>
        <v/>
      </c>
    </row>
    <row r="4918">
      <c r="M4918" s="2">
        <f>IF(C4918="","",IFERROR(INDEX($S$5:$S$304,MATCH(C4918,$R$5:$R$304,0))&amp;"","?"))</f>
        <v/>
      </c>
      <c r="N4918" s="2">
        <f>IF(E4918="","",IF(ISNUMBER(SEARCH("SUBSOLO",E4918)),IFERROR(-VALUE(LEFT(E4918,FIND("º",SUBSTITUTE(E4918,"°","º"))-1)),-1),IF(LEFT(E4918,6)="TÉRREO",0,IFERROR(VALUE(LEFT(E4918,FIND("º",SUBSTITUTE(E4918,"°","º"))-1)),""))))</f>
        <v/>
      </c>
      <c r="O4918" s="2">
        <f>IF(OR(F4918="",G4918=""),"",IF(G4918&lt;='RETRATO 2027'!$K$5,"CONCLUÍDA",IF(F4918&lt;='RETRATO 2027'!$K$5,"EM ANDAMENTO","A INICIAR")))</f>
        <v/>
      </c>
    </row>
    <row r="4919">
      <c r="M4919" s="2">
        <f>IF(C4919="","",IFERROR(INDEX($S$5:$S$304,MATCH(C4919,$R$5:$R$304,0))&amp;"","?"))</f>
        <v/>
      </c>
      <c r="N4919" s="2">
        <f>IF(E4919="","",IF(ISNUMBER(SEARCH("SUBSOLO",E4919)),IFERROR(-VALUE(LEFT(E4919,FIND("º",SUBSTITUTE(E4919,"°","º"))-1)),-1),IF(LEFT(E4919,6)="TÉRREO",0,IFERROR(VALUE(LEFT(E4919,FIND("º",SUBSTITUTE(E4919,"°","º"))-1)),""))))</f>
        <v/>
      </c>
      <c r="O4919" s="2">
        <f>IF(OR(F4919="",G4919=""),"",IF(G4919&lt;='RETRATO 2027'!$K$5,"CONCLUÍDA",IF(F4919&lt;='RETRATO 2027'!$K$5,"EM ANDAMENTO","A INICIAR")))</f>
        <v/>
      </c>
    </row>
    <row r="4920">
      <c r="M4920" s="2">
        <f>IF(C4920="","",IFERROR(INDEX($S$5:$S$304,MATCH(C4920,$R$5:$R$304,0))&amp;"","?"))</f>
        <v/>
      </c>
      <c r="N4920" s="2">
        <f>IF(E4920="","",IF(ISNUMBER(SEARCH("SUBSOLO",E4920)),IFERROR(-VALUE(LEFT(E4920,FIND("º",SUBSTITUTE(E4920,"°","º"))-1)),-1),IF(LEFT(E4920,6)="TÉRREO",0,IFERROR(VALUE(LEFT(E4920,FIND("º",SUBSTITUTE(E4920,"°","º"))-1)),""))))</f>
        <v/>
      </c>
      <c r="O4920" s="2">
        <f>IF(OR(F4920="",G4920=""),"",IF(G4920&lt;='RETRATO 2027'!$K$5,"CONCLUÍDA",IF(F4920&lt;='RETRATO 2027'!$K$5,"EM ANDAMENTO","A INICIAR")))</f>
        <v/>
      </c>
    </row>
    <row r="4921">
      <c r="M4921" s="2">
        <f>IF(C4921="","",IFERROR(INDEX($S$5:$S$304,MATCH(C4921,$R$5:$R$304,0))&amp;"","?"))</f>
        <v/>
      </c>
      <c r="N4921" s="2">
        <f>IF(E4921="","",IF(ISNUMBER(SEARCH("SUBSOLO",E4921)),IFERROR(-VALUE(LEFT(E4921,FIND("º",SUBSTITUTE(E4921,"°","º"))-1)),-1),IF(LEFT(E4921,6)="TÉRREO",0,IFERROR(VALUE(LEFT(E4921,FIND("º",SUBSTITUTE(E4921,"°","º"))-1)),""))))</f>
        <v/>
      </c>
      <c r="O4921" s="2">
        <f>IF(OR(F4921="",G4921=""),"",IF(G4921&lt;='RETRATO 2027'!$K$5,"CONCLUÍDA",IF(F4921&lt;='RETRATO 2027'!$K$5,"EM ANDAMENTO","A INICIAR")))</f>
        <v/>
      </c>
    </row>
    <row r="4922">
      <c r="M4922" s="2">
        <f>IF(C4922="","",IFERROR(INDEX($S$5:$S$304,MATCH(C4922,$R$5:$R$304,0))&amp;"","?"))</f>
        <v/>
      </c>
      <c r="N4922" s="2">
        <f>IF(E4922="","",IF(ISNUMBER(SEARCH("SUBSOLO",E4922)),IFERROR(-VALUE(LEFT(E4922,FIND("º",SUBSTITUTE(E4922,"°","º"))-1)),-1),IF(LEFT(E4922,6)="TÉRREO",0,IFERROR(VALUE(LEFT(E4922,FIND("º",SUBSTITUTE(E4922,"°","º"))-1)),""))))</f>
        <v/>
      </c>
      <c r="O4922" s="2">
        <f>IF(OR(F4922="",G4922=""),"",IF(G4922&lt;='RETRATO 2027'!$K$5,"CONCLUÍDA",IF(F4922&lt;='RETRATO 2027'!$K$5,"EM ANDAMENTO","A INICIAR")))</f>
        <v/>
      </c>
    </row>
    <row r="4923">
      <c r="M4923" s="2">
        <f>IF(C4923="","",IFERROR(INDEX($S$5:$S$304,MATCH(C4923,$R$5:$R$304,0))&amp;"","?"))</f>
        <v/>
      </c>
      <c r="N4923" s="2">
        <f>IF(E4923="","",IF(ISNUMBER(SEARCH("SUBSOLO",E4923)),IFERROR(-VALUE(LEFT(E4923,FIND("º",SUBSTITUTE(E4923,"°","º"))-1)),-1),IF(LEFT(E4923,6)="TÉRREO",0,IFERROR(VALUE(LEFT(E4923,FIND("º",SUBSTITUTE(E4923,"°","º"))-1)),""))))</f>
        <v/>
      </c>
      <c r="O4923" s="2">
        <f>IF(OR(F4923="",G4923=""),"",IF(G4923&lt;='RETRATO 2027'!$K$5,"CONCLUÍDA",IF(F4923&lt;='RETRATO 2027'!$K$5,"EM ANDAMENTO","A INICIAR")))</f>
        <v/>
      </c>
    </row>
    <row r="4924">
      <c r="M4924" s="2">
        <f>IF(C4924="","",IFERROR(INDEX($S$5:$S$304,MATCH(C4924,$R$5:$R$304,0))&amp;"","?"))</f>
        <v/>
      </c>
      <c r="N4924" s="2">
        <f>IF(E4924="","",IF(ISNUMBER(SEARCH("SUBSOLO",E4924)),IFERROR(-VALUE(LEFT(E4924,FIND("º",SUBSTITUTE(E4924,"°","º"))-1)),-1),IF(LEFT(E4924,6)="TÉRREO",0,IFERROR(VALUE(LEFT(E4924,FIND("º",SUBSTITUTE(E4924,"°","º"))-1)),""))))</f>
        <v/>
      </c>
      <c r="O4924" s="2">
        <f>IF(OR(F4924="",G4924=""),"",IF(G4924&lt;='RETRATO 2027'!$K$5,"CONCLUÍDA",IF(F4924&lt;='RETRATO 2027'!$K$5,"EM ANDAMENTO","A INICIAR")))</f>
        <v/>
      </c>
    </row>
    <row r="4925">
      <c r="M4925" s="2">
        <f>IF(C4925="","",IFERROR(INDEX($S$5:$S$304,MATCH(C4925,$R$5:$R$304,0))&amp;"","?"))</f>
        <v/>
      </c>
      <c r="N4925" s="2">
        <f>IF(E4925="","",IF(ISNUMBER(SEARCH("SUBSOLO",E4925)),IFERROR(-VALUE(LEFT(E4925,FIND("º",SUBSTITUTE(E4925,"°","º"))-1)),-1),IF(LEFT(E4925,6)="TÉRREO",0,IFERROR(VALUE(LEFT(E4925,FIND("º",SUBSTITUTE(E4925,"°","º"))-1)),""))))</f>
        <v/>
      </c>
      <c r="O4925" s="2">
        <f>IF(OR(F4925="",G4925=""),"",IF(G4925&lt;='RETRATO 2027'!$K$5,"CONCLUÍDA",IF(F4925&lt;='RETRATO 2027'!$K$5,"EM ANDAMENTO","A INICIAR")))</f>
        <v/>
      </c>
    </row>
    <row r="4926">
      <c r="M4926" s="2">
        <f>IF(C4926="","",IFERROR(INDEX($S$5:$S$304,MATCH(C4926,$R$5:$R$304,0))&amp;"","?"))</f>
        <v/>
      </c>
      <c r="N4926" s="2">
        <f>IF(E4926="","",IF(ISNUMBER(SEARCH("SUBSOLO",E4926)),IFERROR(-VALUE(LEFT(E4926,FIND("º",SUBSTITUTE(E4926,"°","º"))-1)),-1),IF(LEFT(E4926,6)="TÉRREO",0,IFERROR(VALUE(LEFT(E4926,FIND("º",SUBSTITUTE(E4926,"°","º"))-1)),""))))</f>
        <v/>
      </c>
      <c r="O4926" s="2">
        <f>IF(OR(F4926="",G4926=""),"",IF(G4926&lt;='RETRATO 2027'!$K$5,"CONCLUÍDA",IF(F4926&lt;='RETRATO 2027'!$K$5,"EM ANDAMENTO","A INICIAR")))</f>
        <v/>
      </c>
    </row>
    <row r="4927">
      <c r="M4927" s="2">
        <f>IF(C4927="","",IFERROR(INDEX($S$5:$S$304,MATCH(C4927,$R$5:$R$304,0))&amp;"","?"))</f>
        <v/>
      </c>
      <c r="N4927" s="2">
        <f>IF(E4927="","",IF(ISNUMBER(SEARCH("SUBSOLO",E4927)),IFERROR(-VALUE(LEFT(E4927,FIND("º",SUBSTITUTE(E4927,"°","º"))-1)),-1),IF(LEFT(E4927,6)="TÉRREO",0,IFERROR(VALUE(LEFT(E4927,FIND("º",SUBSTITUTE(E4927,"°","º"))-1)),""))))</f>
        <v/>
      </c>
      <c r="O4927" s="2">
        <f>IF(OR(F4927="",G4927=""),"",IF(G4927&lt;='RETRATO 2027'!$K$5,"CONCLUÍDA",IF(F4927&lt;='RETRATO 2027'!$K$5,"EM ANDAMENTO","A INICIAR")))</f>
        <v/>
      </c>
    </row>
    <row r="4928">
      <c r="M4928" s="2">
        <f>IF(C4928="","",IFERROR(INDEX($S$5:$S$304,MATCH(C4928,$R$5:$R$304,0))&amp;"","?"))</f>
        <v/>
      </c>
      <c r="N4928" s="2">
        <f>IF(E4928="","",IF(ISNUMBER(SEARCH("SUBSOLO",E4928)),IFERROR(-VALUE(LEFT(E4928,FIND("º",SUBSTITUTE(E4928,"°","º"))-1)),-1),IF(LEFT(E4928,6)="TÉRREO",0,IFERROR(VALUE(LEFT(E4928,FIND("º",SUBSTITUTE(E4928,"°","º"))-1)),""))))</f>
        <v/>
      </c>
      <c r="O4928" s="2">
        <f>IF(OR(F4928="",G4928=""),"",IF(G4928&lt;='RETRATO 2027'!$K$5,"CONCLUÍDA",IF(F4928&lt;='RETRATO 2027'!$K$5,"EM ANDAMENTO","A INICIAR")))</f>
        <v/>
      </c>
    </row>
    <row r="4929">
      <c r="M4929" s="2">
        <f>IF(C4929="","",IFERROR(INDEX($S$5:$S$304,MATCH(C4929,$R$5:$R$304,0))&amp;"","?"))</f>
        <v/>
      </c>
      <c r="N4929" s="2">
        <f>IF(E4929="","",IF(ISNUMBER(SEARCH("SUBSOLO",E4929)),IFERROR(-VALUE(LEFT(E4929,FIND("º",SUBSTITUTE(E4929,"°","º"))-1)),-1),IF(LEFT(E4929,6)="TÉRREO",0,IFERROR(VALUE(LEFT(E4929,FIND("º",SUBSTITUTE(E4929,"°","º"))-1)),""))))</f>
        <v/>
      </c>
      <c r="O4929" s="2">
        <f>IF(OR(F4929="",G4929=""),"",IF(G4929&lt;='RETRATO 2027'!$K$5,"CONCLUÍDA",IF(F4929&lt;='RETRATO 2027'!$K$5,"EM ANDAMENTO","A INICIAR")))</f>
        <v/>
      </c>
    </row>
    <row r="4930">
      <c r="M4930" s="2">
        <f>IF(C4930="","",IFERROR(INDEX($S$5:$S$304,MATCH(C4930,$R$5:$R$304,0))&amp;"","?"))</f>
        <v/>
      </c>
      <c r="N4930" s="2">
        <f>IF(E4930="","",IF(ISNUMBER(SEARCH("SUBSOLO",E4930)),IFERROR(-VALUE(LEFT(E4930,FIND("º",SUBSTITUTE(E4930,"°","º"))-1)),-1),IF(LEFT(E4930,6)="TÉRREO",0,IFERROR(VALUE(LEFT(E4930,FIND("º",SUBSTITUTE(E4930,"°","º"))-1)),""))))</f>
        <v/>
      </c>
      <c r="O4930" s="2">
        <f>IF(OR(F4930="",G4930=""),"",IF(G4930&lt;='RETRATO 2027'!$K$5,"CONCLUÍDA",IF(F4930&lt;='RETRATO 2027'!$K$5,"EM ANDAMENTO","A INICIAR")))</f>
        <v/>
      </c>
    </row>
    <row r="4931">
      <c r="M4931" s="2">
        <f>IF(C4931="","",IFERROR(INDEX($S$5:$S$304,MATCH(C4931,$R$5:$R$304,0))&amp;"","?"))</f>
        <v/>
      </c>
      <c r="N4931" s="2">
        <f>IF(E4931="","",IF(ISNUMBER(SEARCH("SUBSOLO",E4931)),IFERROR(-VALUE(LEFT(E4931,FIND("º",SUBSTITUTE(E4931,"°","º"))-1)),-1),IF(LEFT(E4931,6)="TÉRREO",0,IFERROR(VALUE(LEFT(E4931,FIND("º",SUBSTITUTE(E4931,"°","º"))-1)),""))))</f>
        <v/>
      </c>
      <c r="O4931" s="2">
        <f>IF(OR(F4931="",G4931=""),"",IF(G4931&lt;='RETRATO 2027'!$K$5,"CONCLUÍDA",IF(F4931&lt;='RETRATO 2027'!$K$5,"EM ANDAMENTO","A INICIAR")))</f>
        <v/>
      </c>
    </row>
    <row r="4932">
      <c r="M4932" s="2">
        <f>IF(C4932="","",IFERROR(INDEX($S$5:$S$304,MATCH(C4932,$R$5:$R$304,0))&amp;"","?"))</f>
        <v/>
      </c>
      <c r="N4932" s="2">
        <f>IF(E4932="","",IF(ISNUMBER(SEARCH("SUBSOLO",E4932)),IFERROR(-VALUE(LEFT(E4932,FIND("º",SUBSTITUTE(E4932,"°","º"))-1)),-1),IF(LEFT(E4932,6)="TÉRREO",0,IFERROR(VALUE(LEFT(E4932,FIND("º",SUBSTITUTE(E4932,"°","º"))-1)),""))))</f>
        <v/>
      </c>
      <c r="O4932" s="2">
        <f>IF(OR(F4932="",G4932=""),"",IF(G4932&lt;='RETRATO 2027'!$K$5,"CONCLUÍDA",IF(F4932&lt;='RETRATO 2027'!$K$5,"EM ANDAMENTO","A INICIAR")))</f>
        <v/>
      </c>
    </row>
    <row r="4933">
      <c r="M4933" s="2">
        <f>IF(C4933="","",IFERROR(INDEX($S$5:$S$304,MATCH(C4933,$R$5:$R$304,0))&amp;"","?"))</f>
        <v/>
      </c>
      <c r="N4933" s="2">
        <f>IF(E4933="","",IF(ISNUMBER(SEARCH("SUBSOLO",E4933)),IFERROR(-VALUE(LEFT(E4933,FIND("º",SUBSTITUTE(E4933,"°","º"))-1)),-1),IF(LEFT(E4933,6)="TÉRREO",0,IFERROR(VALUE(LEFT(E4933,FIND("º",SUBSTITUTE(E4933,"°","º"))-1)),""))))</f>
        <v/>
      </c>
      <c r="O4933" s="2">
        <f>IF(OR(F4933="",G4933=""),"",IF(G4933&lt;='RETRATO 2027'!$K$5,"CONCLUÍDA",IF(F4933&lt;='RETRATO 2027'!$K$5,"EM ANDAMENTO","A INICIAR")))</f>
        <v/>
      </c>
    </row>
    <row r="4934">
      <c r="M4934" s="2">
        <f>IF(C4934="","",IFERROR(INDEX($S$5:$S$304,MATCH(C4934,$R$5:$R$304,0))&amp;"","?"))</f>
        <v/>
      </c>
      <c r="N4934" s="2">
        <f>IF(E4934="","",IF(ISNUMBER(SEARCH("SUBSOLO",E4934)),IFERROR(-VALUE(LEFT(E4934,FIND("º",SUBSTITUTE(E4934,"°","º"))-1)),-1),IF(LEFT(E4934,6)="TÉRREO",0,IFERROR(VALUE(LEFT(E4934,FIND("º",SUBSTITUTE(E4934,"°","º"))-1)),""))))</f>
        <v/>
      </c>
      <c r="O4934" s="2">
        <f>IF(OR(F4934="",G4934=""),"",IF(G4934&lt;='RETRATO 2027'!$K$5,"CONCLUÍDA",IF(F4934&lt;='RETRATO 2027'!$K$5,"EM ANDAMENTO","A INICIAR")))</f>
        <v/>
      </c>
    </row>
    <row r="4935">
      <c r="M4935" s="2">
        <f>IF(C4935="","",IFERROR(INDEX($S$5:$S$304,MATCH(C4935,$R$5:$R$304,0))&amp;"","?"))</f>
        <v/>
      </c>
      <c r="N4935" s="2">
        <f>IF(E4935="","",IF(ISNUMBER(SEARCH("SUBSOLO",E4935)),IFERROR(-VALUE(LEFT(E4935,FIND("º",SUBSTITUTE(E4935,"°","º"))-1)),-1),IF(LEFT(E4935,6)="TÉRREO",0,IFERROR(VALUE(LEFT(E4935,FIND("º",SUBSTITUTE(E4935,"°","º"))-1)),""))))</f>
        <v/>
      </c>
      <c r="O4935" s="2">
        <f>IF(OR(F4935="",G4935=""),"",IF(G4935&lt;='RETRATO 2027'!$K$5,"CONCLUÍDA",IF(F4935&lt;='RETRATO 2027'!$K$5,"EM ANDAMENTO","A INICIAR")))</f>
        <v/>
      </c>
    </row>
    <row r="4936">
      <c r="M4936" s="2">
        <f>IF(C4936="","",IFERROR(INDEX($S$5:$S$304,MATCH(C4936,$R$5:$R$304,0))&amp;"","?"))</f>
        <v/>
      </c>
      <c r="N4936" s="2">
        <f>IF(E4936="","",IF(ISNUMBER(SEARCH("SUBSOLO",E4936)),IFERROR(-VALUE(LEFT(E4936,FIND("º",SUBSTITUTE(E4936,"°","º"))-1)),-1),IF(LEFT(E4936,6)="TÉRREO",0,IFERROR(VALUE(LEFT(E4936,FIND("º",SUBSTITUTE(E4936,"°","º"))-1)),""))))</f>
        <v/>
      </c>
      <c r="O4936" s="2">
        <f>IF(OR(F4936="",G4936=""),"",IF(G4936&lt;='RETRATO 2027'!$K$5,"CONCLUÍDA",IF(F4936&lt;='RETRATO 2027'!$K$5,"EM ANDAMENTO","A INICIAR")))</f>
        <v/>
      </c>
    </row>
    <row r="4937">
      <c r="M4937" s="2">
        <f>IF(C4937="","",IFERROR(INDEX($S$5:$S$304,MATCH(C4937,$R$5:$R$304,0))&amp;"","?"))</f>
        <v/>
      </c>
      <c r="N4937" s="2">
        <f>IF(E4937="","",IF(ISNUMBER(SEARCH("SUBSOLO",E4937)),IFERROR(-VALUE(LEFT(E4937,FIND("º",SUBSTITUTE(E4937,"°","º"))-1)),-1),IF(LEFT(E4937,6)="TÉRREO",0,IFERROR(VALUE(LEFT(E4937,FIND("º",SUBSTITUTE(E4937,"°","º"))-1)),""))))</f>
        <v/>
      </c>
      <c r="O4937" s="2">
        <f>IF(OR(F4937="",G4937=""),"",IF(G4937&lt;='RETRATO 2027'!$K$5,"CONCLUÍDA",IF(F4937&lt;='RETRATO 2027'!$K$5,"EM ANDAMENTO","A INICIAR")))</f>
        <v/>
      </c>
    </row>
    <row r="4938">
      <c r="M4938" s="2">
        <f>IF(C4938="","",IFERROR(INDEX($S$5:$S$304,MATCH(C4938,$R$5:$R$304,0))&amp;"","?"))</f>
        <v/>
      </c>
      <c r="N4938" s="2">
        <f>IF(E4938="","",IF(ISNUMBER(SEARCH("SUBSOLO",E4938)),IFERROR(-VALUE(LEFT(E4938,FIND("º",SUBSTITUTE(E4938,"°","º"))-1)),-1),IF(LEFT(E4938,6)="TÉRREO",0,IFERROR(VALUE(LEFT(E4938,FIND("º",SUBSTITUTE(E4938,"°","º"))-1)),""))))</f>
        <v/>
      </c>
      <c r="O4938" s="2">
        <f>IF(OR(F4938="",G4938=""),"",IF(G4938&lt;='RETRATO 2027'!$K$5,"CONCLUÍDA",IF(F4938&lt;='RETRATO 2027'!$K$5,"EM ANDAMENTO","A INICIAR")))</f>
        <v/>
      </c>
    </row>
    <row r="4939">
      <c r="M4939" s="2">
        <f>IF(C4939="","",IFERROR(INDEX($S$5:$S$304,MATCH(C4939,$R$5:$R$304,0))&amp;"","?"))</f>
        <v/>
      </c>
      <c r="N4939" s="2">
        <f>IF(E4939="","",IF(ISNUMBER(SEARCH("SUBSOLO",E4939)),IFERROR(-VALUE(LEFT(E4939,FIND("º",SUBSTITUTE(E4939,"°","º"))-1)),-1),IF(LEFT(E4939,6)="TÉRREO",0,IFERROR(VALUE(LEFT(E4939,FIND("º",SUBSTITUTE(E4939,"°","º"))-1)),""))))</f>
        <v/>
      </c>
      <c r="O4939" s="2">
        <f>IF(OR(F4939="",G4939=""),"",IF(G4939&lt;='RETRATO 2027'!$K$5,"CONCLUÍDA",IF(F4939&lt;='RETRATO 2027'!$K$5,"EM ANDAMENTO","A INICIAR")))</f>
        <v/>
      </c>
    </row>
    <row r="4940">
      <c r="M4940" s="2">
        <f>IF(C4940="","",IFERROR(INDEX($S$5:$S$304,MATCH(C4940,$R$5:$R$304,0))&amp;"","?"))</f>
        <v/>
      </c>
      <c r="N4940" s="2">
        <f>IF(E4940="","",IF(ISNUMBER(SEARCH("SUBSOLO",E4940)),IFERROR(-VALUE(LEFT(E4940,FIND("º",SUBSTITUTE(E4940,"°","º"))-1)),-1),IF(LEFT(E4940,6)="TÉRREO",0,IFERROR(VALUE(LEFT(E4940,FIND("º",SUBSTITUTE(E4940,"°","º"))-1)),""))))</f>
        <v/>
      </c>
      <c r="O4940" s="2">
        <f>IF(OR(F4940="",G4940=""),"",IF(G4940&lt;='RETRATO 2027'!$K$5,"CONCLUÍDA",IF(F4940&lt;='RETRATO 2027'!$K$5,"EM ANDAMENTO","A INICIAR")))</f>
        <v/>
      </c>
    </row>
    <row r="4941">
      <c r="M4941" s="2">
        <f>IF(C4941="","",IFERROR(INDEX($S$5:$S$304,MATCH(C4941,$R$5:$R$304,0))&amp;"","?"))</f>
        <v/>
      </c>
      <c r="N4941" s="2">
        <f>IF(E4941="","",IF(ISNUMBER(SEARCH("SUBSOLO",E4941)),IFERROR(-VALUE(LEFT(E4941,FIND("º",SUBSTITUTE(E4941,"°","º"))-1)),-1),IF(LEFT(E4941,6)="TÉRREO",0,IFERROR(VALUE(LEFT(E4941,FIND("º",SUBSTITUTE(E4941,"°","º"))-1)),""))))</f>
        <v/>
      </c>
      <c r="O4941" s="2">
        <f>IF(OR(F4941="",G4941=""),"",IF(G4941&lt;='RETRATO 2027'!$K$5,"CONCLUÍDA",IF(F4941&lt;='RETRATO 2027'!$K$5,"EM ANDAMENTO","A INICIAR")))</f>
        <v/>
      </c>
    </row>
    <row r="4942">
      <c r="M4942" s="2">
        <f>IF(C4942="","",IFERROR(INDEX($S$5:$S$304,MATCH(C4942,$R$5:$R$304,0))&amp;"","?"))</f>
        <v/>
      </c>
      <c r="N4942" s="2">
        <f>IF(E4942="","",IF(ISNUMBER(SEARCH("SUBSOLO",E4942)),IFERROR(-VALUE(LEFT(E4942,FIND("º",SUBSTITUTE(E4942,"°","º"))-1)),-1),IF(LEFT(E4942,6)="TÉRREO",0,IFERROR(VALUE(LEFT(E4942,FIND("º",SUBSTITUTE(E4942,"°","º"))-1)),""))))</f>
        <v/>
      </c>
      <c r="O4942" s="2">
        <f>IF(OR(F4942="",G4942=""),"",IF(G4942&lt;='RETRATO 2027'!$K$5,"CONCLUÍDA",IF(F4942&lt;='RETRATO 2027'!$K$5,"EM ANDAMENTO","A INICIAR")))</f>
        <v/>
      </c>
    </row>
    <row r="4943">
      <c r="M4943" s="2">
        <f>IF(C4943="","",IFERROR(INDEX($S$5:$S$304,MATCH(C4943,$R$5:$R$304,0))&amp;"","?"))</f>
        <v/>
      </c>
      <c r="N4943" s="2">
        <f>IF(E4943="","",IF(ISNUMBER(SEARCH("SUBSOLO",E4943)),IFERROR(-VALUE(LEFT(E4943,FIND("º",SUBSTITUTE(E4943,"°","º"))-1)),-1),IF(LEFT(E4943,6)="TÉRREO",0,IFERROR(VALUE(LEFT(E4943,FIND("º",SUBSTITUTE(E4943,"°","º"))-1)),""))))</f>
        <v/>
      </c>
      <c r="O4943" s="2">
        <f>IF(OR(F4943="",G4943=""),"",IF(G4943&lt;='RETRATO 2027'!$K$5,"CONCLUÍDA",IF(F4943&lt;='RETRATO 2027'!$K$5,"EM ANDAMENTO","A INICIAR")))</f>
        <v/>
      </c>
    </row>
    <row r="4944">
      <c r="M4944" s="2">
        <f>IF(C4944="","",IFERROR(INDEX($S$5:$S$304,MATCH(C4944,$R$5:$R$304,0))&amp;"","?"))</f>
        <v/>
      </c>
      <c r="N4944" s="2">
        <f>IF(E4944="","",IF(ISNUMBER(SEARCH("SUBSOLO",E4944)),IFERROR(-VALUE(LEFT(E4944,FIND("º",SUBSTITUTE(E4944,"°","º"))-1)),-1),IF(LEFT(E4944,6)="TÉRREO",0,IFERROR(VALUE(LEFT(E4944,FIND("º",SUBSTITUTE(E4944,"°","º"))-1)),""))))</f>
        <v/>
      </c>
      <c r="O4944" s="2">
        <f>IF(OR(F4944="",G4944=""),"",IF(G4944&lt;='RETRATO 2027'!$K$5,"CONCLUÍDA",IF(F4944&lt;='RETRATO 2027'!$K$5,"EM ANDAMENTO","A INICIAR")))</f>
        <v/>
      </c>
    </row>
    <row r="4945">
      <c r="M4945" s="2">
        <f>IF(C4945="","",IFERROR(INDEX($S$5:$S$304,MATCH(C4945,$R$5:$R$304,0))&amp;"","?"))</f>
        <v/>
      </c>
      <c r="N4945" s="2">
        <f>IF(E4945="","",IF(ISNUMBER(SEARCH("SUBSOLO",E4945)),IFERROR(-VALUE(LEFT(E4945,FIND("º",SUBSTITUTE(E4945,"°","º"))-1)),-1),IF(LEFT(E4945,6)="TÉRREO",0,IFERROR(VALUE(LEFT(E4945,FIND("º",SUBSTITUTE(E4945,"°","º"))-1)),""))))</f>
        <v/>
      </c>
      <c r="O4945" s="2">
        <f>IF(OR(F4945="",G4945=""),"",IF(G4945&lt;='RETRATO 2027'!$K$5,"CONCLUÍDA",IF(F4945&lt;='RETRATO 2027'!$K$5,"EM ANDAMENTO","A INICIAR")))</f>
        <v/>
      </c>
    </row>
    <row r="4946">
      <c r="M4946" s="2">
        <f>IF(C4946="","",IFERROR(INDEX($S$5:$S$304,MATCH(C4946,$R$5:$R$304,0))&amp;"","?"))</f>
        <v/>
      </c>
      <c r="N4946" s="2">
        <f>IF(E4946="","",IF(ISNUMBER(SEARCH("SUBSOLO",E4946)),IFERROR(-VALUE(LEFT(E4946,FIND("º",SUBSTITUTE(E4946,"°","º"))-1)),-1),IF(LEFT(E4946,6)="TÉRREO",0,IFERROR(VALUE(LEFT(E4946,FIND("º",SUBSTITUTE(E4946,"°","º"))-1)),""))))</f>
        <v/>
      </c>
      <c r="O4946" s="2">
        <f>IF(OR(F4946="",G4946=""),"",IF(G4946&lt;='RETRATO 2027'!$K$5,"CONCLUÍDA",IF(F4946&lt;='RETRATO 2027'!$K$5,"EM ANDAMENTO","A INICIAR")))</f>
        <v/>
      </c>
    </row>
    <row r="4947">
      <c r="M4947" s="2">
        <f>IF(C4947="","",IFERROR(INDEX($S$5:$S$304,MATCH(C4947,$R$5:$R$304,0))&amp;"","?"))</f>
        <v/>
      </c>
      <c r="N4947" s="2">
        <f>IF(E4947="","",IF(ISNUMBER(SEARCH("SUBSOLO",E4947)),IFERROR(-VALUE(LEFT(E4947,FIND("º",SUBSTITUTE(E4947,"°","º"))-1)),-1),IF(LEFT(E4947,6)="TÉRREO",0,IFERROR(VALUE(LEFT(E4947,FIND("º",SUBSTITUTE(E4947,"°","º"))-1)),""))))</f>
        <v/>
      </c>
      <c r="O4947" s="2">
        <f>IF(OR(F4947="",G4947=""),"",IF(G4947&lt;='RETRATO 2027'!$K$5,"CONCLUÍDA",IF(F4947&lt;='RETRATO 2027'!$K$5,"EM ANDAMENTO","A INICIAR")))</f>
        <v/>
      </c>
    </row>
    <row r="4948">
      <c r="M4948" s="2">
        <f>IF(C4948="","",IFERROR(INDEX($S$5:$S$304,MATCH(C4948,$R$5:$R$304,0))&amp;"","?"))</f>
        <v/>
      </c>
      <c r="N4948" s="2">
        <f>IF(E4948="","",IF(ISNUMBER(SEARCH("SUBSOLO",E4948)),IFERROR(-VALUE(LEFT(E4948,FIND("º",SUBSTITUTE(E4948,"°","º"))-1)),-1),IF(LEFT(E4948,6)="TÉRREO",0,IFERROR(VALUE(LEFT(E4948,FIND("º",SUBSTITUTE(E4948,"°","º"))-1)),""))))</f>
        <v/>
      </c>
      <c r="O4948" s="2">
        <f>IF(OR(F4948="",G4948=""),"",IF(G4948&lt;='RETRATO 2027'!$K$5,"CONCLUÍDA",IF(F4948&lt;='RETRATO 2027'!$K$5,"EM ANDAMENTO","A INICIAR")))</f>
        <v/>
      </c>
    </row>
    <row r="4949">
      <c r="M4949" s="2">
        <f>IF(C4949="","",IFERROR(INDEX($S$5:$S$304,MATCH(C4949,$R$5:$R$304,0))&amp;"","?"))</f>
        <v/>
      </c>
      <c r="N4949" s="2">
        <f>IF(E4949="","",IF(ISNUMBER(SEARCH("SUBSOLO",E4949)),IFERROR(-VALUE(LEFT(E4949,FIND("º",SUBSTITUTE(E4949,"°","º"))-1)),-1),IF(LEFT(E4949,6)="TÉRREO",0,IFERROR(VALUE(LEFT(E4949,FIND("º",SUBSTITUTE(E4949,"°","º"))-1)),""))))</f>
        <v/>
      </c>
      <c r="O4949" s="2">
        <f>IF(OR(F4949="",G4949=""),"",IF(G4949&lt;='RETRATO 2027'!$K$5,"CONCLUÍDA",IF(F4949&lt;='RETRATO 2027'!$K$5,"EM ANDAMENTO","A INICIAR")))</f>
        <v/>
      </c>
    </row>
    <row r="4950">
      <c r="M4950" s="2">
        <f>IF(C4950="","",IFERROR(INDEX($S$5:$S$304,MATCH(C4950,$R$5:$R$304,0))&amp;"","?"))</f>
        <v/>
      </c>
      <c r="N4950" s="2">
        <f>IF(E4950="","",IF(ISNUMBER(SEARCH("SUBSOLO",E4950)),IFERROR(-VALUE(LEFT(E4950,FIND("º",SUBSTITUTE(E4950,"°","º"))-1)),-1),IF(LEFT(E4950,6)="TÉRREO",0,IFERROR(VALUE(LEFT(E4950,FIND("º",SUBSTITUTE(E4950,"°","º"))-1)),""))))</f>
        <v/>
      </c>
      <c r="O4950" s="2">
        <f>IF(OR(F4950="",G4950=""),"",IF(G4950&lt;='RETRATO 2027'!$K$5,"CONCLUÍDA",IF(F4950&lt;='RETRATO 2027'!$K$5,"EM ANDAMENTO","A INICIAR")))</f>
        <v/>
      </c>
    </row>
    <row r="4951">
      <c r="M4951" s="2">
        <f>IF(C4951="","",IFERROR(INDEX($S$5:$S$304,MATCH(C4951,$R$5:$R$304,0))&amp;"","?"))</f>
        <v/>
      </c>
      <c r="N4951" s="2">
        <f>IF(E4951="","",IF(ISNUMBER(SEARCH("SUBSOLO",E4951)),IFERROR(-VALUE(LEFT(E4951,FIND("º",SUBSTITUTE(E4951,"°","º"))-1)),-1),IF(LEFT(E4951,6)="TÉRREO",0,IFERROR(VALUE(LEFT(E4951,FIND("º",SUBSTITUTE(E4951,"°","º"))-1)),""))))</f>
        <v/>
      </c>
      <c r="O4951" s="2">
        <f>IF(OR(F4951="",G4951=""),"",IF(G4951&lt;='RETRATO 2027'!$K$5,"CONCLUÍDA",IF(F4951&lt;='RETRATO 2027'!$K$5,"EM ANDAMENTO","A INICIAR")))</f>
        <v/>
      </c>
    </row>
    <row r="4952">
      <c r="M4952" s="2">
        <f>IF(C4952="","",IFERROR(INDEX($S$5:$S$304,MATCH(C4952,$R$5:$R$304,0))&amp;"","?"))</f>
        <v/>
      </c>
      <c r="N4952" s="2">
        <f>IF(E4952="","",IF(ISNUMBER(SEARCH("SUBSOLO",E4952)),IFERROR(-VALUE(LEFT(E4952,FIND("º",SUBSTITUTE(E4952,"°","º"))-1)),-1),IF(LEFT(E4952,6)="TÉRREO",0,IFERROR(VALUE(LEFT(E4952,FIND("º",SUBSTITUTE(E4952,"°","º"))-1)),""))))</f>
        <v/>
      </c>
      <c r="O4952" s="2">
        <f>IF(OR(F4952="",G4952=""),"",IF(G4952&lt;='RETRATO 2027'!$K$5,"CONCLUÍDA",IF(F4952&lt;='RETRATO 2027'!$K$5,"EM ANDAMENTO","A INICIAR")))</f>
        <v/>
      </c>
    </row>
    <row r="4953">
      <c r="M4953" s="2">
        <f>IF(C4953="","",IFERROR(INDEX($S$5:$S$304,MATCH(C4953,$R$5:$R$304,0))&amp;"","?"))</f>
        <v/>
      </c>
      <c r="N4953" s="2">
        <f>IF(E4953="","",IF(ISNUMBER(SEARCH("SUBSOLO",E4953)),IFERROR(-VALUE(LEFT(E4953,FIND("º",SUBSTITUTE(E4953,"°","º"))-1)),-1),IF(LEFT(E4953,6)="TÉRREO",0,IFERROR(VALUE(LEFT(E4953,FIND("º",SUBSTITUTE(E4953,"°","º"))-1)),""))))</f>
        <v/>
      </c>
      <c r="O4953" s="2">
        <f>IF(OR(F4953="",G4953=""),"",IF(G4953&lt;='RETRATO 2027'!$K$5,"CONCLUÍDA",IF(F4953&lt;='RETRATO 2027'!$K$5,"EM ANDAMENTO","A INICIAR")))</f>
        <v/>
      </c>
    </row>
    <row r="4954">
      <c r="M4954" s="2">
        <f>IF(C4954="","",IFERROR(INDEX($S$5:$S$304,MATCH(C4954,$R$5:$R$304,0))&amp;"","?"))</f>
        <v/>
      </c>
      <c r="N4954" s="2">
        <f>IF(E4954="","",IF(ISNUMBER(SEARCH("SUBSOLO",E4954)),IFERROR(-VALUE(LEFT(E4954,FIND("º",SUBSTITUTE(E4954,"°","º"))-1)),-1),IF(LEFT(E4954,6)="TÉRREO",0,IFERROR(VALUE(LEFT(E4954,FIND("º",SUBSTITUTE(E4954,"°","º"))-1)),""))))</f>
        <v/>
      </c>
      <c r="O4954" s="2">
        <f>IF(OR(F4954="",G4954=""),"",IF(G4954&lt;='RETRATO 2027'!$K$5,"CONCLUÍDA",IF(F4954&lt;='RETRATO 2027'!$K$5,"EM ANDAMENTO","A INICIAR")))</f>
        <v/>
      </c>
    </row>
    <row r="4955">
      <c r="M4955" s="2">
        <f>IF(C4955="","",IFERROR(INDEX($S$5:$S$304,MATCH(C4955,$R$5:$R$304,0))&amp;"","?"))</f>
        <v/>
      </c>
      <c r="N4955" s="2">
        <f>IF(E4955="","",IF(ISNUMBER(SEARCH("SUBSOLO",E4955)),IFERROR(-VALUE(LEFT(E4955,FIND("º",SUBSTITUTE(E4955,"°","º"))-1)),-1),IF(LEFT(E4955,6)="TÉRREO",0,IFERROR(VALUE(LEFT(E4955,FIND("º",SUBSTITUTE(E4955,"°","º"))-1)),""))))</f>
        <v/>
      </c>
      <c r="O4955" s="2">
        <f>IF(OR(F4955="",G4955=""),"",IF(G4955&lt;='RETRATO 2027'!$K$5,"CONCLUÍDA",IF(F4955&lt;='RETRATO 2027'!$K$5,"EM ANDAMENTO","A INICIAR")))</f>
        <v/>
      </c>
    </row>
    <row r="4956">
      <c r="M4956" s="2">
        <f>IF(C4956="","",IFERROR(INDEX($S$5:$S$304,MATCH(C4956,$R$5:$R$304,0))&amp;"","?"))</f>
        <v/>
      </c>
      <c r="N4956" s="2">
        <f>IF(E4956="","",IF(ISNUMBER(SEARCH("SUBSOLO",E4956)),IFERROR(-VALUE(LEFT(E4956,FIND("º",SUBSTITUTE(E4956,"°","º"))-1)),-1),IF(LEFT(E4956,6)="TÉRREO",0,IFERROR(VALUE(LEFT(E4956,FIND("º",SUBSTITUTE(E4956,"°","º"))-1)),""))))</f>
        <v/>
      </c>
      <c r="O4956" s="2">
        <f>IF(OR(F4956="",G4956=""),"",IF(G4956&lt;='RETRATO 2027'!$K$5,"CONCLUÍDA",IF(F4956&lt;='RETRATO 2027'!$K$5,"EM ANDAMENTO","A INICIAR")))</f>
        <v/>
      </c>
    </row>
    <row r="4957">
      <c r="M4957" s="2">
        <f>IF(C4957="","",IFERROR(INDEX($S$5:$S$304,MATCH(C4957,$R$5:$R$304,0))&amp;"","?"))</f>
        <v/>
      </c>
      <c r="N4957" s="2">
        <f>IF(E4957="","",IF(ISNUMBER(SEARCH("SUBSOLO",E4957)),IFERROR(-VALUE(LEFT(E4957,FIND("º",SUBSTITUTE(E4957,"°","º"))-1)),-1),IF(LEFT(E4957,6)="TÉRREO",0,IFERROR(VALUE(LEFT(E4957,FIND("º",SUBSTITUTE(E4957,"°","º"))-1)),""))))</f>
        <v/>
      </c>
      <c r="O4957" s="2">
        <f>IF(OR(F4957="",G4957=""),"",IF(G4957&lt;='RETRATO 2027'!$K$5,"CONCLUÍDA",IF(F4957&lt;='RETRATO 2027'!$K$5,"EM ANDAMENTO","A INICIAR")))</f>
        <v/>
      </c>
    </row>
    <row r="4958">
      <c r="M4958" s="2">
        <f>IF(C4958="","",IFERROR(INDEX($S$5:$S$304,MATCH(C4958,$R$5:$R$304,0))&amp;"","?"))</f>
        <v/>
      </c>
      <c r="N4958" s="2">
        <f>IF(E4958="","",IF(ISNUMBER(SEARCH("SUBSOLO",E4958)),IFERROR(-VALUE(LEFT(E4958,FIND("º",SUBSTITUTE(E4958,"°","º"))-1)),-1),IF(LEFT(E4958,6)="TÉRREO",0,IFERROR(VALUE(LEFT(E4958,FIND("º",SUBSTITUTE(E4958,"°","º"))-1)),""))))</f>
        <v/>
      </c>
      <c r="O4958" s="2">
        <f>IF(OR(F4958="",G4958=""),"",IF(G4958&lt;='RETRATO 2027'!$K$5,"CONCLUÍDA",IF(F4958&lt;='RETRATO 2027'!$K$5,"EM ANDAMENTO","A INICIAR")))</f>
        <v/>
      </c>
    </row>
    <row r="4959">
      <c r="M4959" s="2">
        <f>IF(C4959="","",IFERROR(INDEX($S$5:$S$304,MATCH(C4959,$R$5:$R$304,0))&amp;"","?"))</f>
        <v/>
      </c>
      <c r="N4959" s="2">
        <f>IF(E4959="","",IF(ISNUMBER(SEARCH("SUBSOLO",E4959)),IFERROR(-VALUE(LEFT(E4959,FIND("º",SUBSTITUTE(E4959,"°","º"))-1)),-1),IF(LEFT(E4959,6)="TÉRREO",0,IFERROR(VALUE(LEFT(E4959,FIND("º",SUBSTITUTE(E4959,"°","º"))-1)),""))))</f>
        <v/>
      </c>
      <c r="O4959" s="2">
        <f>IF(OR(F4959="",G4959=""),"",IF(G4959&lt;='RETRATO 2027'!$K$5,"CONCLUÍDA",IF(F4959&lt;='RETRATO 2027'!$K$5,"EM ANDAMENTO","A INICIAR")))</f>
        <v/>
      </c>
    </row>
    <row r="4960">
      <c r="M4960" s="2">
        <f>IF(C4960="","",IFERROR(INDEX($S$5:$S$304,MATCH(C4960,$R$5:$R$304,0))&amp;"","?"))</f>
        <v/>
      </c>
      <c r="N4960" s="2">
        <f>IF(E4960="","",IF(ISNUMBER(SEARCH("SUBSOLO",E4960)),IFERROR(-VALUE(LEFT(E4960,FIND("º",SUBSTITUTE(E4960,"°","º"))-1)),-1),IF(LEFT(E4960,6)="TÉRREO",0,IFERROR(VALUE(LEFT(E4960,FIND("º",SUBSTITUTE(E4960,"°","º"))-1)),""))))</f>
        <v/>
      </c>
      <c r="O4960" s="2">
        <f>IF(OR(F4960="",G4960=""),"",IF(G4960&lt;='RETRATO 2027'!$K$5,"CONCLUÍDA",IF(F4960&lt;='RETRATO 2027'!$K$5,"EM ANDAMENTO","A INICIAR")))</f>
        <v/>
      </c>
    </row>
    <row r="4961">
      <c r="M4961" s="2">
        <f>IF(C4961="","",IFERROR(INDEX($S$5:$S$304,MATCH(C4961,$R$5:$R$304,0))&amp;"","?"))</f>
        <v/>
      </c>
      <c r="N4961" s="2">
        <f>IF(E4961="","",IF(ISNUMBER(SEARCH("SUBSOLO",E4961)),IFERROR(-VALUE(LEFT(E4961,FIND("º",SUBSTITUTE(E4961,"°","º"))-1)),-1),IF(LEFT(E4961,6)="TÉRREO",0,IFERROR(VALUE(LEFT(E4961,FIND("º",SUBSTITUTE(E4961,"°","º"))-1)),""))))</f>
        <v/>
      </c>
      <c r="O4961" s="2">
        <f>IF(OR(F4961="",G4961=""),"",IF(G4961&lt;='RETRATO 2027'!$K$5,"CONCLUÍDA",IF(F4961&lt;='RETRATO 2027'!$K$5,"EM ANDAMENTO","A INICIAR")))</f>
        <v/>
      </c>
    </row>
    <row r="4962">
      <c r="M4962" s="2">
        <f>IF(C4962="","",IFERROR(INDEX($S$5:$S$304,MATCH(C4962,$R$5:$R$304,0))&amp;"","?"))</f>
        <v/>
      </c>
      <c r="N4962" s="2">
        <f>IF(E4962="","",IF(ISNUMBER(SEARCH("SUBSOLO",E4962)),IFERROR(-VALUE(LEFT(E4962,FIND("º",SUBSTITUTE(E4962,"°","º"))-1)),-1),IF(LEFT(E4962,6)="TÉRREO",0,IFERROR(VALUE(LEFT(E4962,FIND("º",SUBSTITUTE(E4962,"°","º"))-1)),""))))</f>
        <v/>
      </c>
      <c r="O4962" s="2">
        <f>IF(OR(F4962="",G4962=""),"",IF(G4962&lt;='RETRATO 2027'!$K$5,"CONCLUÍDA",IF(F4962&lt;='RETRATO 2027'!$K$5,"EM ANDAMENTO","A INICIAR")))</f>
        <v/>
      </c>
    </row>
    <row r="4963">
      <c r="M4963" s="2">
        <f>IF(C4963="","",IFERROR(INDEX($S$5:$S$304,MATCH(C4963,$R$5:$R$304,0))&amp;"","?"))</f>
        <v/>
      </c>
      <c r="N4963" s="2">
        <f>IF(E4963="","",IF(ISNUMBER(SEARCH("SUBSOLO",E4963)),IFERROR(-VALUE(LEFT(E4963,FIND("º",SUBSTITUTE(E4963,"°","º"))-1)),-1),IF(LEFT(E4963,6)="TÉRREO",0,IFERROR(VALUE(LEFT(E4963,FIND("º",SUBSTITUTE(E4963,"°","º"))-1)),""))))</f>
        <v/>
      </c>
      <c r="O4963" s="2">
        <f>IF(OR(F4963="",G4963=""),"",IF(G4963&lt;='RETRATO 2027'!$K$5,"CONCLUÍDA",IF(F4963&lt;='RETRATO 2027'!$K$5,"EM ANDAMENTO","A INICIAR")))</f>
        <v/>
      </c>
    </row>
    <row r="4964">
      <c r="M4964" s="2">
        <f>IF(C4964="","",IFERROR(INDEX($S$5:$S$304,MATCH(C4964,$R$5:$R$304,0))&amp;"","?"))</f>
        <v/>
      </c>
      <c r="N4964" s="2">
        <f>IF(E4964="","",IF(ISNUMBER(SEARCH("SUBSOLO",E4964)),IFERROR(-VALUE(LEFT(E4964,FIND("º",SUBSTITUTE(E4964,"°","º"))-1)),-1),IF(LEFT(E4964,6)="TÉRREO",0,IFERROR(VALUE(LEFT(E4964,FIND("º",SUBSTITUTE(E4964,"°","º"))-1)),""))))</f>
        <v/>
      </c>
      <c r="O4964" s="2">
        <f>IF(OR(F4964="",G4964=""),"",IF(G4964&lt;='RETRATO 2027'!$K$5,"CONCLUÍDA",IF(F4964&lt;='RETRATO 2027'!$K$5,"EM ANDAMENTO","A INICIAR")))</f>
        <v/>
      </c>
    </row>
    <row r="4965">
      <c r="M4965" s="2">
        <f>IF(C4965="","",IFERROR(INDEX($S$5:$S$304,MATCH(C4965,$R$5:$R$304,0))&amp;"","?"))</f>
        <v/>
      </c>
      <c r="N4965" s="2">
        <f>IF(E4965="","",IF(ISNUMBER(SEARCH("SUBSOLO",E4965)),IFERROR(-VALUE(LEFT(E4965,FIND("º",SUBSTITUTE(E4965,"°","º"))-1)),-1),IF(LEFT(E4965,6)="TÉRREO",0,IFERROR(VALUE(LEFT(E4965,FIND("º",SUBSTITUTE(E4965,"°","º"))-1)),""))))</f>
        <v/>
      </c>
      <c r="O4965" s="2">
        <f>IF(OR(F4965="",G4965=""),"",IF(G4965&lt;='RETRATO 2027'!$K$5,"CONCLUÍDA",IF(F4965&lt;='RETRATO 2027'!$K$5,"EM ANDAMENTO","A INICIAR")))</f>
        <v/>
      </c>
    </row>
    <row r="4966">
      <c r="M4966" s="2">
        <f>IF(C4966="","",IFERROR(INDEX($S$5:$S$304,MATCH(C4966,$R$5:$R$304,0))&amp;"","?"))</f>
        <v/>
      </c>
      <c r="N4966" s="2">
        <f>IF(E4966="","",IF(ISNUMBER(SEARCH("SUBSOLO",E4966)),IFERROR(-VALUE(LEFT(E4966,FIND("º",SUBSTITUTE(E4966,"°","º"))-1)),-1),IF(LEFT(E4966,6)="TÉRREO",0,IFERROR(VALUE(LEFT(E4966,FIND("º",SUBSTITUTE(E4966,"°","º"))-1)),""))))</f>
        <v/>
      </c>
      <c r="O4966" s="2">
        <f>IF(OR(F4966="",G4966=""),"",IF(G4966&lt;='RETRATO 2027'!$K$5,"CONCLUÍDA",IF(F4966&lt;='RETRATO 2027'!$K$5,"EM ANDAMENTO","A INICIAR")))</f>
        <v/>
      </c>
    </row>
    <row r="4967">
      <c r="M4967" s="2">
        <f>IF(C4967="","",IFERROR(INDEX($S$5:$S$304,MATCH(C4967,$R$5:$R$304,0))&amp;"","?"))</f>
        <v/>
      </c>
      <c r="N4967" s="2">
        <f>IF(E4967="","",IF(ISNUMBER(SEARCH("SUBSOLO",E4967)),IFERROR(-VALUE(LEFT(E4967,FIND("º",SUBSTITUTE(E4967,"°","º"))-1)),-1),IF(LEFT(E4967,6)="TÉRREO",0,IFERROR(VALUE(LEFT(E4967,FIND("º",SUBSTITUTE(E4967,"°","º"))-1)),""))))</f>
        <v/>
      </c>
      <c r="O4967" s="2">
        <f>IF(OR(F4967="",G4967=""),"",IF(G4967&lt;='RETRATO 2027'!$K$5,"CONCLUÍDA",IF(F4967&lt;='RETRATO 2027'!$K$5,"EM ANDAMENTO","A INICIAR")))</f>
        <v/>
      </c>
    </row>
    <row r="4968">
      <c r="M4968" s="2">
        <f>IF(C4968="","",IFERROR(INDEX($S$5:$S$304,MATCH(C4968,$R$5:$R$304,0))&amp;"","?"))</f>
        <v/>
      </c>
      <c r="N4968" s="2">
        <f>IF(E4968="","",IF(ISNUMBER(SEARCH("SUBSOLO",E4968)),IFERROR(-VALUE(LEFT(E4968,FIND("º",SUBSTITUTE(E4968,"°","º"))-1)),-1),IF(LEFT(E4968,6)="TÉRREO",0,IFERROR(VALUE(LEFT(E4968,FIND("º",SUBSTITUTE(E4968,"°","º"))-1)),""))))</f>
        <v/>
      </c>
      <c r="O4968" s="2">
        <f>IF(OR(F4968="",G4968=""),"",IF(G4968&lt;='RETRATO 2027'!$K$5,"CONCLUÍDA",IF(F4968&lt;='RETRATO 2027'!$K$5,"EM ANDAMENTO","A INICIAR")))</f>
        <v/>
      </c>
    </row>
    <row r="4969">
      <c r="M4969" s="2">
        <f>IF(C4969="","",IFERROR(INDEX($S$5:$S$304,MATCH(C4969,$R$5:$R$304,0))&amp;"","?"))</f>
        <v/>
      </c>
      <c r="N4969" s="2">
        <f>IF(E4969="","",IF(ISNUMBER(SEARCH("SUBSOLO",E4969)),IFERROR(-VALUE(LEFT(E4969,FIND("º",SUBSTITUTE(E4969,"°","º"))-1)),-1),IF(LEFT(E4969,6)="TÉRREO",0,IFERROR(VALUE(LEFT(E4969,FIND("º",SUBSTITUTE(E4969,"°","º"))-1)),""))))</f>
        <v/>
      </c>
      <c r="O4969" s="2">
        <f>IF(OR(F4969="",G4969=""),"",IF(G4969&lt;='RETRATO 2027'!$K$5,"CONCLUÍDA",IF(F4969&lt;='RETRATO 2027'!$K$5,"EM ANDAMENTO","A INICIAR")))</f>
        <v/>
      </c>
    </row>
    <row r="4970">
      <c r="M4970" s="2">
        <f>IF(C4970="","",IFERROR(INDEX($S$5:$S$304,MATCH(C4970,$R$5:$R$304,0))&amp;"","?"))</f>
        <v/>
      </c>
      <c r="N4970" s="2">
        <f>IF(E4970="","",IF(ISNUMBER(SEARCH("SUBSOLO",E4970)),IFERROR(-VALUE(LEFT(E4970,FIND("º",SUBSTITUTE(E4970,"°","º"))-1)),-1),IF(LEFT(E4970,6)="TÉRREO",0,IFERROR(VALUE(LEFT(E4970,FIND("º",SUBSTITUTE(E4970,"°","º"))-1)),""))))</f>
        <v/>
      </c>
      <c r="O4970" s="2">
        <f>IF(OR(F4970="",G4970=""),"",IF(G4970&lt;='RETRATO 2027'!$K$5,"CONCLUÍDA",IF(F4970&lt;='RETRATO 2027'!$K$5,"EM ANDAMENTO","A INICIAR")))</f>
        <v/>
      </c>
    </row>
    <row r="4971">
      <c r="M4971" s="2">
        <f>IF(C4971="","",IFERROR(INDEX($S$5:$S$304,MATCH(C4971,$R$5:$R$304,0))&amp;"","?"))</f>
        <v/>
      </c>
      <c r="N4971" s="2">
        <f>IF(E4971="","",IF(ISNUMBER(SEARCH("SUBSOLO",E4971)),IFERROR(-VALUE(LEFT(E4971,FIND("º",SUBSTITUTE(E4971,"°","º"))-1)),-1),IF(LEFT(E4971,6)="TÉRREO",0,IFERROR(VALUE(LEFT(E4971,FIND("º",SUBSTITUTE(E4971,"°","º"))-1)),""))))</f>
        <v/>
      </c>
      <c r="O4971" s="2">
        <f>IF(OR(F4971="",G4971=""),"",IF(G4971&lt;='RETRATO 2027'!$K$5,"CONCLUÍDA",IF(F4971&lt;='RETRATO 2027'!$K$5,"EM ANDAMENTO","A INICIAR")))</f>
        <v/>
      </c>
    </row>
    <row r="4972">
      <c r="M4972" s="2">
        <f>IF(C4972="","",IFERROR(INDEX($S$5:$S$304,MATCH(C4972,$R$5:$R$304,0))&amp;"","?"))</f>
        <v/>
      </c>
      <c r="N4972" s="2">
        <f>IF(E4972="","",IF(ISNUMBER(SEARCH("SUBSOLO",E4972)),IFERROR(-VALUE(LEFT(E4972,FIND("º",SUBSTITUTE(E4972,"°","º"))-1)),-1),IF(LEFT(E4972,6)="TÉRREO",0,IFERROR(VALUE(LEFT(E4972,FIND("º",SUBSTITUTE(E4972,"°","º"))-1)),""))))</f>
        <v/>
      </c>
      <c r="O4972" s="2">
        <f>IF(OR(F4972="",G4972=""),"",IF(G4972&lt;='RETRATO 2027'!$K$5,"CONCLUÍDA",IF(F4972&lt;='RETRATO 2027'!$K$5,"EM ANDAMENTO","A INICIAR")))</f>
        <v/>
      </c>
    </row>
    <row r="4973">
      <c r="M4973" s="2">
        <f>IF(C4973="","",IFERROR(INDEX($S$5:$S$304,MATCH(C4973,$R$5:$R$304,0))&amp;"","?"))</f>
        <v/>
      </c>
      <c r="N4973" s="2">
        <f>IF(E4973="","",IF(ISNUMBER(SEARCH("SUBSOLO",E4973)),IFERROR(-VALUE(LEFT(E4973,FIND("º",SUBSTITUTE(E4973,"°","º"))-1)),-1),IF(LEFT(E4973,6)="TÉRREO",0,IFERROR(VALUE(LEFT(E4973,FIND("º",SUBSTITUTE(E4973,"°","º"))-1)),""))))</f>
        <v/>
      </c>
      <c r="O4973" s="2">
        <f>IF(OR(F4973="",G4973=""),"",IF(G4973&lt;='RETRATO 2027'!$K$5,"CONCLUÍDA",IF(F4973&lt;='RETRATO 2027'!$K$5,"EM ANDAMENTO","A INICIAR")))</f>
        <v/>
      </c>
    </row>
    <row r="4974">
      <c r="M4974" s="2">
        <f>IF(C4974="","",IFERROR(INDEX($S$5:$S$304,MATCH(C4974,$R$5:$R$304,0))&amp;"","?"))</f>
        <v/>
      </c>
      <c r="N4974" s="2">
        <f>IF(E4974="","",IF(ISNUMBER(SEARCH("SUBSOLO",E4974)),IFERROR(-VALUE(LEFT(E4974,FIND("º",SUBSTITUTE(E4974,"°","º"))-1)),-1),IF(LEFT(E4974,6)="TÉRREO",0,IFERROR(VALUE(LEFT(E4974,FIND("º",SUBSTITUTE(E4974,"°","º"))-1)),""))))</f>
        <v/>
      </c>
      <c r="O4974" s="2">
        <f>IF(OR(F4974="",G4974=""),"",IF(G4974&lt;='RETRATO 2027'!$K$5,"CONCLUÍDA",IF(F4974&lt;='RETRATO 2027'!$K$5,"EM ANDAMENTO","A INICIAR")))</f>
        <v/>
      </c>
    </row>
    <row r="4975">
      <c r="M4975" s="2">
        <f>IF(C4975="","",IFERROR(INDEX($S$5:$S$304,MATCH(C4975,$R$5:$R$304,0))&amp;"","?"))</f>
        <v/>
      </c>
      <c r="N4975" s="2">
        <f>IF(E4975="","",IF(ISNUMBER(SEARCH("SUBSOLO",E4975)),IFERROR(-VALUE(LEFT(E4975,FIND("º",SUBSTITUTE(E4975,"°","º"))-1)),-1),IF(LEFT(E4975,6)="TÉRREO",0,IFERROR(VALUE(LEFT(E4975,FIND("º",SUBSTITUTE(E4975,"°","º"))-1)),""))))</f>
        <v/>
      </c>
      <c r="O4975" s="2">
        <f>IF(OR(F4975="",G4975=""),"",IF(G4975&lt;='RETRATO 2027'!$K$5,"CONCLUÍDA",IF(F4975&lt;='RETRATO 2027'!$K$5,"EM ANDAMENTO","A INICIAR")))</f>
        <v/>
      </c>
    </row>
    <row r="4976">
      <c r="M4976" s="2">
        <f>IF(C4976="","",IFERROR(INDEX($S$5:$S$304,MATCH(C4976,$R$5:$R$304,0))&amp;"","?"))</f>
        <v/>
      </c>
      <c r="N4976" s="2">
        <f>IF(E4976="","",IF(ISNUMBER(SEARCH("SUBSOLO",E4976)),IFERROR(-VALUE(LEFT(E4976,FIND("º",SUBSTITUTE(E4976,"°","º"))-1)),-1),IF(LEFT(E4976,6)="TÉRREO",0,IFERROR(VALUE(LEFT(E4976,FIND("º",SUBSTITUTE(E4976,"°","º"))-1)),""))))</f>
        <v/>
      </c>
      <c r="O4976" s="2">
        <f>IF(OR(F4976="",G4976=""),"",IF(G4976&lt;='RETRATO 2027'!$K$5,"CONCLUÍDA",IF(F4976&lt;='RETRATO 2027'!$K$5,"EM ANDAMENTO","A INICIAR")))</f>
        <v/>
      </c>
    </row>
    <row r="4977">
      <c r="M4977" s="2">
        <f>IF(C4977="","",IFERROR(INDEX($S$5:$S$304,MATCH(C4977,$R$5:$R$304,0))&amp;"","?"))</f>
        <v/>
      </c>
      <c r="N4977" s="2">
        <f>IF(E4977="","",IF(ISNUMBER(SEARCH("SUBSOLO",E4977)),IFERROR(-VALUE(LEFT(E4977,FIND("º",SUBSTITUTE(E4977,"°","º"))-1)),-1),IF(LEFT(E4977,6)="TÉRREO",0,IFERROR(VALUE(LEFT(E4977,FIND("º",SUBSTITUTE(E4977,"°","º"))-1)),""))))</f>
        <v/>
      </c>
      <c r="O4977" s="2">
        <f>IF(OR(F4977="",G4977=""),"",IF(G4977&lt;='RETRATO 2027'!$K$5,"CONCLUÍDA",IF(F4977&lt;='RETRATO 2027'!$K$5,"EM ANDAMENTO","A INICIAR")))</f>
        <v/>
      </c>
    </row>
    <row r="4978">
      <c r="M4978" s="2">
        <f>IF(C4978="","",IFERROR(INDEX($S$5:$S$304,MATCH(C4978,$R$5:$R$304,0))&amp;"","?"))</f>
        <v/>
      </c>
      <c r="N4978" s="2">
        <f>IF(E4978="","",IF(ISNUMBER(SEARCH("SUBSOLO",E4978)),IFERROR(-VALUE(LEFT(E4978,FIND("º",SUBSTITUTE(E4978,"°","º"))-1)),-1),IF(LEFT(E4978,6)="TÉRREO",0,IFERROR(VALUE(LEFT(E4978,FIND("º",SUBSTITUTE(E4978,"°","º"))-1)),""))))</f>
        <v/>
      </c>
      <c r="O4978" s="2">
        <f>IF(OR(F4978="",G4978=""),"",IF(G4978&lt;='RETRATO 2027'!$K$5,"CONCLUÍDA",IF(F4978&lt;='RETRATO 2027'!$K$5,"EM ANDAMENTO","A INICIAR")))</f>
        <v/>
      </c>
    </row>
    <row r="4979">
      <c r="M4979" s="2">
        <f>IF(C4979="","",IFERROR(INDEX($S$5:$S$304,MATCH(C4979,$R$5:$R$304,0))&amp;"","?"))</f>
        <v/>
      </c>
      <c r="N4979" s="2">
        <f>IF(E4979="","",IF(ISNUMBER(SEARCH("SUBSOLO",E4979)),IFERROR(-VALUE(LEFT(E4979,FIND("º",SUBSTITUTE(E4979,"°","º"))-1)),-1),IF(LEFT(E4979,6)="TÉRREO",0,IFERROR(VALUE(LEFT(E4979,FIND("º",SUBSTITUTE(E4979,"°","º"))-1)),""))))</f>
        <v/>
      </c>
      <c r="O4979" s="2">
        <f>IF(OR(F4979="",G4979=""),"",IF(G4979&lt;='RETRATO 2027'!$K$5,"CONCLUÍDA",IF(F4979&lt;='RETRATO 2027'!$K$5,"EM ANDAMENTO","A INICIAR")))</f>
        <v/>
      </c>
    </row>
    <row r="4980">
      <c r="M4980" s="2">
        <f>IF(C4980="","",IFERROR(INDEX($S$5:$S$304,MATCH(C4980,$R$5:$R$304,0))&amp;"","?"))</f>
        <v/>
      </c>
      <c r="N4980" s="2">
        <f>IF(E4980="","",IF(ISNUMBER(SEARCH("SUBSOLO",E4980)),IFERROR(-VALUE(LEFT(E4980,FIND("º",SUBSTITUTE(E4980,"°","º"))-1)),-1),IF(LEFT(E4980,6)="TÉRREO",0,IFERROR(VALUE(LEFT(E4980,FIND("º",SUBSTITUTE(E4980,"°","º"))-1)),""))))</f>
        <v/>
      </c>
      <c r="O4980" s="2">
        <f>IF(OR(F4980="",G4980=""),"",IF(G4980&lt;='RETRATO 2027'!$K$5,"CONCLUÍDA",IF(F4980&lt;='RETRATO 2027'!$K$5,"EM ANDAMENTO","A INICIAR")))</f>
        <v/>
      </c>
    </row>
    <row r="4981">
      <c r="M4981" s="2">
        <f>IF(C4981="","",IFERROR(INDEX($S$5:$S$304,MATCH(C4981,$R$5:$R$304,0))&amp;"","?"))</f>
        <v/>
      </c>
      <c r="N4981" s="2">
        <f>IF(E4981="","",IF(ISNUMBER(SEARCH("SUBSOLO",E4981)),IFERROR(-VALUE(LEFT(E4981,FIND("º",SUBSTITUTE(E4981,"°","º"))-1)),-1),IF(LEFT(E4981,6)="TÉRREO",0,IFERROR(VALUE(LEFT(E4981,FIND("º",SUBSTITUTE(E4981,"°","º"))-1)),""))))</f>
        <v/>
      </c>
      <c r="O4981" s="2">
        <f>IF(OR(F4981="",G4981=""),"",IF(G4981&lt;='RETRATO 2027'!$K$5,"CONCLUÍDA",IF(F4981&lt;='RETRATO 2027'!$K$5,"EM ANDAMENTO","A INICIAR")))</f>
        <v/>
      </c>
    </row>
    <row r="4982">
      <c r="M4982" s="2">
        <f>IF(C4982="","",IFERROR(INDEX($S$5:$S$304,MATCH(C4982,$R$5:$R$304,0))&amp;"","?"))</f>
        <v/>
      </c>
      <c r="N4982" s="2">
        <f>IF(E4982="","",IF(ISNUMBER(SEARCH("SUBSOLO",E4982)),IFERROR(-VALUE(LEFT(E4982,FIND("º",SUBSTITUTE(E4982,"°","º"))-1)),-1),IF(LEFT(E4982,6)="TÉRREO",0,IFERROR(VALUE(LEFT(E4982,FIND("º",SUBSTITUTE(E4982,"°","º"))-1)),""))))</f>
        <v/>
      </c>
      <c r="O4982" s="2">
        <f>IF(OR(F4982="",G4982=""),"",IF(G4982&lt;='RETRATO 2027'!$K$5,"CONCLUÍDA",IF(F4982&lt;='RETRATO 2027'!$K$5,"EM ANDAMENTO","A INICIAR")))</f>
        <v/>
      </c>
    </row>
    <row r="4983">
      <c r="M4983" s="2">
        <f>IF(C4983="","",IFERROR(INDEX($S$5:$S$304,MATCH(C4983,$R$5:$R$304,0))&amp;"","?"))</f>
        <v/>
      </c>
      <c r="N4983" s="2">
        <f>IF(E4983="","",IF(ISNUMBER(SEARCH("SUBSOLO",E4983)),IFERROR(-VALUE(LEFT(E4983,FIND("º",SUBSTITUTE(E4983,"°","º"))-1)),-1),IF(LEFT(E4983,6)="TÉRREO",0,IFERROR(VALUE(LEFT(E4983,FIND("º",SUBSTITUTE(E4983,"°","º"))-1)),""))))</f>
        <v/>
      </c>
      <c r="O4983" s="2">
        <f>IF(OR(F4983="",G4983=""),"",IF(G4983&lt;='RETRATO 2027'!$K$5,"CONCLUÍDA",IF(F4983&lt;='RETRATO 2027'!$K$5,"EM ANDAMENTO","A INICIAR")))</f>
        <v/>
      </c>
    </row>
    <row r="4984">
      <c r="M4984" s="2">
        <f>IF(C4984="","",IFERROR(INDEX($S$5:$S$304,MATCH(C4984,$R$5:$R$304,0))&amp;"","?"))</f>
        <v/>
      </c>
      <c r="N4984" s="2">
        <f>IF(E4984="","",IF(ISNUMBER(SEARCH("SUBSOLO",E4984)),IFERROR(-VALUE(LEFT(E4984,FIND("º",SUBSTITUTE(E4984,"°","º"))-1)),-1),IF(LEFT(E4984,6)="TÉRREO",0,IFERROR(VALUE(LEFT(E4984,FIND("º",SUBSTITUTE(E4984,"°","º"))-1)),""))))</f>
        <v/>
      </c>
      <c r="O4984" s="2">
        <f>IF(OR(F4984="",G4984=""),"",IF(G4984&lt;='RETRATO 2027'!$K$5,"CONCLUÍDA",IF(F4984&lt;='RETRATO 2027'!$K$5,"EM ANDAMENTO","A INICIAR")))</f>
        <v/>
      </c>
    </row>
    <row r="4985">
      <c r="M4985" s="2">
        <f>IF(C4985="","",IFERROR(INDEX($S$5:$S$304,MATCH(C4985,$R$5:$R$304,0))&amp;"","?"))</f>
        <v/>
      </c>
      <c r="N4985" s="2">
        <f>IF(E4985="","",IF(ISNUMBER(SEARCH("SUBSOLO",E4985)),IFERROR(-VALUE(LEFT(E4985,FIND("º",SUBSTITUTE(E4985,"°","º"))-1)),-1),IF(LEFT(E4985,6)="TÉRREO",0,IFERROR(VALUE(LEFT(E4985,FIND("º",SUBSTITUTE(E4985,"°","º"))-1)),""))))</f>
        <v/>
      </c>
      <c r="O4985" s="2">
        <f>IF(OR(F4985="",G4985=""),"",IF(G4985&lt;='RETRATO 2027'!$K$5,"CONCLUÍDA",IF(F4985&lt;='RETRATO 2027'!$K$5,"EM ANDAMENTO","A INICIAR")))</f>
        <v/>
      </c>
    </row>
    <row r="4986">
      <c r="M4986" s="2">
        <f>IF(C4986="","",IFERROR(INDEX($S$5:$S$304,MATCH(C4986,$R$5:$R$304,0))&amp;"","?"))</f>
        <v/>
      </c>
      <c r="N4986" s="2">
        <f>IF(E4986="","",IF(ISNUMBER(SEARCH("SUBSOLO",E4986)),IFERROR(-VALUE(LEFT(E4986,FIND("º",SUBSTITUTE(E4986,"°","º"))-1)),-1),IF(LEFT(E4986,6)="TÉRREO",0,IFERROR(VALUE(LEFT(E4986,FIND("º",SUBSTITUTE(E4986,"°","º"))-1)),""))))</f>
        <v/>
      </c>
      <c r="O4986" s="2">
        <f>IF(OR(F4986="",G4986=""),"",IF(G4986&lt;='RETRATO 2027'!$K$5,"CONCLUÍDA",IF(F4986&lt;='RETRATO 2027'!$K$5,"EM ANDAMENTO","A INICIAR")))</f>
        <v/>
      </c>
    </row>
    <row r="4987">
      <c r="M4987" s="2">
        <f>IF(C4987="","",IFERROR(INDEX($S$5:$S$304,MATCH(C4987,$R$5:$R$304,0))&amp;"","?"))</f>
        <v/>
      </c>
      <c r="N4987" s="2">
        <f>IF(E4987="","",IF(ISNUMBER(SEARCH("SUBSOLO",E4987)),IFERROR(-VALUE(LEFT(E4987,FIND("º",SUBSTITUTE(E4987,"°","º"))-1)),-1),IF(LEFT(E4987,6)="TÉRREO",0,IFERROR(VALUE(LEFT(E4987,FIND("º",SUBSTITUTE(E4987,"°","º"))-1)),""))))</f>
        <v/>
      </c>
      <c r="O4987" s="2">
        <f>IF(OR(F4987="",G4987=""),"",IF(G4987&lt;='RETRATO 2027'!$K$5,"CONCLUÍDA",IF(F4987&lt;='RETRATO 2027'!$K$5,"EM ANDAMENTO","A INICIAR")))</f>
        <v/>
      </c>
    </row>
    <row r="4988">
      <c r="M4988" s="2">
        <f>IF(C4988="","",IFERROR(INDEX($S$5:$S$304,MATCH(C4988,$R$5:$R$304,0))&amp;"","?"))</f>
        <v/>
      </c>
      <c r="N4988" s="2">
        <f>IF(E4988="","",IF(ISNUMBER(SEARCH("SUBSOLO",E4988)),IFERROR(-VALUE(LEFT(E4988,FIND("º",SUBSTITUTE(E4988,"°","º"))-1)),-1),IF(LEFT(E4988,6)="TÉRREO",0,IFERROR(VALUE(LEFT(E4988,FIND("º",SUBSTITUTE(E4988,"°","º"))-1)),""))))</f>
        <v/>
      </c>
      <c r="O4988" s="2">
        <f>IF(OR(F4988="",G4988=""),"",IF(G4988&lt;='RETRATO 2027'!$K$5,"CONCLUÍDA",IF(F4988&lt;='RETRATO 2027'!$K$5,"EM ANDAMENTO","A INICIAR")))</f>
        <v/>
      </c>
    </row>
    <row r="4989">
      <c r="M4989" s="2">
        <f>IF(C4989="","",IFERROR(INDEX($S$5:$S$304,MATCH(C4989,$R$5:$R$304,0))&amp;"","?"))</f>
        <v/>
      </c>
      <c r="N4989" s="2">
        <f>IF(E4989="","",IF(ISNUMBER(SEARCH("SUBSOLO",E4989)),IFERROR(-VALUE(LEFT(E4989,FIND("º",SUBSTITUTE(E4989,"°","º"))-1)),-1),IF(LEFT(E4989,6)="TÉRREO",0,IFERROR(VALUE(LEFT(E4989,FIND("º",SUBSTITUTE(E4989,"°","º"))-1)),""))))</f>
        <v/>
      </c>
      <c r="O4989" s="2">
        <f>IF(OR(F4989="",G4989=""),"",IF(G4989&lt;='RETRATO 2027'!$K$5,"CONCLUÍDA",IF(F4989&lt;='RETRATO 2027'!$K$5,"EM ANDAMENTO","A INICIAR")))</f>
        <v/>
      </c>
    </row>
    <row r="4990">
      <c r="M4990" s="2">
        <f>IF(C4990="","",IFERROR(INDEX($S$5:$S$304,MATCH(C4990,$R$5:$R$304,0))&amp;"","?"))</f>
        <v/>
      </c>
      <c r="N4990" s="2">
        <f>IF(E4990="","",IF(ISNUMBER(SEARCH("SUBSOLO",E4990)),IFERROR(-VALUE(LEFT(E4990,FIND("º",SUBSTITUTE(E4990,"°","º"))-1)),-1),IF(LEFT(E4990,6)="TÉRREO",0,IFERROR(VALUE(LEFT(E4990,FIND("º",SUBSTITUTE(E4990,"°","º"))-1)),""))))</f>
        <v/>
      </c>
      <c r="O4990" s="2">
        <f>IF(OR(F4990="",G4990=""),"",IF(G4990&lt;='RETRATO 2027'!$K$5,"CONCLUÍDA",IF(F4990&lt;='RETRATO 2027'!$K$5,"EM ANDAMENTO","A INICIAR")))</f>
        <v/>
      </c>
    </row>
    <row r="4991">
      <c r="M4991" s="2">
        <f>IF(C4991="","",IFERROR(INDEX($S$5:$S$304,MATCH(C4991,$R$5:$R$304,0))&amp;"","?"))</f>
        <v/>
      </c>
      <c r="N4991" s="2">
        <f>IF(E4991="","",IF(ISNUMBER(SEARCH("SUBSOLO",E4991)),IFERROR(-VALUE(LEFT(E4991,FIND("º",SUBSTITUTE(E4991,"°","º"))-1)),-1),IF(LEFT(E4991,6)="TÉRREO",0,IFERROR(VALUE(LEFT(E4991,FIND("º",SUBSTITUTE(E4991,"°","º"))-1)),""))))</f>
        <v/>
      </c>
      <c r="O4991" s="2">
        <f>IF(OR(F4991="",G4991=""),"",IF(G4991&lt;='RETRATO 2027'!$K$5,"CONCLUÍDA",IF(F4991&lt;='RETRATO 2027'!$K$5,"EM ANDAMENTO","A INICIAR")))</f>
        <v/>
      </c>
    </row>
    <row r="4992">
      <c r="M4992" s="2">
        <f>IF(C4992="","",IFERROR(INDEX($S$5:$S$304,MATCH(C4992,$R$5:$R$304,0))&amp;"","?"))</f>
        <v/>
      </c>
      <c r="N4992" s="2">
        <f>IF(E4992="","",IF(ISNUMBER(SEARCH("SUBSOLO",E4992)),IFERROR(-VALUE(LEFT(E4992,FIND("º",SUBSTITUTE(E4992,"°","º"))-1)),-1),IF(LEFT(E4992,6)="TÉRREO",0,IFERROR(VALUE(LEFT(E4992,FIND("º",SUBSTITUTE(E4992,"°","º"))-1)),""))))</f>
        <v/>
      </c>
      <c r="O4992" s="2">
        <f>IF(OR(F4992="",G4992=""),"",IF(G4992&lt;='RETRATO 2027'!$K$5,"CONCLUÍDA",IF(F4992&lt;='RETRATO 2027'!$K$5,"EM ANDAMENTO","A INICIAR")))</f>
        <v/>
      </c>
    </row>
    <row r="4993">
      <c r="M4993" s="2">
        <f>IF(C4993="","",IFERROR(INDEX($S$5:$S$304,MATCH(C4993,$R$5:$R$304,0))&amp;"","?"))</f>
        <v/>
      </c>
      <c r="N4993" s="2">
        <f>IF(E4993="","",IF(ISNUMBER(SEARCH("SUBSOLO",E4993)),IFERROR(-VALUE(LEFT(E4993,FIND("º",SUBSTITUTE(E4993,"°","º"))-1)),-1),IF(LEFT(E4993,6)="TÉRREO",0,IFERROR(VALUE(LEFT(E4993,FIND("º",SUBSTITUTE(E4993,"°","º"))-1)),""))))</f>
        <v/>
      </c>
      <c r="O4993" s="2">
        <f>IF(OR(F4993="",G4993=""),"",IF(G4993&lt;='RETRATO 2027'!$K$5,"CONCLUÍDA",IF(F4993&lt;='RETRATO 2027'!$K$5,"EM ANDAMENTO","A INICIAR")))</f>
        <v/>
      </c>
    </row>
    <row r="4994">
      <c r="M4994" s="2">
        <f>IF(C4994="","",IFERROR(INDEX($S$5:$S$304,MATCH(C4994,$R$5:$R$304,0))&amp;"","?"))</f>
        <v/>
      </c>
      <c r="N4994" s="2">
        <f>IF(E4994="","",IF(ISNUMBER(SEARCH("SUBSOLO",E4994)),IFERROR(-VALUE(LEFT(E4994,FIND("º",SUBSTITUTE(E4994,"°","º"))-1)),-1),IF(LEFT(E4994,6)="TÉRREO",0,IFERROR(VALUE(LEFT(E4994,FIND("º",SUBSTITUTE(E4994,"°","º"))-1)),""))))</f>
        <v/>
      </c>
      <c r="O4994" s="2">
        <f>IF(OR(F4994="",G4994=""),"",IF(G4994&lt;='RETRATO 2027'!$K$5,"CONCLUÍDA",IF(F4994&lt;='RETRATO 2027'!$K$5,"EM ANDAMENTO","A INICIAR")))</f>
        <v/>
      </c>
    </row>
    <row r="4995">
      <c r="M4995" s="2">
        <f>IF(C4995="","",IFERROR(INDEX($S$5:$S$304,MATCH(C4995,$R$5:$R$304,0))&amp;"","?"))</f>
        <v/>
      </c>
      <c r="N4995" s="2">
        <f>IF(E4995="","",IF(ISNUMBER(SEARCH("SUBSOLO",E4995)),IFERROR(-VALUE(LEFT(E4995,FIND("º",SUBSTITUTE(E4995,"°","º"))-1)),-1),IF(LEFT(E4995,6)="TÉRREO",0,IFERROR(VALUE(LEFT(E4995,FIND("º",SUBSTITUTE(E4995,"°","º"))-1)),""))))</f>
        <v/>
      </c>
      <c r="O4995" s="2">
        <f>IF(OR(F4995="",G4995=""),"",IF(G4995&lt;='RETRATO 2027'!$K$5,"CONCLUÍDA",IF(F4995&lt;='RETRATO 2027'!$K$5,"EM ANDAMENTO","A INICIAR")))</f>
        <v/>
      </c>
    </row>
    <row r="4996">
      <c r="M4996" s="2">
        <f>IF(C4996="","",IFERROR(INDEX($S$5:$S$304,MATCH(C4996,$R$5:$R$304,0))&amp;"","?"))</f>
        <v/>
      </c>
      <c r="N4996" s="2">
        <f>IF(E4996="","",IF(ISNUMBER(SEARCH("SUBSOLO",E4996)),IFERROR(-VALUE(LEFT(E4996,FIND("º",SUBSTITUTE(E4996,"°","º"))-1)),-1),IF(LEFT(E4996,6)="TÉRREO",0,IFERROR(VALUE(LEFT(E4996,FIND("º",SUBSTITUTE(E4996,"°","º"))-1)),""))))</f>
        <v/>
      </c>
      <c r="O4996" s="2">
        <f>IF(OR(F4996="",G4996=""),"",IF(G4996&lt;='RETRATO 2027'!$K$5,"CONCLUÍDA",IF(F4996&lt;='RETRATO 2027'!$K$5,"EM ANDAMENTO","A INICIAR")))</f>
        <v/>
      </c>
    </row>
    <row r="4997">
      <c r="M4997" s="2">
        <f>IF(C4997="","",IFERROR(INDEX($S$5:$S$304,MATCH(C4997,$R$5:$R$304,0))&amp;"","?"))</f>
        <v/>
      </c>
      <c r="N4997" s="2">
        <f>IF(E4997="","",IF(ISNUMBER(SEARCH("SUBSOLO",E4997)),IFERROR(-VALUE(LEFT(E4997,FIND("º",SUBSTITUTE(E4997,"°","º"))-1)),-1),IF(LEFT(E4997,6)="TÉRREO",0,IFERROR(VALUE(LEFT(E4997,FIND("º",SUBSTITUTE(E4997,"°","º"))-1)),""))))</f>
        <v/>
      </c>
      <c r="O4997" s="2">
        <f>IF(OR(F4997="",G4997=""),"",IF(G4997&lt;='RETRATO 2027'!$K$5,"CONCLUÍDA",IF(F4997&lt;='RETRATO 2027'!$K$5,"EM ANDAMENTO","A INICIAR")))</f>
        <v/>
      </c>
    </row>
    <row r="4998">
      <c r="M4998" s="2">
        <f>IF(C4998="","",IFERROR(INDEX($S$5:$S$304,MATCH(C4998,$R$5:$R$304,0))&amp;"","?"))</f>
        <v/>
      </c>
      <c r="N4998" s="2">
        <f>IF(E4998="","",IF(ISNUMBER(SEARCH("SUBSOLO",E4998)),IFERROR(-VALUE(LEFT(E4998,FIND("º",SUBSTITUTE(E4998,"°","º"))-1)),-1),IF(LEFT(E4998,6)="TÉRREO",0,IFERROR(VALUE(LEFT(E4998,FIND("º",SUBSTITUTE(E4998,"°","º"))-1)),""))))</f>
        <v/>
      </c>
      <c r="O4998" s="2">
        <f>IF(OR(F4998="",G4998=""),"",IF(G4998&lt;='RETRATO 2027'!$K$5,"CONCLUÍDA",IF(F4998&lt;='RETRATO 2027'!$K$5,"EM ANDAMENTO","A INICIAR")))</f>
        <v/>
      </c>
    </row>
    <row r="4999">
      <c r="M4999" s="2">
        <f>IF(C4999="","",IFERROR(INDEX($S$5:$S$304,MATCH(C4999,$R$5:$R$304,0))&amp;"","?"))</f>
        <v/>
      </c>
      <c r="N4999" s="2">
        <f>IF(E4999="","",IF(ISNUMBER(SEARCH("SUBSOLO",E4999)),IFERROR(-VALUE(LEFT(E4999,FIND("º",SUBSTITUTE(E4999,"°","º"))-1)),-1),IF(LEFT(E4999,6)="TÉRREO",0,IFERROR(VALUE(LEFT(E4999,FIND("º",SUBSTITUTE(E4999,"°","º"))-1)),""))))</f>
        <v/>
      </c>
      <c r="O4999" s="2">
        <f>IF(OR(F4999="",G4999=""),"",IF(G4999&lt;='RETRATO 2027'!$K$5,"CONCLUÍDA",IF(F4999&lt;='RETRATO 2027'!$K$5,"EM ANDAMENTO","A INICIAR")))</f>
        <v/>
      </c>
    </row>
    <row r="5000">
      <c r="M5000" s="2">
        <f>IF(C5000="","",IFERROR(INDEX($S$5:$S$304,MATCH(C5000,$R$5:$R$304,0))&amp;"","?"))</f>
        <v/>
      </c>
      <c r="N5000" s="2">
        <f>IF(E5000="","",IF(ISNUMBER(SEARCH("SUBSOLO",E5000)),IFERROR(-VALUE(LEFT(E5000,FIND("º",SUBSTITUTE(E5000,"°","º"))-1)),-1),IF(LEFT(E5000,6)="TÉRREO",0,IFERROR(VALUE(LEFT(E5000,FIND("º",SUBSTITUTE(E5000,"°","º"))-1)),""))))</f>
        <v/>
      </c>
      <c r="O5000" s="2">
        <f>IF(OR(F5000="",G5000=""),"",IF(G5000&lt;='RETRATO 2027'!$K$5,"CONCLUÍDA",IF(F5000&lt;='RETRATO 2027'!$K$5,"EM ANDAMENTO","A INICIAR")))</f>
        <v/>
      </c>
    </row>
    <row r="5001">
      <c r="M5001" s="2">
        <f>IF(C5001="","",IFERROR(INDEX($S$5:$S$304,MATCH(C5001,$R$5:$R$304,0))&amp;"","?"))</f>
        <v/>
      </c>
      <c r="N5001" s="2">
        <f>IF(E5001="","",IF(ISNUMBER(SEARCH("SUBSOLO",E5001)),IFERROR(-VALUE(LEFT(E5001,FIND("º",SUBSTITUTE(E5001,"°","º"))-1)),-1),IF(LEFT(E5001,6)="TÉRREO",0,IFERROR(VALUE(LEFT(E5001,FIND("º",SUBSTITUTE(E5001,"°","º"))-1)),""))))</f>
        <v/>
      </c>
      <c r="O5001" s="2">
        <f>IF(OR(F5001="",G5001=""),"",IF(G5001&lt;='RETRATO 2027'!$K$5,"CONCLUÍDA",IF(F5001&lt;='RETRATO 2027'!$K$5,"EM ANDAMENTO","A INICIAR")))</f>
        <v/>
      </c>
    </row>
    <row r="5002">
      <c r="M5002" s="2">
        <f>IF(C5002="","",IFERROR(INDEX($S$5:$S$304,MATCH(C5002,$R$5:$R$304,0))&amp;"","?"))</f>
        <v/>
      </c>
      <c r="N5002" s="2">
        <f>IF(E5002="","",IF(ISNUMBER(SEARCH("SUBSOLO",E5002)),IFERROR(-VALUE(LEFT(E5002,FIND("º",SUBSTITUTE(E5002,"°","º"))-1)),-1),IF(LEFT(E5002,6)="TÉRREO",0,IFERROR(VALUE(LEFT(E5002,FIND("º",SUBSTITUTE(E5002,"°","º"))-1)),""))))</f>
        <v/>
      </c>
      <c r="O5002" s="2">
        <f>IF(OR(F5002="",G5002=""),"",IF(G5002&lt;='RETRATO 2027'!$K$5,"CONCLUÍDA",IF(F5002&lt;='RETRATO 2027'!$K$5,"EM ANDAMENTO","A INICIAR")))</f>
        <v/>
      </c>
    </row>
    <row r="5003">
      <c r="M5003" s="2">
        <f>IF(C5003="","",IFERROR(INDEX($S$5:$S$304,MATCH(C5003,$R$5:$R$304,0))&amp;"","?"))</f>
        <v/>
      </c>
      <c r="N5003" s="2">
        <f>IF(E5003="","",IF(ISNUMBER(SEARCH("SUBSOLO",E5003)),IFERROR(-VALUE(LEFT(E5003,FIND("º",SUBSTITUTE(E5003,"°","º"))-1)),-1),IF(LEFT(E5003,6)="TÉRREO",0,IFERROR(VALUE(LEFT(E5003,FIND("º",SUBSTITUTE(E5003,"°","º"))-1)),""))))</f>
        <v/>
      </c>
      <c r="O5003" s="2">
        <f>IF(OR(F5003="",G5003=""),"",IF(G5003&lt;='RETRATO 2027'!$K$5,"CONCLUÍDA",IF(F5003&lt;='RETRATO 2027'!$K$5,"EM ANDAMENTO","A INICIAR")))</f>
        <v/>
      </c>
    </row>
    <row r="5004">
      <c r="M5004" s="2">
        <f>IF(C5004="","",IFERROR(INDEX($S$5:$S$304,MATCH(C5004,$R$5:$R$304,0))&amp;"","?"))</f>
        <v/>
      </c>
      <c r="N5004" s="2">
        <f>IF(E5004="","",IF(ISNUMBER(SEARCH("SUBSOLO",E5004)),IFERROR(-VALUE(LEFT(E5004,FIND("º",SUBSTITUTE(E5004,"°","º"))-1)),-1),IF(LEFT(E5004,6)="TÉRREO",0,IFERROR(VALUE(LEFT(E5004,FIND("º",SUBSTITUTE(E5004,"°","º"))-1)),""))))</f>
        <v/>
      </c>
      <c r="O5004" s="2">
        <f>IF(OR(F5004="",G5004=""),"",IF(G5004&lt;='RETRATO 2027'!$K$5,"CONCLUÍDA",IF(F5004&lt;='RETRATO 2027'!$K$5,"EM ANDAMENTO","A INICIAR")))</f>
        <v/>
      </c>
    </row>
    <row r="5005">
      <c r="M5005" s="2">
        <f>IF(C5005="","",IFERROR(INDEX($S$5:$S$304,MATCH(C5005,$R$5:$R$304,0))&amp;"","?"))</f>
        <v/>
      </c>
      <c r="N5005" s="2">
        <f>IF(E5005="","",IF(ISNUMBER(SEARCH("SUBSOLO",E5005)),IFERROR(-VALUE(LEFT(E5005,FIND("º",SUBSTITUTE(E5005,"°","º"))-1)),-1),IF(LEFT(E5005,6)="TÉRREO",0,IFERROR(VALUE(LEFT(E5005,FIND("º",SUBSTITUTE(E5005,"°","º"))-1)),""))))</f>
        <v/>
      </c>
      <c r="O5005" s="2">
        <f>IF(OR(F5005="",G5005=""),"",IF(G5005&lt;='RETRATO 2027'!$K$5,"CONCLUÍDA",IF(F5005&lt;='RETRATO 2027'!$K$5,"EM ANDAMENTO","A INICIAR")))</f>
        <v/>
      </c>
    </row>
    <row r="5006">
      <c r="M5006" s="2">
        <f>IF(C5006="","",IFERROR(INDEX($S$5:$S$304,MATCH(C5006,$R$5:$R$304,0))&amp;"","?"))</f>
        <v/>
      </c>
      <c r="N5006" s="2">
        <f>IF(E5006="","",IF(ISNUMBER(SEARCH("SUBSOLO",E5006)),IFERROR(-VALUE(LEFT(E5006,FIND("º",SUBSTITUTE(E5006,"°","º"))-1)),-1),IF(LEFT(E5006,6)="TÉRREO",0,IFERROR(VALUE(LEFT(E5006,FIND("º",SUBSTITUTE(E5006,"°","º"))-1)),""))))</f>
        <v/>
      </c>
      <c r="O5006" s="2">
        <f>IF(OR(F5006="",G5006=""),"",IF(G5006&lt;='RETRATO 2027'!$K$5,"CONCLUÍDA",IF(F5006&lt;='RETRATO 2027'!$K$5,"EM ANDAMENTO","A INICIAR")))</f>
        <v/>
      </c>
    </row>
    <row r="5007">
      <c r="M5007" s="2">
        <f>IF(C5007="","",IFERROR(INDEX($S$5:$S$304,MATCH(C5007,$R$5:$R$304,0))&amp;"","?"))</f>
        <v/>
      </c>
      <c r="N5007" s="2">
        <f>IF(E5007="","",IF(ISNUMBER(SEARCH("SUBSOLO",E5007)),IFERROR(-VALUE(LEFT(E5007,FIND("º",SUBSTITUTE(E5007,"°","º"))-1)),-1),IF(LEFT(E5007,6)="TÉRREO",0,IFERROR(VALUE(LEFT(E5007,FIND("º",SUBSTITUTE(E5007,"°","º"))-1)),""))))</f>
        <v/>
      </c>
      <c r="O5007" s="2">
        <f>IF(OR(F5007="",G5007=""),"",IF(G5007&lt;='RETRATO 2027'!$K$5,"CONCLUÍDA",IF(F5007&lt;='RETRATO 2027'!$K$5,"EM ANDAMENTO","A INICIAR")))</f>
        <v/>
      </c>
    </row>
    <row r="5008">
      <c r="M5008" s="2">
        <f>IF(C5008="","",IFERROR(INDEX($S$5:$S$304,MATCH(C5008,$R$5:$R$304,0))&amp;"","?"))</f>
        <v/>
      </c>
      <c r="N5008" s="2">
        <f>IF(E5008="","",IF(ISNUMBER(SEARCH("SUBSOLO",E5008)),IFERROR(-VALUE(LEFT(E5008,FIND("º",SUBSTITUTE(E5008,"°","º"))-1)),-1),IF(LEFT(E5008,6)="TÉRREO",0,IFERROR(VALUE(LEFT(E5008,FIND("º",SUBSTITUTE(E5008,"°","º"))-1)),""))))</f>
        <v/>
      </c>
      <c r="O5008" s="2">
        <f>IF(OR(F5008="",G5008=""),"",IF(G5008&lt;='RETRATO 2027'!$K$5,"CONCLUÍDA",IF(F5008&lt;='RETRATO 2027'!$K$5,"EM ANDAMENTO","A INICIAR")))</f>
        <v/>
      </c>
    </row>
    <row r="5009">
      <c r="M5009" s="2">
        <f>IF(C5009="","",IFERROR(INDEX($S$5:$S$304,MATCH(C5009,$R$5:$R$304,0))&amp;"","?"))</f>
        <v/>
      </c>
      <c r="N5009" s="2">
        <f>IF(E5009="","",IF(ISNUMBER(SEARCH("SUBSOLO",E5009)),IFERROR(-VALUE(LEFT(E5009,FIND("º",SUBSTITUTE(E5009,"°","º"))-1)),-1),IF(LEFT(E5009,6)="TÉRREO",0,IFERROR(VALUE(LEFT(E5009,FIND("º",SUBSTITUTE(E5009,"°","º"))-1)),""))))</f>
        <v/>
      </c>
      <c r="O5009" s="2">
        <f>IF(OR(F5009="",G5009=""),"",IF(G5009&lt;='RETRATO 2027'!$K$5,"CONCLUÍDA",IF(F5009&lt;='RETRATO 2027'!$K$5,"EM ANDAMENTO","A INICIAR")))</f>
        <v/>
      </c>
    </row>
    <row r="5010">
      <c r="M5010" s="2">
        <f>IF(C5010="","",IFERROR(INDEX($S$5:$S$304,MATCH(C5010,$R$5:$R$304,0))&amp;"","?"))</f>
        <v/>
      </c>
      <c r="N5010" s="2">
        <f>IF(E5010="","",IF(ISNUMBER(SEARCH("SUBSOLO",E5010)),IFERROR(-VALUE(LEFT(E5010,FIND("º",SUBSTITUTE(E5010,"°","º"))-1)),-1),IF(LEFT(E5010,6)="TÉRREO",0,IFERROR(VALUE(LEFT(E5010,FIND("º",SUBSTITUTE(E5010,"°","º"))-1)),""))))</f>
        <v/>
      </c>
      <c r="O5010" s="2">
        <f>IF(OR(F5010="",G5010=""),"",IF(G5010&lt;='RETRATO 2027'!$K$5,"CONCLUÍDA",IF(F5010&lt;='RETRATO 2027'!$K$5,"EM ANDAMENTO","A INICIAR")))</f>
        <v/>
      </c>
    </row>
    <row r="5011">
      <c r="M5011" s="2">
        <f>IF(C5011="","",IFERROR(INDEX($S$5:$S$304,MATCH(C5011,$R$5:$R$304,0))&amp;"","?"))</f>
        <v/>
      </c>
      <c r="N5011" s="2">
        <f>IF(E5011="","",IF(ISNUMBER(SEARCH("SUBSOLO",E5011)),IFERROR(-VALUE(LEFT(E5011,FIND("º",SUBSTITUTE(E5011,"°","º"))-1)),-1),IF(LEFT(E5011,6)="TÉRREO",0,IFERROR(VALUE(LEFT(E5011,FIND("º",SUBSTITUTE(E5011,"°","º"))-1)),""))))</f>
        <v/>
      </c>
      <c r="O5011" s="2">
        <f>IF(OR(F5011="",G5011=""),"",IF(G5011&lt;='RETRATO 2027'!$K$5,"CONCLUÍDA",IF(F5011&lt;='RETRATO 2027'!$K$5,"EM ANDAMENTO","A INICIAR")))</f>
        <v/>
      </c>
    </row>
    <row r="5012">
      <c r="M5012" s="2">
        <f>IF(C5012="","",IFERROR(INDEX($S$5:$S$304,MATCH(C5012,$R$5:$R$304,0))&amp;"","?"))</f>
        <v/>
      </c>
      <c r="N5012" s="2">
        <f>IF(E5012="","",IF(ISNUMBER(SEARCH("SUBSOLO",E5012)),IFERROR(-VALUE(LEFT(E5012,FIND("º",SUBSTITUTE(E5012,"°","º"))-1)),-1),IF(LEFT(E5012,6)="TÉRREO",0,IFERROR(VALUE(LEFT(E5012,FIND("º",SUBSTITUTE(E5012,"°","º"))-1)),""))))</f>
        <v/>
      </c>
      <c r="O5012" s="2">
        <f>IF(OR(F5012="",G5012=""),"",IF(G5012&lt;='RETRATO 2027'!$K$5,"CONCLUÍDA",IF(F5012&lt;='RETRATO 2027'!$K$5,"EM ANDAMENTO","A INICIAR")))</f>
        <v/>
      </c>
    </row>
    <row r="5013">
      <c r="M5013" s="2">
        <f>IF(C5013="","",IFERROR(INDEX($S$5:$S$304,MATCH(C5013,$R$5:$R$304,0))&amp;"","?"))</f>
        <v/>
      </c>
      <c r="N5013" s="2">
        <f>IF(E5013="","",IF(ISNUMBER(SEARCH("SUBSOLO",E5013)),IFERROR(-VALUE(LEFT(E5013,FIND("º",SUBSTITUTE(E5013,"°","º"))-1)),-1),IF(LEFT(E5013,6)="TÉRREO",0,IFERROR(VALUE(LEFT(E5013,FIND("º",SUBSTITUTE(E5013,"°","º"))-1)),""))))</f>
        <v/>
      </c>
      <c r="O5013" s="2">
        <f>IF(OR(F5013="",G5013=""),"",IF(G5013&lt;='RETRATO 2027'!$K$5,"CONCLUÍDA",IF(F5013&lt;='RETRATO 2027'!$K$5,"EM ANDAMENTO","A INICIAR")))</f>
        <v/>
      </c>
    </row>
    <row r="5014">
      <c r="M5014" s="2">
        <f>IF(C5014="","",IFERROR(INDEX($S$5:$S$304,MATCH(C5014,$R$5:$R$304,0))&amp;"","?"))</f>
        <v/>
      </c>
      <c r="N5014" s="2">
        <f>IF(E5014="","",IF(ISNUMBER(SEARCH("SUBSOLO",E5014)),IFERROR(-VALUE(LEFT(E5014,FIND("º",SUBSTITUTE(E5014,"°","º"))-1)),-1),IF(LEFT(E5014,6)="TÉRREO",0,IFERROR(VALUE(LEFT(E5014,FIND("º",SUBSTITUTE(E5014,"°","º"))-1)),""))))</f>
        <v/>
      </c>
      <c r="O5014" s="2">
        <f>IF(OR(F5014="",G5014=""),"",IF(G5014&lt;='RETRATO 2027'!$K$5,"CONCLUÍDA",IF(F5014&lt;='RETRATO 2027'!$K$5,"EM ANDAMENTO","A INICIAR")))</f>
        <v/>
      </c>
    </row>
    <row r="5015">
      <c r="M5015" s="2">
        <f>IF(C5015="","",IFERROR(INDEX($S$5:$S$304,MATCH(C5015,$R$5:$R$304,0))&amp;"","?"))</f>
        <v/>
      </c>
      <c r="N5015" s="2">
        <f>IF(E5015="","",IF(ISNUMBER(SEARCH("SUBSOLO",E5015)),IFERROR(-VALUE(LEFT(E5015,FIND("º",SUBSTITUTE(E5015,"°","º"))-1)),-1),IF(LEFT(E5015,6)="TÉRREO",0,IFERROR(VALUE(LEFT(E5015,FIND("º",SUBSTITUTE(E5015,"°","º"))-1)),""))))</f>
        <v/>
      </c>
      <c r="O5015" s="2">
        <f>IF(OR(F5015="",G5015=""),"",IF(G5015&lt;='RETRATO 2027'!$K$5,"CONCLUÍDA",IF(F5015&lt;='RETRATO 2027'!$K$5,"EM ANDAMENTO","A INICIAR")))</f>
        <v/>
      </c>
    </row>
    <row r="5016">
      <c r="M5016" s="2">
        <f>IF(C5016="","",IFERROR(INDEX($S$5:$S$304,MATCH(C5016,$R$5:$R$304,0))&amp;"","?"))</f>
        <v/>
      </c>
      <c r="N5016" s="2">
        <f>IF(E5016="","",IF(ISNUMBER(SEARCH("SUBSOLO",E5016)),IFERROR(-VALUE(LEFT(E5016,FIND("º",SUBSTITUTE(E5016,"°","º"))-1)),-1),IF(LEFT(E5016,6)="TÉRREO",0,IFERROR(VALUE(LEFT(E5016,FIND("º",SUBSTITUTE(E5016,"°","º"))-1)),""))))</f>
        <v/>
      </c>
      <c r="O5016" s="2">
        <f>IF(OR(F5016="",G5016=""),"",IF(G5016&lt;='RETRATO 2027'!$K$5,"CONCLUÍDA",IF(F5016&lt;='RETRATO 2027'!$K$5,"EM ANDAMENTO","A INICIAR")))</f>
        <v/>
      </c>
    </row>
    <row r="5017">
      <c r="M5017" s="2">
        <f>IF(C5017="","",IFERROR(INDEX($S$5:$S$304,MATCH(C5017,$R$5:$R$304,0))&amp;"","?"))</f>
        <v/>
      </c>
      <c r="N5017" s="2">
        <f>IF(E5017="","",IF(ISNUMBER(SEARCH("SUBSOLO",E5017)),IFERROR(-VALUE(LEFT(E5017,FIND("º",SUBSTITUTE(E5017,"°","º"))-1)),-1),IF(LEFT(E5017,6)="TÉRREO",0,IFERROR(VALUE(LEFT(E5017,FIND("º",SUBSTITUTE(E5017,"°","º"))-1)),""))))</f>
        <v/>
      </c>
      <c r="O5017" s="2">
        <f>IF(OR(F5017="",G5017=""),"",IF(G5017&lt;='RETRATO 2027'!$K$5,"CONCLUÍDA",IF(F5017&lt;='RETRATO 2027'!$K$5,"EM ANDAMENTO","A INICIAR")))</f>
        <v/>
      </c>
    </row>
    <row r="5018">
      <c r="M5018" s="2">
        <f>IF(C5018="","",IFERROR(INDEX($S$5:$S$304,MATCH(C5018,$R$5:$R$304,0))&amp;"","?"))</f>
        <v/>
      </c>
      <c r="N5018" s="2">
        <f>IF(E5018="","",IF(ISNUMBER(SEARCH("SUBSOLO",E5018)),IFERROR(-VALUE(LEFT(E5018,FIND("º",SUBSTITUTE(E5018,"°","º"))-1)),-1),IF(LEFT(E5018,6)="TÉRREO",0,IFERROR(VALUE(LEFT(E5018,FIND("º",SUBSTITUTE(E5018,"°","º"))-1)),""))))</f>
        <v/>
      </c>
      <c r="O5018" s="2">
        <f>IF(OR(F5018="",G5018=""),"",IF(G5018&lt;='RETRATO 2027'!$K$5,"CONCLUÍDA",IF(F5018&lt;='RETRATO 2027'!$K$5,"EM ANDAMENTO","A INICIAR")))</f>
        <v/>
      </c>
    </row>
    <row r="5019">
      <c r="M5019" s="2">
        <f>IF(C5019="","",IFERROR(INDEX($S$5:$S$304,MATCH(C5019,$R$5:$R$304,0))&amp;"","?"))</f>
        <v/>
      </c>
      <c r="N5019" s="2">
        <f>IF(E5019="","",IF(ISNUMBER(SEARCH("SUBSOLO",E5019)),IFERROR(-VALUE(LEFT(E5019,FIND("º",SUBSTITUTE(E5019,"°","º"))-1)),-1),IF(LEFT(E5019,6)="TÉRREO",0,IFERROR(VALUE(LEFT(E5019,FIND("º",SUBSTITUTE(E5019,"°","º"))-1)),""))))</f>
        <v/>
      </c>
      <c r="O5019" s="2">
        <f>IF(OR(F5019="",G5019=""),"",IF(G5019&lt;='RETRATO 2027'!$K$5,"CONCLUÍDA",IF(F5019&lt;='RETRATO 2027'!$K$5,"EM ANDAMENTO","A INICIAR")))</f>
        <v/>
      </c>
    </row>
    <row r="5020">
      <c r="M5020" s="2">
        <f>IF(C5020="","",IFERROR(INDEX($S$5:$S$304,MATCH(C5020,$R$5:$R$304,0))&amp;"","?"))</f>
        <v/>
      </c>
      <c r="N5020" s="2">
        <f>IF(E5020="","",IF(ISNUMBER(SEARCH("SUBSOLO",E5020)),IFERROR(-VALUE(LEFT(E5020,FIND("º",SUBSTITUTE(E5020,"°","º"))-1)),-1),IF(LEFT(E5020,6)="TÉRREO",0,IFERROR(VALUE(LEFT(E5020,FIND("º",SUBSTITUTE(E5020,"°","º"))-1)),""))))</f>
        <v/>
      </c>
      <c r="O5020" s="2">
        <f>IF(OR(F5020="",G5020=""),"",IF(G5020&lt;='RETRATO 2027'!$K$5,"CONCLUÍDA",IF(F5020&lt;='RETRATO 2027'!$K$5,"EM ANDAMENTO","A INICIAR")))</f>
        <v/>
      </c>
    </row>
    <row r="5021">
      <c r="M5021" s="2">
        <f>IF(C5021="","",IFERROR(INDEX($S$5:$S$304,MATCH(C5021,$R$5:$R$304,0))&amp;"","?"))</f>
        <v/>
      </c>
      <c r="N5021" s="2">
        <f>IF(E5021="","",IF(ISNUMBER(SEARCH("SUBSOLO",E5021)),IFERROR(-VALUE(LEFT(E5021,FIND("º",SUBSTITUTE(E5021,"°","º"))-1)),-1),IF(LEFT(E5021,6)="TÉRREO",0,IFERROR(VALUE(LEFT(E5021,FIND("º",SUBSTITUTE(E5021,"°","º"))-1)),""))))</f>
        <v/>
      </c>
      <c r="O5021" s="2">
        <f>IF(OR(F5021="",G5021=""),"",IF(G5021&lt;='RETRATO 2027'!$K$5,"CONCLUÍDA",IF(F5021&lt;='RETRATO 2027'!$K$5,"EM ANDAMENTO","A INICIAR")))</f>
        <v/>
      </c>
    </row>
    <row r="5022">
      <c r="M5022" s="2">
        <f>IF(C5022="","",IFERROR(INDEX($S$5:$S$304,MATCH(C5022,$R$5:$R$304,0))&amp;"","?"))</f>
        <v/>
      </c>
      <c r="N5022" s="2">
        <f>IF(E5022="","",IF(ISNUMBER(SEARCH("SUBSOLO",E5022)),IFERROR(-VALUE(LEFT(E5022,FIND("º",SUBSTITUTE(E5022,"°","º"))-1)),-1),IF(LEFT(E5022,6)="TÉRREO",0,IFERROR(VALUE(LEFT(E5022,FIND("º",SUBSTITUTE(E5022,"°","º"))-1)),""))))</f>
        <v/>
      </c>
      <c r="O5022" s="2">
        <f>IF(OR(F5022="",G5022=""),"",IF(G5022&lt;='RETRATO 2027'!$K$5,"CONCLUÍDA",IF(F5022&lt;='RETRATO 2027'!$K$5,"EM ANDAMENTO","A INICIAR")))</f>
        <v/>
      </c>
    </row>
    <row r="5023">
      <c r="M5023" s="2">
        <f>IF(C5023="","",IFERROR(INDEX($S$5:$S$304,MATCH(C5023,$R$5:$R$304,0))&amp;"","?"))</f>
        <v/>
      </c>
      <c r="N5023" s="2">
        <f>IF(E5023="","",IF(ISNUMBER(SEARCH("SUBSOLO",E5023)),IFERROR(-VALUE(LEFT(E5023,FIND("º",SUBSTITUTE(E5023,"°","º"))-1)),-1),IF(LEFT(E5023,6)="TÉRREO",0,IFERROR(VALUE(LEFT(E5023,FIND("º",SUBSTITUTE(E5023,"°","º"))-1)),""))))</f>
        <v/>
      </c>
      <c r="O5023" s="2">
        <f>IF(OR(F5023="",G5023=""),"",IF(G5023&lt;='RETRATO 2027'!$K$5,"CONCLUÍDA",IF(F5023&lt;='RETRATO 2027'!$K$5,"EM ANDAMENTO","A INICIAR")))</f>
        <v/>
      </c>
    </row>
    <row r="5024">
      <c r="M5024" s="2">
        <f>IF(C5024="","",IFERROR(INDEX($S$5:$S$304,MATCH(C5024,$R$5:$R$304,0))&amp;"","?"))</f>
        <v/>
      </c>
      <c r="N5024" s="2">
        <f>IF(E5024="","",IF(ISNUMBER(SEARCH("SUBSOLO",E5024)),IFERROR(-VALUE(LEFT(E5024,FIND("º",SUBSTITUTE(E5024,"°","º"))-1)),-1),IF(LEFT(E5024,6)="TÉRREO",0,IFERROR(VALUE(LEFT(E5024,FIND("º",SUBSTITUTE(E5024,"°","º"))-1)),""))))</f>
        <v/>
      </c>
      <c r="O5024" s="2">
        <f>IF(OR(F5024="",G5024=""),"",IF(G5024&lt;='RETRATO 2027'!$K$5,"CONCLUÍDA",IF(F5024&lt;='RETRATO 2027'!$K$5,"EM ANDAMENTO","A INICIAR")))</f>
        <v/>
      </c>
    </row>
    <row r="5025">
      <c r="M5025" s="2">
        <f>IF(C5025="","",IFERROR(INDEX($S$5:$S$304,MATCH(C5025,$R$5:$R$304,0))&amp;"","?"))</f>
        <v/>
      </c>
      <c r="N5025" s="2">
        <f>IF(E5025="","",IF(ISNUMBER(SEARCH("SUBSOLO",E5025)),IFERROR(-VALUE(LEFT(E5025,FIND("º",SUBSTITUTE(E5025,"°","º"))-1)),-1),IF(LEFT(E5025,6)="TÉRREO",0,IFERROR(VALUE(LEFT(E5025,FIND("º",SUBSTITUTE(E5025,"°","º"))-1)),""))))</f>
        <v/>
      </c>
      <c r="O5025" s="2">
        <f>IF(OR(F5025="",G5025=""),"",IF(G5025&lt;='RETRATO 2027'!$K$5,"CONCLUÍDA",IF(F5025&lt;='RETRATO 2027'!$K$5,"EM ANDAMENTO","A INICIAR")))</f>
        <v/>
      </c>
    </row>
    <row r="5026">
      <c r="M5026" s="2">
        <f>IF(C5026="","",IFERROR(INDEX($S$5:$S$304,MATCH(C5026,$R$5:$R$304,0))&amp;"","?"))</f>
        <v/>
      </c>
      <c r="N5026" s="2">
        <f>IF(E5026="","",IF(ISNUMBER(SEARCH("SUBSOLO",E5026)),IFERROR(-VALUE(LEFT(E5026,FIND("º",SUBSTITUTE(E5026,"°","º"))-1)),-1),IF(LEFT(E5026,6)="TÉRREO",0,IFERROR(VALUE(LEFT(E5026,FIND("º",SUBSTITUTE(E5026,"°","º"))-1)),""))))</f>
        <v/>
      </c>
      <c r="O5026" s="2">
        <f>IF(OR(F5026="",G5026=""),"",IF(G5026&lt;='RETRATO 2027'!$K$5,"CONCLUÍDA",IF(F5026&lt;='RETRATO 2027'!$K$5,"EM ANDAMENTO","A INICIAR")))</f>
        <v/>
      </c>
    </row>
    <row r="5027">
      <c r="M5027" s="2">
        <f>IF(C5027="","",IFERROR(INDEX($S$5:$S$304,MATCH(C5027,$R$5:$R$304,0))&amp;"","?"))</f>
        <v/>
      </c>
      <c r="N5027" s="2">
        <f>IF(E5027="","",IF(ISNUMBER(SEARCH("SUBSOLO",E5027)),IFERROR(-VALUE(LEFT(E5027,FIND("º",SUBSTITUTE(E5027,"°","º"))-1)),-1),IF(LEFT(E5027,6)="TÉRREO",0,IFERROR(VALUE(LEFT(E5027,FIND("º",SUBSTITUTE(E5027,"°","º"))-1)),""))))</f>
        <v/>
      </c>
      <c r="O5027" s="2">
        <f>IF(OR(F5027="",G5027=""),"",IF(G5027&lt;='RETRATO 2027'!$K$5,"CONCLUÍDA",IF(F5027&lt;='RETRATO 2027'!$K$5,"EM ANDAMENTO","A INICIAR")))</f>
        <v/>
      </c>
    </row>
    <row r="5028">
      <c r="M5028" s="2">
        <f>IF(C5028="","",IFERROR(INDEX($S$5:$S$304,MATCH(C5028,$R$5:$R$304,0))&amp;"","?"))</f>
        <v/>
      </c>
      <c r="N5028" s="2">
        <f>IF(E5028="","",IF(ISNUMBER(SEARCH("SUBSOLO",E5028)),IFERROR(-VALUE(LEFT(E5028,FIND("º",SUBSTITUTE(E5028,"°","º"))-1)),-1),IF(LEFT(E5028,6)="TÉRREO",0,IFERROR(VALUE(LEFT(E5028,FIND("º",SUBSTITUTE(E5028,"°","º"))-1)),""))))</f>
        <v/>
      </c>
      <c r="O5028" s="2">
        <f>IF(OR(F5028="",G5028=""),"",IF(G5028&lt;='RETRATO 2027'!$K$5,"CONCLUÍDA",IF(F5028&lt;='RETRATO 2027'!$K$5,"EM ANDAMENTO","A INICIAR")))</f>
        <v/>
      </c>
    </row>
    <row r="5029">
      <c r="M5029" s="2">
        <f>IF(C5029="","",IFERROR(INDEX($S$5:$S$304,MATCH(C5029,$R$5:$R$304,0))&amp;"","?"))</f>
        <v/>
      </c>
      <c r="N5029" s="2">
        <f>IF(E5029="","",IF(ISNUMBER(SEARCH("SUBSOLO",E5029)),IFERROR(-VALUE(LEFT(E5029,FIND("º",SUBSTITUTE(E5029,"°","º"))-1)),-1),IF(LEFT(E5029,6)="TÉRREO",0,IFERROR(VALUE(LEFT(E5029,FIND("º",SUBSTITUTE(E5029,"°","º"))-1)),""))))</f>
        <v/>
      </c>
      <c r="O5029" s="2">
        <f>IF(OR(F5029="",G5029=""),"",IF(G5029&lt;='RETRATO 2027'!$K$5,"CONCLUÍDA",IF(F5029&lt;='RETRATO 2027'!$K$5,"EM ANDAMENTO","A INICIAR")))</f>
        <v/>
      </c>
    </row>
    <row r="5030">
      <c r="M5030" s="2">
        <f>IF(C5030="","",IFERROR(INDEX($S$5:$S$304,MATCH(C5030,$R$5:$R$304,0))&amp;"","?"))</f>
        <v/>
      </c>
      <c r="N5030" s="2">
        <f>IF(E5030="","",IF(ISNUMBER(SEARCH("SUBSOLO",E5030)),IFERROR(-VALUE(LEFT(E5030,FIND("º",SUBSTITUTE(E5030,"°","º"))-1)),-1),IF(LEFT(E5030,6)="TÉRREO",0,IFERROR(VALUE(LEFT(E5030,FIND("º",SUBSTITUTE(E5030,"°","º"))-1)),""))))</f>
        <v/>
      </c>
      <c r="O5030" s="2">
        <f>IF(OR(F5030="",G5030=""),"",IF(G5030&lt;='RETRATO 2027'!$K$5,"CONCLUÍDA",IF(F5030&lt;='RETRATO 2027'!$K$5,"EM ANDAMENTO","A INICIAR")))</f>
        <v/>
      </c>
    </row>
    <row r="5031">
      <c r="M5031" s="2">
        <f>IF(C5031="","",IFERROR(INDEX($S$5:$S$304,MATCH(C5031,$R$5:$R$304,0))&amp;"","?"))</f>
        <v/>
      </c>
      <c r="N5031" s="2">
        <f>IF(E5031="","",IF(ISNUMBER(SEARCH("SUBSOLO",E5031)),IFERROR(-VALUE(LEFT(E5031,FIND("º",SUBSTITUTE(E5031,"°","º"))-1)),-1),IF(LEFT(E5031,6)="TÉRREO",0,IFERROR(VALUE(LEFT(E5031,FIND("º",SUBSTITUTE(E5031,"°","º"))-1)),""))))</f>
        <v/>
      </c>
      <c r="O5031" s="2">
        <f>IF(OR(F5031="",G5031=""),"",IF(G5031&lt;='RETRATO 2027'!$K$5,"CONCLUÍDA",IF(F5031&lt;='RETRATO 2027'!$K$5,"EM ANDAMENTO","A INICIAR")))</f>
        <v/>
      </c>
    </row>
    <row r="5032">
      <c r="M5032" s="2">
        <f>IF(C5032="","",IFERROR(INDEX($S$5:$S$304,MATCH(C5032,$R$5:$R$304,0))&amp;"","?"))</f>
        <v/>
      </c>
      <c r="N5032" s="2">
        <f>IF(E5032="","",IF(ISNUMBER(SEARCH("SUBSOLO",E5032)),IFERROR(-VALUE(LEFT(E5032,FIND("º",SUBSTITUTE(E5032,"°","º"))-1)),-1),IF(LEFT(E5032,6)="TÉRREO",0,IFERROR(VALUE(LEFT(E5032,FIND("º",SUBSTITUTE(E5032,"°","º"))-1)),""))))</f>
        <v/>
      </c>
      <c r="O5032" s="2">
        <f>IF(OR(F5032="",G5032=""),"",IF(G5032&lt;='RETRATO 2027'!$K$5,"CONCLUÍDA",IF(F5032&lt;='RETRATO 2027'!$K$5,"EM ANDAMENTO","A INICIAR")))</f>
        <v/>
      </c>
    </row>
    <row r="5033">
      <c r="M5033" s="2">
        <f>IF(C5033="","",IFERROR(INDEX($S$5:$S$304,MATCH(C5033,$R$5:$R$304,0))&amp;"","?"))</f>
        <v/>
      </c>
      <c r="N5033" s="2">
        <f>IF(E5033="","",IF(ISNUMBER(SEARCH("SUBSOLO",E5033)),IFERROR(-VALUE(LEFT(E5033,FIND("º",SUBSTITUTE(E5033,"°","º"))-1)),-1),IF(LEFT(E5033,6)="TÉRREO",0,IFERROR(VALUE(LEFT(E5033,FIND("º",SUBSTITUTE(E5033,"°","º"))-1)),""))))</f>
        <v/>
      </c>
      <c r="O5033" s="2">
        <f>IF(OR(F5033="",G5033=""),"",IF(G5033&lt;='RETRATO 2027'!$K$5,"CONCLUÍDA",IF(F5033&lt;='RETRATO 2027'!$K$5,"EM ANDAMENTO","A INICIAR")))</f>
        <v/>
      </c>
    </row>
    <row r="5034">
      <c r="M5034" s="2">
        <f>IF(C5034="","",IFERROR(INDEX($S$5:$S$304,MATCH(C5034,$R$5:$R$304,0))&amp;"","?"))</f>
        <v/>
      </c>
      <c r="N5034" s="2">
        <f>IF(E5034="","",IF(ISNUMBER(SEARCH("SUBSOLO",E5034)),IFERROR(-VALUE(LEFT(E5034,FIND("º",SUBSTITUTE(E5034,"°","º"))-1)),-1),IF(LEFT(E5034,6)="TÉRREO",0,IFERROR(VALUE(LEFT(E5034,FIND("º",SUBSTITUTE(E5034,"°","º"))-1)),""))))</f>
        <v/>
      </c>
      <c r="O5034" s="2">
        <f>IF(OR(F5034="",G5034=""),"",IF(G5034&lt;='RETRATO 2027'!$K$5,"CONCLUÍDA",IF(F5034&lt;='RETRATO 2027'!$K$5,"EM ANDAMENTO","A INICIAR")))</f>
        <v/>
      </c>
    </row>
    <row r="5035">
      <c r="M5035" s="2">
        <f>IF(C5035="","",IFERROR(INDEX($S$5:$S$304,MATCH(C5035,$R$5:$R$304,0))&amp;"","?"))</f>
        <v/>
      </c>
      <c r="N5035" s="2">
        <f>IF(E5035="","",IF(ISNUMBER(SEARCH("SUBSOLO",E5035)),IFERROR(-VALUE(LEFT(E5035,FIND("º",SUBSTITUTE(E5035,"°","º"))-1)),-1),IF(LEFT(E5035,6)="TÉRREO",0,IFERROR(VALUE(LEFT(E5035,FIND("º",SUBSTITUTE(E5035,"°","º"))-1)),""))))</f>
        <v/>
      </c>
      <c r="O5035" s="2">
        <f>IF(OR(F5035="",G5035=""),"",IF(G5035&lt;='RETRATO 2027'!$K$5,"CONCLUÍDA",IF(F5035&lt;='RETRATO 2027'!$K$5,"EM ANDAMENTO","A INICIAR")))</f>
        <v/>
      </c>
    </row>
    <row r="5036">
      <c r="M5036" s="2">
        <f>IF(C5036="","",IFERROR(INDEX($S$5:$S$304,MATCH(C5036,$R$5:$R$304,0))&amp;"","?"))</f>
        <v/>
      </c>
      <c r="N5036" s="2">
        <f>IF(E5036="","",IF(ISNUMBER(SEARCH("SUBSOLO",E5036)),IFERROR(-VALUE(LEFT(E5036,FIND("º",SUBSTITUTE(E5036,"°","º"))-1)),-1),IF(LEFT(E5036,6)="TÉRREO",0,IFERROR(VALUE(LEFT(E5036,FIND("º",SUBSTITUTE(E5036,"°","º"))-1)),""))))</f>
        <v/>
      </c>
      <c r="O5036" s="2">
        <f>IF(OR(F5036="",G5036=""),"",IF(G5036&lt;='RETRATO 2027'!$K$5,"CONCLUÍDA",IF(F5036&lt;='RETRATO 2027'!$K$5,"EM ANDAMENTO","A INICIAR")))</f>
        <v/>
      </c>
    </row>
    <row r="5037">
      <c r="M5037" s="2">
        <f>IF(C5037="","",IFERROR(INDEX($S$5:$S$304,MATCH(C5037,$R$5:$R$304,0))&amp;"","?"))</f>
        <v/>
      </c>
      <c r="N5037" s="2">
        <f>IF(E5037="","",IF(ISNUMBER(SEARCH("SUBSOLO",E5037)),IFERROR(-VALUE(LEFT(E5037,FIND("º",SUBSTITUTE(E5037,"°","º"))-1)),-1),IF(LEFT(E5037,6)="TÉRREO",0,IFERROR(VALUE(LEFT(E5037,FIND("º",SUBSTITUTE(E5037,"°","º"))-1)),""))))</f>
        <v/>
      </c>
      <c r="O5037" s="2">
        <f>IF(OR(F5037="",G5037=""),"",IF(G5037&lt;='RETRATO 2027'!$K$5,"CONCLUÍDA",IF(F5037&lt;='RETRATO 2027'!$K$5,"EM ANDAMENTO","A INICIAR")))</f>
        <v/>
      </c>
    </row>
    <row r="5038">
      <c r="M5038" s="2">
        <f>IF(C5038="","",IFERROR(INDEX($S$5:$S$304,MATCH(C5038,$R$5:$R$304,0))&amp;"","?"))</f>
        <v/>
      </c>
      <c r="N5038" s="2">
        <f>IF(E5038="","",IF(ISNUMBER(SEARCH("SUBSOLO",E5038)),IFERROR(-VALUE(LEFT(E5038,FIND("º",SUBSTITUTE(E5038,"°","º"))-1)),-1),IF(LEFT(E5038,6)="TÉRREO",0,IFERROR(VALUE(LEFT(E5038,FIND("º",SUBSTITUTE(E5038,"°","º"))-1)),""))))</f>
        <v/>
      </c>
      <c r="O5038" s="2">
        <f>IF(OR(F5038="",G5038=""),"",IF(G5038&lt;='RETRATO 2027'!$K$5,"CONCLUÍDA",IF(F5038&lt;='RETRATO 2027'!$K$5,"EM ANDAMENTO","A INICIAR")))</f>
        <v/>
      </c>
    </row>
    <row r="5039">
      <c r="M5039" s="2">
        <f>IF(C5039="","",IFERROR(INDEX($S$5:$S$304,MATCH(C5039,$R$5:$R$304,0))&amp;"","?"))</f>
        <v/>
      </c>
      <c r="N5039" s="2">
        <f>IF(E5039="","",IF(ISNUMBER(SEARCH("SUBSOLO",E5039)),IFERROR(-VALUE(LEFT(E5039,FIND("º",SUBSTITUTE(E5039,"°","º"))-1)),-1),IF(LEFT(E5039,6)="TÉRREO",0,IFERROR(VALUE(LEFT(E5039,FIND("º",SUBSTITUTE(E5039,"°","º"))-1)),""))))</f>
        <v/>
      </c>
      <c r="O5039" s="2">
        <f>IF(OR(F5039="",G5039=""),"",IF(G5039&lt;='RETRATO 2027'!$K$5,"CONCLUÍDA",IF(F5039&lt;='RETRATO 2027'!$K$5,"EM ANDAMENTO","A INICIAR")))</f>
        <v/>
      </c>
    </row>
    <row r="5040">
      <c r="M5040" s="2">
        <f>IF(C5040="","",IFERROR(INDEX($S$5:$S$304,MATCH(C5040,$R$5:$R$304,0))&amp;"","?"))</f>
        <v/>
      </c>
      <c r="N5040" s="2">
        <f>IF(E5040="","",IF(ISNUMBER(SEARCH("SUBSOLO",E5040)),IFERROR(-VALUE(LEFT(E5040,FIND("º",SUBSTITUTE(E5040,"°","º"))-1)),-1),IF(LEFT(E5040,6)="TÉRREO",0,IFERROR(VALUE(LEFT(E5040,FIND("º",SUBSTITUTE(E5040,"°","º"))-1)),""))))</f>
        <v/>
      </c>
      <c r="O5040" s="2">
        <f>IF(OR(F5040="",G5040=""),"",IF(G5040&lt;='RETRATO 2027'!$K$5,"CONCLUÍDA",IF(F5040&lt;='RETRATO 2027'!$K$5,"EM ANDAMENTO","A INICIAR")))</f>
        <v/>
      </c>
    </row>
    <row r="5041">
      <c r="M5041" s="2">
        <f>IF(C5041="","",IFERROR(INDEX($S$5:$S$304,MATCH(C5041,$R$5:$R$304,0))&amp;"","?"))</f>
        <v/>
      </c>
      <c r="N5041" s="2">
        <f>IF(E5041="","",IF(ISNUMBER(SEARCH("SUBSOLO",E5041)),IFERROR(-VALUE(LEFT(E5041,FIND("º",SUBSTITUTE(E5041,"°","º"))-1)),-1),IF(LEFT(E5041,6)="TÉRREO",0,IFERROR(VALUE(LEFT(E5041,FIND("º",SUBSTITUTE(E5041,"°","º"))-1)),""))))</f>
        <v/>
      </c>
      <c r="O5041" s="2">
        <f>IF(OR(F5041="",G5041=""),"",IF(G5041&lt;='RETRATO 2027'!$K$5,"CONCLUÍDA",IF(F5041&lt;='RETRATO 2027'!$K$5,"EM ANDAMENTO","A INICIAR")))</f>
        <v/>
      </c>
    </row>
    <row r="5042">
      <c r="M5042" s="2">
        <f>IF(C5042="","",IFERROR(INDEX($S$5:$S$304,MATCH(C5042,$R$5:$R$304,0))&amp;"","?"))</f>
        <v/>
      </c>
      <c r="N5042" s="2">
        <f>IF(E5042="","",IF(ISNUMBER(SEARCH("SUBSOLO",E5042)),IFERROR(-VALUE(LEFT(E5042,FIND("º",SUBSTITUTE(E5042,"°","º"))-1)),-1),IF(LEFT(E5042,6)="TÉRREO",0,IFERROR(VALUE(LEFT(E5042,FIND("º",SUBSTITUTE(E5042,"°","º"))-1)),""))))</f>
        <v/>
      </c>
      <c r="O5042" s="2">
        <f>IF(OR(F5042="",G5042=""),"",IF(G5042&lt;='RETRATO 2027'!$K$5,"CONCLUÍDA",IF(F5042&lt;='RETRATO 2027'!$K$5,"EM ANDAMENTO","A INICIAR")))</f>
        <v/>
      </c>
    </row>
    <row r="5043">
      <c r="M5043" s="2">
        <f>IF(C5043="","",IFERROR(INDEX($S$5:$S$304,MATCH(C5043,$R$5:$R$304,0))&amp;"","?"))</f>
        <v/>
      </c>
      <c r="N5043" s="2">
        <f>IF(E5043="","",IF(ISNUMBER(SEARCH("SUBSOLO",E5043)),IFERROR(-VALUE(LEFT(E5043,FIND("º",SUBSTITUTE(E5043,"°","º"))-1)),-1),IF(LEFT(E5043,6)="TÉRREO",0,IFERROR(VALUE(LEFT(E5043,FIND("º",SUBSTITUTE(E5043,"°","º"))-1)),""))))</f>
        <v/>
      </c>
      <c r="O5043" s="2">
        <f>IF(OR(F5043="",G5043=""),"",IF(G5043&lt;='RETRATO 2027'!$K$5,"CONCLUÍDA",IF(F5043&lt;='RETRATO 2027'!$K$5,"EM ANDAMENTO","A INICIAR")))</f>
        <v/>
      </c>
    </row>
    <row r="5044">
      <c r="M5044" s="2">
        <f>IF(C5044="","",IFERROR(INDEX($S$5:$S$304,MATCH(C5044,$R$5:$R$304,0))&amp;"","?"))</f>
        <v/>
      </c>
      <c r="N5044" s="2">
        <f>IF(E5044="","",IF(ISNUMBER(SEARCH("SUBSOLO",E5044)),IFERROR(-VALUE(LEFT(E5044,FIND("º",SUBSTITUTE(E5044,"°","º"))-1)),-1),IF(LEFT(E5044,6)="TÉRREO",0,IFERROR(VALUE(LEFT(E5044,FIND("º",SUBSTITUTE(E5044,"°","º"))-1)),""))))</f>
        <v/>
      </c>
      <c r="O5044" s="2">
        <f>IF(OR(F5044="",G5044=""),"",IF(G5044&lt;='RETRATO 2027'!$K$5,"CONCLUÍDA",IF(F5044&lt;='RETRATO 2027'!$K$5,"EM ANDAMENTO","A INICIAR")))</f>
        <v/>
      </c>
    </row>
    <row r="5045">
      <c r="M5045" s="2">
        <f>IF(C5045="","",IFERROR(INDEX($S$5:$S$304,MATCH(C5045,$R$5:$R$304,0))&amp;"","?"))</f>
        <v/>
      </c>
      <c r="N5045" s="2">
        <f>IF(E5045="","",IF(ISNUMBER(SEARCH("SUBSOLO",E5045)),IFERROR(-VALUE(LEFT(E5045,FIND("º",SUBSTITUTE(E5045,"°","º"))-1)),-1),IF(LEFT(E5045,6)="TÉRREO",0,IFERROR(VALUE(LEFT(E5045,FIND("º",SUBSTITUTE(E5045,"°","º"))-1)),""))))</f>
        <v/>
      </c>
      <c r="O5045" s="2">
        <f>IF(OR(F5045="",G5045=""),"",IF(G5045&lt;='RETRATO 2027'!$K$5,"CONCLUÍDA",IF(F5045&lt;='RETRATO 2027'!$K$5,"EM ANDAMENTO","A INICIAR")))</f>
        <v/>
      </c>
    </row>
    <row r="5046">
      <c r="M5046" s="2">
        <f>IF(C5046="","",IFERROR(INDEX($S$5:$S$304,MATCH(C5046,$R$5:$R$304,0))&amp;"","?"))</f>
        <v/>
      </c>
      <c r="N5046" s="2">
        <f>IF(E5046="","",IF(ISNUMBER(SEARCH("SUBSOLO",E5046)),IFERROR(-VALUE(LEFT(E5046,FIND("º",SUBSTITUTE(E5046,"°","º"))-1)),-1),IF(LEFT(E5046,6)="TÉRREO",0,IFERROR(VALUE(LEFT(E5046,FIND("º",SUBSTITUTE(E5046,"°","º"))-1)),""))))</f>
        <v/>
      </c>
      <c r="O5046" s="2">
        <f>IF(OR(F5046="",G5046=""),"",IF(G5046&lt;='RETRATO 2027'!$K$5,"CONCLUÍDA",IF(F5046&lt;='RETRATO 2027'!$K$5,"EM ANDAMENTO","A INICIAR")))</f>
        <v/>
      </c>
    </row>
    <row r="5047">
      <c r="M5047" s="2">
        <f>IF(C5047="","",IFERROR(INDEX($S$5:$S$304,MATCH(C5047,$R$5:$R$304,0))&amp;"","?"))</f>
        <v/>
      </c>
      <c r="N5047" s="2">
        <f>IF(E5047="","",IF(ISNUMBER(SEARCH("SUBSOLO",E5047)),IFERROR(-VALUE(LEFT(E5047,FIND("º",SUBSTITUTE(E5047,"°","º"))-1)),-1),IF(LEFT(E5047,6)="TÉRREO",0,IFERROR(VALUE(LEFT(E5047,FIND("º",SUBSTITUTE(E5047,"°","º"))-1)),""))))</f>
        <v/>
      </c>
      <c r="O5047" s="2">
        <f>IF(OR(F5047="",G5047=""),"",IF(G5047&lt;='RETRATO 2027'!$K$5,"CONCLUÍDA",IF(F5047&lt;='RETRATO 2027'!$K$5,"EM ANDAMENTO","A INICIAR")))</f>
        <v/>
      </c>
    </row>
    <row r="5048">
      <c r="M5048" s="2">
        <f>IF(C5048="","",IFERROR(INDEX($S$5:$S$304,MATCH(C5048,$R$5:$R$304,0))&amp;"","?"))</f>
        <v/>
      </c>
      <c r="N5048" s="2">
        <f>IF(E5048="","",IF(ISNUMBER(SEARCH("SUBSOLO",E5048)),IFERROR(-VALUE(LEFT(E5048,FIND("º",SUBSTITUTE(E5048,"°","º"))-1)),-1),IF(LEFT(E5048,6)="TÉRREO",0,IFERROR(VALUE(LEFT(E5048,FIND("º",SUBSTITUTE(E5048,"°","º"))-1)),""))))</f>
        <v/>
      </c>
      <c r="O5048" s="2">
        <f>IF(OR(F5048="",G5048=""),"",IF(G5048&lt;='RETRATO 2027'!$K$5,"CONCLUÍDA",IF(F5048&lt;='RETRATO 2027'!$K$5,"EM ANDAMENTO","A INICIAR")))</f>
        <v/>
      </c>
    </row>
    <row r="5049">
      <c r="M5049" s="2">
        <f>IF(C5049="","",IFERROR(INDEX($S$5:$S$304,MATCH(C5049,$R$5:$R$304,0))&amp;"","?"))</f>
        <v/>
      </c>
      <c r="N5049" s="2">
        <f>IF(E5049="","",IF(ISNUMBER(SEARCH("SUBSOLO",E5049)),IFERROR(-VALUE(LEFT(E5049,FIND("º",SUBSTITUTE(E5049,"°","º"))-1)),-1),IF(LEFT(E5049,6)="TÉRREO",0,IFERROR(VALUE(LEFT(E5049,FIND("º",SUBSTITUTE(E5049,"°","º"))-1)),""))))</f>
        <v/>
      </c>
      <c r="O5049" s="2">
        <f>IF(OR(F5049="",G5049=""),"",IF(G5049&lt;='RETRATO 2027'!$K$5,"CONCLUÍDA",IF(F5049&lt;='RETRATO 2027'!$K$5,"EM ANDAMENTO","A INICIAR")))</f>
        <v/>
      </c>
    </row>
    <row r="5050">
      <c r="M5050" s="2">
        <f>IF(C5050="","",IFERROR(INDEX($S$5:$S$304,MATCH(C5050,$R$5:$R$304,0))&amp;"","?"))</f>
        <v/>
      </c>
      <c r="N5050" s="2">
        <f>IF(E5050="","",IF(ISNUMBER(SEARCH("SUBSOLO",E5050)),IFERROR(-VALUE(LEFT(E5050,FIND("º",SUBSTITUTE(E5050,"°","º"))-1)),-1),IF(LEFT(E5050,6)="TÉRREO",0,IFERROR(VALUE(LEFT(E5050,FIND("º",SUBSTITUTE(E5050,"°","º"))-1)),""))))</f>
        <v/>
      </c>
      <c r="O5050" s="2">
        <f>IF(OR(F5050="",G5050=""),"",IF(G5050&lt;='RETRATO 2027'!$K$5,"CONCLUÍDA",IF(F5050&lt;='RETRATO 2027'!$K$5,"EM ANDAMENTO","A INICIAR")))</f>
        <v/>
      </c>
    </row>
    <row r="5051">
      <c r="M5051" s="2">
        <f>IF(C5051="","",IFERROR(INDEX($S$5:$S$304,MATCH(C5051,$R$5:$R$304,0))&amp;"","?"))</f>
        <v/>
      </c>
      <c r="N5051" s="2">
        <f>IF(E5051="","",IF(ISNUMBER(SEARCH("SUBSOLO",E5051)),IFERROR(-VALUE(LEFT(E5051,FIND("º",SUBSTITUTE(E5051,"°","º"))-1)),-1),IF(LEFT(E5051,6)="TÉRREO",0,IFERROR(VALUE(LEFT(E5051,FIND("º",SUBSTITUTE(E5051,"°","º"))-1)),""))))</f>
        <v/>
      </c>
      <c r="O5051" s="2">
        <f>IF(OR(F5051="",G5051=""),"",IF(G5051&lt;='RETRATO 2027'!$K$5,"CONCLUÍDA",IF(F5051&lt;='RETRATO 2027'!$K$5,"EM ANDAMENTO","A INICIAR")))</f>
        <v/>
      </c>
    </row>
    <row r="5052">
      <c r="M5052" s="2">
        <f>IF(C5052="","",IFERROR(INDEX($S$5:$S$304,MATCH(C5052,$R$5:$R$304,0))&amp;"","?"))</f>
        <v/>
      </c>
      <c r="N5052" s="2">
        <f>IF(E5052="","",IF(ISNUMBER(SEARCH("SUBSOLO",E5052)),IFERROR(-VALUE(LEFT(E5052,FIND("º",SUBSTITUTE(E5052,"°","º"))-1)),-1),IF(LEFT(E5052,6)="TÉRREO",0,IFERROR(VALUE(LEFT(E5052,FIND("º",SUBSTITUTE(E5052,"°","º"))-1)),""))))</f>
        <v/>
      </c>
      <c r="O5052" s="2">
        <f>IF(OR(F5052="",G5052=""),"",IF(G5052&lt;='RETRATO 2027'!$K$5,"CONCLUÍDA",IF(F5052&lt;='RETRATO 2027'!$K$5,"EM ANDAMENTO","A INICIAR")))</f>
        <v/>
      </c>
    </row>
    <row r="5053">
      <c r="M5053" s="2">
        <f>IF(C5053="","",IFERROR(INDEX($S$5:$S$304,MATCH(C5053,$R$5:$R$304,0))&amp;"","?"))</f>
        <v/>
      </c>
      <c r="N5053" s="2">
        <f>IF(E5053="","",IF(ISNUMBER(SEARCH("SUBSOLO",E5053)),IFERROR(-VALUE(LEFT(E5053,FIND("º",SUBSTITUTE(E5053,"°","º"))-1)),-1),IF(LEFT(E5053,6)="TÉRREO",0,IFERROR(VALUE(LEFT(E5053,FIND("º",SUBSTITUTE(E5053,"°","º"))-1)),""))))</f>
        <v/>
      </c>
      <c r="O5053" s="2">
        <f>IF(OR(F5053="",G5053=""),"",IF(G5053&lt;='RETRATO 2027'!$K$5,"CONCLUÍDA",IF(F5053&lt;='RETRATO 2027'!$K$5,"EM ANDAMENTO","A INICIAR")))</f>
        <v/>
      </c>
    </row>
    <row r="5054">
      <c r="M5054" s="2">
        <f>IF(C5054="","",IFERROR(INDEX($S$5:$S$304,MATCH(C5054,$R$5:$R$304,0))&amp;"","?"))</f>
        <v/>
      </c>
      <c r="N5054" s="2">
        <f>IF(E5054="","",IF(ISNUMBER(SEARCH("SUBSOLO",E5054)),IFERROR(-VALUE(LEFT(E5054,FIND("º",SUBSTITUTE(E5054,"°","º"))-1)),-1),IF(LEFT(E5054,6)="TÉRREO",0,IFERROR(VALUE(LEFT(E5054,FIND("º",SUBSTITUTE(E5054,"°","º"))-1)),""))))</f>
        <v/>
      </c>
      <c r="O5054" s="2">
        <f>IF(OR(F5054="",G5054=""),"",IF(G5054&lt;='RETRATO 2027'!$K$5,"CONCLUÍDA",IF(F5054&lt;='RETRATO 2027'!$K$5,"EM ANDAMENTO","A INICIAR")))</f>
        <v/>
      </c>
    </row>
    <row r="5055">
      <c r="M5055" s="2">
        <f>IF(C5055="","",IFERROR(INDEX($S$5:$S$304,MATCH(C5055,$R$5:$R$304,0))&amp;"","?"))</f>
        <v/>
      </c>
      <c r="N5055" s="2">
        <f>IF(E5055="","",IF(ISNUMBER(SEARCH("SUBSOLO",E5055)),IFERROR(-VALUE(LEFT(E5055,FIND("º",SUBSTITUTE(E5055,"°","º"))-1)),-1),IF(LEFT(E5055,6)="TÉRREO",0,IFERROR(VALUE(LEFT(E5055,FIND("º",SUBSTITUTE(E5055,"°","º"))-1)),""))))</f>
        <v/>
      </c>
      <c r="O5055" s="2">
        <f>IF(OR(F5055="",G5055=""),"",IF(G5055&lt;='RETRATO 2027'!$K$5,"CONCLUÍDA",IF(F5055&lt;='RETRATO 2027'!$K$5,"EM ANDAMENTO","A INICIAR")))</f>
        <v/>
      </c>
    </row>
    <row r="5056">
      <c r="M5056" s="2">
        <f>IF(C5056="","",IFERROR(INDEX($S$5:$S$304,MATCH(C5056,$R$5:$R$304,0))&amp;"","?"))</f>
        <v/>
      </c>
      <c r="N5056" s="2">
        <f>IF(E5056="","",IF(ISNUMBER(SEARCH("SUBSOLO",E5056)),IFERROR(-VALUE(LEFT(E5056,FIND("º",SUBSTITUTE(E5056,"°","º"))-1)),-1),IF(LEFT(E5056,6)="TÉRREO",0,IFERROR(VALUE(LEFT(E5056,FIND("º",SUBSTITUTE(E5056,"°","º"))-1)),""))))</f>
        <v/>
      </c>
      <c r="O5056" s="2">
        <f>IF(OR(F5056="",G5056=""),"",IF(G5056&lt;='RETRATO 2027'!$K$5,"CONCLUÍDA",IF(F5056&lt;='RETRATO 2027'!$K$5,"EM ANDAMENTO","A INICIAR")))</f>
        <v/>
      </c>
    </row>
    <row r="5057">
      <c r="M5057" s="2">
        <f>IF(C5057="","",IFERROR(INDEX($S$5:$S$304,MATCH(C5057,$R$5:$R$304,0))&amp;"","?"))</f>
        <v/>
      </c>
      <c r="N5057" s="2">
        <f>IF(E5057="","",IF(ISNUMBER(SEARCH("SUBSOLO",E5057)),IFERROR(-VALUE(LEFT(E5057,FIND("º",SUBSTITUTE(E5057,"°","º"))-1)),-1),IF(LEFT(E5057,6)="TÉRREO",0,IFERROR(VALUE(LEFT(E5057,FIND("º",SUBSTITUTE(E5057,"°","º"))-1)),""))))</f>
        <v/>
      </c>
      <c r="O5057" s="2">
        <f>IF(OR(F5057="",G5057=""),"",IF(G5057&lt;='RETRATO 2027'!$K$5,"CONCLUÍDA",IF(F5057&lt;='RETRATO 2027'!$K$5,"EM ANDAMENTO","A INICIAR")))</f>
        <v/>
      </c>
    </row>
    <row r="5058">
      <c r="M5058" s="2">
        <f>IF(C5058="","",IFERROR(INDEX($S$5:$S$304,MATCH(C5058,$R$5:$R$304,0))&amp;"","?"))</f>
        <v/>
      </c>
      <c r="N5058" s="2">
        <f>IF(E5058="","",IF(ISNUMBER(SEARCH("SUBSOLO",E5058)),IFERROR(-VALUE(LEFT(E5058,FIND("º",SUBSTITUTE(E5058,"°","º"))-1)),-1),IF(LEFT(E5058,6)="TÉRREO",0,IFERROR(VALUE(LEFT(E5058,FIND("º",SUBSTITUTE(E5058,"°","º"))-1)),""))))</f>
        <v/>
      </c>
      <c r="O5058" s="2">
        <f>IF(OR(F5058="",G5058=""),"",IF(G5058&lt;='RETRATO 2027'!$K$5,"CONCLUÍDA",IF(F5058&lt;='RETRATO 2027'!$K$5,"EM ANDAMENTO","A INICIAR")))</f>
        <v/>
      </c>
    </row>
    <row r="5059">
      <c r="M5059" s="2">
        <f>IF(C5059="","",IFERROR(INDEX($S$5:$S$304,MATCH(C5059,$R$5:$R$304,0))&amp;"","?"))</f>
        <v/>
      </c>
      <c r="N5059" s="2">
        <f>IF(E5059="","",IF(ISNUMBER(SEARCH("SUBSOLO",E5059)),IFERROR(-VALUE(LEFT(E5059,FIND("º",SUBSTITUTE(E5059,"°","º"))-1)),-1),IF(LEFT(E5059,6)="TÉRREO",0,IFERROR(VALUE(LEFT(E5059,FIND("º",SUBSTITUTE(E5059,"°","º"))-1)),""))))</f>
        <v/>
      </c>
      <c r="O5059" s="2">
        <f>IF(OR(F5059="",G5059=""),"",IF(G5059&lt;='RETRATO 2027'!$K$5,"CONCLUÍDA",IF(F5059&lt;='RETRATO 2027'!$K$5,"EM ANDAMENTO","A INICIAR")))</f>
        <v/>
      </c>
    </row>
    <row r="5060">
      <c r="M5060" s="2">
        <f>IF(C5060="","",IFERROR(INDEX($S$5:$S$304,MATCH(C5060,$R$5:$R$304,0))&amp;"","?"))</f>
        <v/>
      </c>
      <c r="N5060" s="2">
        <f>IF(E5060="","",IF(ISNUMBER(SEARCH("SUBSOLO",E5060)),IFERROR(-VALUE(LEFT(E5060,FIND("º",SUBSTITUTE(E5060,"°","º"))-1)),-1),IF(LEFT(E5060,6)="TÉRREO",0,IFERROR(VALUE(LEFT(E5060,FIND("º",SUBSTITUTE(E5060,"°","º"))-1)),""))))</f>
        <v/>
      </c>
      <c r="O5060" s="2">
        <f>IF(OR(F5060="",G5060=""),"",IF(G5060&lt;='RETRATO 2027'!$K$5,"CONCLUÍDA",IF(F5060&lt;='RETRATO 2027'!$K$5,"EM ANDAMENTO","A INICIAR")))</f>
        <v/>
      </c>
    </row>
    <row r="5061">
      <c r="M5061" s="2">
        <f>IF(C5061="","",IFERROR(INDEX($S$5:$S$304,MATCH(C5061,$R$5:$R$304,0))&amp;"","?"))</f>
        <v/>
      </c>
      <c r="N5061" s="2">
        <f>IF(E5061="","",IF(ISNUMBER(SEARCH("SUBSOLO",E5061)),IFERROR(-VALUE(LEFT(E5061,FIND("º",SUBSTITUTE(E5061,"°","º"))-1)),-1),IF(LEFT(E5061,6)="TÉRREO",0,IFERROR(VALUE(LEFT(E5061,FIND("º",SUBSTITUTE(E5061,"°","º"))-1)),""))))</f>
        <v/>
      </c>
      <c r="O5061" s="2">
        <f>IF(OR(F5061="",G5061=""),"",IF(G5061&lt;='RETRATO 2027'!$K$5,"CONCLUÍDA",IF(F5061&lt;='RETRATO 2027'!$K$5,"EM ANDAMENTO","A INICIAR")))</f>
        <v/>
      </c>
    </row>
    <row r="5062">
      <c r="M5062" s="2">
        <f>IF(C5062="","",IFERROR(INDEX($S$5:$S$304,MATCH(C5062,$R$5:$R$304,0))&amp;"","?"))</f>
        <v/>
      </c>
      <c r="N5062" s="2">
        <f>IF(E5062="","",IF(ISNUMBER(SEARCH("SUBSOLO",E5062)),IFERROR(-VALUE(LEFT(E5062,FIND("º",SUBSTITUTE(E5062,"°","º"))-1)),-1),IF(LEFT(E5062,6)="TÉRREO",0,IFERROR(VALUE(LEFT(E5062,FIND("º",SUBSTITUTE(E5062,"°","º"))-1)),""))))</f>
        <v/>
      </c>
      <c r="O5062" s="2">
        <f>IF(OR(F5062="",G5062=""),"",IF(G5062&lt;='RETRATO 2027'!$K$5,"CONCLUÍDA",IF(F5062&lt;='RETRATO 2027'!$K$5,"EM ANDAMENTO","A INICIAR")))</f>
        <v/>
      </c>
    </row>
    <row r="5063">
      <c r="M5063" s="2">
        <f>IF(C5063="","",IFERROR(INDEX($S$5:$S$304,MATCH(C5063,$R$5:$R$304,0))&amp;"","?"))</f>
        <v/>
      </c>
      <c r="N5063" s="2">
        <f>IF(E5063="","",IF(ISNUMBER(SEARCH("SUBSOLO",E5063)),IFERROR(-VALUE(LEFT(E5063,FIND("º",SUBSTITUTE(E5063,"°","º"))-1)),-1),IF(LEFT(E5063,6)="TÉRREO",0,IFERROR(VALUE(LEFT(E5063,FIND("º",SUBSTITUTE(E5063,"°","º"))-1)),""))))</f>
        <v/>
      </c>
      <c r="O5063" s="2">
        <f>IF(OR(F5063="",G5063=""),"",IF(G5063&lt;='RETRATO 2027'!$K$5,"CONCLUÍDA",IF(F5063&lt;='RETRATO 2027'!$K$5,"EM ANDAMENTO","A INICIAR")))</f>
        <v/>
      </c>
    </row>
    <row r="5064">
      <c r="M5064" s="2">
        <f>IF(C5064="","",IFERROR(INDEX($S$5:$S$304,MATCH(C5064,$R$5:$R$304,0))&amp;"","?"))</f>
        <v/>
      </c>
      <c r="N5064" s="2">
        <f>IF(E5064="","",IF(ISNUMBER(SEARCH("SUBSOLO",E5064)),IFERROR(-VALUE(LEFT(E5064,FIND("º",SUBSTITUTE(E5064,"°","º"))-1)),-1),IF(LEFT(E5064,6)="TÉRREO",0,IFERROR(VALUE(LEFT(E5064,FIND("º",SUBSTITUTE(E5064,"°","º"))-1)),""))))</f>
        <v/>
      </c>
      <c r="O5064" s="2">
        <f>IF(OR(F5064="",G5064=""),"",IF(G5064&lt;='RETRATO 2027'!$K$5,"CONCLUÍDA",IF(F5064&lt;='RETRATO 2027'!$K$5,"EM ANDAMENTO","A INICIAR")))</f>
        <v/>
      </c>
    </row>
    <row r="5065">
      <c r="M5065" s="2">
        <f>IF(C5065="","",IFERROR(INDEX($S$5:$S$304,MATCH(C5065,$R$5:$R$304,0))&amp;"","?"))</f>
        <v/>
      </c>
      <c r="N5065" s="2">
        <f>IF(E5065="","",IF(ISNUMBER(SEARCH("SUBSOLO",E5065)),IFERROR(-VALUE(LEFT(E5065,FIND("º",SUBSTITUTE(E5065,"°","º"))-1)),-1),IF(LEFT(E5065,6)="TÉRREO",0,IFERROR(VALUE(LEFT(E5065,FIND("º",SUBSTITUTE(E5065,"°","º"))-1)),""))))</f>
        <v/>
      </c>
      <c r="O5065" s="2">
        <f>IF(OR(F5065="",G5065=""),"",IF(G5065&lt;='RETRATO 2027'!$K$5,"CONCLUÍDA",IF(F5065&lt;='RETRATO 2027'!$K$5,"EM ANDAMENTO","A INICIAR")))</f>
        <v/>
      </c>
    </row>
    <row r="5066">
      <c r="M5066" s="2">
        <f>IF(C5066="","",IFERROR(INDEX($S$5:$S$304,MATCH(C5066,$R$5:$R$304,0))&amp;"","?"))</f>
        <v/>
      </c>
      <c r="N5066" s="2">
        <f>IF(E5066="","",IF(ISNUMBER(SEARCH("SUBSOLO",E5066)),IFERROR(-VALUE(LEFT(E5066,FIND("º",SUBSTITUTE(E5066,"°","º"))-1)),-1),IF(LEFT(E5066,6)="TÉRREO",0,IFERROR(VALUE(LEFT(E5066,FIND("º",SUBSTITUTE(E5066,"°","º"))-1)),""))))</f>
        <v/>
      </c>
      <c r="O5066" s="2">
        <f>IF(OR(F5066="",G5066=""),"",IF(G5066&lt;='RETRATO 2027'!$K$5,"CONCLUÍDA",IF(F5066&lt;='RETRATO 2027'!$K$5,"EM ANDAMENTO","A INICIAR")))</f>
        <v/>
      </c>
    </row>
    <row r="5067">
      <c r="M5067" s="2">
        <f>IF(C5067="","",IFERROR(INDEX($S$5:$S$304,MATCH(C5067,$R$5:$R$304,0))&amp;"","?"))</f>
        <v/>
      </c>
      <c r="N5067" s="2">
        <f>IF(E5067="","",IF(ISNUMBER(SEARCH("SUBSOLO",E5067)),IFERROR(-VALUE(LEFT(E5067,FIND("º",SUBSTITUTE(E5067,"°","º"))-1)),-1),IF(LEFT(E5067,6)="TÉRREO",0,IFERROR(VALUE(LEFT(E5067,FIND("º",SUBSTITUTE(E5067,"°","º"))-1)),""))))</f>
        <v/>
      </c>
      <c r="O5067" s="2">
        <f>IF(OR(F5067="",G5067=""),"",IF(G5067&lt;='RETRATO 2027'!$K$5,"CONCLUÍDA",IF(F5067&lt;='RETRATO 2027'!$K$5,"EM ANDAMENTO","A INICIAR")))</f>
        <v/>
      </c>
    </row>
    <row r="5068">
      <c r="M5068" s="2">
        <f>IF(C5068="","",IFERROR(INDEX($S$5:$S$304,MATCH(C5068,$R$5:$R$304,0))&amp;"","?"))</f>
        <v/>
      </c>
      <c r="N5068" s="2">
        <f>IF(E5068="","",IF(ISNUMBER(SEARCH("SUBSOLO",E5068)),IFERROR(-VALUE(LEFT(E5068,FIND("º",SUBSTITUTE(E5068,"°","º"))-1)),-1),IF(LEFT(E5068,6)="TÉRREO",0,IFERROR(VALUE(LEFT(E5068,FIND("º",SUBSTITUTE(E5068,"°","º"))-1)),""))))</f>
        <v/>
      </c>
      <c r="O5068" s="2">
        <f>IF(OR(F5068="",G5068=""),"",IF(G5068&lt;='RETRATO 2027'!$K$5,"CONCLUÍDA",IF(F5068&lt;='RETRATO 2027'!$K$5,"EM ANDAMENTO","A INICIAR")))</f>
        <v/>
      </c>
    </row>
    <row r="5069">
      <c r="M5069" s="2">
        <f>IF(C5069="","",IFERROR(INDEX($S$5:$S$304,MATCH(C5069,$R$5:$R$304,0))&amp;"","?"))</f>
        <v/>
      </c>
      <c r="N5069" s="2">
        <f>IF(E5069="","",IF(ISNUMBER(SEARCH("SUBSOLO",E5069)),IFERROR(-VALUE(LEFT(E5069,FIND("º",SUBSTITUTE(E5069,"°","º"))-1)),-1),IF(LEFT(E5069,6)="TÉRREO",0,IFERROR(VALUE(LEFT(E5069,FIND("º",SUBSTITUTE(E5069,"°","º"))-1)),""))))</f>
        <v/>
      </c>
      <c r="O5069" s="2">
        <f>IF(OR(F5069="",G5069=""),"",IF(G5069&lt;='RETRATO 2027'!$K$5,"CONCLUÍDA",IF(F5069&lt;='RETRATO 2027'!$K$5,"EM ANDAMENTO","A INICIAR")))</f>
        <v/>
      </c>
    </row>
    <row r="5070">
      <c r="M5070" s="2">
        <f>IF(C5070="","",IFERROR(INDEX($S$5:$S$304,MATCH(C5070,$R$5:$R$304,0))&amp;"","?"))</f>
        <v/>
      </c>
      <c r="N5070" s="2">
        <f>IF(E5070="","",IF(ISNUMBER(SEARCH("SUBSOLO",E5070)),IFERROR(-VALUE(LEFT(E5070,FIND("º",SUBSTITUTE(E5070,"°","º"))-1)),-1),IF(LEFT(E5070,6)="TÉRREO",0,IFERROR(VALUE(LEFT(E5070,FIND("º",SUBSTITUTE(E5070,"°","º"))-1)),""))))</f>
        <v/>
      </c>
      <c r="O5070" s="2">
        <f>IF(OR(F5070="",G5070=""),"",IF(G5070&lt;='RETRATO 2027'!$K$5,"CONCLUÍDA",IF(F5070&lt;='RETRATO 2027'!$K$5,"EM ANDAMENTO","A INICIAR")))</f>
        <v/>
      </c>
    </row>
    <row r="5071">
      <c r="M5071" s="2">
        <f>IF(C5071="","",IFERROR(INDEX($S$5:$S$304,MATCH(C5071,$R$5:$R$304,0))&amp;"","?"))</f>
        <v/>
      </c>
      <c r="N5071" s="2">
        <f>IF(E5071="","",IF(ISNUMBER(SEARCH("SUBSOLO",E5071)),IFERROR(-VALUE(LEFT(E5071,FIND("º",SUBSTITUTE(E5071,"°","º"))-1)),-1),IF(LEFT(E5071,6)="TÉRREO",0,IFERROR(VALUE(LEFT(E5071,FIND("º",SUBSTITUTE(E5071,"°","º"))-1)),""))))</f>
        <v/>
      </c>
      <c r="O5071" s="2">
        <f>IF(OR(F5071="",G5071=""),"",IF(G5071&lt;='RETRATO 2027'!$K$5,"CONCLUÍDA",IF(F5071&lt;='RETRATO 2027'!$K$5,"EM ANDAMENTO","A INICIAR")))</f>
        <v/>
      </c>
    </row>
    <row r="5072">
      <c r="M5072" s="2">
        <f>IF(C5072="","",IFERROR(INDEX($S$5:$S$304,MATCH(C5072,$R$5:$R$304,0))&amp;"","?"))</f>
        <v/>
      </c>
      <c r="N5072" s="2">
        <f>IF(E5072="","",IF(ISNUMBER(SEARCH("SUBSOLO",E5072)),IFERROR(-VALUE(LEFT(E5072,FIND("º",SUBSTITUTE(E5072,"°","º"))-1)),-1),IF(LEFT(E5072,6)="TÉRREO",0,IFERROR(VALUE(LEFT(E5072,FIND("º",SUBSTITUTE(E5072,"°","º"))-1)),""))))</f>
        <v/>
      </c>
      <c r="O5072" s="2">
        <f>IF(OR(F5072="",G5072=""),"",IF(G5072&lt;='RETRATO 2027'!$K$5,"CONCLUÍDA",IF(F5072&lt;='RETRATO 2027'!$K$5,"EM ANDAMENTO","A INICIAR")))</f>
        <v/>
      </c>
    </row>
    <row r="5073">
      <c r="M5073" s="2">
        <f>IF(C5073="","",IFERROR(INDEX($S$5:$S$304,MATCH(C5073,$R$5:$R$304,0))&amp;"","?"))</f>
        <v/>
      </c>
      <c r="N5073" s="2">
        <f>IF(E5073="","",IF(ISNUMBER(SEARCH("SUBSOLO",E5073)),IFERROR(-VALUE(LEFT(E5073,FIND("º",SUBSTITUTE(E5073,"°","º"))-1)),-1),IF(LEFT(E5073,6)="TÉRREO",0,IFERROR(VALUE(LEFT(E5073,FIND("º",SUBSTITUTE(E5073,"°","º"))-1)),""))))</f>
        <v/>
      </c>
      <c r="O5073" s="2">
        <f>IF(OR(F5073="",G5073=""),"",IF(G5073&lt;='RETRATO 2027'!$K$5,"CONCLUÍDA",IF(F5073&lt;='RETRATO 2027'!$K$5,"EM ANDAMENTO","A INICIAR")))</f>
        <v/>
      </c>
    </row>
    <row r="5074">
      <c r="M5074" s="2">
        <f>IF(C5074="","",IFERROR(INDEX($S$5:$S$304,MATCH(C5074,$R$5:$R$304,0))&amp;"","?"))</f>
        <v/>
      </c>
      <c r="N5074" s="2">
        <f>IF(E5074="","",IF(ISNUMBER(SEARCH("SUBSOLO",E5074)),IFERROR(-VALUE(LEFT(E5074,FIND("º",SUBSTITUTE(E5074,"°","º"))-1)),-1),IF(LEFT(E5074,6)="TÉRREO",0,IFERROR(VALUE(LEFT(E5074,FIND("º",SUBSTITUTE(E5074,"°","º"))-1)),""))))</f>
        <v/>
      </c>
      <c r="O5074" s="2">
        <f>IF(OR(F5074="",G5074=""),"",IF(G5074&lt;='RETRATO 2027'!$K$5,"CONCLUÍDA",IF(F5074&lt;='RETRATO 2027'!$K$5,"EM ANDAMENTO","A INICIAR")))</f>
        <v/>
      </c>
    </row>
    <row r="5075">
      <c r="M5075" s="2">
        <f>IF(C5075="","",IFERROR(INDEX($S$5:$S$304,MATCH(C5075,$R$5:$R$304,0))&amp;"","?"))</f>
        <v/>
      </c>
      <c r="N5075" s="2">
        <f>IF(E5075="","",IF(ISNUMBER(SEARCH("SUBSOLO",E5075)),IFERROR(-VALUE(LEFT(E5075,FIND("º",SUBSTITUTE(E5075,"°","º"))-1)),-1),IF(LEFT(E5075,6)="TÉRREO",0,IFERROR(VALUE(LEFT(E5075,FIND("º",SUBSTITUTE(E5075,"°","º"))-1)),""))))</f>
        <v/>
      </c>
      <c r="O5075" s="2">
        <f>IF(OR(F5075="",G5075=""),"",IF(G5075&lt;='RETRATO 2027'!$K$5,"CONCLUÍDA",IF(F5075&lt;='RETRATO 2027'!$K$5,"EM ANDAMENTO","A INICIAR")))</f>
        <v/>
      </c>
    </row>
    <row r="5076">
      <c r="M5076" s="2">
        <f>IF(C5076="","",IFERROR(INDEX($S$5:$S$304,MATCH(C5076,$R$5:$R$304,0))&amp;"","?"))</f>
        <v/>
      </c>
      <c r="N5076" s="2">
        <f>IF(E5076="","",IF(ISNUMBER(SEARCH("SUBSOLO",E5076)),IFERROR(-VALUE(LEFT(E5076,FIND("º",SUBSTITUTE(E5076,"°","º"))-1)),-1),IF(LEFT(E5076,6)="TÉRREO",0,IFERROR(VALUE(LEFT(E5076,FIND("º",SUBSTITUTE(E5076,"°","º"))-1)),""))))</f>
        <v/>
      </c>
      <c r="O5076" s="2">
        <f>IF(OR(F5076="",G5076=""),"",IF(G5076&lt;='RETRATO 2027'!$K$5,"CONCLUÍDA",IF(F5076&lt;='RETRATO 2027'!$K$5,"EM ANDAMENTO","A INICIAR")))</f>
        <v/>
      </c>
    </row>
    <row r="5077">
      <c r="M5077" s="2">
        <f>IF(C5077="","",IFERROR(INDEX($S$5:$S$304,MATCH(C5077,$R$5:$R$304,0))&amp;"","?"))</f>
        <v/>
      </c>
      <c r="N5077" s="2">
        <f>IF(E5077="","",IF(ISNUMBER(SEARCH("SUBSOLO",E5077)),IFERROR(-VALUE(LEFT(E5077,FIND("º",SUBSTITUTE(E5077,"°","º"))-1)),-1),IF(LEFT(E5077,6)="TÉRREO",0,IFERROR(VALUE(LEFT(E5077,FIND("º",SUBSTITUTE(E5077,"°","º"))-1)),""))))</f>
        <v/>
      </c>
      <c r="O5077" s="2">
        <f>IF(OR(F5077="",G5077=""),"",IF(G5077&lt;='RETRATO 2027'!$K$5,"CONCLUÍDA",IF(F5077&lt;='RETRATO 2027'!$K$5,"EM ANDAMENTO","A INICIAR")))</f>
        <v/>
      </c>
    </row>
    <row r="5078">
      <c r="M5078" s="2">
        <f>IF(C5078="","",IFERROR(INDEX($S$5:$S$304,MATCH(C5078,$R$5:$R$304,0))&amp;"","?"))</f>
        <v/>
      </c>
      <c r="N5078" s="2">
        <f>IF(E5078="","",IF(ISNUMBER(SEARCH("SUBSOLO",E5078)),IFERROR(-VALUE(LEFT(E5078,FIND("º",SUBSTITUTE(E5078,"°","º"))-1)),-1),IF(LEFT(E5078,6)="TÉRREO",0,IFERROR(VALUE(LEFT(E5078,FIND("º",SUBSTITUTE(E5078,"°","º"))-1)),""))))</f>
        <v/>
      </c>
      <c r="O5078" s="2">
        <f>IF(OR(F5078="",G5078=""),"",IF(G5078&lt;='RETRATO 2027'!$K$5,"CONCLUÍDA",IF(F5078&lt;='RETRATO 2027'!$K$5,"EM ANDAMENTO","A INICIAR")))</f>
        <v/>
      </c>
    </row>
    <row r="5079">
      <c r="M5079" s="2">
        <f>IF(C5079="","",IFERROR(INDEX($S$5:$S$304,MATCH(C5079,$R$5:$R$304,0))&amp;"","?"))</f>
        <v/>
      </c>
      <c r="N5079" s="2">
        <f>IF(E5079="","",IF(ISNUMBER(SEARCH("SUBSOLO",E5079)),IFERROR(-VALUE(LEFT(E5079,FIND("º",SUBSTITUTE(E5079,"°","º"))-1)),-1),IF(LEFT(E5079,6)="TÉRREO",0,IFERROR(VALUE(LEFT(E5079,FIND("º",SUBSTITUTE(E5079,"°","º"))-1)),""))))</f>
        <v/>
      </c>
      <c r="O5079" s="2">
        <f>IF(OR(F5079="",G5079=""),"",IF(G5079&lt;='RETRATO 2027'!$K$5,"CONCLUÍDA",IF(F5079&lt;='RETRATO 2027'!$K$5,"EM ANDAMENTO","A INICIAR")))</f>
        <v/>
      </c>
    </row>
    <row r="5080">
      <c r="M5080" s="2">
        <f>IF(C5080="","",IFERROR(INDEX($S$5:$S$304,MATCH(C5080,$R$5:$R$304,0))&amp;"","?"))</f>
        <v/>
      </c>
      <c r="N5080" s="2">
        <f>IF(E5080="","",IF(ISNUMBER(SEARCH("SUBSOLO",E5080)),IFERROR(-VALUE(LEFT(E5080,FIND("º",SUBSTITUTE(E5080,"°","º"))-1)),-1),IF(LEFT(E5080,6)="TÉRREO",0,IFERROR(VALUE(LEFT(E5080,FIND("º",SUBSTITUTE(E5080,"°","º"))-1)),""))))</f>
        <v/>
      </c>
      <c r="O5080" s="2">
        <f>IF(OR(F5080="",G5080=""),"",IF(G5080&lt;='RETRATO 2027'!$K$5,"CONCLUÍDA",IF(F5080&lt;='RETRATO 2027'!$K$5,"EM ANDAMENTO","A INICIAR")))</f>
        <v/>
      </c>
    </row>
    <row r="5081">
      <c r="M5081" s="2">
        <f>IF(C5081="","",IFERROR(INDEX($S$5:$S$304,MATCH(C5081,$R$5:$R$304,0))&amp;"","?"))</f>
        <v/>
      </c>
      <c r="N5081" s="2">
        <f>IF(E5081="","",IF(ISNUMBER(SEARCH("SUBSOLO",E5081)),IFERROR(-VALUE(LEFT(E5081,FIND("º",SUBSTITUTE(E5081,"°","º"))-1)),-1),IF(LEFT(E5081,6)="TÉRREO",0,IFERROR(VALUE(LEFT(E5081,FIND("º",SUBSTITUTE(E5081,"°","º"))-1)),""))))</f>
        <v/>
      </c>
      <c r="O5081" s="2">
        <f>IF(OR(F5081="",G5081=""),"",IF(G5081&lt;='RETRATO 2027'!$K$5,"CONCLUÍDA",IF(F5081&lt;='RETRATO 2027'!$K$5,"EM ANDAMENTO","A INICIAR")))</f>
        <v/>
      </c>
    </row>
    <row r="5082">
      <c r="M5082" s="2">
        <f>IF(C5082="","",IFERROR(INDEX($S$5:$S$304,MATCH(C5082,$R$5:$R$304,0))&amp;"","?"))</f>
        <v/>
      </c>
      <c r="N5082" s="2">
        <f>IF(E5082="","",IF(ISNUMBER(SEARCH("SUBSOLO",E5082)),IFERROR(-VALUE(LEFT(E5082,FIND("º",SUBSTITUTE(E5082,"°","º"))-1)),-1),IF(LEFT(E5082,6)="TÉRREO",0,IFERROR(VALUE(LEFT(E5082,FIND("º",SUBSTITUTE(E5082,"°","º"))-1)),""))))</f>
        <v/>
      </c>
      <c r="O5082" s="2">
        <f>IF(OR(F5082="",G5082=""),"",IF(G5082&lt;='RETRATO 2027'!$K$5,"CONCLUÍDA",IF(F5082&lt;='RETRATO 2027'!$K$5,"EM ANDAMENTO","A INICIAR")))</f>
        <v/>
      </c>
    </row>
    <row r="5083">
      <c r="M5083" s="2">
        <f>IF(C5083="","",IFERROR(INDEX($S$5:$S$304,MATCH(C5083,$R$5:$R$304,0))&amp;"","?"))</f>
        <v/>
      </c>
      <c r="N5083" s="2">
        <f>IF(E5083="","",IF(ISNUMBER(SEARCH("SUBSOLO",E5083)),IFERROR(-VALUE(LEFT(E5083,FIND("º",SUBSTITUTE(E5083,"°","º"))-1)),-1),IF(LEFT(E5083,6)="TÉRREO",0,IFERROR(VALUE(LEFT(E5083,FIND("º",SUBSTITUTE(E5083,"°","º"))-1)),""))))</f>
        <v/>
      </c>
      <c r="O5083" s="2">
        <f>IF(OR(F5083="",G5083=""),"",IF(G5083&lt;='RETRATO 2027'!$K$5,"CONCLUÍDA",IF(F5083&lt;='RETRATO 2027'!$K$5,"EM ANDAMENTO","A INICIAR")))</f>
        <v/>
      </c>
    </row>
    <row r="5084">
      <c r="M5084" s="2">
        <f>IF(C5084="","",IFERROR(INDEX($S$5:$S$304,MATCH(C5084,$R$5:$R$304,0))&amp;"","?"))</f>
        <v/>
      </c>
      <c r="N5084" s="2">
        <f>IF(E5084="","",IF(ISNUMBER(SEARCH("SUBSOLO",E5084)),IFERROR(-VALUE(LEFT(E5084,FIND("º",SUBSTITUTE(E5084,"°","º"))-1)),-1),IF(LEFT(E5084,6)="TÉRREO",0,IFERROR(VALUE(LEFT(E5084,FIND("º",SUBSTITUTE(E5084,"°","º"))-1)),""))))</f>
        <v/>
      </c>
      <c r="O5084" s="2">
        <f>IF(OR(F5084="",G5084=""),"",IF(G5084&lt;='RETRATO 2027'!$K$5,"CONCLUÍDA",IF(F5084&lt;='RETRATO 2027'!$K$5,"EM ANDAMENTO","A INICIAR")))</f>
        <v/>
      </c>
    </row>
    <row r="5085">
      <c r="M5085" s="2">
        <f>IF(C5085="","",IFERROR(INDEX($S$5:$S$304,MATCH(C5085,$R$5:$R$304,0))&amp;"","?"))</f>
        <v/>
      </c>
      <c r="N5085" s="2">
        <f>IF(E5085="","",IF(ISNUMBER(SEARCH("SUBSOLO",E5085)),IFERROR(-VALUE(LEFT(E5085,FIND("º",SUBSTITUTE(E5085,"°","º"))-1)),-1),IF(LEFT(E5085,6)="TÉRREO",0,IFERROR(VALUE(LEFT(E5085,FIND("º",SUBSTITUTE(E5085,"°","º"))-1)),""))))</f>
        <v/>
      </c>
      <c r="O5085" s="2">
        <f>IF(OR(F5085="",G5085=""),"",IF(G5085&lt;='RETRATO 2027'!$K$5,"CONCLUÍDA",IF(F5085&lt;='RETRATO 2027'!$K$5,"EM ANDAMENTO","A INICIAR")))</f>
        <v/>
      </c>
    </row>
    <row r="5086">
      <c r="M5086" s="2">
        <f>IF(C5086="","",IFERROR(INDEX($S$5:$S$304,MATCH(C5086,$R$5:$R$304,0))&amp;"","?"))</f>
        <v/>
      </c>
      <c r="N5086" s="2">
        <f>IF(E5086="","",IF(ISNUMBER(SEARCH("SUBSOLO",E5086)),IFERROR(-VALUE(LEFT(E5086,FIND("º",SUBSTITUTE(E5086,"°","º"))-1)),-1),IF(LEFT(E5086,6)="TÉRREO",0,IFERROR(VALUE(LEFT(E5086,FIND("º",SUBSTITUTE(E5086,"°","º"))-1)),""))))</f>
        <v/>
      </c>
      <c r="O5086" s="2">
        <f>IF(OR(F5086="",G5086=""),"",IF(G5086&lt;='RETRATO 2027'!$K$5,"CONCLUÍDA",IF(F5086&lt;='RETRATO 2027'!$K$5,"EM ANDAMENTO","A INICIAR")))</f>
        <v/>
      </c>
    </row>
    <row r="5087">
      <c r="M5087" s="2">
        <f>IF(C5087="","",IFERROR(INDEX($S$5:$S$304,MATCH(C5087,$R$5:$R$304,0))&amp;"","?"))</f>
        <v/>
      </c>
      <c r="N5087" s="2">
        <f>IF(E5087="","",IF(ISNUMBER(SEARCH("SUBSOLO",E5087)),IFERROR(-VALUE(LEFT(E5087,FIND("º",SUBSTITUTE(E5087,"°","º"))-1)),-1),IF(LEFT(E5087,6)="TÉRREO",0,IFERROR(VALUE(LEFT(E5087,FIND("º",SUBSTITUTE(E5087,"°","º"))-1)),""))))</f>
        <v/>
      </c>
      <c r="O5087" s="2">
        <f>IF(OR(F5087="",G5087=""),"",IF(G5087&lt;='RETRATO 2027'!$K$5,"CONCLUÍDA",IF(F5087&lt;='RETRATO 2027'!$K$5,"EM ANDAMENTO","A INICIAR")))</f>
        <v/>
      </c>
    </row>
    <row r="5088">
      <c r="M5088" s="2">
        <f>IF(C5088="","",IFERROR(INDEX($S$5:$S$304,MATCH(C5088,$R$5:$R$304,0))&amp;"","?"))</f>
        <v/>
      </c>
      <c r="N5088" s="2">
        <f>IF(E5088="","",IF(ISNUMBER(SEARCH("SUBSOLO",E5088)),IFERROR(-VALUE(LEFT(E5088,FIND("º",SUBSTITUTE(E5088,"°","º"))-1)),-1),IF(LEFT(E5088,6)="TÉRREO",0,IFERROR(VALUE(LEFT(E5088,FIND("º",SUBSTITUTE(E5088,"°","º"))-1)),""))))</f>
        <v/>
      </c>
      <c r="O5088" s="2">
        <f>IF(OR(F5088="",G5088=""),"",IF(G5088&lt;='RETRATO 2027'!$K$5,"CONCLUÍDA",IF(F5088&lt;='RETRATO 2027'!$K$5,"EM ANDAMENTO","A INICIAR")))</f>
        <v/>
      </c>
    </row>
    <row r="5089">
      <c r="M5089" s="2">
        <f>IF(C5089="","",IFERROR(INDEX($S$5:$S$304,MATCH(C5089,$R$5:$R$304,0))&amp;"","?"))</f>
        <v/>
      </c>
      <c r="N5089" s="2">
        <f>IF(E5089="","",IF(ISNUMBER(SEARCH("SUBSOLO",E5089)),IFERROR(-VALUE(LEFT(E5089,FIND("º",SUBSTITUTE(E5089,"°","º"))-1)),-1),IF(LEFT(E5089,6)="TÉRREO",0,IFERROR(VALUE(LEFT(E5089,FIND("º",SUBSTITUTE(E5089,"°","º"))-1)),""))))</f>
        <v/>
      </c>
      <c r="O5089" s="2">
        <f>IF(OR(F5089="",G5089=""),"",IF(G5089&lt;='RETRATO 2027'!$K$5,"CONCLUÍDA",IF(F5089&lt;='RETRATO 2027'!$K$5,"EM ANDAMENTO","A INICIAR")))</f>
        <v/>
      </c>
    </row>
    <row r="5090">
      <c r="M5090" s="2">
        <f>IF(C5090="","",IFERROR(INDEX($S$5:$S$304,MATCH(C5090,$R$5:$R$304,0))&amp;"","?"))</f>
        <v/>
      </c>
      <c r="N5090" s="2">
        <f>IF(E5090="","",IF(ISNUMBER(SEARCH("SUBSOLO",E5090)),IFERROR(-VALUE(LEFT(E5090,FIND("º",SUBSTITUTE(E5090,"°","º"))-1)),-1),IF(LEFT(E5090,6)="TÉRREO",0,IFERROR(VALUE(LEFT(E5090,FIND("º",SUBSTITUTE(E5090,"°","º"))-1)),""))))</f>
        <v/>
      </c>
      <c r="O5090" s="2">
        <f>IF(OR(F5090="",G5090=""),"",IF(G5090&lt;='RETRATO 2027'!$K$5,"CONCLUÍDA",IF(F5090&lt;='RETRATO 2027'!$K$5,"EM ANDAMENTO","A INICIAR")))</f>
        <v/>
      </c>
    </row>
    <row r="5091">
      <c r="M5091" s="2">
        <f>IF(C5091="","",IFERROR(INDEX($S$5:$S$304,MATCH(C5091,$R$5:$R$304,0))&amp;"","?"))</f>
        <v/>
      </c>
      <c r="N5091" s="2">
        <f>IF(E5091="","",IF(ISNUMBER(SEARCH("SUBSOLO",E5091)),IFERROR(-VALUE(LEFT(E5091,FIND("º",SUBSTITUTE(E5091,"°","º"))-1)),-1),IF(LEFT(E5091,6)="TÉRREO",0,IFERROR(VALUE(LEFT(E5091,FIND("º",SUBSTITUTE(E5091,"°","º"))-1)),""))))</f>
        <v/>
      </c>
      <c r="O5091" s="2">
        <f>IF(OR(F5091="",G5091=""),"",IF(G5091&lt;='RETRATO 2027'!$K$5,"CONCLUÍDA",IF(F5091&lt;='RETRATO 2027'!$K$5,"EM ANDAMENTO","A INICIAR")))</f>
        <v/>
      </c>
    </row>
    <row r="5092">
      <c r="M5092" s="2">
        <f>IF(C5092="","",IFERROR(INDEX($S$5:$S$304,MATCH(C5092,$R$5:$R$304,0))&amp;"","?"))</f>
        <v/>
      </c>
      <c r="N5092" s="2">
        <f>IF(E5092="","",IF(ISNUMBER(SEARCH("SUBSOLO",E5092)),IFERROR(-VALUE(LEFT(E5092,FIND("º",SUBSTITUTE(E5092,"°","º"))-1)),-1),IF(LEFT(E5092,6)="TÉRREO",0,IFERROR(VALUE(LEFT(E5092,FIND("º",SUBSTITUTE(E5092,"°","º"))-1)),""))))</f>
        <v/>
      </c>
      <c r="O5092" s="2">
        <f>IF(OR(F5092="",G5092=""),"",IF(G5092&lt;='RETRATO 2027'!$K$5,"CONCLUÍDA",IF(F5092&lt;='RETRATO 2027'!$K$5,"EM ANDAMENTO","A INICIAR")))</f>
        <v/>
      </c>
    </row>
    <row r="5093">
      <c r="M5093" s="2">
        <f>IF(C5093="","",IFERROR(INDEX($S$5:$S$304,MATCH(C5093,$R$5:$R$304,0))&amp;"","?"))</f>
        <v/>
      </c>
      <c r="N5093" s="2">
        <f>IF(E5093="","",IF(ISNUMBER(SEARCH("SUBSOLO",E5093)),IFERROR(-VALUE(LEFT(E5093,FIND("º",SUBSTITUTE(E5093,"°","º"))-1)),-1),IF(LEFT(E5093,6)="TÉRREO",0,IFERROR(VALUE(LEFT(E5093,FIND("º",SUBSTITUTE(E5093,"°","º"))-1)),""))))</f>
        <v/>
      </c>
      <c r="O5093" s="2">
        <f>IF(OR(F5093="",G5093=""),"",IF(G5093&lt;='RETRATO 2027'!$K$5,"CONCLUÍDA",IF(F5093&lt;='RETRATO 2027'!$K$5,"EM ANDAMENTO","A INICIAR")))</f>
        <v/>
      </c>
    </row>
    <row r="5094">
      <c r="M5094" s="2">
        <f>IF(C5094="","",IFERROR(INDEX($S$5:$S$304,MATCH(C5094,$R$5:$R$304,0))&amp;"","?"))</f>
        <v/>
      </c>
      <c r="N5094" s="2">
        <f>IF(E5094="","",IF(ISNUMBER(SEARCH("SUBSOLO",E5094)),IFERROR(-VALUE(LEFT(E5094,FIND("º",SUBSTITUTE(E5094,"°","º"))-1)),-1),IF(LEFT(E5094,6)="TÉRREO",0,IFERROR(VALUE(LEFT(E5094,FIND("º",SUBSTITUTE(E5094,"°","º"))-1)),""))))</f>
        <v/>
      </c>
      <c r="O5094" s="2">
        <f>IF(OR(F5094="",G5094=""),"",IF(G5094&lt;='RETRATO 2027'!$K$5,"CONCLUÍDA",IF(F5094&lt;='RETRATO 2027'!$K$5,"EM ANDAMENTO","A INICIAR")))</f>
        <v/>
      </c>
    </row>
    <row r="5095">
      <c r="M5095" s="2">
        <f>IF(C5095="","",IFERROR(INDEX($S$5:$S$304,MATCH(C5095,$R$5:$R$304,0))&amp;"","?"))</f>
        <v/>
      </c>
      <c r="N5095" s="2">
        <f>IF(E5095="","",IF(ISNUMBER(SEARCH("SUBSOLO",E5095)),IFERROR(-VALUE(LEFT(E5095,FIND("º",SUBSTITUTE(E5095,"°","º"))-1)),-1),IF(LEFT(E5095,6)="TÉRREO",0,IFERROR(VALUE(LEFT(E5095,FIND("º",SUBSTITUTE(E5095,"°","º"))-1)),""))))</f>
        <v/>
      </c>
      <c r="O5095" s="2">
        <f>IF(OR(F5095="",G5095=""),"",IF(G5095&lt;='RETRATO 2027'!$K$5,"CONCLUÍDA",IF(F5095&lt;='RETRATO 2027'!$K$5,"EM ANDAMENTO","A INICIAR")))</f>
        <v/>
      </c>
    </row>
    <row r="5096">
      <c r="M5096" s="2">
        <f>IF(C5096="","",IFERROR(INDEX($S$5:$S$304,MATCH(C5096,$R$5:$R$304,0))&amp;"","?"))</f>
        <v/>
      </c>
      <c r="N5096" s="2">
        <f>IF(E5096="","",IF(ISNUMBER(SEARCH("SUBSOLO",E5096)),IFERROR(-VALUE(LEFT(E5096,FIND("º",SUBSTITUTE(E5096,"°","º"))-1)),-1),IF(LEFT(E5096,6)="TÉRREO",0,IFERROR(VALUE(LEFT(E5096,FIND("º",SUBSTITUTE(E5096,"°","º"))-1)),""))))</f>
        <v/>
      </c>
      <c r="O5096" s="2">
        <f>IF(OR(F5096="",G5096=""),"",IF(G5096&lt;='RETRATO 2027'!$K$5,"CONCLUÍDA",IF(F5096&lt;='RETRATO 2027'!$K$5,"EM ANDAMENTO","A INICIAR")))</f>
        <v/>
      </c>
    </row>
    <row r="5097">
      <c r="M5097" s="2">
        <f>IF(C5097="","",IFERROR(INDEX($S$5:$S$304,MATCH(C5097,$R$5:$R$304,0))&amp;"","?"))</f>
        <v/>
      </c>
      <c r="N5097" s="2">
        <f>IF(E5097="","",IF(ISNUMBER(SEARCH("SUBSOLO",E5097)),IFERROR(-VALUE(LEFT(E5097,FIND("º",SUBSTITUTE(E5097,"°","º"))-1)),-1),IF(LEFT(E5097,6)="TÉRREO",0,IFERROR(VALUE(LEFT(E5097,FIND("º",SUBSTITUTE(E5097,"°","º"))-1)),""))))</f>
        <v/>
      </c>
      <c r="O5097" s="2">
        <f>IF(OR(F5097="",G5097=""),"",IF(G5097&lt;='RETRATO 2027'!$K$5,"CONCLUÍDA",IF(F5097&lt;='RETRATO 2027'!$K$5,"EM ANDAMENTO","A INICIAR")))</f>
        <v/>
      </c>
    </row>
    <row r="5098">
      <c r="M5098" s="2">
        <f>IF(C5098="","",IFERROR(INDEX($S$5:$S$304,MATCH(C5098,$R$5:$R$304,0))&amp;"","?"))</f>
        <v/>
      </c>
      <c r="N5098" s="2">
        <f>IF(E5098="","",IF(ISNUMBER(SEARCH("SUBSOLO",E5098)),IFERROR(-VALUE(LEFT(E5098,FIND("º",SUBSTITUTE(E5098,"°","º"))-1)),-1),IF(LEFT(E5098,6)="TÉRREO",0,IFERROR(VALUE(LEFT(E5098,FIND("º",SUBSTITUTE(E5098,"°","º"))-1)),""))))</f>
        <v/>
      </c>
      <c r="O5098" s="2">
        <f>IF(OR(F5098="",G5098=""),"",IF(G5098&lt;='RETRATO 2027'!$K$5,"CONCLUÍDA",IF(F5098&lt;='RETRATO 2027'!$K$5,"EM ANDAMENTO","A INICIAR")))</f>
        <v/>
      </c>
    </row>
    <row r="5099">
      <c r="M5099" s="2">
        <f>IF(C5099="","",IFERROR(INDEX($S$5:$S$304,MATCH(C5099,$R$5:$R$304,0))&amp;"","?"))</f>
        <v/>
      </c>
      <c r="N5099" s="2">
        <f>IF(E5099="","",IF(ISNUMBER(SEARCH("SUBSOLO",E5099)),IFERROR(-VALUE(LEFT(E5099,FIND("º",SUBSTITUTE(E5099,"°","º"))-1)),-1),IF(LEFT(E5099,6)="TÉRREO",0,IFERROR(VALUE(LEFT(E5099,FIND("º",SUBSTITUTE(E5099,"°","º"))-1)),""))))</f>
        <v/>
      </c>
      <c r="O5099" s="2">
        <f>IF(OR(F5099="",G5099=""),"",IF(G5099&lt;='RETRATO 2027'!$K$5,"CONCLUÍDA",IF(F5099&lt;='RETRATO 2027'!$K$5,"EM ANDAMENTO","A INICIAR")))</f>
        <v/>
      </c>
    </row>
    <row r="5100">
      <c r="M5100" s="2">
        <f>IF(C5100="","",IFERROR(INDEX($S$5:$S$304,MATCH(C5100,$R$5:$R$304,0))&amp;"","?"))</f>
        <v/>
      </c>
      <c r="N5100" s="2">
        <f>IF(E5100="","",IF(ISNUMBER(SEARCH("SUBSOLO",E5100)),IFERROR(-VALUE(LEFT(E5100,FIND("º",SUBSTITUTE(E5100,"°","º"))-1)),-1),IF(LEFT(E5100,6)="TÉRREO",0,IFERROR(VALUE(LEFT(E5100,FIND("º",SUBSTITUTE(E5100,"°","º"))-1)),""))))</f>
        <v/>
      </c>
      <c r="O5100" s="2">
        <f>IF(OR(F5100="",G5100=""),"",IF(G5100&lt;='RETRATO 2027'!$K$5,"CONCLUÍDA",IF(F5100&lt;='RETRATO 2027'!$K$5,"EM ANDAMENTO","A INICIAR")))</f>
        <v/>
      </c>
    </row>
    <row r="5101">
      <c r="M5101" s="2">
        <f>IF(C5101="","",IFERROR(INDEX($S$5:$S$304,MATCH(C5101,$R$5:$R$304,0))&amp;"","?"))</f>
        <v/>
      </c>
      <c r="N5101" s="2">
        <f>IF(E5101="","",IF(ISNUMBER(SEARCH("SUBSOLO",E5101)),IFERROR(-VALUE(LEFT(E5101,FIND("º",SUBSTITUTE(E5101,"°","º"))-1)),-1),IF(LEFT(E5101,6)="TÉRREO",0,IFERROR(VALUE(LEFT(E5101,FIND("º",SUBSTITUTE(E5101,"°","º"))-1)),""))))</f>
        <v/>
      </c>
      <c r="O5101" s="2">
        <f>IF(OR(F5101="",G5101=""),"",IF(G5101&lt;='RETRATO 2027'!$K$5,"CONCLUÍDA",IF(F5101&lt;='RETRATO 2027'!$K$5,"EM ANDAMENTO","A INICIAR")))</f>
        <v/>
      </c>
    </row>
    <row r="5102">
      <c r="M5102" s="2">
        <f>IF(C5102="","",IFERROR(INDEX($S$5:$S$304,MATCH(C5102,$R$5:$R$304,0))&amp;"","?"))</f>
        <v/>
      </c>
      <c r="N5102" s="2">
        <f>IF(E5102="","",IF(ISNUMBER(SEARCH("SUBSOLO",E5102)),IFERROR(-VALUE(LEFT(E5102,FIND("º",SUBSTITUTE(E5102,"°","º"))-1)),-1),IF(LEFT(E5102,6)="TÉRREO",0,IFERROR(VALUE(LEFT(E5102,FIND("º",SUBSTITUTE(E5102,"°","º"))-1)),""))))</f>
        <v/>
      </c>
      <c r="O5102" s="2">
        <f>IF(OR(F5102="",G5102=""),"",IF(G5102&lt;='RETRATO 2027'!$K$5,"CONCLUÍDA",IF(F5102&lt;='RETRATO 2027'!$K$5,"EM ANDAMENTO","A INICIAR")))</f>
        <v/>
      </c>
    </row>
    <row r="5103">
      <c r="M5103" s="2">
        <f>IF(C5103="","",IFERROR(INDEX($S$5:$S$304,MATCH(C5103,$R$5:$R$304,0))&amp;"","?"))</f>
        <v/>
      </c>
      <c r="N5103" s="2">
        <f>IF(E5103="","",IF(ISNUMBER(SEARCH("SUBSOLO",E5103)),IFERROR(-VALUE(LEFT(E5103,FIND("º",SUBSTITUTE(E5103,"°","º"))-1)),-1),IF(LEFT(E5103,6)="TÉRREO",0,IFERROR(VALUE(LEFT(E5103,FIND("º",SUBSTITUTE(E5103,"°","º"))-1)),""))))</f>
        <v/>
      </c>
      <c r="O5103" s="2">
        <f>IF(OR(F5103="",G5103=""),"",IF(G5103&lt;='RETRATO 2027'!$K$5,"CONCLUÍDA",IF(F5103&lt;='RETRATO 2027'!$K$5,"EM ANDAMENTO","A INICIAR")))</f>
        <v/>
      </c>
    </row>
    <row r="5104">
      <c r="M5104" s="2">
        <f>IF(C5104="","",IFERROR(INDEX($S$5:$S$304,MATCH(C5104,$R$5:$R$304,0))&amp;"","?"))</f>
        <v/>
      </c>
      <c r="N5104" s="2">
        <f>IF(E5104="","",IF(ISNUMBER(SEARCH("SUBSOLO",E5104)),IFERROR(-VALUE(LEFT(E5104,FIND("º",SUBSTITUTE(E5104,"°","º"))-1)),-1),IF(LEFT(E5104,6)="TÉRREO",0,IFERROR(VALUE(LEFT(E5104,FIND("º",SUBSTITUTE(E5104,"°","º"))-1)),""))))</f>
        <v/>
      </c>
      <c r="O5104" s="2">
        <f>IF(OR(F5104="",G5104=""),"",IF(G5104&lt;='RETRATO 2027'!$K$5,"CONCLUÍDA",IF(F5104&lt;='RETRATO 2027'!$K$5,"EM ANDAMENTO","A INICIAR")))</f>
        <v/>
      </c>
    </row>
    <row r="5105">
      <c r="M5105" s="2">
        <f>IF(C5105="","",IFERROR(INDEX($S$5:$S$304,MATCH(C5105,$R$5:$R$304,0))&amp;"","?"))</f>
        <v/>
      </c>
      <c r="N5105" s="2">
        <f>IF(E5105="","",IF(ISNUMBER(SEARCH("SUBSOLO",E5105)),IFERROR(-VALUE(LEFT(E5105,FIND("º",SUBSTITUTE(E5105,"°","º"))-1)),-1),IF(LEFT(E5105,6)="TÉRREO",0,IFERROR(VALUE(LEFT(E5105,FIND("º",SUBSTITUTE(E5105,"°","º"))-1)),""))))</f>
        <v/>
      </c>
      <c r="O5105" s="2">
        <f>IF(OR(F5105="",G5105=""),"",IF(G5105&lt;='RETRATO 2027'!$K$5,"CONCLUÍDA",IF(F5105&lt;='RETRATO 2027'!$K$5,"EM ANDAMENTO","A INICIAR")))</f>
        <v/>
      </c>
    </row>
    <row r="5106">
      <c r="M5106" s="2">
        <f>IF(C5106="","",IFERROR(INDEX($S$5:$S$304,MATCH(C5106,$R$5:$R$304,0))&amp;"","?"))</f>
        <v/>
      </c>
      <c r="N5106" s="2">
        <f>IF(E5106="","",IF(ISNUMBER(SEARCH("SUBSOLO",E5106)),IFERROR(-VALUE(LEFT(E5106,FIND("º",SUBSTITUTE(E5106,"°","º"))-1)),-1),IF(LEFT(E5106,6)="TÉRREO",0,IFERROR(VALUE(LEFT(E5106,FIND("º",SUBSTITUTE(E5106,"°","º"))-1)),""))))</f>
        <v/>
      </c>
      <c r="O5106" s="2">
        <f>IF(OR(F5106="",G5106=""),"",IF(G5106&lt;='RETRATO 2027'!$K$5,"CONCLUÍDA",IF(F5106&lt;='RETRATO 2027'!$K$5,"EM ANDAMENTO","A INICIAR")))</f>
        <v/>
      </c>
    </row>
    <row r="5107">
      <c r="M5107" s="2">
        <f>IF(C5107="","",IFERROR(INDEX($S$5:$S$304,MATCH(C5107,$R$5:$R$304,0))&amp;"","?"))</f>
        <v/>
      </c>
      <c r="N5107" s="2">
        <f>IF(E5107="","",IF(ISNUMBER(SEARCH("SUBSOLO",E5107)),IFERROR(-VALUE(LEFT(E5107,FIND("º",SUBSTITUTE(E5107,"°","º"))-1)),-1),IF(LEFT(E5107,6)="TÉRREO",0,IFERROR(VALUE(LEFT(E5107,FIND("º",SUBSTITUTE(E5107,"°","º"))-1)),""))))</f>
        <v/>
      </c>
      <c r="O5107" s="2">
        <f>IF(OR(F5107="",G5107=""),"",IF(G5107&lt;='RETRATO 2027'!$K$5,"CONCLUÍDA",IF(F5107&lt;='RETRATO 2027'!$K$5,"EM ANDAMENTO","A INICIAR")))</f>
        <v/>
      </c>
    </row>
    <row r="5108">
      <c r="M5108" s="2">
        <f>IF(C5108="","",IFERROR(INDEX($S$5:$S$304,MATCH(C5108,$R$5:$R$304,0))&amp;"","?"))</f>
        <v/>
      </c>
      <c r="N5108" s="2">
        <f>IF(E5108="","",IF(ISNUMBER(SEARCH("SUBSOLO",E5108)),IFERROR(-VALUE(LEFT(E5108,FIND("º",SUBSTITUTE(E5108,"°","º"))-1)),-1),IF(LEFT(E5108,6)="TÉRREO",0,IFERROR(VALUE(LEFT(E5108,FIND("º",SUBSTITUTE(E5108,"°","º"))-1)),""))))</f>
        <v/>
      </c>
      <c r="O5108" s="2">
        <f>IF(OR(F5108="",G5108=""),"",IF(G5108&lt;='RETRATO 2027'!$K$5,"CONCLUÍDA",IF(F5108&lt;='RETRATO 2027'!$K$5,"EM ANDAMENTO","A INICIAR")))</f>
        <v/>
      </c>
    </row>
    <row r="5109">
      <c r="M5109" s="2">
        <f>IF(C5109="","",IFERROR(INDEX($S$5:$S$304,MATCH(C5109,$R$5:$R$304,0))&amp;"","?"))</f>
        <v/>
      </c>
      <c r="N5109" s="2">
        <f>IF(E5109="","",IF(ISNUMBER(SEARCH("SUBSOLO",E5109)),IFERROR(-VALUE(LEFT(E5109,FIND("º",SUBSTITUTE(E5109,"°","º"))-1)),-1),IF(LEFT(E5109,6)="TÉRREO",0,IFERROR(VALUE(LEFT(E5109,FIND("º",SUBSTITUTE(E5109,"°","º"))-1)),""))))</f>
        <v/>
      </c>
      <c r="O5109" s="2">
        <f>IF(OR(F5109="",G5109=""),"",IF(G5109&lt;='RETRATO 2027'!$K$5,"CONCLUÍDA",IF(F5109&lt;='RETRATO 2027'!$K$5,"EM ANDAMENTO","A INICIAR")))</f>
        <v/>
      </c>
    </row>
    <row r="5110">
      <c r="M5110" s="2">
        <f>IF(C5110="","",IFERROR(INDEX($S$5:$S$304,MATCH(C5110,$R$5:$R$304,0))&amp;"","?"))</f>
        <v/>
      </c>
      <c r="N5110" s="2">
        <f>IF(E5110="","",IF(ISNUMBER(SEARCH("SUBSOLO",E5110)),IFERROR(-VALUE(LEFT(E5110,FIND("º",SUBSTITUTE(E5110,"°","º"))-1)),-1),IF(LEFT(E5110,6)="TÉRREO",0,IFERROR(VALUE(LEFT(E5110,FIND("º",SUBSTITUTE(E5110,"°","º"))-1)),""))))</f>
        <v/>
      </c>
      <c r="O5110" s="2">
        <f>IF(OR(F5110="",G5110=""),"",IF(G5110&lt;='RETRATO 2027'!$K$5,"CONCLUÍDA",IF(F5110&lt;='RETRATO 2027'!$K$5,"EM ANDAMENTO","A INICIAR")))</f>
        <v/>
      </c>
    </row>
    <row r="5111">
      <c r="M5111" s="2">
        <f>IF(C5111="","",IFERROR(INDEX($S$5:$S$304,MATCH(C5111,$R$5:$R$304,0))&amp;"","?"))</f>
        <v/>
      </c>
      <c r="N5111" s="2">
        <f>IF(E5111="","",IF(ISNUMBER(SEARCH("SUBSOLO",E5111)),IFERROR(-VALUE(LEFT(E5111,FIND("º",SUBSTITUTE(E5111,"°","º"))-1)),-1),IF(LEFT(E5111,6)="TÉRREO",0,IFERROR(VALUE(LEFT(E5111,FIND("º",SUBSTITUTE(E5111,"°","º"))-1)),""))))</f>
        <v/>
      </c>
      <c r="O5111" s="2">
        <f>IF(OR(F5111="",G5111=""),"",IF(G5111&lt;='RETRATO 2027'!$K$5,"CONCLUÍDA",IF(F5111&lt;='RETRATO 2027'!$K$5,"EM ANDAMENTO","A INICIAR")))</f>
        <v/>
      </c>
    </row>
    <row r="5112">
      <c r="M5112" s="2">
        <f>IF(C5112="","",IFERROR(INDEX($S$5:$S$304,MATCH(C5112,$R$5:$R$304,0))&amp;"","?"))</f>
        <v/>
      </c>
      <c r="N5112" s="2">
        <f>IF(E5112="","",IF(ISNUMBER(SEARCH("SUBSOLO",E5112)),IFERROR(-VALUE(LEFT(E5112,FIND("º",SUBSTITUTE(E5112,"°","º"))-1)),-1),IF(LEFT(E5112,6)="TÉRREO",0,IFERROR(VALUE(LEFT(E5112,FIND("º",SUBSTITUTE(E5112,"°","º"))-1)),""))))</f>
        <v/>
      </c>
      <c r="O5112" s="2">
        <f>IF(OR(F5112="",G5112=""),"",IF(G5112&lt;='RETRATO 2027'!$K$5,"CONCLUÍDA",IF(F5112&lt;='RETRATO 2027'!$K$5,"EM ANDAMENTO","A INICIAR")))</f>
        <v/>
      </c>
    </row>
    <row r="5113">
      <c r="M5113" s="2">
        <f>IF(C5113="","",IFERROR(INDEX($S$5:$S$304,MATCH(C5113,$R$5:$R$304,0))&amp;"","?"))</f>
        <v/>
      </c>
      <c r="N5113" s="2">
        <f>IF(E5113="","",IF(ISNUMBER(SEARCH("SUBSOLO",E5113)),IFERROR(-VALUE(LEFT(E5113,FIND("º",SUBSTITUTE(E5113,"°","º"))-1)),-1),IF(LEFT(E5113,6)="TÉRREO",0,IFERROR(VALUE(LEFT(E5113,FIND("º",SUBSTITUTE(E5113,"°","º"))-1)),""))))</f>
        <v/>
      </c>
      <c r="O5113" s="2">
        <f>IF(OR(F5113="",G5113=""),"",IF(G5113&lt;='RETRATO 2027'!$K$5,"CONCLUÍDA",IF(F5113&lt;='RETRATO 2027'!$K$5,"EM ANDAMENTO","A INICIAR")))</f>
        <v/>
      </c>
    </row>
    <row r="5114">
      <c r="M5114" s="2">
        <f>IF(C5114="","",IFERROR(INDEX($S$5:$S$304,MATCH(C5114,$R$5:$R$304,0))&amp;"","?"))</f>
        <v/>
      </c>
      <c r="N5114" s="2">
        <f>IF(E5114="","",IF(ISNUMBER(SEARCH("SUBSOLO",E5114)),IFERROR(-VALUE(LEFT(E5114,FIND("º",SUBSTITUTE(E5114,"°","º"))-1)),-1),IF(LEFT(E5114,6)="TÉRREO",0,IFERROR(VALUE(LEFT(E5114,FIND("º",SUBSTITUTE(E5114,"°","º"))-1)),""))))</f>
        <v/>
      </c>
      <c r="O5114" s="2">
        <f>IF(OR(F5114="",G5114=""),"",IF(G5114&lt;='RETRATO 2027'!$K$5,"CONCLUÍDA",IF(F5114&lt;='RETRATO 2027'!$K$5,"EM ANDAMENTO","A INICIAR")))</f>
        <v/>
      </c>
    </row>
    <row r="5115">
      <c r="M5115" s="2">
        <f>IF(C5115="","",IFERROR(INDEX($S$5:$S$304,MATCH(C5115,$R$5:$R$304,0))&amp;"","?"))</f>
        <v/>
      </c>
      <c r="N5115" s="2">
        <f>IF(E5115="","",IF(ISNUMBER(SEARCH("SUBSOLO",E5115)),IFERROR(-VALUE(LEFT(E5115,FIND("º",SUBSTITUTE(E5115,"°","º"))-1)),-1),IF(LEFT(E5115,6)="TÉRREO",0,IFERROR(VALUE(LEFT(E5115,FIND("º",SUBSTITUTE(E5115,"°","º"))-1)),""))))</f>
        <v/>
      </c>
      <c r="O5115" s="2">
        <f>IF(OR(F5115="",G5115=""),"",IF(G5115&lt;='RETRATO 2027'!$K$5,"CONCLUÍDA",IF(F5115&lt;='RETRATO 2027'!$K$5,"EM ANDAMENTO","A INICIAR")))</f>
        <v/>
      </c>
    </row>
    <row r="5116">
      <c r="M5116" s="2">
        <f>IF(C5116="","",IFERROR(INDEX($S$5:$S$304,MATCH(C5116,$R$5:$R$304,0))&amp;"","?"))</f>
        <v/>
      </c>
      <c r="N5116" s="2">
        <f>IF(E5116="","",IF(ISNUMBER(SEARCH("SUBSOLO",E5116)),IFERROR(-VALUE(LEFT(E5116,FIND("º",SUBSTITUTE(E5116,"°","º"))-1)),-1),IF(LEFT(E5116,6)="TÉRREO",0,IFERROR(VALUE(LEFT(E5116,FIND("º",SUBSTITUTE(E5116,"°","º"))-1)),""))))</f>
        <v/>
      </c>
      <c r="O5116" s="2">
        <f>IF(OR(F5116="",G5116=""),"",IF(G5116&lt;='RETRATO 2027'!$K$5,"CONCLUÍDA",IF(F5116&lt;='RETRATO 2027'!$K$5,"EM ANDAMENTO","A INICIAR")))</f>
        <v/>
      </c>
    </row>
    <row r="5117">
      <c r="M5117" s="2">
        <f>IF(C5117="","",IFERROR(INDEX($S$5:$S$304,MATCH(C5117,$R$5:$R$304,0))&amp;"","?"))</f>
        <v/>
      </c>
      <c r="N5117" s="2">
        <f>IF(E5117="","",IF(ISNUMBER(SEARCH("SUBSOLO",E5117)),IFERROR(-VALUE(LEFT(E5117,FIND("º",SUBSTITUTE(E5117,"°","º"))-1)),-1),IF(LEFT(E5117,6)="TÉRREO",0,IFERROR(VALUE(LEFT(E5117,FIND("º",SUBSTITUTE(E5117,"°","º"))-1)),""))))</f>
        <v/>
      </c>
      <c r="O5117" s="2">
        <f>IF(OR(F5117="",G5117=""),"",IF(G5117&lt;='RETRATO 2027'!$K$5,"CONCLUÍDA",IF(F5117&lt;='RETRATO 2027'!$K$5,"EM ANDAMENTO","A INICIAR")))</f>
        <v/>
      </c>
    </row>
    <row r="5118">
      <c r="M5118" s="2">
        <f>IF(C5118="","",IFERROR(INDEX($S$5:$S$304,MATCH(C5118,$R$5:$R$304,0))&amp;"","?"))</f>
        <v/>
      </c>
      <c r="N5118" s="2">
        <f>IF(E5118="","",IF(ISNUMBER(SEARCH("SUBSOLO",E5118)),IFERROR(-VALUE(LEFT(E5118,FIND("º",SUBSTITUTE(E5118,"°","º"))-1)),-1),IF(LEFT(E5118,6)="TÉRREO",0,IFERROR(VALUE(LEFT(E5118,FIND("º",SUBSTITUTE(E5118,"°","º"))-1)),""))))</f>
        <v/>
      </c>
      <c r="O5118" s="2">
        <f>IF(OR(F5118="",G5118=""),"",IF(G5118&lt;='RETRATO 2027'!$K$5,"CONCLUÍDA",IF(F5118&lt;='RETRATO 2027'!$K$5,"EM ANDAMENTO","A INICIAR")))</f>
        <v/>
      </c>
    </row>
    <row r="5119">
      <c r="M5119" s="2">
        <f>IF(C5119="","",IFERROR(INDEX($S$5:$S$304,MATCH(C5119,$R$5:$R$304,0))&amp;"","?"))</f>
        <v/>
      </c>
      <c r="N5119" s="2">
        <f>IF(E5119="","",IF(ISNUMBER(SEARCH("SUBSOLO",E5119)),IFERROR(-VALUE(LEFT(E5119,FIND("º",SUBSTITUTE(E5119,"°","º"))-1)),-1),IF(LEFT(E5119,6)="TÉRREO",0,IFERROR(VALUE(LEFT(E5119,FIND("º",SUBSTITUTE(E5119,"°","º"))-1)),""))))</f>
        <v/>
      </c>
      <c r="O5119" s="2">
        <f>IF(OR(F5119="",G5119=""),"",IF(G5119&lt;='RETRATO 2027'!$K$5,"CONCLUÍDA",IF(F5119&lt;='RETRATO 2027'!$K$5,"EM ANDAMENTO","A INICIAR")))</f>
        <v/>
      </c>
    </row>
    <row r="5120">
      <c r="M5120" s="2">
        <f>IF(C5120="","",IFERROR(INDEX($S$5:$S$304,MATCH(C5120,$R$5:$R$304,0))&amp;"","?"))</f>
        <v/>
      </c>
      <c r="N5120" s="2">
        <f>IF(E5120="","",IF(ISNUMBER(SEARCH("SUBSOLO",E5120)),IFERROR(-VALUE(LEFT(E5120,FIND("º",SUBSTITUTE(E5120,"°","º"))-1)),-1),IF(LEFT(E5120,6)="TÉRREO",0,IFERROR(VALUE(LEFT(E5120,FIND("º",SUBSTITUTE(E5120,"°","º"))-1)),""))))</f>
        <v/>
      </c>
      <c r="O5120" s="2">
        <f>IF(OR(F5120="",G5120=""),"",IF(G5120&lt;='RETRATO 2027'!$K$5,"CONCLUÍDA",IF(F5120&lt;='RETRATO 2027'!$K$5,"EM ANDAMENTO","A INICIAR")))</f>
        <v/>
      </c>
    </row>
    <row r="5121">
      <c r="M5121" s="2">
        <f>IF(C5121="","",IFERROR(INDEX($S$5:$S$304,MATCH(C5121,$R$5:$R$304,0))&amp;"","?"))</f>
        <v/>
      </c>
      <c r="N5121" s="2">
        <f>IF(E5121="","",IF(ISNUMBER(SEARCH("SUBSOLO",E5121)),IFERROR(-VALUE(LEFT(E5121,FIND("º",SUBSTITUTE(E5121,"°","º"))-1)),-1),IF(LEFT(E5121,6)="TÉRREO",0,IFERROR(VALUE(LEFT(E5121,FIND("º",SUBSTITUTE(E5121,"°","º"))-1)),""))))</f>
        <v/>
      </c>
      <c r="O5121" s="2">
        <f>IF(OR(F5121="",G5121=""),"",IF(G5121&lt;='RETRATO 2027'!$K$5,"CONCLUÍDA",IF(F5121&lt;='RETRATO 2027'!$K$5,"EM ANDAMENTO","A INICIAR")))</f>
        <v/>
      </c>
    </row>
    <row r="5122">
      <c r="M5122" s="2">
        <f>IF(C5122="","",IFERROR(INDEX($S$5:$S$304,MATCH(C5122,$R$5:$R$304,0))&amp;"","?"))</f>
        <v/>
      </c>
      <c r="N5122" s="2">
        <f>IF(E5122="","",IF(ISNUMBER(SEARCH("SUBSOLO",E5122)),IFERROR(-VALUE(LEFT(E5122,FIND("º",SUBSTITUTE(E5122,"°","º"))-1)),-1),IF(LEFT(E5122,6)="TÉRREO",0,IFERROR(VALUE(LEFT(E5122,FIND("º",SUBSTITUTE(E5122,"°","º"))-1)),""))))</f>
        <v/>
      </c>
      <c r="O5122" s="2">
        <f>IF(OR(F5122="",G5122=""),"",IF(G5122&lt;='RETRATO 2027'!$K$5,"CONCLUÍDA",IF(F5122&lt;='RETRATO 2027'!$K$5,"EM ANDAMENTO","A INICIAR")))</f>
        <v/>
      </c>
    </row>
    <row r="5123">
      <c r="M5123" s="2">
        <f>IF(C5123="","",IFERROR(INDEX($S$5:$S$304,MATCH(C5123,$R$5:$R$304,0))&amp;"","?"))</f>
        <v/>
      </c>
      <c r="N5123" s="2">
        <f>IF(E5123="","",IF(ISNUMBER(SEARCH("SUBSOLO",E5123)),IFERROR(-VALUE(LEFT(E5123,FIND("º",SUBSTITUTE(E5123,"°","º"))-1)),-1),IF(LEFT(E5123,6)="TÉRREO",0,IFERROR(VALUE(LEFT(E5123,FIND("º",SUBSTITUTE(E5123,"°","º"))-1)),""))))</f>
        <v/>
      </c>
      <c r="O5123" s="2">
        <f>IF(OR(F5123="",G5123=""),"",IF(G5123&lt;='RETRATO 2027'!$K$5,"CONCLUÍDA",IF(F5123&lt;='RETRATO 2027'!$K$5,"EM ANDAMENTO","A INICIAR")))</f>
        <v/>
      </c>
    </row>
    <row r="5124">
      <c r="M5124" s="2">
        <f>IF(C5124="","",IFERROR(INDEX($S$5:$S$304,MATCH(C5124,$R$5:$R$304,0))&amp;"","?"))</f>
        <v/>
      </c>
      <c r="N5124" s="2">
        <f>IF(E5124="","",IF(ISNUMBER(SEARCH("SUBSOLO",E5124)),IFERROR(-VALUE(LEFT(E5124,FIND("º",SUBSTITUTE(E5124,"°","º"))-1)),-1),IF(LEFT(E5124,6)="TÉRREO",0,IFERROR(VALUE(LEFT(E5124,FIND("º",SUBSTITUTE(E5124,"°","º"))-1)),""))))</f>
        <v/>
      </c>
      <c r="O5124" s="2">
        <f>IF(OR(F5124="",G5124=""),"",IF(G5124&lt;='RETRATO 2027'!$K$5,"CONCLUÍDA",IF(F5124&lt;='RETRATO 2027'!$K$5,"EM ANDAMENTO","A INICIAR")))</f>
        <v/>
      </c>
    </row>
    <row r="5125">
      <c r="M5125" s="2">
        <f>IF(C5125="","",IFERROR(INDEX($S$5:$S$304,MATCH(C5125,$R$5:$R$304,0))&amp;"","?"))</f>
        <v/>
      </c>
      <c r="N5125" s="2">
        <f>IF(E5125="","",IF(ISNUMBER(SEARCH("SUBSOLO",E5125)),IFERROR(-VALUE(LEFT(E5125,FIND("º",SUBSTITUTE(E5125,"°","º"))-1)),-1),IF(LEFT(E5125,6)="TÉRREO",0,IFERROR(VALUE(LEFT(E5125,FIND("º",SUBSTITUTE(E5125,"°","º"))-1)),""))))</f>
        <v/>
      </c>
      <c r="O5125" s="2">
        <f>IF(OR(F5125="",G5125=""),"",IF(G5125&lt;='RETRATO 2027'!$K$5,"CONCLUÍDA",IF(F5125&lt;='RETRATO 2027'!$K$5,"EM ANDAMENTO","A INICIAR")))</f>
        <v/>
      </c>
    </row>
    <row r="5126">
      <c r="M5126" s="2">
        <f>IF(C5126="","",IFERROR(INDEX($S$5:$S$304,MATCH(C5126,$R$5:$R$304,0))&amp;"","?"))</f>
        <v/>
      </c>
      <c r="N5126" s="2">
        <f>IF(E5126="","",IF(ISNUMBER(SEARCH("SUBSOLO",E5126)),IFERROR(-VALUE(LEFT(E5126,FIND("º",SUBSTITUTE(E5126,"°","º"))-1)),-1),IF(LEFT(E5126,6)="TÉRREO",0,IFERROR(VALUE(LEFT(E5126,FIND("º",SUBSTITUTE(E5126,"°","º"))-1)),""))))</f>
        <v/>
      </c>
      <c r="O5126" s="2">
        <f>IF(OR(F5126="",G5126=""),"",IF(G5126&lt;='RETRATO 2027'!$K$5,"CONCLUÍDA",IF(F5126&lt;='RETRATO 2027'!$K$5,"EM ANDAMENTO","A INICIAR")))</f>
        <v/>
      </c>
    </row>
    <row r="5127">
      <c r="M5127" s="2">
        <f>IF(C5127="","",IFERROR(INDEX($S$5:$S$304,MATCH(C5127,$R$5:$R$304,0))&amp;"","?"))</f>
        <v/>
      </c>
      <c r="N5127" s="2">
        <f>IF(E5127="","",IF(ISNUMBER(SEARCH("SUBSOLO",E5127)),IFERROR(-VALUE(LEFT(E5127,FIND("º",SUBSTITUTE(E5127,"°","º"))-1)),-1),IF(LEFT(E5127,6)="TÉRREO",0,IFERROR(VALUE(LEFT(E5127,FIND("º",SUBSTITUTE(E5127,"°","º"))-1)),""))))</f>
        <v/>
      </c>
      <c r="O5127" s="2">
        <f>IF(OR(F5127="",G5127=""),"",IF(G5127&lt;='RETRATO 2027'!$K$5,"CONCLUÍDA",IF(F5127&lt;='RETRATO 2027'!$K$5,"EM ANDAMENTO","A INICIAR")))</f>
        <v/>
      </c>
    </row>
    <row r="5128">
      <c r="M5128" s="2">
        <f>IF(C5128="","",IFERROR(INDEX($S$5:$S$304,MATCH(C5128,$R$5:$R$304,0))&amp;"","?"))</f>
        <v/>
      </c>
      <c r="N5128" s="2">
        <f>IF(E5128="","",IF(ISNUMBER(SEARCH("SUBSOLO",E5128)),IFERROR(-VALUE(LEFT(E5128,FIND("º",SUBSTITUTE(E5128,"°","º"))-1)),-1),IF(LEFT(E5128,6)="TÉRREO",0,IFERROR(VALUE(LEFT(E5128,FIND("º",SUBSTITUTE(E5128,"°","º"))-1)),""))))</f>
        <v/>
      </c>
      <c r="O5128" s="2">
        <f>IF(OR(F5128="",G5128=""),"",IF(G5128&lt;='RETRATO 2027'!$K$5,"CONCLUÍDA",IF(F5128&lt;='RETRATO 2027'!$K$5,"EM ANDAMENTO","A INICIAR")))</f>
        <v/>
      </c>
    </row>
    <row r="5129">
      <c r="M5129" s="2">
        <f>IF(C5129="","",IFERROR(INDEX($S$5:$S$304,MATCH(C5129,$R$5:$R$304,0))&amp;"","?"))</f>
        <v/>
      </c>
      <c r="N5129" s="2">
        <f>IF(E5129="","",IF(ISNUMBER(SEARCH("SUBSOLO",E5129)),IFERROR(-VALUE(LEFT(E5129,FIND("º",SUBSTITUTE(E5129,"°","º"))-1)),-1),IF(LEFT(E5129,6)="TÉRREO",0,IFERROR(VALUE(LEFT(E5129,FIND("º",SUBSTITUTE(E5129,"°","º"))-1)),""))))</f>
        <v/>
      </c>
      <c r="O5129" s="2">
        <f>IF(OR(F5129="",G5129=""),"",IF(G5129&lt;='RETRATO 2027'!$K$5,"CONCLUÍDA",IF(F5129&lt;='RETRATO 2027'!$K$5,"EM ANDAMENTO","A INICIAR")))</f>
        <v/>
      </c>
    </row>
    <row r="5130">
      <c r="M5130" s="2">
        <f>IF(C5130="","",IFERROR(INDEX($S$5:$S$304,MATCH(C5130,$R$5:$R$304,0))&amp;"","?"))</f>
        <v/>
      </c>
      <c r="N5130" s="2">
        <f>IF(E5130="","",IF(ISNUMBER(SEARCH("SUBSOLO",E5130)),IFERROR(-VALUE(LEFT(E5130,FIND("º",SUBSTITUTE(E5130,"°","º"))-1)),-1),IF(LEFT(E5130,6)="TÉRREO",0,IFERROR(VALUE(LEFT(E5130,FIND("º",SUBSTITUTE(E5130,"°","º"))-1)),""))))</f>
        <v/>
      </c>
      <c r="O5130" s="2">
        <f>IF(OR(F5130="",G5130=""),"",IF(G5130&lt;='RETRATO 2027'!$K$5,"CONCLUÍDA",IF(F5130&lt;='RETRATO 2027'!$K$5,"EM ANDAMENTO","A INICIAR")))</f>
        <v/>
      </c>
    </row>
    <row r="5131">
      <c r="M5131" s="2">
        <f>IF(C5131="","",IFERROR(INDEX($S$5:$S$304,MATCH(C5131,$R$5:$R$304,0))&amp;"","?"))</f>
        <v/>
      </c>
      <c r="N5131" s="2">
        <f>IF(E5131="","",IF(ISNUMBER(SEARCH("SUBSOLO",E5131)),IFERROR(-VALUE(LEFT(E5131,FIND("º",SUBSTITUTE(E5131,"°","º"))-1)),-1),IF(LEFT(E5131,6)="TÉRREO",0,IFERROR(VALUE(LEFT(E5131,FIND("º",SUBSTITUTE(E5131,"°","º"))-1)),""))))</f>
        <v/>
      </c>
      <c r="O5131" s="2">
        <f>IF(OR(F5131="",G5131=""),"",IF(G5131&lt;='RETRATO 2027'!$K$5,"CONCLUÍDA",IF(F5131&lt;='RETRATO 2027'!$K$5,"EM ANDAMENTO","A INICIAR")))</f>
        <v/>
      </c>
    </row>
    <row r="5132">
      <c r="M5132" s="2">
        <f>IF(C5132="","",IFERROR(INDEX($S$5:$S$304,MATCH(C5132,$R$5:$R$304,0))&amp;"","?"))</f>
        <v/>
      </c>
      <c r="N5132" s="2">
        <f>IF(E5132="","",IF(ISNUMBER(SEARCH("SUBSOLO",E5132)),IFERROR(-VALUE(LEFT(E5132,FIND("º",SUBSTITUTE(E5132,"°","º"))-1)),-1),IF(LEFT(E5132,6)="TÉRREO",0,IFERROR(VALUE(LEFT(E5132,FIND("º",SUBSTITUTE(E5132,"°","º"))-1)),""))))</f>
        <v/>
      </c>
      <c r="O5132" s="2">
        <f>IF(OR(F5132="",G5132=""),"",IF(G5132&lt;='RETRATO 2027'!$K$5,"CONCLUÍDA",IF(F5132&lt;='RETRATO 2027'!$K$5,"EM ANDAMENTO","A INICIAR")))</f>
        <v/>
      </c>
    </row>
    <row r="5133">
      <c r="M5133" s="2">
        <f>IF(C5133="","",IFERROR(INDEX($S$5:$S$304,MATCH(C5133,$R$5:$R$304,0))&amp;"","?"))</f>
        <v/>
      </c>
      <c r="N5133" s="2">
        <f>IF(E5133="","",IF(ISNUMBER(SEARCH("SUBSOLO",E5133)),IFERROR(-VALUE(LEFT(E5133,FIND("º",SUBSTITUTE(E5133,"°","º"))-1)),-1),IF(LEFT(E5133,6)="TÉRREO",0,IFERROR(VALUE(LEFT(E5133,FIND("º",SUBSTITUTE(E5133,"°","º"))-1)),""))))</f>
        <v/>
      </c>
      <c r="O5133" s="2">
        <f>IF(OR(F5133="",G5133=""),"",IF(G5133&lt;='RETRATO 2027'!$K$5,"CONCLUÍDA",IF(F5133&lt;='RETRATO 2027'!$K$5,"EM ANDAMENTO","A INICIAR")))</f>
        <v/>
      </c>
    </row>
    <row r="5134">
      <c r="M5134" s="2">
        <f>IF(C5134="","",IFERROR(INDEX($S$5:$S$304,MATCH(C5134,$R$5:$R$304,0))&amp;"","?"))</f>
        <v/>
      </c>
      <c r="N5134" s="2">
        <f>IF(E5134="","",IF(ISNUMBER(SEARCH("SUBSOLO",E5134)),IFERROR(-VALUE(LEFT(E5134,FIND("º",SUBSTITUTE(E5134,"°","º"))-1)),-1),IF(LEFT(E5134,6)="TÉRREO",0,IFERROR(VALUE(LEFT(E5134,FIND("º",SUBSTITUTE(E5134,"°","º"))-1)),""))))</f>
        <v/>
      </c>
      <c r="O5134" s="2">
        <f>IF(OR(F5134="",G5134=""),"",IF(G5134&lt;='RETRATO 2027'!$K$5,"CONCLUÍDA",IF(F5134&lt;='RETRATO 2027'!$K$5,"EM ANDAMENTO","A INICIAR")))</f>
        <v/>
      </c>
    </row>
    <row r="5135">
      <c r="M5135" s="2">
        <f>IF(C5135="","",IFERROR(INDEX($S$5:$S$304,MATCH(C5135,$R$5:$R$304,0))&amp;"","?"))</f>
        <v/>
      </c>
      <c r="N5135" s="2">
        <f>IF(E5135="","",IF(ISNUMBER(SEARCH("SUBSOLO",E5135)),IFERROR(-VALUE(LEFT(E5135,FIND("º",SUBSTITUTE(E5135,"°","º"))-1)),-1),IF(LEFT(E5135,6)="TÉRREO",0,IFERROR(VALUE(LEFT(E5135,FIND("º",SUBSTITUTE(E5135,"°","º"))-1)),""))))</f>
        <v/>
      </c>
      <c r="O5135" s="2">
        <f>IF(OR(F5135="",G5135=""),"",IF(G5135&lt;='RETRATO 2027'!$K$5,"CONCLUÍDA",IF(F5135&lt;='RETRATO 2027'!$K$5,"EM ANDAMENTO","A INICIAR")))</f>
        <v/>
      </c>
    </row>
    <row r="5136">
      <c r="M5136" s="2">
        <f>IF(C5136="","",IFERROR(INDEX($S$5:$S$304,MATCH(C5136,$R$5:$R$304,0))&amp;"","?"))</f>
        <v/>
      </c>
      <c r="N5136" s="2">
        <f>IF(E5136="","",IF(ISNUMBER(SEARCH("SUBSOLO",E5136)),IFERROR(-VALUE(LEFT(E5136,FIND("º",SUBSTITUTE(E5136,"°","º"))-1)),-1),IF(LEFT(E5136,6)="TÉRREO",0,IFERROR(VALUE(LEFT(E5136,FIND("º",SUBSTITUTE(E5136,"°","º"))-1)),""))))</f>
        <v/>
      </c>
      <c r="O5136" s="2">
        <f>IF(OR(F5136="",G5136=""),"",IF(G5136&lt;='RETRATO 2027'!$K$5,"CONCLUÍDA",IF(F5136&lt;='RETRATO 2027'!$K$5,"EM ANDAMENTO","A INICIAR")))</f>
        <v/>
      </c>
    </row>
    <row r="5137">
      <c r="M5137" s="2">
        <f>IF(C5137="","",IFERROR(INDEX($S$5:$S$304,MATCH(C5137,$R$5:$R$304,0))&amp;"","?"))</f>
        <v/>
      </c>
      <c r="N5137" s="2">
        <f>IF(E5137="","",IF(ISNUMBER(SEARCH("SUBSOLO",E5137)),IFERROR(-VALUE(LEFT(E5137,FIND("º",SUBSTITUTE(E5137,"°","º"))-1)),-1),IF(LEFT(E5137,6)="TÉRREO",0,IFERROR(VALUE(LEFT(E5137,FIND("º",SUBSTITUTE(E5137,"°","º"))-1)),""))))</f>
        <v/>
      </c>
      <c r="O5137" s="2">
        <f>IF(OR(F5137="",G5137=""),"",IF(G5137&lt;='RETRATO 2027'!$K$5,"CONCLUÍDA",IF(F5137&lt;='RETRATO 2027'!$K$5,"EM ANDAMENTO","A INICIAR")))</f>
        <v/>
      </c>
    </row>
    <row r="5138">
      <c r="M5138" s="2">
        <f>IF(C5138="","",IFERROR(INDEX($S$5:$S$304,MATCH(C5138,$R$5:$R$304,0))&amp;"","?"))</f>
        <v/>
      </c>
      <c r="N5138" s="2">
        <f>IF(E5138="","",IF(ISNUMBER(SEARCH("SUBSOLO",E5138)),IFERROR(-VALUE(LEFT(E5138,FIND("º",SUBSTITUTE(E5138,"°","º"))-1)),-1),IF(LEFT(E5138,6)="TÉRREO",0,IFERROR(VALUE(LEFT(E5138,FIND("º",SUBSTITUTE(E5138,"°","º"))-1)),""))))</f>
        <v/>
      </c>
      <c r="O5138" s="2">
        <f>IF(OR(F5138="",G5138=""),"",IF(G5138&lt;='RETRATO 2027'!$K$5,"CONCLUÍDA",IF(F5138&lt;='RETRATO 2027'!$K$5,"EM ANDAMENTO","A INICIAR")))</f>
        <v/>
      </c>
    </row>
    <row r="5139">
      <c r="M5139" s="2">
        <f>IF(C5139="","",IFERROR(INDEX($S$5:$S$304,MATCH(C5139,$R$5:$R$304,0))&amp;"","?"))</f>
        <v/>
      </c>
      <c r="N5139" s="2">
        <f>IF(E5139="","",IF(ISNUMBER(SEARCH("SUBSOLO",E5139)),IFERROR(-VALUE(LEFT(E5139,FIND("º",SUBSTITUTE(E5139,"°","º"))-1)),-1),IF(LEFT(E5139,6)="TÉRREO",0,IFERROR(VALUE(LEFT(E5139,FIND("º",SUBSTITUTE(E5139,"°","º"))-1)),""))))</f>
        <v/>
      </c>
      <c r="O5139" s="2">
        <f>IF(OR(F5139="",G5139=""),"",IF(G5139&lt;='RETRATO 2027'!$K$5,"CONCLUÍDA",IF(F5139&lt;='RETRATO 2027'!$K$5,"EM ANDAMENTO","A INICIAR")))</f>
        <v/>
      </c>
    </row>
    <row r="5140">
      <c r="M5140" s="2">
        <f>IF(C5140="","",IFERROR(INDEX($S$5:$S$304,MATCH(C5140,$R$5:$R$304,0))&amp;"","?"))</f>
        <v/>
      </c>
      <c r="N5140" s="2">
        <f>IF(E5140="","",IF(ISNUMBER(SEARCH("SUBSOLO",E5140)),IFERROR(-VALUE(LEFT(E5140,FIND("º",SUBSTITUTE(E5140,"°","º"))-1)),-1),IF(LEFT(E5140,6)="TÉRREO",0,IFERROR(VALUE(LEFT(E5140,FIND("º",SUBSTITUTE(E5140,"°","º"))-1)),""))))</f>
        <v/>
      </c>
      <c r="O5140" s="2">
        <f>IF(OR(F5140="",G5140=""),"",IF(G5140&lt;='RETRATO 2027'!$K$5,"CONCLUÍDA",IF(F5140&lt;='RETRATO 2027'!$K$5,"EM ANDAMENTO","A INICIAR")))</f>
        <v/>
      </c>
    </row>
    <row r="5141">
      <c r="M5141" s="2">
        <f>IF(C5141="","",IFERROR(INDEX($S$5:$S$304,MATCH(C5141,$R$5:$R$304,0))&amp;"","?"))</f>
        <v/>
      </c>
      <c r="N5141" s="2">
        <f>IF(E5141="","",IF(ISNUMBER(SEARCH("SUBSOLO",E5141)),IFERROR(-VALUE(LEFT(E5141,FIND("º",SUBSTITUTE(E5141,"°","º"))-1)),-1),IF(LEFT(E5141,6)="TÉRREO",0,IFERROR(VALUE(LEFT(E5141,FIND("º",SUBSTITUTE(E5141,"°","º"))-1)),""))))</f>
        <v/>
      </c>
      <c r="O5141" s="2">
        <f>IF(OR(F5141="",G5141=""),"",IF(G5141&lt;='RETRATO 2027'!$K$5,"CONCLUÍDA",IF(F5141&lt;='RETRATO 2027'!$K$5,"EM ANDAMENTO","A INICIAR")))</f>
        <v/>
      </c>
    </row>
    <row r="5142">
      <c r="M5142" s="2">
        <f>IF(C5142="","",IFERROR(INDEX($S$5:$S$304,MATCH(C5142,$R$5:$R$304,0))&amp;"","?"))</f>
        <v/>
      </c>
      <c r="N5142" s="2">
        <f>IF(E5142="","",IF(ISNUMBER(SEARCH("SUBSOLO",E5142)),IFERROR(-VALUE(LEFT(E5142,FIND("º",SUBSTITUTE(E5142,"°","º"))-1)),-1),IF(LEFT(E5142,6)="TÉRREO",0,IFERROR(VALUE(LEFT(E5142,FIND("º",SUBSTITUTE(E5142,"°","º"))-1)),""))))</f>
        <v/>
      </c>
      <c r="O5142" s="2">
        <f>IF(OR(F5142="",G5142=""),"",IF(G5142&lt;='RETRATO 2027'!$K$5,"CONCLUÍDA",IF(F5142&lt;='RETRATO 2027'!$K$5,"EM ANDAMENTO","A INICIAR")))</f>
        <v/>
      </c>
    </row>
    <row r="5143">
      <c r="M5143" s="2">
        <f>IF(C5143="","",IFERROR(INDEX($S$5:$S$304,MATCH(C5143,$R$5:$R$304,0))&amp;"","?"))</f>
        <v/>
      </c>
      <c r="N5143" s="2">
        <f>IF(E5143="","",IF(ISNUMBER(SEARCH("SUBSOLO",E5143)),IFERROR(-VALUE(LEFT(E5143,FIND("º",SUBSTITUTE(E5143,"°","º"))-1)),-1),IF(LEFT(E5143,6)="TÉRREO",0,IFERROR(VALUE(LEFT(E5143,FIND("º",SUBSTITUTE(E5143,"°","º"))-1)),""))))</f>
        <v/>
      </c>
      <c r="O5143" s="2">
        <f>IF(OR(F5143="",G5143=""),"",IF(G5143&lt;='RETRATO 2027'!$K$5,"CONCLUÍDA",IF(F5143&lt;='RETRATO 2027'!$K$5,"EM ANDAMENTO","A INICIAR")))</f>
        <v/>
      </c>
    </row>
    <row r="5144">
      <c r="M5144" s="2">
        <f>IF(C5144="","",IFERROR(INDEX($S$5:$S$304,MATCH(C5144,$R$5:$R$304,0))&amp;"","?"))</f>
        <v/>
      </c>
      <c r="N5144" s="2">
        <f>IF(E5144="","",IF(ISNUMBER(SEARCH("SUBSOLO",E5144)),IFERROR(-VALUE(LEFT(E5144,FIND("º",SUBSTITUTE(E5144,"°","º"))-1)),-1),IF(LEFT(E5144,6)="TÉRREO",0,IFERROR(VALUE(LEFT(E5144,FIND("º",SUBSTITUTE(E5144,"°","º"))-1)),""))))</f>
        <v/>
      </c>
      <c r="O5144" s="2">
        <f>IF(OR(F5144="",G5144=""),"",IF(G5144&lt;='RETRATO 2027'!$K$5,"CONCLUÍDA",IF(F5144&lt;='RETRATO 2027'!$K$5,"EM ANDAMENTO","A INICIAR")))</f>
        <v/>
      </c>
    </row>
    <row r="5145">
      <c r="M5145" s="2">
        <f>IF(C5145="","",IFERROR(INDEX($S$5:$S$304,MATCH(C5145,$R$5:$R$304,0))&amp;"","?"))</f>
        <v/>
      </c>
      <c r="N5145" s="2">
        <f>IF(E5145="","",IF(ISNUMBER(SEARCH("SUBSOLO",E5145)),IFERROR(-VALUE(LEFT(E5145,FIND("º",SUBSTITUTE(E5145,"°","º"))-1)),-1),IF(LEFT(E5145,6)="TÉRREO",0,IFERROR(VALUE(LEFT(E5145,FIND("º",SUBSTITUTE(E5145,"°","º"))-1)),""))))</f>
        <v/>
      </c>
      <c r="O5145" s="2">
        <f>IF(OR(F5145="",G5145=""),"",IF(G5145&lt;='RETRATO 2027'!$K$5,"CONCLUÍDA",IF(F5145&lt;='RETRATO 2027'!$K$5,"EM ANDAMENTO","A INICIAR")))</f>
        <v/>
      </c>
    </row>
    <row r="5146">
      <c r="M5146" s="2">
        <f>IF(C5146="","",IFERROR(INDEX($S$5:$S$304,MATCH(C5146,$R$5:$R$304,0))&amp;"","?"))</f>
        <v/>
      </c>
      <c r="N5146" s="2">
        <f>IF(E5146="","",IF(ISNUMBER(SEARCH("SUBSOLO",E5146)),IFERROR(-VALUE(LEFT(E5146,FIND("º",SUBSTITUTE(E5146,"°","º"))-1)),-1),IF(LEFT(E5146,6)="TÉRREO",0,IFERROR(VALUE(LEFT(E5146,FIND("º",SUBSTITUTE(E5146,"°","º"))-1)),""))))</f>
        <v/>
      </c>
      <c r="O5146" s="2">
        <f>IF(OR(F5146="",G5146=""),"",IF(G5146&lt;='RETRATO 2027'!$K$5,"CONCLUÍDA",IF(F5146&lt;='RETRATO 2027'!$K$5,"EM ANDAMENTO","A INICIAR")))</f>
        <v/>
      </c>
    </row>
    <row r="5147">
      <c r="M5147" s="2">
        <f>IF(C5147="","",IFERROR(INDEX($S$5:$S$304,MATCH(C5147,$R$5:$R$304,0))&amp;"","?"))</f>
        <v/>
      </c>
      <c r="N5147" s="2">
        <f>IF(E5147="","",IF(ISNUMBER(SEARCH("SUBSOLO",E5147)),IFERROR(-VALUE(LEFT(E5147,FIND("º",SUBSTITUTE(E5147,"°","º"))-1)),-1),IF(LEFT(E5147,6)="TÉRREO",0,IFERROR(VALUE(LEFT(E5147,FIND("º",SUBSTITUTE(E5147,"°","º"))-1)),""))))</f>
        <v/>
      </c>
      <c r="O5147" s="2">
        <f>IF(OR(F5147="",G5147=""),"",IF(G5147&lt;='RETRATO 2027'!$K$5,"CONCLUÍDA",IF(F5147&lt;='RETRATO 2027'!$K$5,"EM ANDAMENTO","A INICIAR")))</f>
        <v/>
      </c>
    </row>
    <row r="5148">
      <c r="M5148" s="2">
        <f>IF(C5148="","",IFERROR(INDEX($S$5:$S$304,MATCH(C5148,$R$5:$R$304,0))&amp;"","?"))</f>
        <v/>
      </c>
      <c r="N5148" s="2">
        <f>IF(E5148="","",IF(ISNUMBER(SEARCH("SUBSOLO",E5148)),IFERROR(-VALUE(LEFT(E5148,FIND("º",SUBSTITUTE(E5148,"°","º"))-1)),-1),IF(LEFT(E5148,6)="TÉRREO",0,IFERROR(VALUE(LEFT(E5148,FIND("º",SUBSTITUTE(E5148,"°","º"))-1)),""))))</f>
        <v/>
      </c>
      <c r="O5148" s="2">
        <f>IF(OR(F5148="",G5148=""),"",IF(G5148&lt;='RETRATO 2027'!$K$5,"CONCLUÍDA",IF(F5148&lt;='RETRATO 2027'!$K$5,"EM ANDAMENTO","A INICIAR")))</f>
        <v/>
      </c>
    </row>
    <row r="5149">
      <c r="M5149" s="2">
        <f>IF(C5149="","",IFERROR(INDEX($S$5:$S$304,MATCH(C5149,$R$5:$R$304,0))&amp;"","?"))</f>
        <v/>
      </c>
      <c r="N5149" s="2">
        <f>IF(E5149="","",IF(ISNUMBER(SEARCH("SUBSOLO",E5149)),IFERROR(-VALUE(LEFT(E5149,FIND("º",SUBSTITUTE(E5149,"°","º"))-1)),-1),IF(LEFT(E5149,6)="TÉRREO",0,IFERROR(VALUE(LEFT(E5149,FIND("º",SUBSTITUTE(E5149,"°","º"))-1)),""))))</f>
        <v/>
      </c>
      <c r="O5149" s="2">
        <f>IF(OR(F5149="",G5149=""),"",IF(G5149&lt;='RETRATO 2027'!$K$5,"CONCLUÍDA",IF(F5149&lt;='RETRATO 2027'!$K$5,"EM ANDAMENTO","A INICIAR")))</f>
        <v/>
      </c>
    </row>
    <row r="5150">
      <c r="M5150" s="2">
        <f>IF(C5150="","",IFERROR(INDEX($S$5:$S$304,MATCH(C5150,$R$5:$R$304,0))&amp;"","?"))</f>
        <v/>
      </c>
      <c r="N5150" s="2">
        <f>IF(E5150="","",IF(ISNUMBER(SEARCH("SUBSOLO",E5150)),IFERROR(-VALUE(LEFT(E5150,FIND("º",SUBSTITUTE(E5150,"°","º"))-1)),-1),IF(LEFT(E5150,6)="TÉRREO",0,IFERROR(VALUE(LEFT(E5150,FIND("º",SUBSTITUTE(E5150,"°","º"))-1)),""))))</f>
        <v/>
      </c>
      <c r="O5150" s="2">
        <f>IF(OR(F5150="",G5150=""),"",IF(G5150&lt;='RETRATO 2027'!$K$5,"CONCLUÍDA",IF(F5150&lt;='RETRATO 2027'!$K$5,"EM ANDAMENTO","A INICIAR")))</f>
        <v/>
      </c>
    </row>
    <row r="5151">
      <c r="M5151" s="2">
        <f>IF(C5151="","",IFERROR(INDEX($S$5:$S$304,MATCH(C5151,$R$5:$R$304,0))&amp;"","?"))</f>
        <v/>
      </c>
      <c r="N5151" s="2">
        <f>IF(E5151="","",IF(ISNUMBER(SEARCH("SUBSOLO",E5151)),IFERROR(-VALUE(LEFT(E5151,FIND("º",SUBSTITUTE(E5151,"°","º"))-1)),-1),IF(LEFT(E5151,6)="TÉRREO",0,IFERROR(VALUE(LEFT(E5151,FIND("º",SUBSTITUTE(E5151,"°","º"))-1)),""))))</f>
        <v/>
      </c>
      <c r="O5151" s="2">
        <f>IF(OR(F5151="",G5151=""),"",IF(G5151&lt;='RETRATO 2027'!$K$5,"CONCLUÍDA",IF(F5151&lt;='RETRATO 2027'!$K$5,"EM ANDAMENTO","A INICIAR")))</f>
        <v/>
      </c>
    </row>
    <row r="5152">
      <c r="M5152" s="2">
        <f>IF(C5152="","",IFERROR(INDEX($S$5:$S$304,MATCH(C5152,$R$5:$R$304,0))&amp;"","?"))</f>
        <v/>
      </c>
      <c r="N5152" s="2">
        <f>IF(E5152="","",IF(ISNUMBER(SEARCH("SUBSOLO",E5152)),IFERROR(-VALUE(LEFT(E5152,FIND("º",SUBSTITUTE(E5152,"°","º"))-1)),-1),IF(LEFT(E5152,6)="TÉRREO",0,IFERROR(VALUE(LEFT(E5152,FIND("º",SUBSTITUTE(E5152,"°","º"))-1)),""))))</f>
        <v/>
      </c>
      <c r="O5152" s="2">
        <f>IF(OR(F5152="",G5152=""),"",IF(G5152&lt;='RETRATO 2027'!$K$5,"CONCLUÍDA",IF(F5152&lt;='RETRATO 2027'!$K$5,"EM ANDAMENTO","A INICIAR")))</f>
        <v/>
      </c>
    </row>
    <row r="5153">
      <c r="M5153" s="2">
        <f>IF(C5153="","",IFERROR(INDEX($S$5:$S$304,MATCH(C5153,$R$5:$R$304,0))&amp;"","?"))</f>
        <v/>
      </c>
      <c r="N5153" s="2">
        <f>IF(E5153="","",IF(ISNUMBER(SEARCH("SUBSOLO",E5153)),IFERROR(-VALUE(LEFT(E5153,FIND("º",SUBSTITUTE(E5153,"°","º"))-1)),-1),IF(LEFT(E5153,6)="TÉRREO",0,IFERROR(VALUE(LEFT(E5153,FIND("º",SUBSTITUTE(E5153,"°","º"))-1)),""))))</f>
        <v/>
      </c>
      <c r="O5153" s="2">
        <f>IF(OR(F5153="",G5153=""),"",IF(G5153&lt;='RETRATO 2027'!$K$5,"CONCLUÍDA",IF(F5153&lt;='RETRATO 2027'!$K$5,"EM ANDAMENTO","A INICIAR")))</f>
        <v/>
      </c>
    </row>
    <row r="5154">
      <c r="M5154" s="2">
        <f>IF(C5154="","",IFERROR(INDEX($S$5:$S$304,MATCH(C5154,$R$5:$R$304,0))&amp;"","?"))</f>
        <v/>
      </c>
      <c r="N5154" s="2">
        <f>IF(E5154="","",IF(ISNUMBER(SEARCH("SUBSOLO",E5154)),IFERROR(-VALUE(LEFT(E5154,FIND("º",SUBSTITUTE(E5154,"°","º"))-1)),-1),IF(LEFT(E5154,6)="TÉRREO",0,IFERROR(VALUE(LEFT(E5154,FIND("º",SUBSTITUTE(E5154,"°","º"))-1)),""))))</f>
        <v/>
      </c>
      <c r="O5154" s="2">
        <f>IF(OR(F5154="",G5154=""),"",IF(G5154&lt;='RETRATO 2027'!$K$5,"CONCLUÍDA",IF(F5154&lt;='RETRATO 2027'!$K$5,"EM ANDAMENTO","A INICIAR")))</f>
        <v/>
      </c>
    </row>
    <row r="5155">
      <c r="M5155" s="2">
        <f>IF(C5155="","",IFERROR(INDEX($S$5:$S$304,MATCH(C5155,$R$5:$R$304,0))&amp;"","?"))</f>
        <v/>
      </c>
      <c r="N5155" s="2">
        <f>IF(E5155="","",IF(ISNUMBER(SEARCH("SUBSOLO",E5155)),IFERROR(-VALUE(LEFT(E5155,FIND("º",SUBSTITUTE(E5155,"°","º"))-1)),-1),IF(LEFT(E5155,6)="TÉRREO",0,IFERROR(VALUE(LEFT(E5155,FIND("º",SUBSTITUTE(E5155,"°","º"))-1)),""))))</f>
        <v/>
      </c>
      <c r="O5155" s="2">
        <f>IF(OR(F5155="",G5155=""),"",IF(G5155&lt;='RETRATO 2027'!$K$5,"CONCLUÍDA",IF(F5155&lt;='RETRATO 2027'!$K$5,"EM ANDAMENTO","A INICIAR")))</f>
        <v/>
      </c>
    </row>
    <row r="5156">
      <c r="M5156" s="2">
        <f>IF(C5156="","",IFERROR(INDEX($S$5:$S$304,MATCH(C5156,$R$5:$R$304,0))&amp;"","?"))</f>
        <v/>
      </c>
      <c r="N5156" s="2">
        <f>IF(E5156="","",IF(ISNUMBER(SEARCH("SUBSOLO",E5156)),IFERROR(-VALUE(LEFT(E5156,FIND("º",SUBSTITUTE(E5156,"°","º"))-1)),-1),IF(LEFT(E5156,6)="TÉRREO",0,IFERROR(VALUE(LEFT(E5156,FIND("º",SUBSTITUTE(E5156,"°","º"))-1)),""))))</f>
        <v/>
      </c>
      <c r="O5156" s="2">
        <f>IF(OR(F5156="",G5156=""),"",IF(G5156&lt;='RETRATO 2027'!$K$5,"CONCLUÍDA",IF(F5156&lt;='RETRATO 2027'!$K$5,"EM ANDAMENTO","A INICIAR")))</f>
        <v/>
      </c>
    </row>
    <row r="5157">
      <c r="M5157" s="2">
        <f>IF(C5157="","",IFERROR(INDEX($S$5:$S$304,MATCH(C5157,$R$5:$R$304,0))&amp;"","?"))</f>
        <v/>
      </c>
      <c r="N5157" s="2">
        <f>IF(E5157="","",IF(ISNUMBER(SEARCH("SUBSOLO",E5157)),IFERROR(-VALUE(LEFT(E5157,FIND("º",SUBSTITUTE(E5157,"°","º"))-1)),-1),IF(LEFT(E5157,6)="TÉRREO",0,IFERROR(VALUE(LEFT(E5157,FIND("º",SUBSTITUTE(E5157,"°","º"))-1)),""))))</f>
        <v/>
      </c>
      <c r="O5157" s="2">
        <f>IF(OR(F5157="",G5157=""),"",IF(G5157&lt;='RETRATO 2027'!$K$5,"CONCLUÍDA",IF(F5157&lt;='RETRATO 2027'!$K$5,"EM ANDAMENTO","A INICIAR")))</f>
        <v/>
      </c>
    </row>
    <row r="5158">
      <c r="M5158" s="2">
        <f>IF(C5158="","",IFERROR(INDEX($S$5:$S$304,MATCH(C5158,$R$5:$R$304,0))&amp;"","?"))</f>
        <v/>
      </c>
      <c r="N5158" s="2">
        <f>IF(E5158="","",IF(ISNUMBER(SEARCH("SUBSOLO",E5158)),IFERROR(-VALUE(LEFT(E5158,FIND("º",SUBSTITUTE(E5158,"°","º"))-1)),-1),IF(LEFT(E5158,6)="TÉRREO",0,IFERROR(VALUE(LEFT(E5158,FIND("º",SUBSTITUTE(E5158,"°","º"))-1)),""))))</f>
        <v/>
      </c>
      <c r="O5158" s="2">
        <f>IF(OR(F5158="",G5158=""),"",IF(G5158&lt;='RETRATO 2027'!$K$5,"CONCLUÍDA",IF(F5158&lt;='RETRATO 2027'!$K$5,"EM ANDAMENTO","A INICIAR")))</f>
        <v/>
      </c>
    </row>
    <row r="5159">
      <c r="M5159" s="2">
        <f>IF(C5159="","",IFERROR(INDEX($S$5:$S$304,MATCH(C5159,$R$5:$R$304,0))&amp;"","?"))</f>
        <v/>
      </c>
      <c r="N5159" s="2">
        <f>IF(E5159="","",IF(ISNUMBER(SEARCH("SUBSOLO",E5159)),IFERROR(-VALUE(LEFT(E5159,FIND("º",SUBSTITUTE(E5159,"°","º"))-1)),-1),IF(LEFT(E5159,6)="TÉRREO",0,IFERROR(VALUE(LEFT(E5159,FIND("º",SUBSTITUTE(E5159,"°","º"))-1)),""))))</f>
        <v/>
      </c>
      <c r="O5159" s="2">
        <f>IF(OR(F5159="",G5159=""),"",IF(G5159&lt;='RETRATO 2027'!$K$5,"CONCLUÍDA",IF(F5159&lt;='RETRATO 2027'!$K$5,"EM ANDAMENTO","A INICIAR")))</f>
        <v/>
      </c>
    </row>
    <row r="5160">
      <c r="M5160" s="2">
        <f>IF(C5160="","",IFERROR(INDEX($S$5:$S$304,MATCH(C5160,$R$5:$R$304,0))&amp;"","?"))</f>
        <v/>
      </c>
      <c r="N5160" s="2">
        <f>IF(E5160="","",IF(ISNUMBER(SEARCH("SUBSOLO",E5160)),IFERROR(-VALUE(LEFT(E5160,FIND("º",SUBSTITUTE(E5160,"°","º"))-1)),-1),IF(LEFT(E5160,6)="TÉRREO",0,IFERROR(VALUE(LEFT(E5160,FIND("º",SUBSTITUTE(E5160,"°","º"))-1)),""))))</f>
        <v/>
      </c>
      <c r="O5160" s="2">
        <f>IF(OR(F5160="",G5160=""),"",IF(G5160&lt;='RETRATO 2027'!$K$5,"CONCLUÍDA",IF(F5160&lt;='RETRATO 2027'!$K$5,"EM ANDAMENTO","A INICIAR")))</f>
        <v/>
      </c>
    </row>
    <row r="5161">
      <c r="M5161" s="2">
        <f>IF(C5161="","",IFERROR(INDEX($S$5:$S$304,MATCH(C5161,$R$5:$R$304,0))&amp;"","?"))</f>
        <v/>
      </c>
      <c r="N5161" s="2">
        <f>IF(E5161="","",IF(ISNUMBER(SEARCH("SUBSOLO",E5161)),IFERROR(-VALUE(LEFT(E5161,FIND("º",SUBSTITUTE(E5161,"°","º"))-1)),-1),IF(LEFT(E5161,6)="TÉRREO",0,IFERROR(VALUE(LEFT(E5161,FIND("º",SUBSTITUTE(E5161,"°","º"))-1)),""))))</f>
        <v/>
      </c>
      <c r="O5161" s="2">
        <f>IF(OR(F5161="",G5161=""),"",IF(G5161&lt;='RETRATO 2027'!$K$5,"CONCLUÍDA",IF(F5161&lt;='RETRATO 2027'!$K$5,"EM ANDAMENTO","A INICIAR")))</f>
        <v/>
      </c>
    </row>
    <row r="5162">
      <c r="M5162" s="2">
        <f>IF(C5162="","",IFERROR(INDEX($S$5:$S$304,MATCH(C5162,$R$5:$R$304,0))&amp;"","?"))</f>
        <v/>
      </c>
      <c r="N5162" s="2">
        <f>IF(E5162="","",IF(ISNUMBER(SEARCH("SUBSOLO",E5162)),IFERROR(-VALUE(LEFT(E5162,FIND("º",SUBSTITUTE(E5162,"°","º"))-1)),-1),IF(LEFT(E5162,6)="TÉRREO",0,IFERROR(VALUE(LEFT(E5162,FIND("º",SUBSTITUTE(E5162,"°","º"))-1)),""))))</f>
        <v/>
      </c>
      <c r="O5162" s="2">
        <f>IF(OR(F5162="",G5162=""),"",IF(G5162&lt;='RETRATO 2027'!$K$5,"CONCLUÍDA",IF(F5162&lt;='RETRATO 2027'!$K$5,"EM ANDAMENTO","A INICIAR")))</f>
        <v/>
      </c>
    </row>
    <row r="5163">
      <c r="M5163" s="2">
        <f>IF(C5163="","",IFERROR(INDEX($S$5:$S$304,MATCH(C5163,$R$5:$R$304,0))&amp;"","?"))</f>
        <v/>
      </c>
      <c r="N5163" s="2">
        <f>IF(E5163="","",IF(ISNUMBER(SEARCH("SUBSOLO",E5163)),IFERROR(-VALUE(LEFT(E5163,FIND("º",SUBSTITUTE(E5163,"°","º"))-1)),-1),IF(LEFT(E5163,6)="TÉRREO",0,IFERROR(VALUE(LEFT(E5163,FIND("º",SUBSTITUTE(E5163,"°","º"))-1)),""))))</f>
        <v/>
      </c>
      <c r="O5163" s="2">
        <f>IF(OR(F5163="",G5163=""),"",IF(G5163&lt;='RETRATO 2027'!$K$5,"CONCLUÍDA",IF(F5163&lt;='RETRATO 2027'!$K$5,"EM ANDAMENTO","A INICIAR")))</f>
        <v/>
      </c>
    </row>
    <row r="5164">
      <c r="M5164" s="2">
        <f>IF(C5164="","",IFERROR(INDEX($S$5:$S$304,MATCH(C5164,$R$5:$R$304,0))&amp;"","?"))</f>
        <v/>
      </c>
      <c r="N5164" s="2">
        <f>IF(E5164="","",IF(ISNUMBER(SEARCH("SUBSOLO",E5164)),IFERROR(-VALUE(LEFT(E5164,FIND("º",SUBSTITUTE(E5164,"°","º"))-1)),-1),IF(LEFT(E5164,6)="TÉRREO",0,IFERROR(VALUE(LEFT(E5164,FIND("º",SUBSTITUTE(E5164,"°","º"))-1)),""))))</f>
        <v/>
      </c>
      <c r="O5164" s="2">
        <f>IF(OR(F5164="",G5164=""),"",IF(G5164&lt;='RETRATO 2027'!$K$5,"CONCLUÍDA",IF(F5164&lt;='RETRATO 2027'!$K$5,"EM ANDAMENTO","A INICIAR")))</f>
        <v/>
      </c>
    </row>
    <row r="5165">
      <c r="M5165" s="2">
        <f>IF(C5165="","",IFERROR(INDEX($S$5:$S$304,MATCH(C5165,$R$5:$R$304,0))&amp;"","?"))</f>
        <v/>
      </c>
      <c r="N5165" s="2">
        <f>IF(E5165="","",IF(ISNUMBER(SEARCH("SUBSOLO",E5165)),IFERROR(-VALUE(LEFT(E5165,FIND("º",SUBSTITUTE(E5165,"°","º"))-1)),-1),IF(LEFT(E5165,6)="TÉRREO",0,IFERROR(VALUE(LEFT(E5165,FIND("º",SUBSTITUTE(E5165,"°","º"))-1)),""))))</f>
        <v/>
      </c>
      <c r="O5165" s="2">
        <f>IF(OR(F5165="",G5165=""),"",IF(G5165&lt;='RETRATO 2027'!$K$5,"CONCLUÍDA",IF(F5165&lt;='RETRATO 2027'!$K$5,"EM ANDAMENTO","A INICIAR")))</f>
        <v/>
      </c>
    </row>
    <row r="5166">
      <c r="M5166" s="2">
        <f>IF(C5166="","",IFERROR(INDEX($S$5:$S$304,MATCH(C5166,$R$5:$R$304,0))&amp;"","?"))</f>
        <v/>
      </c>
      <c r="N5166" s="2">
        <f>IF(E5166="","",IF(ISNUMBER(SEARCH("SUBSOLO",E5166)),IFERROR(-VALUE(LEFT(E5166,FIND("º",SUBSTITUTE(E5166,"°","º"))-1)),-1),IF(LEFT(E5166,6)="TÉRREO",0,IFERROR(VALUE(LEFT(E5166,FIND("º",SUBSTITUTE(E5166,"°","º"))-1)),""))))</f>
        <v/>
      </c>
      <c r="O5166" s="2">
        <f>IF(OR(F5166="",G5166=""),"",IF(G5166&lt;='RETRATO 2027'!$K$5,"CONCLUÍDA",IF(F5166&lt;='RETRATO 2027'!$K$5,"EM ANDAMENTO","A INICIAR")))</f>
        <v/>
      </c>
    </row>
    <row r="5167">
      <c r="M5167" s="2">
        <f>IF(C5167="","",IFERROR(INDEX($S$5:$S$304,MATCH(C5167,$R$5:$R$304,0))&amp;"","?"))</f>
        <v/>
      </c>
      <c r="N5167" s="2">
        <f>IF(E5167="","",IF(ISNUMBER(SEARCH("SUBSOLO",E5167)),IFERROR(-VALUE(LEFT(E5167,FIND("º",SUBSTITUTE(E5167,"°","º"))-1)),-1),IF(LEFT(E5167,6)="TÉRREO",0,IFERROR(VALUE(LEFT(E5167,FIND("º",SUBSTITUTE(E5167,"°","º"))-1)),""))))</f>
        <v/>
      </c>
      <c r="O5167" s="2">
        <f>IF(OR(F5167="",G5167=""),"",IF(G5167&lt;='RETRATO 2027'!$K$5,"CONCLUÍDA",IF(F5167&lt;='RETRATO 2027'!$K$5,"EM ANDAMENTO","A INICIAR")))</f>
        <v/>
      </c>
    </row>
    <row r="5168">
      <c r="M5168" s="2">
        <f>IF(C5168="","",IFERROR(INDEX($S$5:$S$304,MATCH(C5168,$R$5:$R$304,0))&amp;"","?"))</f>
        <v/>
      </c>
      <c r="N5168" s="2">
        <f>IF(E5168="","",IF(ISNUMBER(SEARCH("SUBSOLO",E5168)),IFERROR(-VALUE(LEFT(E5168,FIND("º",SUBSTITUTE(E5168,"°","º"))-1)),-1),IF(LEFT(E5168,6)="TÉRREO",0,IFERROR(VALUE(LEFT(E5168,FIND("º",SUBSTITUTE(E5168,"°","º"))-1)),""))))</f>
        <v/>
      </c>
      <c r="O5168" s="2">
        <f>IF(OR(F5168="",G5168=""),"",IF(G5168&lt;='RETRATO 2027'!$K$5,"CONCLUÍDA",IF(F5168&lt;='RETRATO 2027'!$K$5,"EM ANDAMENTO","A INICIAR")))</f>
        <v/>
      </c>
    </row>
    <row r="5169">
      <c r="M5169" s="2">
        <f>IF(C5169="","",IFERROR(INDEX($S$5:$S$304,MATCH(C5169,$R$5:$R$304,0))&amp;"","?"))</f>
        <v/>
      </c>
      <c r="N5169" s="2">
        <f>IF(E5169="","",IF(ISNUMBER(SEARCH("SUBSOLO",E5169)),IFERROR(-VALUE(LEFT(E5169,FIND("º",SUBSTITUTE(E5169,"°","º"))-1)),-1),IF(LEFT(E5169,6)="TÉRREO",0,IFERROR(VALUE(LEFT(E5169,FIND("º",SUBSTITUTE(E5169,"°","º"))-1)),""))))</f>
        <v/>
      </c>
      <c r="O5169" s="2">
        <f>IF(OR(F5169="",G5169=""),"",IF(G5169&lt;='RETRATO 2027'!$K$5,"CONCLUÍDA",IF(F5169&lt;='RETRATO 2027'!$K$5,"EM ANDAMENTO","A INICIAR")))</f>
        <v/>
      </c>
    </row>
    <row r="5170">
      <c r="M5170" s="2">
        <f>IF(C5170="","",IFERROR(INDEX($S$5:$S$304,MATCH(C5170,$R$5:$R$304,0))&amp;"","?"))</f>
        <v/>
      </c>
      <c r="N5170" s="2">
        <f>IF(E5170="","",IF(ISNUMBER(SEARCH("SUBSOLO",E5170)),IFERROR(-VALUE(LEFT(E5170,FIND("º",SUBSTITUTE(E5170,"°","º"))-1)),-1),IF(LEFT(E5170,6)="TÉRREO",0,IFERROR(VALUE(LEFT(E5170,FIND("º",SUBSTITUTE(E5170,"°","º"))-1)),""))))</f>
        <v/>
      </c>
      <c r="O5170" s="2">
        <f>IF(OR(F5170="",G5170=""),"",IF(G5170&lt;='RETRATO 2027'!$K$5,"CONCLUÍDA",IF(F5170&lt;='RETRATO 2027'!$K$5,"EM ANDAMENTO","A INICIAR")))</f>
        <v/>
      </c>
    </row>
    <row r="5171">
      <c r="M5171" s="2">
        <f>IF(C5171="","",IFERROR(INDEX($S$5:$S$304,MATCH(C5171,$R$5:$R$304,0))&amp;"","?"))</f>
        <v/>
      </c>
      <c r="N5171" s="2">
        <f>IF(E5171="","",IF(ISNUMBER(SEARCH("SUBSOLO",E5171)),IFERROR(-VALUE(LEFT(E5171,FIND("º",SUBSTITUTE(E5171,"°","º"))-1)),-1),IF(LEFT(E5171,6)="TÉRREO",0,IFERROR(VALUE(LEFT(E5171,FIND("º",SUBSTITUTE(E5171,"°","º"))-1)),""))))</f>
        <v/>
      </c>
      <c r="O5171" s="2">
        <f>IF(OR(F5171="",G5171=""),"",IF(G5171&lt;='RETRATO 2027'!$K$5,"CONCLUÍDA",IF(F5171&lt;='RETRATO 2027'!$K$5,"EM ANDAMENTO","A INICIAR")))</f>
        <v/>
      </c>
    </row>
    <row r="5172">
      <c r="M5172" s="2">
        <f>IF(C5172="","",IFERROR(INDEX($S$5:$S$304,MATCH(C5172,$R$5:$R$304,0))&amp;"","?"))</f>
        <v/>
      </c>
      <c r="N5172" s="2">
        <f>IF(E5172="","",IF(ISNUMBER(SEARCH("SUBSOLO",E5172)),IFERROR(-VALUE(LEFT(E5172,FIND("º",SUBSTITUTE(E5172,"°","º"))-1)),-1),IF(LEFT(E5172,6)="TÉRREO",0,IFERROR(VALUE(LEFT(E5172,FIND("º",SUBSTITUTE(E5172,"°","º"))-1)),""))))</f>
        <v/>
      </c>
      <c r="O5172" s="2">
        <f>IF(OR(F5172="",G5172=""),"",IF(G5172&lt;='RETRATO 2027'!$K$5,"CONCLUÍDA",IF(F5172&lt;='RETRATO 2027'!$K$5,"EM ANDAMENTO","A INICIAR")))</f>
        <v/>
      </c>
    </row>
    <row r="5173">
      <c r="M5173" s="2">
        <f>IF(C5173="","",IFERROR(INDEX($S$5:$S$304,MATCH(C5173,$R$5:$R$304,0))&amp;"","?"))</f>
        <v/>
      </c>
      <c r="N5173" s="2">
        <f>IF(E5173="","",IF(ISNUMBER(SEARCH("SUBSOLO",E5173)),IFERROR(-VALUE(LEFT(E5173,FIND("º",SUBSTITUTE(E5173,"°","º"))-1)),-1),IF(LEFT(E5173,6)="TÉRREO",0,IFERROR(VALUE(LEFT(E5173,FIND("º",SUBSTITUTE(E5173,"°","º"))-1)),""))))</f>
        <v/>
      </c>
      <c r="O5173" s="2">
        <f>IF(OR(F5173="",G5173=""),"",IF(G5173&lt;='RETRATO 2027'!$K$5,"CONCLUÍDA",IF(F5173&lt;='RETRATO 2027'!$K$5,"EM ANDAMENTO","A INICIAR")))</f>
        <v/>
      </c>
    </row>
    <row r="5174">
      <c r="M5174" s="2">
        <f>IF(C5174="","",IFERROR(INDEX($S$5:$S$304,MATCH(C5174,$R$5:$R$304,0))&amp;"","?"))</f>
        <v/>
      </c>
      <c r="N5174" s="2">
        <f>IF(E5174="","",IF(ISNUMBER(SEARCH("SUBSOLO",E5174)),IFERROR(-VALUE(LEFT(E5174,FIND("º",SUBSTITUTE(E5174,"°","º"))-1)),-1),IF(LEFT(E5174,6)="TÉRREO",0,IFERROR(VALUE(LEFT(E5174,FIND("º",SUBSTITUTE(E5174,"°","º"))-1)),""))))</f>
        <v/>
      </c>
      <c r="O5174" s="2">
        <f>IF(OR(F5174="",G5174=""),"",IF(G5174&lt;='RETRATO 2027'!$K$5,"CONCLUÍDA",IF(F5174&lt;='RETRATO 2027'!$K$5,"EM ANDAMENTO","A INICIAR")))</f>
        <v/>
      </c>
    </row>
    <row r="5175">
      <c r="M5175" s="2">
        <f>IF(C5175="","",IFERROR(INDEX($S$5:$S$304,MATCH(C5175,$R$5:$R$304,0))&amp;"","?"))</f>
        <v/>
      </c>
      <c r="N5175" s="2">
        <f>IF(E5175="","",IF(ISNUMBER(SEARCH("SUBSOLO",E5175)),IFERROR(-VALUE(LEFT(E5175,FIND("º",SUBSTITUTE(E5175,"°","º"))-1)),-1),IF(LEFT(E5175,6)="TÉRREO",0,IFERROR(VALUE(LEFT(E5175,FIND("º",SUBSTITUTE(E5175,"°","º"))-1)),""))))</f>
        <v/>
      </c>
      <c r="O5175" s="2">
        <f>IF(OR(F5175="",G5175=""),"",IF(G5175&lt;='RETRATO 2027'!$K$5,"CONCLUÍDA",IF(F5175&lt;='RETRATO 2027'!$K$5,"EM ANDAMENTO","A INICIAR")))</f>
        <v/>
      </c>
    </row>
    <row r="5176">
      <c r="M5176" s="2">
        <f>IF(C5176="","",IFERROR(INDEX($S$5:$S$304,MATCH(C5176,$R$5:$R$304,0))&amp;"","?"))</f>
        <v/>
      </c>
      <c r="N5176" s="2">
        <f>IF(E5176="","",IF(ISNUMBER(SEARCH("SUBSOLO",E5176)),IFERROR(-VALUE(LEFT(E5176,FIND("º",SUBSTITUTE(E5176,"°","º"))-1)),-1),IF(LEFT(E5176,6)="TÉRREO",0,IFERROR(VALUE(LEFT(E5176,FIND("º",SUBSTITUTE(E5176,"°","º"))-1)),""))))</f>
        <v/>
      </c>
      <c r="O5176" s="2">
        <f>IF(OR(F5176="",G5176=""),"",IF(G5176&lt;='RETRATO 2027'!$K$5,"CONCLUÍDA",IF(F5176&lt;='RETRATO 2027'!$K$5,"EM ANDAMENTO","A INICIAR")))</f>
        <v/>
      </c>
    </row>
    <row r="5177">
      <c r="M5177" s="2">
        <f>IF(C5177="","",IFERROR(INDEX($S$5:$S$304,MATCH(C5177,$R$5:$R$304,0))&amp;"","?"))</f>
        <v/>
      </c>
      <c r="N5177" s="2">
        <f>IF(E5177="","",IF(ISNUMBER(SEARCH("SUBSOLO",E5177)),IFERROR(-VALUE(LEFT(E5177,FIND("º",SUBSTITUTE(E5177,"°","º"))-1)),-1),IF(LEFT(E5177,6)="TÉRREO",0,IFERROR(VALUE(LEFT(E5177,FIND("º",SUBSTITUTE(E5177,"°","º"))-1)),""))))</f>
        <v/>
      </c>
      <c r="O5177" s="2">
        <f>IF(OR(F5177="",G5177=""),"",IF(G5177&lt;='RETRATO 2027'!$K$5,"CONCLUÍDA",IF(F5177&lt;='RETRATO 2027'!$K$5,"EM ANDAMENTO","A INICIAR")))</f>
        <v/>
      </c>
    </row>
    <row r="5178">
      <c r="M5178" s="2">
        <f>IF(C5178="","",IFERROR(INDEX($S$5:$S$304,MATCH(C5178,$R$5:$R$304,0))&amp;"","?"))</f>
        <v/>
      </c>
      <c r="N5178" s="2">
        <f>IF(E5178="","",IF(ISNUMBER(SEARCH("SUBSOLO",E5178)),IFERROR(-VALUE(LEFT(E5178,FIND("º",SUBSTITUTE(E5178,"°","º"))-1)),-1),IF(LEFT(E5178,6)="TÉRREO",0,IFERROR(VALUE(LEFT(E5178,FIND("º",SUBSTITUTE(E5178,"°","º"))-1)),""))))</f>
        <v/>
      </c>
      <c r="O5178" s="2">
        <f>IF(OR(F5178="",G5178=""),"",IF(G5178&lt;='RETRATO 2027'!$K$5,"CONCLUÍDA",IF(F5178&lt;='RETRATO 2027'!$K$5,"EM ANDAMENTO","A INICIAR")))</f>
        <v/>
      </c>
    </row>
    <row r="5179">
      <c r="M5179" s="2">
        <f>IF(C5179="","",IFERROR(INDEX($S$5:$S$304,MATCH(C5179,$R$5:$R$304,0))&amp;"","?"))</f>
        <v/>
      </c>
      <c r="N5179" s="2">
        <f>IF(E5179="","",IF(ISNUMBER(SEARCH("SUBSOLO",E5179)),IFERROR(-VALUE(LEFT(E5179,FIND("º",SUBSTITUTE(E5179,"°","º"))-1)),-1),IF(LEFT(E5179,6)="TÉRREO",0,IFERROR(VALUE(LEFT(E5179,FIND("º",SUBSTITUTE(E5179,"°","º"))-1)),""))))</f>
        <v/>
      </c>
      <c r="O5179" s="2">
        <f>IF(OR(F5179="",G5179=""),"",IF(G5179&lt;='RETRATO 2027'!$K$5,"CONCLUÍDA",IF(F5179&lt;='RETRATO 2027'!$K$5,"EM ANDAMENTO","A INICIAR")))</f>
        <v/>
      </c>
    </row>
    <row r="5180">
      <c r="M5180" s="2">
        <f>IF(C5180="","",IFERROR(INDEX($S$5:$S$304,MATCH(C5180,$R$5:$R$304,0))&amp;"","?"))</f>
        <v/>
      </c>
      <c r="N5180" s="2">
        <f>IF(E5180="","",IF(ISNUMBER(SEARCH("SUBSOLO",E5180)),IFERROR(-VALUE(LEFT(E5180,FIND("º",SUBSTITUTE(E5180,"°","º"))-1)),-1),IF(LEFT(E5180,6)="TÉRREO",0,IFERROR(VALUE(LEFT(E5180,FIND("º",SUBSTITUTE(E5180,"°","º"))-1)),""))))</f>
        <v/>
      </c>
      <c r="O5180" s="2">
        <f>IF(OR(F5180="",G5180=""),"",IF(G5180&lt;='RETRATO 2027'!$K$5,"CONCLUÍDA",IF(F5180&lt;='RETRATO 2027'!$K$5,"EM ANDAMENTO","A INICIAR")))</f>
        <v/>
      </c>
    </row>
    <row r="5181">
      <c r="M5181" s="2">
        <f>IF(C5181="","",IFERROR(INDEX($S$5:$S$304,MATCH(C5181,$R$5:$R$304,0))&amp;"","?"))</f>
        <v/>
      </c>
      <c r="N5181" s="2">
        <f>IF(E5181="","",IF(ISNUMBER(SEARCH("SUBSOLO",E5181)),IFERROR(-VALUE(LEFT(E5181,FIND("º",SUBSTITUTE(E5181,"°","º"))-1)),-1),IF(LEFT(E5181,6)="TÉRREO",0,IFERROR(VALUE(LEFT(E5181,FIND("º",SUBSTITUTE(E5181,"°","º"))-1)),""))))</f>
        <v/>
      </c>
      <c r="O5181" s="2">
        <f>IF(OR(F5181="",G5181=""),"",IF(G5181&lt;='RETRATO 2027'!$K$5,"CONCLUÍDA",IF(F5181&lt;='RETRATO 2027'!$K$5,"EM ANDAMENTO","A INICIAR")))</f>
        <v/>
      </c>
    </row>
    <row r="5182">
      <c r="M5182" s="2">
        <f>IF(C5182="","",IFERROR(INDEX($S$5:$S$304,MATCH(C5182,$R$5:$R$304,0))&amp;"","?"))</f>
        <v/>
      </c>
      <c r="N5182" s="2">
        <f>IF(E5182="","",IF(ISNUMBER(SEARCH("SUBSOLO",E5182)),IFERROR(-VALUE(LEFT(E5182,FIND("º",SUBSTITUTE(E5182,"°","º"))-1)),-1),IF(LEFT(E5182,6)="TÉRREO",0,IFERROR(VALUE(LEFT(E5182,FIND("º",SUBSTITUTE(E5182,"°","º"))-1)),""))))</f>
        <v/>
      </c>
      <c r="O5182" s="2">
        <f>IF(OR(F5182="",G5182=""),"",IF(G5182&lt;='RETRATO 2027'!$K$5,"CONCLUÍDA",IF(F5182&lt;='RETRATO 2027'!$K$5,"EM ANDAMENTO","A INICIAR")))</f>
        <v/>
      </c>
    </row>
    <row r="5183">
      <c r="M5183" s="2">
        <f>IF(C5183="","",IFERROR(INDEX($S$5:$S$304,MATCH(C5183,$R$5:$R$304,0))&amp;"","?"))</f>
        <v/>
      </c>
      <c r="N5183" s="2">
        <f>IF(E5183="","",IF(ISNUMBER(SEARCH("SUBSOLO",E5183)),IFERROR(-VALUE(LEFT(E5183,FIND("º",SUBSTITUTE(E5183,"°","º"))-1)),-1),IF(LEFT(E5183,6)="TÉRREO",0,IFERROR(VALUE(LEFT(E5183,FIND("º",SUBSTITUTE(E5183,"°","º"))-1)),""))))</f>
        <v/>
      </c>
      <c r="O5183" s="2">
        <f>IF(OR(F5183="",G5183=""),"",IF(G5183&lt;='RETRATO 2027'!$K$5,"CONCLUÍDA",IF(F5183&lt;='RETRATO 2027'!$K$5,"EM ANDAMENTO","A INICIAR")))</f>
        <v/>
      </c>
    </row>
    <row r="5184">
      <c r="M5184" s="2">
        <f>IF(C5184="","",IFERROR(INDEX($S$5:$S$304,MATCH(C5184,$R$5:$R$304,0))&amp;"","?"))</f>
        <v/>
      </c>
      <c r="N5184" s="2">
        <f>IF(E5184="","",IF(ISNUMBER(SEARCH("SUBSOLO",E5184)),IFERROR(-VALUE(LEFT(E5184,FIND("º",SUBSTITUTE(E5184,"°","º"))-1)),-1),IF(LEFT(E5184,6)="TÉRREO",0,IFERROR(VALUE(LEFT(E5184,FIND("º",SUBSTITUTE(E5184,"°","º"))-1)),""))))</f>
        <v/>
      </c>
      <c r="O5184" s="2">
        <f>IF(OR(F5184="",G5184=""),"",IF(G5184&lt;='RETRATO 2027'!$K$5,"CONCLUÍDA",IF(F5184&lt;='RETRATO 2027'!$K$5,"EM ANDAMENTO","A INICIAR")))</f>
        <v/>
      </c>
    </row>
    <row r="5185">
      <c r="M5185" s="2">
        <f>IF(C5185="","",IFERROR(INDEX($S$5:$S$304,MATCH(C5185,$R$5:$R$304,0))&amp;"","?"))</f>
        <v/>
      </c>
      <c r="N5185" s="2">
        <f>IF(E5185="","",IF(ISNUMBER(SEARCH("SUBSOLO",E5185)),IFERROR(-VALUE(LEFT(E5185,FIND("º",SUBSTITUTE(E5185,"°","º"))-1)),-1),IF(LEFT(E5185,6)="TÉRREO",0,IFERROR(VALUE(LEFT(E5185,FIND("º",SUBSTITUTE(E5185,"°","º"))-1)),""))))</f>
        <v/>
      </c>
      <c r="O5185" s="2">
        <f>IF(OR(F5185="",G5185=""),"",IF(G5185&lt;='RETRATO 2027'!$K$5,"CONCLUÍDA",IF(F5185&lt;='RETRATO 2027'!$K$5,"EM ANDAMENTO","A INICIAR")))</f>
        <v/>
      </c>
    </row>
    <row r="5186">
      <c r="M5186" s="2">
        <f>IF(C5186="","",IFERROR(INDEX($S$5:$S$304,MATCH(C5186,$R$5:$R$304,0))&amp;"","?"))</f>
        <v/>
      </c>
      <c r="N5186" s="2">
        <f>IF(E5186="","",IF(ISNUMBER(SEARCH("SUBSOLO",E5186)),IFERROR(-VALUE(LEFT(E5186,FIND("º",SUBSTITUTE(E5186,"°","º"))-1)),-1),IF(LEFT(E5186,6)="TÉRREO",0,IFERROR(VALUE(LEFT(E5186,FIND("º",SUBSTITUTE(E5186,"°","º"))-1)),""))))</f>
        <v/>
      </c>
      <c r="O5186" s="2">
        <f>IF(OR(F5186="",G5186=""),"",IF(G5186&lt;='RETRATO 2027'!$K$5,"CONCLUÍDA",IF(F5186&lt;='RETRATO 2027'!$K$5,"EM ANDAMENTO","A INICIAR")))</f>
        <v/>
      </c>
    </row>
    <row r="5187">
      <c r="M5187" s="2">
        <f>IF(C5187="","",IFERROR(INDEX($S$5:$S$304,MATCH(C5187,$R$5:$R$304,0))&amp;"","?"))</f>
        <v/>
      </c>
      <c r="N5187" s="2">
        <f>IF(E5187="","",IF(ISNUMBER(SEARCH("SUBSOLO",E5187)),IFERROR(-VALUE(LEFT(E5187,FIND("º",SUBSTITUTE(E5187,"°","º"))-1)),-1),IF(LEFT(E5187,6)="TÉRREO",0,IFERROR(VALUE(LEFT(E5187,FIND("º",SUBSTITUTE(E5187,"°","º"))-1)),""))))</f>
        <v/>
      </c>
      <c r="O5187" s="2">
        <f>IF(OR(F5187="",G5187=""),"",IF(G5187&lt;='RETRATO 2027'!$K$5,"CONCLUÍDA",IF(F5187&lt;='RETRATO 2027'!$K$5,"EM ANDAMENTO","A INICIAR")))</f>
        <v/>
      </c>
    </row>
    <row r="5188">
      <c r="M5188" s="2">
        <f>IF(C5188="","",IFERROR(INDEX($S$5:$S$304,MATCH(C5188,$R$5:$R$304,0))&amp;"","?"))</f>
        <v/>
      </c>
      <c r="N5188" s="2">
        <f>IF(E5188="","",IF(ISNUMBER(SEARCH("SUBSOLO",E5188)),IFERROR(-VALUE(LEFT(E5188,FIND("º",SUBSTITUTE(E5188,"°","º"))-1)),-1),IF(LEFT(E5188,6)="TÉRREO",0,IFERROR(VALUE(LEFT(E5188,FIND("º",SUBSTITUTE(E5188,"°","º"))-1)),""))))</f>
        <v/>
      </c>
      <c r="O5188" s="2">
        <f>IF(OR(F5188="",G5188=""),"",IF(G5188&lt;='RETRATO 2027'!$K$5,"CONCLUÍDA",IF(F5188&lt;='RETRATO 2027'!$K$5,"EM ANDAMENTO","A INICIAR")))</f>
        <v/>
      </c>
    </row>
    <row r="5189">
      <c r="M5189" s="2">
        <f>IF(C5189="","",IFERROR(INDEX($S$5:$S$304,MATCH(C5189,$R$5:$R$304,0))&amp;"","?"))</f>
        <v/>
      </c>
      <c r="N5189" s="2">
        <f>IF(E5189="","",IF(ISNUMBER(SEARCH("SUBSOLO",E5189)),IFERROR(-VALUE(LEFT(E5189,FIND("º",SUBSTITUTE(E5189,"°","º"))-1)),-1),IF(LEFT(E5189,6)="TÉRREO",0,IFERROR(VALUE(LEFT(E5189,FIND("º",SUBSTITUTE(E5189,"°","º"))-1)),""))))</f>
        <v/>
      </c>
      <c r="O5189" s="2">
        <f>IF(OR(F5189="",G5189=""),"",IF(G5189&lt;='RETRATO 2027'!$K$5,"CONCLUÍDA",IF(F5189&lt;='RETRATO 2027'!$K$5,"EM ANDAMENTO","A INICIAR")))</f>
        <v/>
      </c>
    </row>
    <row r="5190">
      <c r="M5190" s="2">
        <f>IF(C5190="","",IFERROR(INDEX($S$5:$S$304,MATCH(C5190,$R$5:$R$304,0))&amp;"","?"))</f>
        <v/>
      </c>
      <c r="N5190" s="2">
        <f>IF(E5190="","",IF(ISNUMBER(SEARCH("SUBSOLO",E5190)),IFERROR(-VALUE(LEFT(E5190,FIND("º",SUBSTITUTE(E5190,"°","º"))-1)),-1),IF(LEFT(E5190,6)="TÉRREO",0,IFERROR(VALUE(LEFT(E5190,FIND("º",SUBSTITUTE(E5190,"°","º"))-1)),""))))</f>
        <v/>
      </c>
      <c r="O5190" s="2">
        <f>IF(OR(F5190="",G5190=""),"",IF(G5190&lt;='RETRATO 2027'!$K$5,"CONCLUÍDA",IF(F5190&lt;='RETRATO 2027'!$K$5,"EM ANDAMENTO","A INICIAR")))</f>
        <v/>
      </c>
    </row>
    <row r="5191">
      <c r="M5191" s="2">
        <f>IF(C5191="","",IFERROR(INDEX($S$5:$S$304,MATCH(C5191,$R$5:$R$304,0))&amp;"","?"))</f>
        <v/>
      </c>
      <c r="N5191" s="2">
        <f>IF(E5191="","",IF(ISNUMBER(SEARCH("SUBSOLO",E5191)),IFERROR(-VALUE(LEFT(E5191,FIND("º",SUBSTITUTE(E5191,"°","º"))-1)),-1),IF(LEFT(E5191,6)="TÉRREO",0,IFERROR(VALUE(LEFT(E5191,FIND("º",SUBSTITUTE(E5191,"°","º"))-1)),""))))</f>
        <v/>
      </c>
      <c r="O5191" s="2">
        <f>IF(OR(F5191="",G5191=""),"",IF(G5191&lt;='RETRATO 2027'!$K$5,"CONCLUÍDA",IF(F5191&lt;='RETRATO 2027'!$K$5,"EM ANDAMENTO","A INICIAR")))</f>
        <v/>
      </c>
    </row>
    <row r="5192">
      <c r="M5192" s="2">
        <f>IF(C5192="","",IFERROR(INDEX($S$5:$S$304,MATCH(C5192,$R$5:$R$304,0))&amp;"","?"))</f>
        <v/>
      </c>
      <c r="N5192" s="2">
        <f>IF(E5192="","",IF(ISNUMBER(SEARCH("SUBSOLO",E5192)),IFERROR(-VALUE(LEFT(E5192,FIND("º",SUBSTITUTE(E5192,"°","º"))-1)),-1),IF(LEFT(E5192,6)="TÉRREO",0,IFERROR(VALUE(LEFT(E5192,FIND("º",SUBSTITUTE(E5192,"°","º"))-1)),""))))</f>
        <v/>
      </c>
      <c r="O5192" s="2">
        <f>IF(OR(F5192="",G5192=""),"",IF(G5192&lt;='RETRATO 2027'!$K$5,"CONCLUÍDA",IF(F5192&lt;='RETRATO 2027'!$K$5,"EM ANDAMENTO","A INICIAR")))</f>
        <v/>
      </c>
    </row>
    <row r="5193">
      <c r="M5193" s="2">
        <f>IF(C5193="","",IFERROR(INDEX($S$5:$S$304,MATCH(C5193,$R$5:$R$304,0))&amp;"","?"))</f>
        <v/>
      </c>
      <c r="N5193" s="2">
        <f>IF(E5193="","",IF(ISNUMBER(SEARCH("SUBSOLO",E5193)),IFERROR(-VALUE(LEFT(E5193,FIND("º",SUBSTITUTE(E5193,"°","º"))-1)),-1),IF(LEFT(E5193,6)="TÉRREO",0,IFERROR(VALUE(LEFT(E5193,FIND("º",SUBSTITUTE(E5193,"°","º"))-1)),""))))</f>
        <v/>
      </c>
      <c r="O5193" s="2">
        <f>IF(OR(F5193="",G5193=""),"",IF(G5193&lt;='RETRATO 2027'!$K$5,"CONCLUÍDA",IF(F5193&lt;='RETRATO 2027'!$K$5,"EM ANDAMENTO","A INICIAR")))</f>
        <v/>
      </c>
    </row>
    <row r="5194">
      <c r="M5194" s="2">
        <f>IF(C5194="","",IFERROR(INDEX($S$5:$S$304,MATCH(C5194,$R$5:$R$304,0))&amp;"","?"))</f>
        <v/>
      </c>
      <c r="N5194" s="2">
        <f>IF(E5194="","",IF(ISNUMBER(SEARCH("SUBSOLO",E5194)),IFERROR(-VALUE(LEFT(E5194,FIND("º",SUBSTITUTE(E5194,"°","º"))-1)),-1),IF(LEFT(E5194,6)="TÉRREO",0,IFERROR(VALUE(LEFT(E5194,FIND("º",SUBSTITUTE(E5194,"°","º"))-1)),""))))</f>
        <v/>
      </c>
      <c r="O5194" s="2">
        <f>IF(OR(F5194="",G5194=""),"",IF(G5194&lt;='RETRATO 2027'!$K$5,"CONCLUÍDA",IF(F5194&lt;='RETRATO 2027'!$K$5,"EM ANDAMENTO","A INICIAR")))</f>
        <v/>
      </c>
    </row>
    <row r="5195">
      <c r="M5195" s="2">
        <f>IF(C5195="","",IFERROR(INDEX($S$5:$S$304,MATCH(C5195,$R$5:$R$304,0))&amp;"","?"))</f>
        <v/>
      </c>
      <c r="N5195" s="2">
        <f>IF(E5195="","",IF(ISNUMBER(SEARCH("SUBSOLO",E5195)),IFERROR(-VALUE(LEFT(E5195,FIND("º",SUBSTITUTE(E5195,"°","º"))-1)),-1),IF(LEFT(E5195,6)="TÉRREO",0,IFERROR(VALUE(LEFT(E5195,FIND("º",SUBSTITUTE(E5195,"°","º"))-1)),""))))</f>
        <v/>
      </c>
      <c r="O5195" s="2">
        <f>IF(OR(F5195="",G5195=""),"",IF(G5195&lt;='RETRATO 2027'!$K$5,"CONCLUÍDA",IF(F5195&lt;='RETRATO 2027'!$K$5,"EM ANDAMENTO","A INICIAR")))</f>
        <v/>
      </c>
    </row>
    <row r="5196">
      <c r="M5196" s="2">
        <f>IF(C5196="","",IFERROR(INDEX($S$5:$S$304,MATCH(C5196,$R$5:$R$304,0))&amp;"","?"))</f>
        <v/>
      </c>
      <c r="N5196" s="2">
        <f>IF(E5196="","",IF(ISNUMBER(SEARCH("SUBSOLO",E5196)),IFERROR(-VALUE(LEFT(E5196,FIND("º",SUBSTITUTE(E5196,"°","º"))-1)),-1),IF(LEFT(E5196,6)="TÉRREO",0,IFERROR(VALUE(LEFT(E5196,FIND("º",SUBSTITUTE(E5196,"°","º"))-1)),""))))</f>
        <v/>
      </c>
      <c r="O5196" s="2">
        <f>IF(OR(F5196="",G5196=""),"",IF(G5196&lt;='RETRATO 2027'!$K$5,"CONCLUÍDA",IF(F5196&lt;='RETRATO 2027'!$K$5,"EM ANDAMENTO","A INICIAR")))</f>
        <v/>
      </c>
    </row>
    <row r="5197">
      <c r="M5197" s="2">
        <f>IF(C5197="","",IFERROR(INDEX($S$5:$S$304,MATCH(C5197,$R$5:$R$304,0))&amp;"","?"))</f>
        <v/>
      </c>
      <c r="N5197" s="2">
        <f>IF(E5197="","",IF(ISNUMBER(SEARCH("SUBSOLO",E5197)),IFERROR(-VALUE(LEFT(E5197,FIND("º",SUBSTITUTE(E5197,"°","º"))-1)),-1),IF(LEFT(E5197,6)="TÉRREO",0,IFERROR(VALUE(LEFT(E5197,FIND("º",SUBSTITUTE(E5197,"°","º"))-1)),""))))</f>
        <v/>
      </c>
      <c r="O5197" s="2">
        <f>IF(OR(F5197="",G5197=""),"",IF(G5197&lt;='RETRATO 2027'!$K$5,"CONCLUÍDA",IF(F5197&lt;='RETRATO 2027'!$K$5,"EM ANDAMENTO","A INICIAR")))</f>
        <v/>
      </c>
    </row>
    <row r="5198">
      <c r="M5198" s="2">
        <f>IF(C5198="","",IFERROR(INDEX($S$5:$S$304,MATCH(C5198,$R$5:$R$304,0))&amp;"","?"))</f>
        <v/>
      </c>
      <c r="N5198" s="2">
        <f>IF(E5198="","",IF(ISNUMBER(SEARCH("SUBSOLO",E5198)),IFERROR(-VALUE(LEFT(E5198,FIND("º",SUBSTITUTE(E5198,"°","º"))-1)),-1),IF(LEFT(E5198,6)="TÉRREO",0,IFERROR(VALUE(LEFT(E5198,FIND("º",SUBSTITUTE(E5198,"°","º"))-1)),""))))</f>
        <v/>
      </c>
      <c r="O5198" s="2">
        <f>IF(OR(F5198="",G5198=""),"",IF(G5198&lt;='RETRATO 2027'!$K$5,"CONCLUÍDA",IF(F5198&lt;='RETRATO 2027'!$K$5,"EM ANDAMENTO","A INICIAR")))</f>
        <v/>
      </c>
    </row>
    <row r="5199">
      <c r="M5199" s="2">
        <f>IF(C5199="","",IFERROR(INDEX($S$5:$S$304,MATCH(C5199,$R$5:$R$304,0))&amp;"","?"))</f>
        <v/>
      </c>
      <c r="N5199" s="2">
        <f>IF(E5199="","",IF(ISNUMBER(SEARCH("SUBSOLO",E5199)),IFERROR(-VALUE(LEFT(E5199,FIND("º",SUBSTITUTE(E5199,"°","º"))-1)),-1),IF(LEFT(E5199,6)="TÉRREO",0,IFERROR(VALUE(LEFT(E5199,FIND("º",SUBSTITUTE(E5199,"°","º"))-1)),""))))</f>
        <v/>
      </c>
      <c r="O5199" s="2">
        <f>IF(OR(F5199="",G5199=""),"",IF(G5199&lt;='RETRATO 2027'!$K$5,"CONCLUÍDA",IF(F5199&lt;='RETRATO 2027'!$K$5,"EM ANDAMENTO","A INICIAR")))</f>
        <v/>
      </c>
    </row>
    <row r="5200">
      <c r="M5200" s="2">
        <f>IF(C5200="","",IFERROR(INDEX($S$5:$S$304,MATCH(C5200,$R$5:$R$304,0))&amp;"","?"))</f>
        <v/>
      </c>
      <c r="N5200" s="2">
        <f>IF(E5200="","",IF(ISNUMBER(SEARCH("SUBSOLO",E5200)),IFERROR(-VALUE(LEFT(E5200,FIND("º",SUBSTITUTE(E5200,"°","º"))-1)),-1),IF(LEFT(E5200,6)="TÉRREO",0,IFERROR(VALUE(LEFT(E5200,FIND("º",SUBSTITUTE(E5200,"°","º"))-1)),""))))</f>
        <v/>
      </c>
      <c r="O5200" s="2">
        <f>IF(OR(F5200="",G5200=""),"",IF(G5200&lt;='RETRATO 2027'!$K$5,"CONCLUÍDA",IF(F5200&lt;='RETRATO 2027'!$K$5,"EM ANDAMENTO","A INICIAR")))</f>
        <v/>
      </c>
    </row>
    <row r="5201">
      <c r="M5201" s="2">
        <f>IF(C5201="","",IFERROR(INDEX($S$5:$S$304,MATCH(C5201,$R$5:$R$304,0))&amp;"","?"))</f>
        <v/>
      </c>
      <c r="N5201" s="2">
        <f>IF(E5201="","",IF(ISNUMBER(SEARCH("SUBSOLO",E5201)),IFERROR(-VALUE(LEFT(E5201,FIND("º",SUBSTITUTE(E5201,"°","º"))-1)),-1),IF(LEFT(E5201,6)="TÉRREO",0,IFERROR(VALUE(LEFT(E5201,FIND("º",SUBSTITUTE(E5201,"°","º"))-1)),""))))</f>
        <v/>
      </c>
      <c r="O5201" s="2">
        <f>IF(OR(F5201="",G5201=""),"",IF(G5201&lt;='RETRATO 2027'!$K$5,"CONCLUÍDA",IF(F5201&lt;='RETRATO 2027'!$K$5,"EM ANDAMENTO","A INICIAR")))</f>
        <v/>
      </c>
    </row>
    <row r="5202">
      <c r="M5202" s="2">
        <f>IF(C5202="","",IFERROR(INDEX($S$5:$S$304,MATCH(C5202,$R$5:$R$304,0))&amp;"","?"))</f>
        <v/>
      </c>
      <c r="N5202" s="2">
        <f>IF(E5202="","",IF(ISNUMBER(SEARCH("SUBSOLO",E5202)),IFERROR(-VALUE(LEFT(E5202,FIND("º",SUBSTITUTE(E5202,"°","º"))-1)),-1),IF(LEFT(E5202,6)="TÉRREO",0,IFERROR(VALUE(LEFT(E5202,FIND("º",SUBSTITUTE(E5202,"°","º"))-1)),""))))</f>
        <v/>
      </c>
      <c r="O5202" s="2">
        <f>IF(OR(F5202="",G5202=""),"",IF(G5202&lt;='RETRATO 2027'!$K$5,"CONCLUÍDA",IF(F5202&lt;='RETRATO 2027'!$K$5,"EM ANDAMENTO","A INICIAR")))</f>
        <v/>
      </c>
    </row>
    <row r="5203">
      <c r="M5203" s="2">
        <f>IF(C5203="","",IFERROR(INDEX($S$5:$S$304,MATCH(C5203,$R$5:$R$304,0))&amp;"","?"))</f>
        <v/>
      </c>
      <c r="N5203" s="2">
        <f>IF(E5203="","",IF(ISNUMBER(SEARCH("SUBSOLO",E5203)),IFERROR(-VALUE(LEFT(E5203,FIND("º",SUBSTITUTE(E5203,"°","º"))-1)),-1),IF(LEFT(E5203,6)="TÉRREO",0,IFERROR(VALUE(LEFT(E5203,FIND("º",SUBSTITUTE(E5203,"°","º"))-1)),""))))</f>
        <v/>
      </c>
      <c r="O5203" s="2">
        <f>IF(OR(F5203="",G5203=""),"",IF(G5203&lt;='RETRATO 2027'!$K$5,"CONCLUÍDA",IF(F5203&lt;='RETRATO 2027'!$K$5,"EM ANDAMENTO","A INICIAR")))</f>
        <v/>
      </c>
    </row>
    <row r="5204">
      <c r="M5204" s="2">
        <f>IF(C5204="","",IFERROR(INDEX($S$5:$S$304,MATCH(C5204,$R$5:$R$304,0))&amp;"","?"))</f>
        <v/>
      </c>
      <c r="N5204" s="2">
        <f>IF(E5204="","",IF(ISNUMBER(SEARCH("SUBSOLO",E5204)),IFERROR(-VALUE(LEFT(E5204,FIND("º",SUBSTITUTE(E5204,"°","º"))-1)),-1),IF(LEFT(E5204,6)="TÉRREO",0,IFERROR(VALUE(LEFT(E5204,FIND("º",SUBSTITUTE(E5204,"°","º"))-1)),""))))</f>
        <v/>
      </c>
      <c r="O5204" s="2">
        <f>IF(OR(F5204="",G5204=""),"",IF(G5204&lt;='RETRATO 2027'!$K$5,"CONCLUÍDA",IF(F5204&lt;='RETRATO 2027'!$K$5,"EM ANDAMENTO","A INICIAR")))</f>
        <v/>
      </c>
    </row>
    <row r="5205">
      <c r="M5205" s="2">
        <f>IF(C5205="","",IFERROR(INDEX($S$5:$S$304,MATCH(C5205,$R$5:$R$304,0))&amp;"","?"))</f>
        <v/>
      </c>
      <c r="N5205" s="2">
        <f>IF(E5205="","",IF(ISNUMBER(SEARCH("SUBSOLO",E5205)),IFERROR(-VALUE(LEFT(E5205,FIND("º",SUBSTITUTE(E5205,"°","º"))-1)),-1),IF(LEFT(E5205,6)="TÉRREO",0,IFERROR(VALUE(LEFT(E5205,FIND("º",SUBSTITUTE(E5205,"°","º"))-1)),""))))</f>
        <v/>
      </c>
      <c r="O5205" s="2">
        <f>IF(OR(F5205="",G5205=""),"",IF(G5205&lt;='RETRATO 2027'!$K$5,"CONCLUÍDA",IF(F5205&lt;='RETRATO 2027'!$K$5,"EM ANDAMENTO","A INICIAR")))</f>
        <v/>
      </c>
    </row>
    <row r="5206">
      <c r="M5206" s="2">
        <f>IF(C5206="","",IFERROR(INDEX($S$5:$S$304,MATCH(C5206,$R$5:$R$304,0))&amp;"","?"))</f>
        <v/>
      </c>
      <c r="N5206" s="2">
        <f>IF(E5206="","",IF(ISNUMBER(SEARCH("SUBSOLO",E5206)),IFERROR(-VALUE(LEFT(E5206,FIND("º",SUBSTITUTE(E5206,"°","º"))-1)),-1),IF(LEFT(E5206,6)="TÉRREO",0,IFERROR(VALUE(LEFT(E5206,FIND("º",SUBSTITUTE(E5206,"°","º"))-1)),""))))</f>
        <v/>
      </c>
      <c r="O5206" s="2">
        <f>IF(OR(F5206="",G5206=""),"",IF(G5206&lt;='RETRATO 2027'!$K$5,"CONCLUÍDA",IF(F5206&lt;='RETRATO 2027'!$K$5,"EM ANDAMENTO","A INICIAR")))</f>
        <v/>
      </c>
    </row>
    <row r="5207">
      <c r="M5207" s="2">
        <f>IF(C5207="","",IFERROR(INDEX($S$5:$S$304,MATCH(C5207,$R$5:$R$304,0))&amp;"","?"))</f>
        <v/>
      </c>
      <c r="N5207" s="2">
        <f>IF(E5207="","",IF(ISNUMBER(SEARCH("SUBSOLO",E5207)),IFERROR(-VALUE(LEFT(E5207,FIND("º",SUBSTITUTE(E5207,"°","º"))-1)),-1),IF(LEFT(E5207,6)="TÉRREO",0,IFERROR(VALUE(LEFT(E5207,FIND("º",SUBSTITUTE(E5207,"°","º"))-1)),""))))</f>
        <v/>
      </c>
      <c r="O5207" s="2">
        <f>IF(OR(F5207="",G5207=""),"",IF(G5207&lt;='RETRATO 2027'!$K$5,"CONCLUÍDA",IF(F5207&lt;='RETRATO 2027'!$K$5,"EM ANDAMENTO","A INICIAR")))</f>
        <v/>
      </c>
    </row>
    <row r="5208">
      <c r="M5208" s="2">
        <f>IF(C5208="","",IFERROR(INDEX($S$5:$S$304,MATCH(C5208,$R$5:$R$304,0))&amp;"","?"))</f>
        <v/>
      </c>
      <c r="N5208" s="2">
        <f>IF(E5208="","",IF(ISNUMBER(SEARCH("SUBSOLO",E5208)),IFERROR(-VALUE(LEFT(E5208,FIND("º",SUBSTITUTE(E5208,"°","º"))-1)),-1),IF(LEFT(E5208,6)="TÉRREO",0,IFERROR(VALUE(LEFT(E5208,FIND("º",SUBSTITUTE(E5208,"°","º"))-1)),""))))</f>
        <v/>
      </c>
      <c r="O5208" s="2">
        <f>IF(OR(F5208="",G5208=""),"",IF(G5208&lt;='RETRATO 2027'!$K$5,"CONCLUÍDA",IF(F5208&lt;='RETRATO 2027'!$K$5,"EM ANDAMENTO","A INICIAR")))</f>
        <v/>
      </c>
    </row>
    <row r="5209">
      <c r="M5209" s="2">
        <f>IF(C5209="","",IFERROR(INDEX($S$5:$S$304,MATCH(C5209,$R$5:$R$304,0))&amp;"","?"))</f>
        <v/>
      </c>
      <c r="N5209" s="2">
        <f>IF(E5209="","",IF(ISNUMBER(SEARCH("SUBSOLO",E5209)),IFERROR(-VALUE(LEFT(E5209,FIND("º",SUBSTITUTE(E5209,"°","º"))-1)),-1),IF(LEFT(E5209,6)="TÉRREO",0,IFERROR(VALUE(LEFT(E5209,FIND("º",SUBSTITUTE(E5209,"°","º"))-1)),""))))</f>
        <v/>
      </c>
      <c r="O5209" s="2">
        <f>IF(OR(F5209="",G5209=""),"",IF(G5209&lt;='RETRATO 2027'!$K$5,"CONCLUÍDA",IF(F5209&lt;='RETRATO 2027'!$K$5,"EM ANDAMENTO","A INICIAR")))</f>
        <v/>
      </c>
    </row>
    <row r="5210">
      <c r="M5210" s="2">
        <f>IF(C5210="","",IFERROR(INDEX($S$5:$S$304,MATCH(C5210,$R$5:$R$304,0))&amp;"","?"))</f>
        <v/>
      </c>
      <c r="N5210" s="2">
        <f>IF(E5210="","",IF(ISNUMBER(SEARCH("SUBSOLO",E5210)),IFERROR(-VALUE(LEFT(E5210,FIND("º",SUBSTITUTE(E5210,"°","º"))-1)),-1),IF(LEFT(E5210,6)="TÉRREO",0,IFERROR(VALUE(LEFT(E5210,FIND("º",SUBSTITUTE(E5210,"°","º"))-1)),""))))</f>
        <v/>
      </c>
      <c r="O5210" s="2">
        <f>IF(OR(F5210="",G5210=""),"",IF(G5210&lt;='RETRATO 2027'!$K$5,"CONCLUÍDA",IF(F5210&lt;='RETRATO 2027'!$K$5,"EM ANDAMENTO","A INICIAR")))</f>
        <v/>
      </c>
    </row>
    <row r="5211">
      <c r="M5211" s="2">
        <f>IF(C5211="","",IFERROR(INDEX($S$5:$S$304,MATCH(C5211,$R$5:$R$304,0))&amp;"","?"))</f>
        <v/>
      </c>
      <c r="N5211" s="2">
        <f>IF(E5211="","",IF(ISNUMBER(SEARCH("SUBSOLO",E5211)),IFERROR(-VALUE(LEFT(E5211,FIND("º",SUBSTITUTE(E5211,"°","º"))-1)),-1),IF(LEFT(E5211,6)="TÉRREO",0,IFERROR(VALUE(LEFT(E5211,FIND("º",SUBSTITUTE(E5211,"°","º"))-1)),""))))</f>
        <v/>
      </c>
      <c r="O5211" s="2">
        <f>IF(OR(F5211="",G5211=""),"",IF(G5211&lt;='RETRATO 2027'!$K$5,"CONCLUÍDA",IF(F5211&lt;='RETRATO 2027'!$K$5,"EM ANDAMENTO","A INICIAR")))</f>
        <v/>
      </c>
    </row>
    <row r="5212">
      <c r="M5212" s="2">
        <f>IF(C5212="","",IFERROR(INDEX($S$5:$S$304,MATCH(C5212,$R$5:$R$304,0))&amp;"","?"))</f>
        <v/>
      </c>
      <c r="N5212" s="2">
        <f>IF(E5212="","",IF(ISNUMBER(SEARCH("SUBSOLO",E5212)),IFERROR(-VALUE(LEFT(E5212,FIND("º",SUBSTITUTE(E5212,"°","º"))-1)),-1),IF(LEFT(E5212,6)="TÉRREO",0,IFERROR(VALUE(LEFT(E5212,FIND("º",SUBSTITUTE(E5212,"°","º"))-1)),""))))</f>
        <v/>
      </c>
      <c r="O5212" s="2">
        <f>IF(OR(F5212="",G5212=""),"",IF(G5212&lt;='RETRATO 2027'!$K$5,"CONCLUÍDA",IF(F5212&lt;='RETRATO 2027'!$K$5,"EM ANDAMENTO","A INICIAR")))</f>
        <v/>
      </c>
    </row>
    <row r="5213">
      <c r="M5213" s="2">
        <f>IF(C5213="","",IFERROR(INDEX($S$5:$S$304,MATCH(C5213,$R$5:$R$304,0))&amp;"","?"))</f>
        <v/>
      </c>
      <c r="N5213" s="2">
        <f>IF(E5213="","",IF(ISNUMBER(SEARCH("SUBSOLO",E5213)),IFERROR(-VALUE(LEFT(E5213,FIND("º",SUBSTITUTE(E5213,"°","º"))-1)),-1),IF(LEFT(E5213,6)="TÉRREO",0,IFERROR(VALUE(LEFT(E5213,FIND("º",SUBSTITUTE(E5213,"°","º"))-1)),""))))</f>
        <v/>
      </c>
      <c r="O5213" s="2">
        <f>IF(OR(F5213="",G5213=""),"",IF(G5213&lt;='RETRATO 2027'!$K$5,"CONCLUÍDA",IF(F5213&lt;='RETRATO 2027'!$K$5,"EM ANDAMENTO","A INICIAR")))</f>
        <v/>
      </c>
    </row>
    <row r="5214">
      <c r="M5214" s="2">
        <f>IF(C5214="","",IFERROR(INDEX($S$5:$S$304,MATCH(C5214,$R$5:$R$304,0))&amp;"","?"))</f>
        <v/>
      </c>
      <c r="N5214" s="2">
        <f>IF(E5214="","",IF(ISNUMBER(SEARCH("SUBSOLO",E5214)),IFERROR(-VALUE(LEFT(E5214,FIND("º",SUBSTITUTE(E5214,"°","º"))-1)),-1),IF(LEFT(E5214,6)="TÉRREO",0,IFERROR(VALUE(LEFT(E5214,FIND("º",SUBSTITUTE(E5214,"°","º"))-1)),""))))</f>
        <v/>
      </c>
      <c r="O5214" s="2">
        <f>IF(OR(F5214="",G5214=""),"",IF(G5214&lt;='RETRATO 2027'!$K$5,"CONCLUÍDA",IF(F5214&lt;='RETRATO 2027'!$K$5,"EM ANDAMENTO","A INICIAR")))</f>
        <v/>
      </c>
    </row>
    <row r="5215">
      <c r="M5215" s="2">
        <f>IF(C5215="","",IFERROR(INDEX($S$5:$S$304,MATCH(C5215,$R$5:$R$304,0))&amp;"","?"))</f>
        <v/>
      </c>
      <c r="N5215" s="2">
        <f>IF(E5215="","",IF(ISNUMBER(SEARCH("SUBSOLO",E5215)),IFERROR(-VALUE(LEFT(E5215,FIND("º",SUBSTITUTE(E5215,"°","º"))-1)),-1),IF(LEFT(E5215,6)="TÉRREO",0,IFERROR(VALUE(LEFT(E5215,FIND("º",SUBSTITUTE(E5215,"°","º"))-1)),""))))</f>
        <v/>
      </c>
      <c r="O5215" s="2">
        <f>IF(OR(F5215="",G5215=""),"",IF(G5215&lt;='RETRATO 2027'!$K$5,"CONCLUÍDA",IF(F5215&lt;='RETRATO 2027'!$K$5,"EM ANDAMENTO","A INICIAR")))</f>
        <v/>
      </c>
    </row>
    <row r="5216">
      <c r="M5216" s="2">
        <f>IF(C5216="","",IFERROR(INDEX($S$5:$S$304,MATCH(C5216,$R$5:$R$304,0))&amp;"","?"))</f>
        <v/>
      </c>
      <c r="N5216" s="2">
        <f>IF(E5216="","",IF(ISNUMBER(SEARCH("SUBSOLO",E5216)),IFERROR(-VALUE(LEFT(E5216,FIND("º",SUBSTITUTE(E5216,"°","º"))-1)),-1),IF(LEFT(E5216,6)="TÉRREO",0,IFERROR(VALUE(LEFT(E5216,FIND("º",SUBSTITUTE(E5216,"°","º"))-1)),""))))</f>
        <v/>
      </c>
      <c r="O5216" s="2">
        <f>IF(OR(F5216="",G5216=""),"",IF(G5216&lt;='RETRATO 2027'!$K$5,"CONCLUÍDA",IF(F5216&lt;='RETRATO 2027'!$K$5,"EM ANDAMENTO","A INICIAR")))</f>
        <v/>
      </c>
    </row>
    <row r="5217">
      <c r="M5217" s="2">
        <f>IF(C5217="","",IFERROR(INDEX($S$5:$S$304,MATCH(C5217,$R$5:$R$304,0))&amp;"","?"))</f>
        <v/>
      </c>
      <c r="N5217" s="2">
        <f>IF(E5217="","",IF(ISNUMBER(SEARCH("SUBSOLO",E5217)),IFERROR(-VALUE(LEFT(E5217,FIND("º",SUBSTITUTE(E5217,"°","º"))-1)),-1),IF(LEFT(E5217,6)="TÉRREO",0,IFERROR(VALUE(LEFT(E5217,FIND("º",SUBSTITUTE(E5217,"°","º"))-1)),""))))</f>
        <v/>
      </c>
      <c r="O5217" s="2">
        <f>IF(OR(F5217="",G5217=""),"",IF(G5217&lt;='RETRATO 2027'!$K$5,"CONCLUÍDA",IF(F5217&lt;='RETRATO 2027'!$K$5,"EM ANDAMENTO","A INICIAR")))</f>
        <v/>
      </c>
    </row>
    <row r="5218">
      <c r="M5218" s="2">
        <f>IF(C5218="","",IFERROR(INDEX($S$5:$S$304,MATCH(C5218,$R$5:$R$304,0))&amp;"","?"))</f>
        <v/>
      </c>
      <c r="N5218" s="2">
        <f>IF(E5218="","",IF(ISNUMBER(SEARCH("SUBSOLO",E5218)),IFERROR(-VALUE(LEFT(E5218,FIND("º",SUBSTITUTE(E5218,"°","º"))-1)),-1),IF(LEFT(E5218,6)="TÉRREO",0,IFERROR(VALUE(LEFT(E5218,FIND("º",SUBSTITUTE(E5218,"°","º"))-1)),""))))</f>
        <v/>
      </c>
      <c r="O5218" s="2">
        <f>IF(OR(F5218="",G5218=""),"",IF(G5218&lt;='RETRATO 2027'!$K$5,"CONCLUÍDA",IF(F5218&lt;='RETRATO 2027'!$K$5,"EM ANDAMENTO","A INICIAR")))</f>
        <v/>
      </c>
    </row>
    <row r="5219">
      <c r="M5219" s="2">
        <f>IF(C5219="","",IFERROR(INDEX($S$5:$S$304,MATCH(C5219,$R$5:$R$304,0))&amp;"","?"))</f>
        <v/>
      </c>
      <c r="N5219" s="2">
        <f>IF(E5219="","",IF(ISNUMBER(SEARCH("SUBSOLO",E5219)),IFERROR(-VALUE(LEFT(E5219,FIND("º",SUBSTITUTE(E5219,"°","º"))-1)),-1),IF(LEFT(E5219,6)="TÉRREO",0,IFERROR(VALUE(LEFT(E5219,FIND("º",SUBSTITUTE(E5219,"°","º"))-1)),""))))</f>
        <v/>
      </c>
      <c r="O5219" s="2">
        <f>IF(OR(F5219="",G5219=""),"",IF(G5219&lt;='RETRATO 2027'!$K$5,"CONCLUÍDA",IF(F5219&lt;='RETRATO 2027'!$K$5,"EM ANDAMENTO","A INICIAR")))</f>
        <v/>
      </c>
    </row>
    <row r="5220">
      <c r="M5220" s="2">
        <f>IF(C5220="","",IFERROR(INDEX($S$5:$S$304,MATCH(C5220,$R$5:$R$304,0))&amp;"","?"))</f>
        <v/>
      </c>
      <c r="N5220" s="2">
        <f>IF(E5220="","",IF(ISNUMBER(SEARCH("SUBSOLO",E5220)),IFERROR(-VALUE(LEFT(E5220,FIND("º",SUBSTITUTE(E5220,"°","º"))-1)),-1),IF(LEFT(E5220,6)="TÉRREO",0,IFERROR(VALUE(LEFT(E5220,FIND("º",SUBSTITUTE(E5220,"°","º"))-1)),""))))</f>
        <v/>
      </c>
      <c r="O5220" s="2">
        <f>IF(OR(F5220="",G5220=""),"",IF(G5220&lt;='RETRATO 2027'!$K$5,"CONCLUÍDA",IF(F5220&lt;='RETRATO 2027'!$K$5,"EM ANDAMENTO","A INICIAR")))</f>
        <v/>
      </c>
    </row>
    <row r="5221">
      <c r="M5221" s="2">
        <f>IF(C5221="","",IFERROR(INDEX($S$5:$S$304,MATCH(C5221,$R$5:$R$304,0))&amp;"","?"))</f>
        <v/>
      </c>
      <c r="N5221" s="2">
        <f>IF(E5221="","",IF(ISNUMBER(SEARCH("SUBSOLO",E5221)),IFERROR(-VALUE(LEFT(E5221,FIND("º",SUBSTITUTE(E5221,"°","º"))-1)),-1),IF(LEFT(E5221,6)="TÉRREO",0,IFERROR(VALUE(LEFT(E5221,FIND("º",SUBSTITUTE(E5221,"°","º"))-1)),""))))</f>
        <v/>
      </c>
      <c r="O5221" s="2">
        <f>IF(OR(F5221="",G5221=""),"",IF(G5221&lt;='RETRATO 2027'!$K$5,"CONCLUÍDA",IF(F5221&lt;='RETRATO 2027'!$K$5,"EM ANDAMENTO","A INICIAR")))</f>
        <v/>
      </c>
    </row>
    <row r="5222">
      <c r="M5222" s="2">
        <f>IF(C5222="","",IFERROR(INDEX($S$5:$S$304,MATCH(C5222,$R$5:$R$304,0))&amp;"","?"))</f>
        <v/>
      </c>
      <c r="N5222" s="2">
        <f>IF(E5222="","",IF(ISNUMBER(SEARCH("SUBSOLO",E5222)),IFERROR(-VALUE(LEFT(E5222,FIND("º",SUBSTITUTE(E5222,"°","º"))-1)),-1),IF(LEFT(E5222,6)="TÉRREO",0,IFERROR(VALUE(LEFT(E5222,FIND("º",SUBSTITUTE(E5222,"°","º"))-1)),""))))</f>
        <v/>
      </c>
      <c r="O5222" s="2">
        <f>IF(OR(F5222="",G5222=""),"",IF(G5222&lt;='RETRATO 2027'!$K$5,"CONCLUÍDA",IF(F5222&lt;='RETRATO 2027'!$K$5,"EM ANDAMENTO","A INICIAR")))</f>
        <v/>
      </c>
    </row>
    <row r="5223">
      <c r="M5223" s="2">
        <f>IF(C5223="","",IFERROR(INDEX($S$5:$S$304,MATCH(C5223,$R$5:$R$304,0))&amp;"","?"))</f>
        <v/>
      </c>
      <c r="N5223" s="2">
        <f>IF(E5223="","",IF(ISNUMBER(SEARCH("SUBSOLO",E5223)),IFERROR(-VALUE(LEFT(E5223,FIND("º",SUBSTITUTE(E5223,"°","º"))-1)),-1),IF(LEFT(E5223,6)="TÉRREO",0,IFERROR(VALUE(LEFT(E5223,FIND("º",SUBSTITUTE(E5223,"°","º"))-1)),""))))</f>
        <v/>
      </c>
      <c r="O5223" s="2">
        <f>IF(OR(F5223="",G5223=""),"",IF(G5223&lt;='RETRATO 2027'!$K$5,"CONCLUÍDA",IF(F5223&lt;='RETRATO 2027'!$K$5,"EM ANDAMENTO","A INICIAR")))</f>
        <v/>
      </c>
    </row>
    <row r="5224">
      <c r="M5224" s="2">
        <f>IF(C5224="","",IFERROR(INDEX($S$5:$S$304,MATCH(C5224,$R$5:$R$304,0))&amp;"","?"))</f>
        <v/>
      </c>
      <c r="N5224" s="2">
        <f>IF(E5224="","",IF(ISNUMBER(SEARCH("SUBSOLO",E5224)),IFERROR(-VALUE(LEFT(E5224,FIND("º",SUBSTITUTE(E5224,"°","º"))-1)),-1),IF(LEFT(E5224,6)="TÉRREO",0,IFERROR(VALUE(LEFT(E5224,FIND("º",SUBSTITUTE(E5224,"°","º"))-1)),""))))</f>
        <v/>
      </c>
      <c r="O5224" s="2">
        <f>IF(OR(F5224="",G5224=""),"",IF(G5224&lt;='RETRATO 2027'!$K$5,"CONCLUÍDA",IF(F5224&lt;='RETRATO 2027'!$K$5,"EM ANDAMENTO","A INICIAR")))</f>
        <v/>
      </c>
    </row>
    <row r="5225">
      <c r="M5225" s="2">
        <f>IF(C5225="","",IFERROR(INDEX($S$5:$S$304,MATCH(C5225,$R$5:$R$304,0))&amp;"","?"))</f>
        <v/>
      </c>
      <c r="N5225" s="2">
        <f>IF(E5225="","",IF(ISNUMBER(SEARCH("SUBSOLO",E5225)),IFERROR(-VALUE(LEFT(E5225,FIND("º",SUBSTITUTE(E5225,"°","º"))-1)),-1),IF(LEFT(E5225,6)="TÉRREO",0,IFERROR(VALUE(LEFT(E5225,FIND("º",SUBSTITUTE(E5225,"°","º"))-1)),""))))</f>
        <v/>
      </c>
      <c r="O5225" s="2">
        <f>IF(OR(F5225="",G5225=""),"",IF(G5225&lt;='RETRATO 2027'!$K$5,"CONCLUÍDA",IF(F5225&lt;='RETRATO 2027'!$K$5,"EM ANDAMENTO","A INICIAR")))</f>
        <v/>
      </c>
    </row>
    <row r="5226">
      <c r="M5226" s="2">
        <f>IF(C5226="","",IFERROR(INDEX($S$5:$S$304,MATCH(C5226,$R$5:$R$304,0))&amp;"","?"))</f>
        <v/>
      </c>
      <c r="N5226" s="2">
        <f>IF(E5226="","",IF(ISNUMBER(SEARCH("SUBSOLO",E5226)),IFERROR(-VALUE(LEFT(E5226,FIND("º",SUBSTITUTE(E5226,"°","º"))-1)),-1),IF(LEFT(E5226,6)="TÉRREO",0,IFERROR(VALUE(LEFT(E5226,FIND("º",SUBSTITUTE(E5226,"°","º"))-1)),""))))</f>
        <v/>
      </c>
      <c r="O5226" s="2">
        <f>IF(OR(F5226="",G5226=""),"",IF(G5226&lt;='RETRATO 2027'!$K$5,"CONCLUÍDA",IF(F5226&lt;='RETRATO 2027'!$K$5,"EM ANDAMENTO","A INICIAR")))</f>
        <v/>
      </c>
    </row>
    <row r="5227">
      <c r="M5227" s="2">
        <f>IF(C5227="","",IFERROR(INDEX($S$5:$S$304,MATCH(C5227,$R$5:$R$304,0))&amp;"","?"))</f>
        <v/>
      </c>
      <c r="N5227" s="2">
        <f>IF(E5227="","",IF(ISNUMBER(SEARCH("SUBSOLO",E5227)),IFERROR(-VALUE(LEFT(E5227,FIND("º",SUBSTITUTE(E5227,"°","º"))-1)),-1),IF(LEFT(E5227,6)="TÉRREO",0,IFERROR(VALUE(LEFT(E5227,FIND("º",SUBSTITUTE(E5227,"°","º"))-1)),""))))</f>
        <v/>
      </c>
      <c r="O5227" s="2">
        <f>IF(OR(F5227="",G5227=""),"",IF(G5227&lt;='RETRATO 2027'!$K$5,"CONCLUÍDA",IF(F5227&lt;='RETRATO 2027'!$K$5,"EM ANDAMENTO","A INICIAR")))</f>
        <v/>
      </c>
    </row>
    <row r="5228">
      <c r="M5228" s="2">
        <f>IF(C5228="","",IFERROR(INDEX($S$5:$S$304,MATCH(C5228,$R$5:$R$304,0))&amp;"","?"))</f>
        <v/>
      </c>
      <c r="N5228" s="2">
        <f>IF(E5228="","",IF(ISNUMBER(SEARCH("SUBSOLO",E5228)),IFERROR(-VALUE(LEFT(E5228,FIND("º",SUBSTITUTE(E5228,"°","º"))-1)),-1),IF(LEFT(E5228,6)="TÉRREO",0,IFERROR(VALUE(LEFT(E5228,FIND("º",SUBSTITUTE(E5228,"°","º"))-1)),""))))</f>
        <v/>
      </c>
      <c r="O5228" s="2">
        <f>IF(OR(F5228="",G5228=""),"",IF(G5228&lt;='RETRATO 2027'!$K$5,"CONCLUÍDA",IF(F5228&lt;='RETRATO 2027'!$K$5,"EM ANDAMENTO","A INICIAR")))</f>
        <v/>
      </c>
    </row>
    <row r="5229">
      <c r="M5229" s="2">
        <f>IF(C5229="","",IFERROR(INDEX($S$5:$S$304,MATCH(C5229,$R$5:$R$304,0))&amp;"","?"))</f>
        <v/>
      </c>
      <c r="N5229" s="2">
        <f>IF(E5229="","",IF(ISNUMBER(SEARCH("SUBSOLO",E5229)),IFERROR(-VALUE(LEFT(E5229,FIND("º",SUBSTITUTE(E5229,"°","º"))-1)),-1),IF(LEFT(E5229,6)="TÉRREO",0,IFERROR(VALUE(LEFT(E5229,FIND("º",SUBSTITUTE(E5229,"°","º"))-1)),""))))</f>
        <v/>
      </c>
      <c r="O5229" s="2">
        <f>IF(OR(F5229="",G5229=""),"",IF(G5229&lt;='RETRATO 2027'!$K$5,"CONCLUÍDA",IF(F5229&lt;='RETRATO 2027'!$K$5,"EM ANDAMENTO","A INICIAR")))</f>
        <v/>
      </c>
    </row>
    <row r="5230">
      <c r="M5230" s="2">
        <f>IF(C5230="","",IFERROR(INDEX($S$5:$S$304,MATCH(C5230,$R$5:$R$304,0))&amp;"","?"))</f>
        <v/>
      </c>
      <c r="N5230" s="2">
        <f>IF(E5230="","",IF(ISNUMBER(SEARCH("SUBSOLO",E5230)),IFERROR(-VALUE(LEFT(E5230,FIND("º",SUBSTITUTE(E5230,"°","º"))-1)),-1),IF(LEFT(E5230,6)="TÉRREO",0,IFERROR(VALUE(LEFT(E5230,FIND("º",SUBSTITUTE(E5230,"°","º"))-1)),""))))</f>
        <v/>
      </c>
      <c r="O5230" s="2">
        <f>IF(OR(F5230="",G5230=""),"",IF(G5230&lt;='RETRATO 2027'!$K$5,"CONCLUÍDA",IF(F5230&lt;='RETRATO 2027'!$K$5,"EM ANDAMENTO","A INICIAR")))</f>
        <v/>
      </c>
    </row>
    <row r="5231">
      <c r="M5231" s="2">
        <f>IF(C5231="","",IFERROR(INDEX($S$5:$S$304,MATCH(C5231,$R$5:$R$304,0))&amp;"","?"))</f>
        <v/>
      </c>
      <c r="N5231" s="2">
        <f>IF(E5231="","",IF(ISNUMBER(SEARCH("SUBSOLO",E5231)),IFERROR(-VALUE(LEFT(E5231,FIND("º",SUBSTITUTE(E5231,"°","º"))-1)),-1),IF(LEFT(E5231,6)="TÉRREO",0,IFERROR(VALUE(LEFT(E5231,FIND("º",SUBSTITUTE(E5231,"°","º"))-1)),""))))</f>
        <v/>
      </c>
      <c r="O5231" s="2">
        <f>IF(OR(F5231="",G5231=""),"",IF(G5231&lt;='RETRATO 2027'!$K$5,"CONCLUÍDA",IF(F5231&lt;='RETRATO 2027'!$K$5,"EM ANDAMENTO","A INICIAR")))</f>
        <v/>
      </c>
    </row>
    <row r="5232">
      <c r="M5232" s="2">
        <f>IF(C5232="","",IFERROR(INDEX($S$5:$S$304,MATCH(C5232,$R$5:$R$304,0))&amp;"","?"))</f>
        <v/>
      </c>
      <c r="N5232" s="2">
        <f>IF(E5232="","",IF(ISNUMBER(SEARCH("SUBSOLO",E5232)),IFERROR(-VALUE(LEFT(E5232,FIND("º",SUBSTITUTE(E5232,"°","º"))-1)),-1),IF(LEFT(E5232,6)="TÉRREO",0,IFERROR(VALUE(LEFT(E5232,FIND("º",SUBSTITUTE(E5232,"°","º"))-1)),""))))</f>
        <v/>
      </c>
      <c r="O5232" s="2">
        <f>IF(OR(F5232="",G5232=""),"",IF(G5232&lt;='RETRATO 2027'!$K$5,"CONCLUÍDA",IF(F5232&lt;='RETRATO 2027'!$K$5,"EM ANDAMENTO","A INICIAR")))</f>
        <v/>
      </c>
    </row>
    <row r="5233">
      <c r="M5233" s="2">
        <f>IF(C5233="","",IFERROR(INDEX($S$5:$S$304,MATCH(C5233,$R$5:$R$304,0))&amp;"","?"))</f>
        <v/>
      </c>
      <c r="N5233" s="2">
        <f>IF(E5233="","",IF(ISNUMBER(SEARCH("SUBSOLO",E5233)),IFERROR(-VALUE(LEFT(E5233,FIND("º",SUBSTITUTE(E5233,"°","º"))-1)),-1),IF(LEFT(E5233,6)="TÉRREO",0,IFERROR(VALUE(LEFT(E5233,FIND("º",SUBSTITUTE(E5233,"°","º"))-1)),""))))</f>
        <v/>
      </c>
      <c r="O5233" s="2">
        <f>IF(OR(F5233="",G5233=""),"",IF(G5233&lt;='RETRATO 2027'!$K$5,"CONCLUÍDA",IF(F5233&lt;='RETRATO 2027'!$K$5,"EM ANDAMENTO","A INICIAR")))</f>
        <v/>
      </c>
    </row>
    <row r="5234">
      <c r="M5234" s="2">
        <f>IF(C5234="","",IFERROR(INDEX($S$5:$S$304,MATCH(C5234,$R$5:$R$304,0))&amp;"","?"))</f>
        <v/>
      </c>
      <c r="N5234" s="2">
        <f>IF(E5234="","",IF(ISNUMBER(SEARCH("SUBSOLO",E5234)),IFERROR(-VALUE(LEFT(E5234,FIND("º",SUBSTITUTE(E5234,"°","º"))-1)),-1),IF(LEFT(E5234,6)="TÉRREO",0,IFERROR(VALUE(LEFT(E5234,FIND("º",SUBSTITUTE(E5234,"°","º"))-1)),""))))</f>
        <v/>
      </c>
      <c r="O5234" s="2">
        <f>IF(OR(F5234="",G5234=""),"",IF(G5234&lt;='RETRATO 2027'!$K$5,"CONCLUÍDA",IF(F5234&lt;='RETRATO 2027'!$K$5,"EM ANDAMENTO","A INICIAR")))</f>
        <v/>
      </c>
    </row>
    <row r="5235">
      <c r="M5235" s="2">
        <f>IF(C5235="","",IFERROR(INDEX($S$5:$S$304,MATCH(C5235,$R$5:$R$304,0))&amp;"","?"))</f>
        <v/>
      </c>
      <c r="N5235" s="2">
        <f>IF(E5235="","",IF(ISNUMBER(SEARCH("SUBSOLO",E5235)),IFERROR(-VALUE(LEFT(E5235,FIND("º",SUBSTITUTE(E5235,"°","º"))-1)),-1),IF(LEFT(E5235,6)="TÉRREO",0,IFERROR(VALUE(LEFT(E5235,FIND("º",SUBSTITUTE(E5235,"°","º"))-1)),""))))</f>
        <v/>
      </c>
      <c r="O5235" s="2">
        <f>IF(OR(F5235="",G5235=""),"",IF(G5235&lt;='RETRATO 2027'!$K$5,"CONCLUÍDA",IF(F5235&lt;='RETRATO 2027'!$K$5,"EM ANDAMENTO","A INICIAR")))</f>
        <v/>
      </c>
    </row>
    <row r="5236">
      <c r="M5236" s="2">
        <f>IF(C5236="","",IFERROR(INDEX($S$5:$S$304,MATCH(C5236,$R$5:$R$304,0))&amp;"","?"))</f>
        <v/>
      </c>
      <c r="N5236" s="2">
        <f>IF(E5236="","",IF(ISNUMBER(SEARCH("SUBSOLO",E5236)),IFERROR(-VALUE(LEFT(E5236,FIND("º",SUBSTITUTE(E5236,"°","º"))-1)),-1),IF(LEFT(E5236,6)="TÉRREO",0,IFERROR(VALUE(LEFT(E5236,FIND("º",SUBSTITUTE(E5236,"°","º"))-1)),""))))</f>
        <v/>
      </c>
      <c r="O5236" s="2">
        <f>IF(OR(F5236="",G5236=""),"",IF(G5236&lt;='RETRATO 2027'!$K$5,"CONCLUÍDA",IF(F5236&lt;='RETRATO 2027'!$K$5,"EM ANDAMENTO","A INICIAR")))</f>
        <v/>
      </c>
    </row>
    <row r="5237">
      <c r="M5237" s="2">
        <f>IF(C5237="","",IFERROR(INDEX($S$5:$S$304,MATCH(C5237,$R$5:$R$304,0))&amp;"","?"))</f>
        <v/>
      </c>
      <c r="N5237" s="2">
        <f>IF(E5237="","",IF(ISNUMBER(SEARCH("SUBSOLO",E5237)),IFERROR(-VALUE(LEFT(E5237,FIND("º",SUBSTITUTE(E5237,"°","º"))-1)),-1),IF(LEFT(E5237,6)="TÉRREO",0,IFERROR(VALUE(LEFT(E5237,FIND("º",SUBSTITUTE(E5237,"°","º"))-1)),""))))</f>
        <v/>
      </c>
      <c r="O5237" s="2">
        <f>IF(OR(F5237="",G5237=""),"",IF(G5237&lt;='RETRATO 2027'!$K$5,"CONCLUÍDA",IF(F5237&lt;='RETRATO 2027'!$K$5,"EM ANDAMENTO","A INICIAR")))</f>
        <v/>
      </c>
    </row>
    <row r="5238">
      <c r="M5238" s="2">
        <f>IF(C5238="","",IFERROR(INDEX($S$5:$S$304,MATCH(C5238,$R$5:$R$304,0))&amp;"","?"))</f>
        <v/>
      </c>
      <c r="N5238" s="2">
        <f>IF(E5238="","",IF(ISNUMBER(SEARCH("SUBSOLO",E5238)),IFERROR(-VALUE(LEFT(E5238,FIND("º",SUBSTITUTE(E5238,"°","º"))-1)),-1),IF(LEFT(E5238,6)="TÉRREO",0,IFERROR(VALUE(LEFT(E5238,FIND("º",SUBSTITUTE(E5238,"°","º"))-1)),""))))</f>
        <v/>
      </c>
      <c r="O5238" s="2">
        <f>IF(OR(F5238="",G5238=""),"",IF(G5238&lt;='RETRATO 2027'!$K$5,"CONCLUÍDA",IF(F5238&lt;='RETRATO 2027'!$K$5,"EM ANDAMENTO","A INICIAR")))</f>
        <v/>
      </c>
    </row>
    <row r="5239">
      <c r="M5239" s="2">
        <f>IF(C5239="","",IFERROR(INDEX($S$5:$S$304,MATCH(C5239,$R$5:$R$304,0))&amp;"","?"))</f>
        <v/>
      </c>
      <c r="N5239" s="2">
        <f>IF(E5239="","",IF(ISNUMBER(SEARCH("SUBSOLO",E5239)),IFERROR(-VALUE(LEFT(E5239,FIND("º",SUBSTITUTE(E5239,"°","º"))-1)),-1),IF(LEFT(E5239,6)="TÉRREO",0,IFERROR(VALUE(LEFT(E5239,FIND("º",SUBSTITUTE(E5239,"°","º"))-1)),""))))</f>
        <v/>
      </c>
      <c r="O5239" s="2">
        <f>IF(OR(F5239="",G5239=""),"",IF(G5239&lt;='RETRATO 2027'!$K$5,"CONCLUÍDA",IF(F5239&lt;='RETRATO 2027'!$K$5,"EM ANDAMENTO","A INICIAR")))</f>
        <v/>
      </c>
    </row>
    <row r="5240">
      <c r="M5240" s="2">
        <f>IF(C5240="","",IFERROR(INDEX($S$5:$S$304,MATCH(C5240,$R$5:$R$304,0))&amp;"","?"))</f>
        <v/>
      </c>
      <c r="N5240" s="2">
        <f>IF(E5240="","",IF(ISNUMBER(SEARCH("SUBSOLO",E5240)),IFERROR(-VALUE(LEFT(E5240,FIND("º",SUBSTITUTE(E5240,"°","º"))-1)),-1),IF(LEFT(E5240,6)="TÉRREO",0,IFERROR(VALUE(LEFT(E5240,FIND("º",SUBSTITUTE(E5240,"°","º"))-1)),""))))</f>
        <v/>
      </c>
      <c r="O5240" s="2">
        <f>IF(OR(F5240="",G5240=""),"",IF(G5240&lt;='RETRATO 2027'!$K$5,"CONCLUÍDA",IF(F5240&lt;='RETRATO 2027'!$K$5,"EM ANDAMENTO","A INICIAR")))</f>
        <v/>
      </c>
    </row>
    <row r="5241">
      <c r="M5241" s="2">
        <f>IF(C5241="","",IFERROR(INDEX($S$5:$S$304,MATCH(C5241,$R$5:$R$304,0))&amp;"","?"))</f>
        <v/>
      </c>
      <c r="N5241" s="2">
        <f>IF(E5241="","",IF(ISNUMBER(SEARCH("SUBSOLO",E5241)),IFERROR(-VALUE(LEFT(E5241,FIND("º",SUBSTITUTE(E5241,"°","º"))-1)),-1),IF(LEFT(E5241,6)="TÉRREO",0,IFERROR(VALUE(LEFT(E5241,FIND("º",SUBSTITUTE(E5241,"°","º"))-1)),""))))</f>
        <v/>
      </c>
      <c r="O5241" s="2">
        <f>IF(OR(F5241="",G5241=""),"",IF(G5241&lt;='RETRATO 2027'!$K$5,"CONCLUÍDA",IF(F5241&lt;='RETRATO 2027'!$K$5,"EM ANDAMENTO","A INICIAR")))</f>
        <v/>
      </c>
    </row>
    <row r="5242">
      <c r="M5242" s="2">
        <f>IF(C5242="","",IFERROR(INDEX($S$5:$S$304,MATCH(C5242,$R$5:$R$304,0))&amp;"","?"))</f>
        <v/>
      </c>
      <c r="N5242" s="2">
        <f>IF(E5242="","",IF(ISNUMBER(SEARCH("SUBSOLO",E5242)),IFERROR(-VALUE(LEFT(E5242,FIND("º",SUBSTITUTE(E5242,"°","º"))-1)),-1),IF(LEFT(E5242,6)="TÉRREO",0,IFERROR(VALUE(LEFT(E5242,FIND("º",SUBSTITUTE(E5242,"°","º"))-1)),""))))</f>
        <v/>
      </c>
      <c r="O5242" s="2">
        <f>IF(OR(F5242="",G5242=""),"",IF(G5242&lt;='RETRATO 2027'!$K$5,"CONCLUÍDA",IF(F5242&lt;='RETRATO 2027'!$K$5,"EM ANDAMENTO","A INICIAR")))</f>
        <v/>
      </c>
    </row>
    <row r="5243">
      <c r="M5243" s="2">
        <f>IF(C5243="","",IFERROR(INDEX($S$5:$S$304,MATCH(C5243,$R$5:$R$304,0))&amp;"","?"))</f>
        <v/>
      </c>
      <c r="N5243" s="2">
        <f>IF(E5243="","",IF(ISNUMBER(SEARCH("SUBSOLO",E5243)),IFERROR(-VALUE(LEFT(E5243,FIND("º",SUBSTITUTE(E5243,"°","º"))-1)),-1),IF(LEFT(E5243,6)="TÉRREO",0,IFERROR(VALUE(LEFT(E5243,FIND("º",SUBSTITUTE(E5243,"°","º"))-1)),""))))</f>
        <v/>
      </c>
      <c r="O5243" s="2">
        <f>IF(OR(F5243="",G5243=""),"",IF(G5243&lt;='RETRATO 2027'!$K$5,"CONCLUÍDA",IF(F5243&lt;='RETRATO 2027'!$K$5,"EM ANDAMENTO","A INICIAR")))</f>
        <v/>
      </c>
    </row>
    <row r="5244">
      <c r="M5244" s="2">
        <f>IF(C5244="","",IFERROR(INDEX($S$5:$S$304,MATCH(C5244,$R$5:$R$304,0))&amp;"","?"))</f>
        <v/>
      </c>
      <c r="N5244" s="2">
        <f>IF(E5244="","",IF(ISNUMBER(SEARCH("SUBSOLO",E5244)),IFERROR(-VALUE(LEFT(E5244,FIND("º",SUBSTITUTE(E5244,"°","º"))-1)),-1),IF(LEFT(E5244,6)="TÉRREO",0,IFERROR(VALUE(LEFT(E5244,FIND("º",SUBSTITUTE(E5244,"°","º"))-1)),""))))</f>
        <v/>
      </c>
      <c r="O5244" s="2">
        <f>IF(OR(F5244="",G5244=""),"",IF(G5244&lt;='RETRATO 2027'!$K$5,"CONCLUÍDA",IF(F5244&lt;='RETRATO 2027'!$K$5,"EM ANDAMENTO","A INICIAR")))</f>
        <v/>
      </c>
    </row>
    <row r="5245">
      <c r="M5245" s="2">
        <f>IF(C5245="","",IFERROR(INDEX($S$5:$S$304,MATCH(C5245,$R$5:$R$304,0))&amp;"","?"))</f>
        <v/>
      </c>
      <c r="N5245" s="2">
        <f>IF(E5245="","",IF(ISNUMBER(SEARCH("SUBSOLO",E5245)),IFERROR(-VALUE(LEFT(E5245,FIND("º",SUBSTITUTE(E5245,"°","º"))-1)),-1),IF(LEFT(E5245,6)="TÉRREO",0,IFERROR(VALUE(LEFT(E5245,FIND("º",SUBSTITUTE(E5245,"°","º"))-1)),""))))</f>
        <v/>
      </c>
      <c r="O5245" s="2">
        <f>IF(OR(F5245="",G5245=""),"",IF(G5245&lt;='RETRATO 2027'!$K$5,"CONCLUÍDA",IF(F5245&lt;='RETRATO 2027'!$K$5,"EM ANDAMENTO","A INICIAR")))</f>
        <v/>
      </c>
    </row>
    <row r="5246">
      <c r="M5246" s="2">
        <f>IF(C5246="","",IFERROR(INDEX($S$5:$S$304,MATCH(C5246,$R$5:$R$304,0))&amp;"","?"))</f>
        <v/>
      </c>
      <c r="N5246" s="2">
        <f>IF(E5246="","",IF(ISNUMBER(SEARCH("SUBSOLO",E5246)),IFERROR(-VALUE(LEFT(E5246,FIND("º",SUBSTITUTE(E5246,"°","º"))-1)),-1),IF(LEFT(E5246,6)="TÉRREO",0,IFERROR(VALUE(LEFT(E5246,FIND("º",SUBSTITUTE(E5246,"°","º"))-1)),""))))</f>
        <v/>
      </c>
      <c r="O5246" s="2">
        <f>IF(OR(F5246="",G5246=""),"",IF(G5246&lt;='RETRATO 2027'!$K$5,"CONCLUÍDA",IF(F5246&lt;='RETRATO 2027'!$K$5,"EM ANDAMENTO","A INICIAR")))</f>
        <v/>
      </c>
    </row>
    <row r="5247">
      <c r="M5247" s="2">
        <f>IF(C5247="","",IFERROR(INDEX($S$5:$S$304,MATCH(C5247,$R$5:$R$304,0))&amp;"","?"))</f>
        <v/>
      </c>
      <c r="N5247" s="2">
        <f>IF(E5247="","",IF(ISNUMBER(SEARCH("SUBSOLO",E5247)),IFERROR(-VALUE(LEFT(E5247,FIND("º",SUBSTITUTE(E5247,"°","º"))-1)),-1),IF(LEFT(E5247,6)="TÉRREO",0,IFERROR(VALUE(LEFT(E5247,FIND("º",SUBSTITUTE(E5247,"°","º"))-1)),""))))</f>
        <v/>
      </c>
      <c r="O5247" s="2">
        <f>IF(OR(F5247="",G5247=""),"",IF(G5247&lt;='RETRATO 2027'!$K$5,"CONCLUÍDA",IF(F5247&lt;='RETRATO 2027'!$K$5,"EM ANDAMENTO","A INICIAR")))</f>
        <v/>
      </c>
    </row>
    <row r="5248">
      <c r="M5248" s="2">
        <f>IF(C5248="","",IFERROR(INDEX($S$5:$S$304,MATCH(C5248,$R$5:$R$304,0))&amp;"","?"))</f>
        <v/>
      </c>
      <c r="N5248" s="2">
        <f>IF(E5248="","",IF(ISNUMBER(SEARCH("SUBSOLO",E5248)),IFERROR(-VALUE(LEFT(E5248,FIND("º",SUBSTITUTE(E5248,"°","º"))-1)),-1),IF(LEFT(E5248,6)="TÉRREO",0,IFERROR(VALUE(LEFT(E5248,FIND("º",SUBSTITUTE(E5248,"°","º"))-1)),""))))</f>
        <v/>
      </c>
      <c r="O5248" s="2">
        <f>IF(OR(F5248="",G5248=""),"",IF(G5248&lt;='RETRATO 2027'!$K$5,"CONCLUÍDA",IF(F5248&lt;='RETRATO 2027'!$K$5,"EM ANDAMENTO","A INICIAR")))</f>
        <v/>
      </c>
    </row>
    <row r="5249">
      <c r="M5249" s="2">
        <f>IF(C5249="","",IFERROR(INDEX($S$5:$S$304,MATCH(C5249,$R$5:$R$304,0))&amp;"","?"))</f>
        <v/>
      </c>
      <c r="N5249" s="2">
        <f>IF(E5249="","",IF(ISNUMBER(SEARCH("SUBSOLO",E5249)),IFERROR(-VALUE(LEFT(E5249,FIND("º",SUBSTITUTE(E5249,"°","º"))-1)),-1),IF(LEFT(E5249,6)="TÉRREO",0,IFERROR(VALUE(LEFT(E5249,FIND("º",SUBSTITUTE(E5249,"°","º"))-1)),""))))</f>
        <v/>
      </c>
      <c r="O5249" s="2">
        <f>IF(OR(F5249="",G5249=""),"",IF(G5249&lt;='RETRATO 2027'!$K$5,"CONCLUÍDA",IF(F5249&lt;='RETRATO 2027'!$K$5,"EM ANDAMENTO","A INICIAR")))</f>
        <v/>
      </c>
    </row>
    <row r="5250">
      <c r="M5250" s="2">
        <f>IF(C5250="","",IFERROR(INDEX($S$5:$S$304,MATCH(C5250,$R$5:$R$304,0))&amp;"","?"))</f>
        <v/>
      </c>
      <c r="N5250" s="2">
        <f>IF(E5250="","",IF(ISNUMBER(SEARCH("SUBSOLO",E5250)),IFERROR(-VALUE(LEFT(E5250,FIND("º",SUBSTITUTE(E5250,"°","º"))-1)),-1),IF(LEFT(E5250,6)="TÉRREO",0,IFERROR(VALUE(LEFT(E5250,FIND("º",SUBSTITUTE(E5250,"°","º"))-1)),""))))</f>
        <v/>
      </c>
      <c r="O5250" s="2">
        <f>IF(OR(F5250="",G5250=""),"",IF(G5250&lt;='RETRATO 2027'!$K$5,"CONCLUÍDA",IF(F5250&lt;='RETRATO 2027'!$K$5,"EM ANDAMENTO","A INICIAR")))</f>
        <v/>
      </c>
    </row>
    <row r="5251">
      <c r="M5251" s="2">
        <f>IF(C5251="","",IFERROR(INDEX($S$5:$S$304,MATCH(C5251,$R$5:$R$304,0))&amp;"","?"))</f>
        <v/>
      </c>
      <c r="N5251" s="2">
        <f>IF(E5251="","",IF(ISNUMBER(SEARCH("SUBSOLO",E5251)),IFERROR(-VALUE(LEFT(E5251,FIND("º",SUBSTITUTE(E5251,"°","º"))-1)),-1),IF(LEFT(E5251,6)="TÉRREO",0,IFERROR(VALUE(LEFT(E5251,FIND("º",SUBSTITUTE(E5251,"°","º"))-1)),""))))</f>
        <v/>
      </c>
      <c r="O5251" s="2">
        <f>IF(OR(F5251="",G5251=""),"",IF(G5251&lt;='RETRATO 2027'!$K$5,"CONCLUÍDA",IF(F5251&lt;='RETRATO 2027'!$K$5,"EM ANDAMENTO","A INICIAR")))</f>
        <v/>
      </c>
    </row>
    <row r="5252">
      <c r="M5252" s="2">
        <f>IF(C5252="","",IFERROR(INDEX($S$5:$S$304,MATCH(C5252,$R$5:$R$304,0))&amp;"","?"))</f>
        <v/>
      </c>
      <c r="N5252" s="2">
        <f>IF(E5252="","",IF(ISNUMBER(SEARCH("SUBSOLO",E5252)),IFERROR(-VALUE(LEFT(E5252,FIND("º",SUBSTITUTE(E5252,"°","º"))-1)),-1),IF(LEFT(E5252,6)="TÉRREO",0,IFERROR(VALUE(LEFT(E5252,FIND("º",SUBSTITUTE(E5252,"°","º"))-1)),""))))</f>
        <v/>
      </c>
      <c r="O5252" s="2">
        <f>IF(OR(F5252="",G5252=""),"",IF(G5252&lt;='RETRATO 2027'!$K$5,"CONCLUÍDA",IF(F5252&lt;='RETRATO 2027'!$K$5,"EM ANDAMENTO","A INICIAR")))</f>
        <v/>
      </c>
    </row>
    <row r="5253">
      <c r="M5253" s="2">
        <f>IF(C5253="","",IFERROR(INDEX($S$5:$S$304,MATCH(C5253,$R$5:$R$304,0))&amp;"","?"))</f>
        <v/>
      </c>
      <c r="N5253" s="2">
        <f>IF(E5253="","",IF(ISNUMBER(SEARCH("SUBSOLO",E5253)),IFERROR(-VALUE(LEFT(E5253,FIND("º",SUBSTITUTE(E5253,"°","º"))-1)),-1),IF(LEFT(E5253,6)="TÉRREO",0,IFERROR(VALUE(LEFT(E5253,FIND("º",SUBSTITUTE(E5253,"°","º"))-1)),""))))</f>
        <v/>
      </c>
      <c r="O5253" s="2">
        <f>IF(OR(F5253="",G5253=""),"",IF(G5253&lt;='RETRATO 2027'!$K$5,"CONCLUÍDA",IF(F5253&lt;='RETRATO 2027'!$K$5,"EM ANDAMENTO","A INICIAR")))</f>
        <v/>
      </c>
    </row>
    <row r="5254">
      <c r="M5254" s="2">
        <f>IF(C5254="","",IFERROR(INDEX($S$5:$S$304,MATCH(C5254,$R$5:$R$304,0))&amp;"","?"))</f>
        <v/>
      </c>
      <c r="N5254" s="2">
        <f>IF(E5254="","",IF(ISNUMBER(SEARCH("SUBSOLO",E5254)),IFERROR(-VALUE(LEFT(E5254,FIND("º",SUBSTITUTE(E5254,"°","º"))-1)),-1),IF(LEFT(E5254,6)="TÉRREO",0,IFERROR(VALUE(LEFT(E5254,FIND("º",SUBSTITUTE(E5254,"°","º"))-1)),""))))</f>
        <v/>
      </c>
      <c r="O5254" s="2">
        <f>IF(OR(F5254="",G5254=""),"",IF(G5254&lt;='RETRATO 2027'!$K$5,"CONCLUÍDA",IF(F5254&lt;='RETRATO 2027'!$K$5,"EM ANDAMENTO","A INICIAR")))</f>
        <v/>
      </c>
    </row>
    <row r="5255">
      <c r="M5255" s="2">
        <f>IF(C5255="","",IFERROR(INDEX($S$5:$S$304,MATCH(C5255,$R$5:$R$304,0))&amp;"","?"))</f>
        <v/>
      </c>
      <c r="N5255" s="2">
        <f>IF(E5255="","",IF(ISNUMBER(SEARCH("SUBSOLO",E5255)),IFERROR(-VALUE(LEFT(E5255,FIND("º",SUBSTITUTE(E5255,"°","º"))-1)),-1),IF(LEFT(E5255,6)="TÉRREO",0,IFERROR(VALUE(LEFT(E5255,FIND("º",SUBSTITUTE(E5255,"°","º"))-1)),""))))</f>
        <v/>
      </c>
      <c r="O5255" s="2">
        <f>IF(OR(F5255="",G5255=""),"",IF(G5255&lt;='RETRATO 2027'!$K$5,"CONCLUÍDA",IF(F5255&lt;='RETRATO 2027'!$K$5,"EM ANDAMENTO","A INICIAR")))</f>
        <v/>
      </c>
    </row>
    <row r="5256">
      <c r="M5256" s="2">
        <f>IF(C5256="","",IFERROR(INDEX($S$5:$S$304,MATCH(C5256,$R$5:$R$304,0))&amp;"","?"))</f>
        <v/>
      </c>
      <c r="N5256" s="2">
        <f>IF(E5256="","",IF(ISNUMBER(SEARCH("SUBSOLO",E5256)),IFERROR(-VALUE(LEFT(E5256,FIND("º",SUBSTITUTE(E5256,"°","º"))-1)),-1),IF(LEFT(E5256,6)="TÉRREO",0,IFERROR(VALUE(LEFT(E5256,FIND("º",SUBSTITUTE(E5256,"°","º"))-1)),""))))</f>
        <v/>
      </c>
      <c r="O5256" s="2">
        <f>IF(OR(F5256="",G5256=""),"",IF(G5256&lt;='RETRATO 2027'!$K$5,"CONCLUÍDA",IF(F5256&lt;='RETRATO 2027'!$K$5,"EM ANDAMENTO","A INICIAR")))</f>
        <v/>
      </c>
    </row>
    <row r="5257">
      <c r="M5257" s="2">
        <f>IF(C5257="","",IFERROR(INDEX($S$5:$S$304,MATCH(C5257,$R$5:$R$304,0))&amp;"","?"))</f>
        <v/>
      </c>
      <c r="N5257" s="2">
        <f>IF(E5257="","",IF(ISNUMBER(SEARCH("SUBSOLO",E5257)),IFERROR(-VALUE(LEFT(E5257,FIND("º",SUBSTITUTE(E5257,"°","º"))-1)),-1),IF(LEFT(E5257,6)="TÉRREO",0,IFERROR(VALUE(LEFT(E5257,FIND("º",SUBSTITUTE(E5257,"°","º"))-1)),""))))</f>
        <v/>
      </c>
      <c r="O5257" s="2">
        <f>IF(OR(F5257="",G5257=""),"",IF(G5257&lt;='RETRATO 2027'!$K$5,"CONCLUÍDA",IF(F5257&lt;='RETRATO 2027'!$K$5,"EM ANDAMENTO","A INICIAR")))</f>
        <v/>
      </c>
    </row>
    <row r="5258">
      <c r="M5258" s="2">
        <f>IF(C5258="","",IFERROR(INDEX($S$5:$S$304,MATCH(C5258,$R$5:$R$304,0))&amp;"","?"))</f>
        <v/>
      </c>
      <c r="N5258" s="2">
        <f>IF(E5258="","",IF(ISNUMBER(SEARCH("SUBSOLO",E5258)),IFERROR(-VALUE(LEFT(E5258,FIND("º",SUBSTITUTE(E5258,"°","º"))-1)),-1),IF(LEFT(E5258,6)="TÉRREO",0,IFERROR(VALUE(LEFT(E5258,FIND("º",SUBSTITUTE(E5258,"°","º"))-1)),""))))</f>
        <v/>
      </c>
      <c r="O5258" s="2">
        <f>IF(OR(F5258="",G5258=""),"",IF(G5258&lt;='RETRATO 2027'!$K$5,"CONCLUÍDA",IF(F5258&lt;='RETRATO 2027'!$K$5,"EM ANDAMENTO","A INICIAR")))</f>
        <v/>
      </c>
    </row>
    <row r="5259">
      <c r="M5259" s="2">
        <f>IF(C5259="","",IFERROR(INDEX($S$5:$S$304,MATCH(C5259,$R$5:$R$304,0))&amp;"","?"))</f>
        <v/>
      </c>
      <c r="N5259" s="2">
        <f>IF(E5259="","",IF(ISNUMBER(SEARCH("SUBSOLO",E5259)),IFERROR(-VALUE(LEFT(E5259,FIND("º",SUBSTITUTE(E5259,"°","º"))-1)),-1),IF(LEFT(E5259,6)="TÉRREO",0,IFERROR(VALUE(LEFT(E5259,FIND("º",SUBSTITUTE(E5259,"°","º"))-1)),""))))</f>
        <v/>
      </c>
      <c r="O5259" s="2">
        <f>IF(OR(F5259="",G5259=""),"",IF(G5259&lt;='RETRATO 2027'!$K$5,"CONCLUÍDA",IF(F5259&lt;='RETRATO 2027'!$K$5,"EM ANDAMENTO","A INICIAR")))</f>
        <v/>
      </c>
    </row>
    <row r="5260">
      <c r="M5260" s="2">
        <f>IF(C5260="","",IFERROR(INDEX($S$5:$S$304,MATCH(C5260,$R$5:$R$304,0))&amp;"","?"))</f>
        <v/>
      </c>
      <c r="N5260" s="2">
        <f>IF(E5260="","",IF(ISNUMBER(SEARCH("SUBSOLO",E5260)),IFERROR(-VALUE(LEFT(E5260,FIND("º",SUBSTITUTE(E5260,"°","º"))-1)),-1),IF(LEFT(E5260,6)="TÉRREO",0,IFERROR(VALUE(LEFT(E5260,FIND("º",SUBSTITUTE(E5260,"°","º"))-1)),""))))</f>
        <v/>
      </c>
      <c r="O5260" s="2">
        <f>IF(OR(F5260="",G5260=""),"",IF(G5260&lt;='RETRATO 2027'!$K$5,"CONCLUÍDA",IF(F5260&lt;='RETRATO 2027'!$K$5,"EM ANDAMENTO","A INICIAR")))</f>
        <v/>
      </c>
    </row>
    <row r="5261">
      <c r="M5261" s="2">
        <f>IF(C5261="","",IFERROR(INDEX($S$5:$S$304,MATCH(C5261,$R$5:$R$304,0))&amp;"","?"))</f>
        <v/>
      </c>
      <c r="N5261" s="2">
        <f>IF(E5261="","",IF(ISNUMBER(SEARCH("SUBSOLO",E5261)),IFERROR(-VALUE(LEFT(E5261,FIND("º",SUBSTITUTE(E5261,"°","º"))-1)),-1),IF(LEFT(E5261,6)="TÉRREO",0,IFERROR(VALUE(LEFT(E5261,FIND("º",SUBSTITUTE(E5261,"°","º"))-1)),""))))</f>
        <v/>
      </c>
      <c r="O5261" s="2">
        <f>IF(OR(F5261="",G5261=""),"",IF(G5261&lt;='RETRATO 2027'!$K$5,"CONCLUÍDA",IF(F5261&lt;='RETRATO 2027'!$K$5,"EM ANDAMENTO","A INICIAR")))</f>
        <v/>
      </c>
    </row>
    <row r="5262">
      <c r="M5262" s="2">
        <f>IF(C5262="","",IFERROR(INDEX($S$5:$S$304,MATCH(C5262,$R$5:$R$304,0))&amp;"","?"))</f>
        <v/>
      </c>
      <c r="N5262" s="2">
        <f>IF(E5262="","",IF(ISNUMBER(SEARCH("SUBSOLO",E5262)),IFERROR(-VALUE(LEFT(E5262,FIND("º",SUBSTITUTE(E5262,"°","º"))-1)),-1),IF(LEFT(E5262,6)="TÉRREO",0,IFERROR(VALUE(LEFT(E5262,FIND("º",SUBSTITUTE(E5262,"°","º"))-1)),""))))</f>
        <v/>
      </c>
      <c r="O5262" s="2">
        <f>IF(OR(F5262="",G5262=""),"",IF(G5262&lt;='RETRATO 2027'!$K$5,"CONCLUÍDA",IF(F5262&lt;='RETRATO 2027'!$K$5,"EM ANDAMENTO","A INICIAR")))</f>
        <v/>
      </c>
    </row>
    <row r="5263">
      <c r="M5263" s="2">
        <f>IF(C5263="","",IFERROR(INDEX($S$5:$S$304,MATCH(C5263,$R$5:$R$304,0))&amp;"","?"))</f>
        <v/>
      </c>
      <c r="N5263" s="2">
        <f>IF(E5263="","",IF(ISNUMBER(SEARCH("SUBSOLO",E5263)),IFERROR(-VALUE(LEFT(E5263,FIND("º",SUBSTITUTE(E5263,"°","º"))-1)),-1),IF(LEFT(E5263,6)="TÉRREO",0,IFERROR(VALUE(LEFT(E5263,FIND("º",SUBSTITUTE(E5263,"°","º"))-1)),""))))</f>
        <v/>
      </c>
      <c r="O5263" s="2">
        <f>IF(OR(F5263="",G5263=""),"",IF(G5263&lt;='RETRATO 2027'!$K$5,"CONCLUÍDA",IF(F5263&lt;='RETRATO 2027'!$K$5,"EM ANDAMENTO","A INICIAR")))</f>
        <v/>
      </c>
    </row>
    <row r="5264">
      <c r="M5264" s="2">
        <f>IF(C5264="","",IFERROR(INDEX($S$5:$S$304,MATCH(C5264,$R$5:$R$304,0))&amp;"","?"))</f>
        <v/>
      </c>
      <c r="N5264" s="2">
        <f>IF(E5264="","",IF(ISNUMBER(SEARCH("SUBSOLO",E5264)),IFERROR(-VALUE(LEFT(E5264,FIND("º",SUBSTITUTE(E5264,"°","º"))-1)),-1),IF(LEFT(E5264,6)="TÉRREO",0,IFERROR(VALUE(LEFT(E5264,FIND("º",SUBSTITUTE(E5264,"°","º"))-1)),""))))</f>
        <v/>
      </c>
      <c r="O5264" s="2">
        <f>IF(OR(F5264="",G5264=""),"",IF(G5264&lt;='RETRATO 2027'!$K$5,"CONCLUÍDA",IF(F5264&lt;='RETRATO 2027'!$K$5,"EM ANDAMENTO","A INICIAR")))</f>
        <v/>
      </c>
    </row>
    <row r="5265">
      <c r="M5265" s="2">
        <f>IF(C5265="","",IFERROR(INDEX($S$5:$S$304,MATCH(C5265,$R$5:$R$304,0))&amp;"","?"))</f>
        <v/>
      </c>
      <c r="N5265" s="2">
        <f>IF(E5265="","",IF(ISNUMBER(SEARCH("SUBSOLO",E5265)),IFERROR(-VALUE(LEFT(E5265,FIND("º",SUBSTITUTE(E5265,"°","º"))-1)),-1),IF(LEFT(E5265,6)="TÉRREO",0,IFERROR(VALUE(LEFT(E5265,FIND("º",SUBSTITUTE(E5265,"°","º"))-1)),""))))</f>
        <v/>
      </c>
      <c r="O5265" s="2">
        <f>IF(OR(F5265="",G5265=""),"",IF(G5265&lt;='RETRATO 2027'!$K$5,"CONCLUÍDA",IF(F5265&lt;='RETRATO 2027'!$K$5,"EM ANDAMENTO","A INICIAR")))</f>
        <v/>
      </c>
    </row>
    <row r="5266">
      <c r="M5266" s="2">
        <f>IF(C5266="","",IFERROR(INDEX($S$5:$S$304,MATCH(C5266,$R$5:$R$304,0))&amp;"","?"))</f>
        <v/>
      </c>
      <c r="N5266" s="2">
        <f>IF(E5266="","",IF(ISNUMBER(SEARCH("SUBSOLO",E5266)),IFERROR(-VALUE(LEFT(E5266,FIND("º",SUBSTITUTE(E5266,"°","º"))-1)),-1),IF(LEFT(E5266,6)="TÉRREO",0,IFERROR(VALUE(LEFT(E5266,FIND("º",SUBSTITUTE(E5266,"°","º"))-1)),""))))</f>
        <v/>
      </c>
      <c r="O5266" s="2">
        <f>IF(OR(F5266="",G5266=""),"",IF(G5266&lt;='RETRATO 2027'!$K$5,"CONCLUÍDA",IF(F5266&lt;='RETRATO 2027'!$K$5,"EM ANDAMENTO","A INICIAR")))</f>
        <v/>
      </c>
    </row>
    <row r="5267">
      <c r="M5267" s="2">
        <f>IF(C5267="","",IFERROR(INDEX($S$5:$S$304,MATCH(C5267,$R$5:$R$304,0))&amp;"","?"))</f>
        <v/>
      </c>
      <c r="N5267" s="2">
        <f>IF(E5267="","",IF(ISNUMBER(SEARCH("SUBSOLO",E5267)),IFERROR(-VALUE(LEFT(E5267,FIND("º",SUBSTITUTE(E5267,"°","º"))-1)),-1),IF(LEFT(E5267,6)="TÉRREO",0,IFERROR(VALUE(LEFT(E5267,FIND("º",SUBSTITUTE(E5267,"°","º"))-1)),""))))</f>
        <v/>
      </c>
      <c r="O5267" s="2">
        <f>IF(OR(F5267="",G5267=""),"",IF(G5267&lt;='RETRATO 2027'!$K$5,"CONCLUÍDA",IF(F5267&lt;='RETRATO 2027'!$K$5,"EM ANDAMENTO","A INICIAR")))</f>
        <v/>
      </c>
    </row>
    <row r="5268">
      <c r="M5268" s="2">
        <f>IF(C5268="","",IFERROR(INDEX($S$5:$S$304,MATCH(C5268,$R$5:$R$304,0))&amp;"","?"))</f>
        <v/>
      </c>
      <c r="N5268" s="2">
        <f>IF(E5268="","",IF(ISNUMBER(SEARCH("SUBSOLO",E5268)),IFERROR(-VALUE(LEFT(E5268,FIND("º",SUBSTITUTE(E5268,"°","º"))-1)),-1),IF(LEFT(E5268,6)="TÉRREO",0,IFERROR(VALUE(LEFT(E5268,FIND("º",SUBSTITUTE(E5268,"°","º"))-1)),""))))</f>
        <v/>
      </c>
      <c r="O5268" s="2">
        <f>IF(OR(F5268="",G5268=""),"",IF(G5268&lt;='RETRATO 2027'!$K$5,"CONCLUÍDA",IF(F5268&lt;='RETRATO 2027'!$K$5,"EM ANDAMENTO","A INICIAR")))</f>
        <v/>
      </c>
    </row>
    <row r="5269">
      <c r="M5269" s="2">
        <f>IF(C5269="","",IFERROR(INDEX($S$5:$S$304,MATCH(C5269,$R$5:$R$304,0))&amp;"","?"))</f>
        <v/>
      </c>
      <c r="N5269" s="2">
        <f>IF(E5269="","",IF(ISNUMBER(SEARCH("SUBSOLO",E5269)),IFERROR(-VALUE(LEFT(E5269,FIND("º",SUBSTITUTE(E5269,"°","º"))-1)),-1),IF(LEFT(E5269,6)="TÉRREO",0,IFERROR(VALUE(LEFT(E5269,FIND("º",SUBSTITUTE(E5269,"°","º"))-1)),""))))</f>
        <v/>
      </c>
      <c r="O5269" s="2">
        <f>IF(OR(F5269="",G5269=""),"",IF(G5269&lt;='RETRATO 2027'!$K$5,"CONCLUÍDA",IF(F5269&lt;='RETRATO 2027'!$K$5,"EM ANDAMENTO","A INICIAR")))</f>
        <v/>
      </c>
    </row>
    <row r="5270">
      <c r="M5270" s="2">
        <f>IF(C5270="","",IFERROR(INDEX($S$5:$S$304,MATCH(C5270,$R$5:$R$304,0))&amp;"","?"))</f>
        <v/>
      </c>
      <c r="N5270" s="2">
        <f>IF(E5270="","",IF(ISNUMBER(SEARCH("SUBSOLO",E5270)),IFERROR(-VALUE(LEFT(E5270,FIND("º",SUBSTITUTE(E5270,"°","º"))-1)),-1),IF(LEFT(E5270,6)="TÉRREO",0,IFERROR(VALUE(LEFT(E5270,FIND("º",SUBSTITUTE(E5270,"°","º"))-1)),""))))</f>
        <v/>
      </c>
      <c r="O5270" s="2">
        <f>IF(OR(F5270="",G5270=""),"",IF(G5270&lt;='RETRATO 2027'!$K$5,"CONCLUÍDA",IF(F5270&lt;='RETRATO 2027'!$K$5,"EM ANDAMENTO","A INICIAR")))</f>
        <v/>
      </c>
    </row>
    <row r="5271">
      <c r="M5271" s="2">
        <f>IF(C5271="","",IFERROR(INDEX($S$5:$S$304,MATCH(C5271,$R$5:$R$304,0))&amp;"","?"))</f>
        <v/>
      </c>
      <c r="N5271" s="2">
        <f>IF(E5271="","",IF(ISNUMBER(SEARCH("SUBSOLO",E5271)),IFERROR(-VALUE(LEFT(E5271,FIND("º",SUBSTITUTE(E5271,"°","º"))-1)),-1),IF(LEFT(E5271,6)="TÉRREO",0,IFERROR(VALUE(LEFT(E5271,FIND("º",SUBSTITUTE(E5271,"°","º"))-1)),""))))</f>
        <v/>
      </c>
      <c r="O5271" s="2">
        <f>IF(OR(F5271="",G5271=""),"",IF(G5271&lt;='RETRATO 2027'!$K$5,"CONCLUÍDA",IF(F5271&lt;='RETRATO 2027'!$K$5,"EM ANDAMENTO","A INICIAR")))</f>
        <v/>
      </c>
    </row>
    <row r="5272">
      <c r="M5272" s="2">
        <f>IF(C5272="","",IFERROR(INDEX($S$5:$S$304,MATCH(C5272,$R$5:$R$304,0))&amp;"","?"))</f>
        <v/>
      </c>
      <c r="N5272" s="2">
        <f>IF(E5272="","",IF(ISNUMBER(SEARCH("SUBSOLO",E5272)),IFERROR(-VALUE(LEFT(E5272,FIND("º",SUBSTITUTE(E5272,"°","º"))-1)),-1),IF(LEFT(E5272,6)="TÉRREO",0,IFERROR(VALUE(LEFT(E5272,FIND("º",SUBSTITUTE(E5272,"°","º"))-1)),""))))</f>
        <v/>
      </c>
      <c r="O5272" s="2">
        <f>IF(OR(F5272="",G5272=""),"",IF(G5272&lt;='RETRATO 2027'!$K$5,"CONCLUÍDA",IF(F5272&lt;='RETRATO 2027'!$K$5,"EM ANDAMENTO","A INICIAR")))</f>
        <v/>
      </c>
    </row>
    <row r="5273">
      <c r="M5273" s="2">
        <f>IF(C5273="","",IFERROR(INDEX($S$5:$S$304,MATCH(C5273,$R$5:$R$304,0))&amp;"","?"))</f>
        <v/>
      </c>
      <c r="N5273" s="2">
        <f>IF(E5273="","",IF(ISNUMBER(SEARCH("SUBSOLO",E5273)),IFERROR(-VALUE(LEFT(E5273,FIND("º",SUBSTITUTE(E5273,"°","º"))-1)),-1),IF(LEFT(E5273,6)="TÉRREO",0,IFERROR(VALUE(LEFT(E5273,FIND("º",SUBSTITUTE(E5273,"°","º"))-1)),""))))</f>
        <v/>
      </c>
      <c r="O5273" s="2">
        <f>IF(OR(F5273="",G5273=""),"",IF(G5273&lt;='RETRATO 2027'!$K$5,"CONCLUÍDA",IF(F5273&lt;='RETRATO 2027'!$K$5,"EM ANDAMENTO","A INICIAR")))</f>
        <v/>
      </c>
    </row>
    <row r="5274">
      <c r="M5274" s="2">
        <f>IF(C5274="","",IFERROR(INDEX($S$5:$S$304,MATCH(C5274,$R$5:$R$304,0))&amp;"","?"))</f>
        <v/>
      </c>
      <c r="N5274" s="2">
        <f>IF(E5274="","",IF(ISNUMBER(SEARCH("SUBSOLO",E5274)),IFERROR(-VALUE(LEFT(E5274,FIND("º",SUBSTITUTE(E5274,"°","º"))-1)),-1),IF(LEFT(E5274,6)="TÉRREO",0,IFERROR(VALUE(LEFT(E5274,FIND("º",SUBSTITUTE(E5274,"°","º"))-1)),""))))</f>
        <v/>
      </c>
      <c r="O5274" s="2">
        <f>IF(OR(F5274="",G5274=""),"",IF(G5274&lt;='RETRATO 2027'!$K$5,"CONCLUÍDA",IF(F5274&lt;='RETRATO 2027'!$K$5,"EM ANDAMENTO","A INICIAR")))</f>
        <v/>
      </c>
    </row>
    <row r="5275">
      <c r="M5275" s="2">
        <f>IF(C5275="","",IFERROR(INDEX($S$5:$S$304,MATCH(C5275,$R$5:$R$304,0))&amp;"","?"))</f>
        <v/>
      </c>
      <c r="N5275" s="2">
        <f>IF(E5275="","",IF(ISNUMBER(SEARCH("SUBSOLO",E5275)),IFERROR(-VALUE(LEFT(E5275,FIND("º",SUBSTITUTE(E5275,"°","º"))-1)),-1),IF(LEFT(E5275,6)="TÉRREO",0,IFERROR(VALUE(LEFT(E5275,FIND("º",SUBSTITUTE(E5275,"°","º"))-1)),""))))</f>
        <v/>
      </c>
      <c r="O5275" s="2">
        <f>IF(OR(F5275="",G5275=""),"",IF(G5275&lt;='RETRATO 2027'!$K$5,"CONCLUÍDA",IF(F5275&lt;='RETRATO 2027'!$K$5,"EM ANDAMENTO","A INICIAR")))</f>
        <v/>
      </c>
    </row>
    <row r="5276">
      <c r="M5276" s="2">
        <f>IF(C5276="","",IFERROR(INDEX($S$5:$S$304,MATCH(C5276,$R$5:$R$304,0))&amp;"","?"))</f>
        <v/>
      </c>
      <c r="N5276" s="2">
        <f>IF(E5276="","",IF(ISNUMBER(SEARCH("SUBSOLO",E5276)),IFERROR(-VALUE(LEFT(E5276,FIND("º",SUBSTITUTE(E5276,"°","º"))-1)),-1),IF(LEFT(E5276,6)="TÉRREO",0,IFERROR(VALUE(LEFT(E5276,FIND("º",SUBSTITUTE(E5276,"°","º"))-1)),""))))</f>
        <v/>
      </c>
      <c r="O5276" s="2">
        <f>IF(OR(F5276="",G5276=""),"",IF(G5276&lt;='RETRATO 2027'!$K$5,"CONCLUÍDA",IF(F5276&lt;='RETRATO 2027'!$K$5,"EM ANDAMENTO","A INICIAR")))</f>
        <v/>
      </c>
    </row>
    <row r="5277">
      <c r="M5277" s="2">
        <f>IF(C5277="","",IFERROR(INDEX($S$5:$S$304,MATCH(C5277,$R$5:$R$304,0))&amp;"","?"))</f>
        <v/>
      </c>
      <c r="N5277" s="2">
        <f>IF(E5277="","",IF(ISNUMBER(SEARCH("SUBSOLO",E5277)),IFERROR(-VALUE(LEFT(E5277,FIND("º",SUBSTITUTE(E5277,"°","º"))-1)),-1),IF(LEFT(E5277,6)="TÉRREO",0,IFERROR(VALUE(LEFT(E5277,FIND("º",SUBSTITUTE(E5277,"°","º"))-1)),""))))</f>
        <v/>
      </c>
      <c r="O5277" s="2">
        <f>IF(OR(F5277="",G5277=""),"",IF(G5277&lt;='RETRATO 2027'!$K$5,"CONCLUÍDA",IF(F5277&lt;='RETRATO 2027'!$K$5,"EM ANDAMENTO","A INICIAR")))</f>
        <v/>
      </c>
    </row>
    <row r="5278">
      <c r="M5278" s="2">
        <f>IF(C5278="","",IFERROR(INDEX($S$5:$S$304,MATCH(C5278,$R$5:$R$304,0))&amp;"","?"))</f>
        <v/>
      </c>
      <c r="N5278" s="2">
        <f>IF(E5278="","",IF(ISNUMBER(SEARCH("SUBSOLO",E5278)),IFERROR(-VALUE(LEFT(E5278,FIND("º",SUBSTITUTE(E5278,"°","º"))-1)),-1),IF(LEFT(E5278,6)="TÉRREO",0,IFERROR(VALUE(LEFT(E5278,FIND("º",SUBSTITUTE(E5278,"°","º"))-1)),""))))</f>
        <v/>
      </c>
      <c r="O5278" s="2">
        <f>IF(OR(F5278="",G5278=""),"",IF(G5278&lt;='RETRATO 2027'!$K$5,"CONCLUÍDA",IF(F5278&lt;='RETRATO 2027'!$K$5,"EM ANDAMENTO","A INICIAR")))</f>
        <v/>
      </c>
    </row>
    <row r="5279">
      <c r="M5279" s="2">
        <f>IF(C5279="","",IFERROR(INDEX($S$5:$S$304,MATCH(C5279,$R$5:$R$304,0))&amp;"","?"))</f>
        <v/>
      </c>
      <c r="N5279" s="2">
        <f>IF(E5279="","",IF(ISNUMBER(SEARCH("SUBSOLO",E5279)),IFERROR(-VALUE(LEFT(E5279,FIND("º",SUBSTITUTE(E5279,"°","º"))-1)),-1),IF(LEFT(E5279,6)="TÉRREO",0,IFERROR(VALUE(LEFT(E5279,FIND("º",SUBSTITUTE(E5279,"°","º"))-1)),""))))</f>
        <v/>
      </c>
      <c r="O5279" s="2">
        <f>IF(OR(F5279="",G5279=""),"",IF(G5279&lt;='RETRATO 2027'!$K$5,"CONCLUÍDA",IF(F5279&lt;='RETRATO 2027'!$K$5,"EM ANDAMENTO","A INICIAR")))</f>
        <v/>
      </c>
    </row>
    <row r="5280">
      <c r="M5280" s="2">
        <f>IF(C5280="","",IFERROR(INDEX($S$5:$S$304,MATCH(C5280,$R$5:$R$304,0))&amp;"","?"))</f>
        <v/>
      </c>
      <c r="N5280" s="2">
        <f>IF(E5280="","",IF(ISNUMBER(SEARCH("SUBSOLO",E5280)),IFERROR(-VALUE(LEFT(E5280,FIND("º",SUBSTITUTE(E5280,"°","º"))-1)),-1),IF(LEFT(E5280,6)="TÉRREO",0,IFERROR(VALUE(LEFT(E5280,FIND("º",SUBSTITUTE(E5280,"°","º"))-1)),""))))</f>
        <v/>
      </c>
      <c r="O5280" s="2">
        <f>IF(OR(F5280="",G5280=""),"",IF(G5280&lt;='RETRATO 2027'!$K$5,"CONCLUÍDA",IF(F5280&lt;='RETRATO 2027'!$K$5,"EM ANDAMENTO","A INICIAR")))</f>
        <v/>
      </c>
    </row>
    <row r="5281">
      <c r="M5281" s="2">
        <f>IF(C5281="","",IFERROR(INDEX($S$5:$S$304,MATCH(C5281,$R$5:$R$304,0))&amp;"","?"))</f>
        <v/>
      </c>
      <c r="N5281" s="2">
        <f>IF(E5281="","",IF(ISNUMBER(SEARCH("SUBSOLO",E5281)),IFERROR(-VALUE(LEFT(E5281,FIND("º",SUBSTITUTE(E5281,"°","º"))-1)),-1),IF(LEFT(E5281,6)="TÉRREO",0,IFERROR(VALUE(LEFT(E5281,FIND("º",SUBSTITUTE(E5281,"°","º"))-1)),""))))</f>
        <v/>
      </c>
      <c r="O5281" s="2">
        <f>IF(OR(F5281="",G5281=""),"",IF(G5281&lt;='RETRATO 2027'!$K$5,"CONCLUÍDA",IF(F5281&lt;='RETRATO 2027'!$K$5,"EM ANDAMENTO","A INICIAR")))</f>
        <v/>
      </c>
    </row>
    <row r="5282">
      <c r="M5282" s="2">
        <f>IF(C5282="","",IFERROR(INDEX($S$5:$S$304,MATCH(C5282,$R$5:$R$304,0))&amp;"","?"))</f>
        <v/>
      </c>
      <c r="N5282" s="2">
        <f>IF(E5282="","",IF(ISNUMBER(SEARCH("SUBSOLO",E5282)),IFERROR(-VALUE(LEFT(E5282,FIND("º",SUBSTITUTE(E5282,"°","º"))-1)),-1),IF(LEFT(E5282,6)="TÉRREO",0,IFERROR(VALUE(LEFT(E5282,FIND("º",SUBSTITUTE(E5282,"°","º"))-1)),""))))</f>
        <v/>
      </c>
      <c r="O5282" s="2">
        <f>IF(OR(F5282="",G5282=""),"",IF(G5282&lt;='RETRATO 2027'!$K$5,"CONCLUÍDA",IF(F5282&lt;='RETRATO 2027'!$K$5,"EM ANDAMENTO","A INICIAR")))</f>
        <v/>
      </c>
    </row>
    <row r="5283">
      <c r="M5283" s="2">
        <f>IF(C5283="","",IFERROR(INDEX($S$5:$S$304,MATCH(C5283,$R$5:$R$304,0))&amp;"","?"))</f>
        <v/>
      </c>
      <c r="N5283" s="2">
        <f>IF(E5283="","",IF(ISNUMBER(SEARCH("SUBSOLO",E5283)),IFERROR(-VALUE(LEFT(E5283,FIND("º",SUBSTITUTE(E5283,"°","º"))-1)),-1),IF(LEFT(E5283,6)="TÉRREO",0,IFERROR(VALUE(LEFT(E5283,FIND("º",SUBSTITUTE(E5283,"°","º"))-1)),""))))</f>
        <v/>
      </c>
      <c r="O5283" s="2">
        <f>IF(OR(F5283="",G5283=""),"",IF(G5283&lt;='RETRATO 2027'!$K$5,"CONCLUÍDA",IF(F5283&lt;='RETRATO 2027'!$K$5,"EM ANDAMENTO","A INICIAR")))</f>
        <v/>
      </c>
    </row>
    <row r="5284">
      <c r="M5284" s="2">
        <f>IF(C5284="","",IFERROR(INDEX($S$5:$S$304,MATCH(C5284,$R$5:$R$304,0))&amp;"","?"))</f>
        <v/>
      </c>
      <c r="N5284" s="2">
        <f>IF(E5284="","",IF(ISNUMBER(SEARCH("SUBSOLO",E5284)),IFERROR(-VALUE(LEFT(E5284,FIND("º",SUBSTITUTE(E5284,"°","º"))-1)),-1),IF(LEFT(E5284,6)="TÉRREO",0,IFERROR(VALUE(LEFT(E5284,FIND("º",SUBSTITUTE(E5284,"°","º"))-1)),""))))</f>
        <v/>
      </c>
      <c r="O5284" s="2">
        <f>IF(OR(F5284="",G5284=""),"",IF(G5284&lt;='RETRATO 2027'!$K$5,"CONCLUÍDA",IF(F5284&lt;='RETRATO 2027'!$K$5,"EM ANDAMENTO","A INICIAR")))</f>
        <v/>
      </c>
    </row>
    <row r="5285">
      <c r="M5285" s="2">
        <f>IF(C5285="","",IFERROR(INDEX($S$5:$S$304,MATCH(C5285,$R$5:$R$304,0))&amp;"","?"))</f>
        <v/>
      </c>
      <c r="N5285" s="2">
        <f>IF(E5285="","",IF(ISNUMBER(SEARCH("SUBSOLO",E5285)),IFERROR(-VALUE(LEFT(E5285,FIND("º",SUBSTITUTE(E5285,"°","º"))-1)),-1),IF(LEFT(E5285,6)="TÉRREO",0,IFERROR(VALUE(LEFT(E5285,FIND("º",SUBSTITUTE(E5285,"°","º"))-1)),""))))</f>
        <v/>
      </c>
      <c r="O5285" s="2">
        <f>IF(OR(F5285="",G5285=""),"",IF(G5285&lt;='RETRATO 2027'!$K$5,"CONCLUÍDA",IF(F5285&lt;='RETRATO 2027'!$K$5,"EM ANDAMENTO","A INICIAR")))</f>
        <v/>
      </c>
    </row>
    <row r="5286">
      <c r="M5286" s="2">
        <f>IF(C5286="","",IFERROR(INDEX($S$5:$S$304,MATCH(C5286,$R$5:$R$304,0))&amp;"","?"))</f>
        <v/>
      </c>
      <c r="N5286" s="2">
        <f>IF(E5286="","",IF(ISNUMBER(SEARCH("SUBSOLO",E5286)),IFERROR(-VALUE(LEFT(E5286,FIND("º",SUBSTITUTE(E5286,"°","º"))-1)),-1),IF(LEFT(E5286,6)="TÉRREO",0,IFERROR(VALUE(LEFT(E5286,FIND("º",SUBSTITUTE(E5286,"°","º"))-1)),""))))</f>
        <v/>
      </c>
      <c r="O5286" s="2">
        <f>IF(OR(F5286="",G5286=""),"",IF(G5286&lt;='RETRATO 2027'!$K$5,"CONCLUÍDA",IF(F5286&lt;='RETRATO 2027'!$K$5,"EM ANDAMENTO","A INICIAR")))</f>
        <v/>
      </c>
    </row>
    <row r="5287">
      <c r="M5287" s="2">
        <f>IF(C5287="","",IFERROR(INDEX($S$5:$S$304,MATCH(C5287,$R$5:$R$304,0))&amp;"","?"))</f>
        <v/>
      </c>
      <c r="N5287" s="2">
        <f>IF(E5287="","",IF(ISNUMBER(SEARCH("SUBSOLO",E5287)),IFERROR(-VALUE(LEFT(E5287,FIND("º",SUBSTITUTE(E5287,"°","º"))-1)),-1),IF(LEFT(E5287,6)="TÉRREO",0,IFERROR(VALUE(LEFT(E5287,FIND("º",SUBSTITUTE(E5287,"°","º"))-1)),""))))</f>
        <v/>
      </c>
      <c r="O5287" s="2">
        <f>IF(OR(F5287="",G5287=""),"",IF(G5287&lt;='RETRATO 2027'!$K$5,"CONCLUÍDA",IF(F5287&lt;='RETRATO 2027'!$K$5,"EM ANDAMENTO","A INICIAR")))</f>
        <v/>
      </c>
    </row>
    <row r="5288">
      <c r="M5288" s="2">
        <f>IF(C5288="","",IFERROR(INDEX($S$5:$S$304,MATCH(C5288,$R$5:$R$304,0))&amp;"","?"))</f>
        <v/>
      </c>
      <c r="N5288" s="2">
        <f>IF(E5288="","",IF(ISNUMBER(SEARCH("SUBSOLO",E5288)),IFERROR(-VALUE(LEFT(E5288,FIND("º",SUBSTITUTE(E5288,"°","º"))-1)),-1),IF(LEFT(E5288,6)="TÉRREO",0,IFERROR(VALUE(LEFT(E5288,FIND("º",SUBSTITUTE(E5288,"°","º"))-1)),""))))</f>
        <v/>
      </c>
      <c r="O5288" s="2">
        <f>IF(OR(F5288="",G5288=""),"",IF(G5288&lt;='RETRATO 2027'!$K$5,"CONCLUÍDA",IF(F5288&lt;='RETRATO 2027'!$K$5,"EM ANDAMENTO","A INICIAR")))</f>
        <v/>
      </c>
    </row>
    <row r="5289">
      <c r="M5289" s="2">
        <f>IF(C5289="","",IFERROR(INDEX($S$5:$S$304,MATCH(C5289,$R$5:$R$304,0))&amp;"","?"))</f>
        <v/>
      </c>
      <c r="N5289" s="2">
        <f>IF(E5289="","",IF(ISNUMBER(SEARCH("SUBSOLO",E5289)),IFERROR(-VALUE(LEFT(E5289,FIND("º",SUBSTITUTE(E5289,"°","º"))-1)),-1),IF(LEFT(E5289,6)="TÉRREO",0,IFERROR(VALUE(LEFT(E5289,FIND("º",SUBSTITUTE(E5289,"°","º"))-1)),""))))</f>
        <v/>
      </c>
      <c r="O5289" s="2">
        <f>IF(OR(F5289="",G5289=""),"",IF(G5289&lt;='RETRATO 2027'!$K$5,"CONCLUÍDA",IF(F5289&lt;='RETRATO 2027'!$K$5,"EM ANDAMENTO","A INICIAR")))</f>
        <v/>
      </c>
    </row>
    <row r="5290">
      <c r="M5290" s="2">
        <f>IF(C5290="","",IFERROR(INDEX($S$5:$S$304,MATCH(C5290,$R$5:$R$304,0))&amp;"","?"))</f>
        <v/>
      </c>
      <c r="N5290" s="2">
        <f>IF(E5290="","",IF(ISNUMBER(SEARCH("SUBSOLO",E5290)),IFERROR(-VALUE(LEFT(E5290,FIND("º",SUBSTITUTE(E5290,"°","º"))-1)),-1),IF(LEFT(E5290,6)="TÉRREO",0,IFERROR(VALUE(LEFT(E5290,FIND("º",SUBSTITUTE(E5290,"°","º"))-1)),""))))</f>
        <v/>
      </c>
      <c r="O5290" s="2">
        <f>IF(OR(F5290="",G5290=""),"",IF(G5290&lt;='RETRATO 2027'!$K$5,"CONCLUÍDA",IF(F5290&lt;='RETRATO 2027'!$K$5,"EM ANDAMENTO","A INICIAR")))</f>
        <v/>
      </c>
    </row>
    <row r="5291">
      <c r="M5291" s="2">
        <f>IF(C5291="","",IFERROR(INDEX($S$5:$S$304,MATCH(C5291,$R$5:$R$304,0))&amp;"","?"))</f>
        <v/>
      </c>
      <c r="N5291" s="2">
        <f>IF(E5291="","",IF(ISNUMBER(SEARCH("SUBSOLO",E5291)),IFERROR(-VALUE(LEFT(E5291,FIND("º",SUBSTITUTE(E5291,"°","º"))-1)),-1),IF(LEFT(E5291,6)="TÉRREO",0,IFERROR(VALUE(LEFT(E5291,FIND("º",SUBSTITUTE(E5291,"°","º"))-1)),""))))</f>
        <v/>
      </c>
      <c r="O5291" s="2">
        <f>IF(OR(F5291="",G5291=""),"",IF(G5291&lt;='RETRATO 2027'!$K$5,"CONCLUÍDA",IF(F5291&lt;='RETRATO 2027'!$K$5,"EM ANDAMENTO","A INICIAR")))</f>
        <v/>
      </c>
    </row>
    <row r="5292">
      <c r="M5292" s="2">
        <f>IF(C5292="","",IFERROR(INDEX($S$5:$S$304,MATCH(C5292,$R$5:$R$304,0))&amp;"","?"))</f>
        <v/>
      </c>
      <c r="N5292" s="2">
        <f>IF(E5292="","",IF(ISNUMBER(SEARCH("SUBSOLO",E5292)),IFERROR(-VALUE(LEFT(E5292,FIND("º",SUBSTITUTE(E5292,"°","º"))-1)),-1),IF(LEFT(E5292,6)="TÉRREO",0,IFERROR(VALUE(LEFT(E5292,FIND("º",SUBSTITUTE(E5292,"°","º"))-1)),""))))</f>
        <v/>
      </c>
      <c r="O5292" s="2">
        <f>IF(OR(F5292="",G5292=""),"",IF(G5292&lt;='RETRATO 2027'!$K$5,"CONCLUÍDA",IF(F5292&lt;='RETRATO 2027'!$K$5,"EM ANDAMENTO","A INICIAR")))</f>
        <v/>
      </c>
    </row>
    <row r="5293">
      <c r="M5293" s="2">
        <f>IF(C5293="","",IFERROR(INDEX($S$5:$S$304,MATCH(C5293,$R$5:$R$304,0))&amp;"","?"))</f>
        <v/>
      </c>
      <c r="N5293" s="2">
        <f>IF(E5293="","",IF(ISNUMBER(SEARCH("SUBSOLO",E5293)),IFERROR(-VALUE(LEFT(E5293,FIND("º",SUBSTITUTE(E5293,"°","º"))-1)),-1),IF(LEFT(E5293,6)="TÉRREO",0,IFERROR(VALUE(LEFT(E5293,FIND("º",SUBSTITUTE(E5293,"°","º"))-1)),""))))</f>
        <v/>
      </c>
      <c r="O5293" s="2">
        <f>IF(OR(F5293="",G5293=""),"",IF(G5293&lt;='RETRATO 2027'!$K$5,"CONCLUÍDA",IF(F5293&lt;='RETRATO 2027'!$K$5,"EM ANDAMENTO","A INICIAR")))</f>
        <v/>
      </c>
    </row>
    <row r="5294">
      <c r="M5294" s="2">
        <f>IF(C5294="","",IFERROR(INDEX($S$5:$S$304,MATCH(C5294,$R$5:$R$304,0))&amp;"","?"))</f>
        <v/>
      </c>
      <c r="N5294" s="2">
        <f>IF(E5294="","",IF(ISNUMBER(SEARCH("SUBSOLO",E5294)),IFERROR(-VALUE(LEFT(E5294,FIND("º",SUBSTITUTE(E5294,"°","º"))-1)),-1),IF(LEFT(E5294,6)="TÉRREO",0,IFERROR(VALUE(LEFT(E5294,FIND("º",SUBSTITUTE(E5294,"°","º"))-1)),""))))</f>
        <v/>
      </c>
      <c r="O5294" s="2">
        <f>IF(OR(F5294="",G5294=""),"",IF(G5294&lt;='RETRATO 2027'!$K$5,"CONCLUÍDA",IF(F5294&lt;='RETRATO 2027'!$K$5,"EM ANDAMENTO","A INICIAR")))</f>
        <v/>
      </c>
    </row>
    <row r="5295">
      <c r="M5295" s="2">
        <f>IF(C5295="","",IFERROR(INDEX($S$5:$S$304,MATCH(C5295,$R$5:$R$304,0))&amp;"","?"))</f>
        <v/>
      </c>
      <c r="N5295" s="2">
        <f>IF(E5295="","",IF(ISNUMBER(SEARCH("SUBSOLO",E5295)),IFERROR(-VALUE(LEFT(E5295,FIND("º",SUBSTITUTE(E5295,"°","º"))-1)),-1),IF(LEFT(E5295,6)="TÉRREO",0,IFERROR(VALUE(LEFT(E5295,FIND("º",SUBSTITUTE(E5295,"°","º"))-1)),""))))</f>
        <v/>
      </c>
      <c r="O5295" s="2">
        <f>IF(OR(F5295="",G5295=""),"",IF(G5295&lt;='RETRATO 2027'!$K$5,"CONCLUÍDA",IF(F5295&lt;='RETRATO 2027'!$K$5,"EM ANDAMENTO","A INICIAR")))</f>
        <v/>
      </c>
    </row>
    <row r="5296">
      <c r="M5296" s="2">
        <f>IF(C5296="","",IFERROR(INDEX($S$5:$S$304,MATCH(C5296,$R$5:$R$304,0))&amp;"","?"))</f>
        <v/>
      </c>
      <c r="N5296" s="2">
        <f>IF(E5296="","",IF(ISNUMBER(SEARCH("SUBSOLO",E5296)),IFERROR(-VALUE(LEFT(E5296,FIND("º",SUBSTITUTE(E5296,"°","º"))-1)),-1),IF(LEFT(E5296,6)="TÉRREO",0,IFERROR(VALUE(LEFT(E5296,FIND("º",SUBSTITUTE(E5296,"°","º"))-1)),""))))</f>
        <v/>
      </c>
      <c r="O5296" s="2">
        <f>IF(OR(F5296="",G5296=""),"",IF(G5296&lt;='RETRATO 2027'!$K$5,"CONCLUÍDA",IF(F5296&lt;='RETRATO 2027'!$K$5,"EM ANDAMENTO","A INICIAR")))</f>
        <v/>
      </c>
    </row>
    <row r="5297">
      <c r="M5297" s="2">
        <f>IF(C5297="","",IFERROR(INDEX($S$5:$S$304,MATCH(C5297,$R$5:$R$304,0))&amp;"","?"))</f>
        <v/>
      </c>
      <c r="N5297" s="2">
        <f>IF(E5297="","",IF(ISNUMBER(SEARCH("SUBSOLO",E5297)),IFERROR(-VALUE(LEFT(E5297,FIND("º",SUBSTITUTE(E5297,"°","º"))-1)),-1),IF(LEFT(E5297,6)="TÉRREO",0,IFERROR(VALUE(LEFT(E5297,FIND("º",SUBSTITUTE(E5297,"°","º"))-1)),""))))</f>
        <v/>
      </c>
      <c r="O5297" s="2">
        <f>IF(OR(F5297="",G5297=""),"",IF(G5297&lt;='RETRATO 2027'!$K$5,"CONCLUÍDA",IF(F5297&lt;='RETRATO 2027'!$K$5,"EM ANDAMENTO","A INICIAR")))</f>
        <v/>
      </c>
    </row>
    <row r="5298">
      <c r="M5298" s="2">
        <f>IF(C5298="","",IFERROR(INDEX($S$5:$S$304,MATCH(C5298,$R$5:$R$304,0))&amp;"","?"))</f>
        <v/>
      </c>
      <c r="N5298" s="2">
        <f>IF(E5298="","",IF(ISNUMBER(SEARCH("SUBSOLO",E5298)),IFERROR(-VALUE(LEFT(E5298,FIND("º",SUBSTITUTE(E5298,"°","º"))-1)),-1),IF(LEFT(E5298,6)="TÉRREO",0,IFERROR(VALUE(LEFT(E5298,FIND("º",SUBSTITUTE(E5298,"°","º"))-1)),""))))</f>
        <v/>
      </c>
      <c r="O5298" s="2">
        <f>IF(OR(F5298="",G5298=""),"",IF(G5298&lt;='RETRATO 2027'!$K$5,"CONCLUÍDA",IF(F5298&lt;='RETRATO 2027'!$K$5,"EM ANDAMENTO","A INICIAR")))</f>
        <v/>
      </c>
    </row>
    <row r="5299">
      <c r="M5299" s="2">
        <f>IF(C5299="","",IFERROR(INDEX($S$5:$S$304,MATCH(C5299,$R$5:$R$304,0))&amp;"","?"))</f>
        <v/>
      </c>
      <c r="N5299" s="2">
        <f>IF(E5299="","",IF(ISNUMBER(SEARCH("SUBSOLO",E5299)),IFERROR(-VALUE(LEFT(E5299,FIND("º",SUBSTITUTE(E5299,"°","º"))-1)),-1),IF(LEFT(E5299,6)="TÉRREO",0,IFERROR(VALUE(LEFT(E5299,FIND("º",SUBSTITUTE(E5299,"°","º"))-1)),""))))</f>
        <v/>
      </c>
      <c r="O5299" s="2">
        <f>IF(OR(F5299="",G5299=""),"",IF(G5299&lt;='RETRATO 2027'!$K$5,"CONCLUÍDA",IF(F5299&lt;='RETRATO 2027'!$K$5,"EM ANDAMENTO","A INICIAR")))</f>
        <v/>
      </c>
    </row>
    <row r="5300">
      <c r="M5300" s="2">
        <f>IF(C5300="","",IFERROR(INDEX($S$5:$S$304,MATCH(C5300,$R$5:$R$304,0))&amp;"","?"))</f>
        <v/>
      </c>
      <c r="N5300" s="2">
        <f>IF(E5300="","",IF(ISNUMBER(SEARCH("SUBSOLO",E5300)),IFERROR(-VALUE(LEFT(E5300,FIND("º",SUBSTITUTE(E5300,"°","º"))-1)),-1),IF(LEFT(E5300,6)="TÉRREO",0,IFERROR(VALUE(LEFT(E5300,FIND("º",SUBSTITUTE(E5300,"°","º"))-1)),""))))</f>
        <v/>
      </c>
      <c r="O5300" s="2">
        <f>IF(OR(F5300="",G5300=""),"",IF(G5300&lt;='RETRATO 2027'!$K$5,"CONCLUÍDA",IF(F5300&lt;='RETRATO 2027'!$K$5,"EM ANDAMENTO","A INICIAR")))</f>
        <v/>
      </c>
    </row>
    <row r="5301">
      <c r="M5301" s="2">
        <f>IF(C5301="","",IFERROR(INDEX($S$5:$S$304,MATCH(C5301,$R$5:$R$304,0))&amp;"","?"))</f>
        <v/>
      </c>
      <c r="N5301" s="2">
        <f>IF(E5301="","",IF(ISNUMBER(SEARCH("SUBSOLO",E5301)),IFERROR(-VALUE(LEFT(E5301,FIND("º",SUBSTITUTE(E5301,"°","º"))-1)),-1),IF(LEFT(E5301,6)="TÉRREO",0,IFERROR(VALUE(LEFT(E5301,FIND("º",SUBSTITUTE(E5301,"°","º"))-1)),""))))</f>
        <v/>
      </c>
      <c r="O5301" s="2">
        <f>IF(OR(F5301="",G5301=""),"",IF(G5301&lt;='RETRATO 2027'!$K$5,"CONCLUÍDA",IF(F5301&lt;='RETRATO 2027'!$K$5,"EM ANDAMENTO","A INICIAR")))</f>
        <v/>
      </c>
    </row>
    <row r="5302">
      <c r="M5302" s="2">
        <f>IF(C5302="","",IFERROR(INDEX($S$5:$S$304,MATCH(C5302,$R$5:$R$304,0))&amp;"","?"))</f>
        <v/>
      </c>
      <c r="N5302" s="2">
        <f>IF(E5302="","",IF(ISNUMBER(SEARCH("SUBSOLO",E5302)),IFERROR(-VALUE(LEFT(E5302,FIND("º",SUBSTITUTE(E5302,"°","º"))-1)),-1),IF(LEFT(E5302,6)="TÉRREO",0,IFERROR(VALUE(LEFT(E5302,FIND("º",SUBSTITUTE(E5302,"°","º"))-1)),""))))</f>
        <v/>
      </c>
      <c r="O5302" s="2">
        <f>IF(OR(F5302="",G5302=""),"",IF(G5302&lt;='RETRATO 2027'!$K$5,"CONCLUÍDA",IF(F5302&lt;='RETRATO 2027'!$K$5,"EM ANDAMENTO","A INICIAR")))</f>
        <v/>
      </c>
    </row>
    <row r="5303">
      <c r="M5303" s="2">
        <f>IF(C5303="","",IFERROR(INDEX($S$5:$S$304,MATCH(C5303,$R$5:$R$304,0))&amp;"","?"))</f>
        <v/>
      </c>
      <c r="N5303" s="2">
        <f>IF(E5303="","",IF(ISNUMBER(SEARCH("SUBSOLO",E5303)),IFERROR(-VALUE(LEFT(E5303,FIND("º",SUBSTITUTE(E5303,"°","º"))-1)),-1),IF(LEFT(E5303,6)="TÉRREO",0,IFERROR(VALUE(LEFT(E5303,FIND("º",SUBSTITUTE(E5303,"°","º"))-1)),""))))</f>
        <v/>
      </c>
      <c r="O5303" s="2">
        <f>IF(OR(F5303="",G5303=""),"",IF(G5303&lt;='RETRATO 2027'!$K$5,"CONCLUÍDA",IF(F5303&lt;='RETRATO 2027'!$K$5,"EM ANDAMENTO","A INICIAR")))</f>
        <v/>
      </c>
    </row>
    <row r="5304">
      <c r="M5304" s="2">
        <f>IF(C5304="","",IFERROR(INDEX($S$5:$S$304,MATCH(C5304,$R$5:$R$304,0))&amp;"","?"))</f>
        <v/>
      </c>
      <c r="N5304" s="2">
        <f>IF(E5304="","",IF(ISNUMBER(SEARCH("SUBSOLO",E5304)),IFERROR(-VALUE(LEFT(E5304,FIND("º",SUBSTITUTE(E5304,"°","º"))-1)),-1),IF(LEFT(E5304,6)="TÉRREO",0,IFERROR(VALUE(LEFT(E5304,FIND("º",SUBSTITUTE(E5304,"°","º"))-1)),""))))</f>
        <v/>
      </c>
      <c r="O5304" s="2">
        <f>IF(OR(F5304="",G5304=""),"",IF(G5304&lt;='RETRATO 2027'!$K$5,"CONCLUÍDA",IF(F5304&lt;='RETRATO 2027'!$K$5,"EM ANDAMENTO","A INICIAR")))</f>
        <v/>
      </c>
    </row>
    <row r="5305">
      <c r="M5305" s="2">
        <f>IF(C5305="","",IFERROR(INDEX($S$5:$S$304,MATCH(C5305,$R$5:$R$304,0))&amp;"","?"))</f>
        <v/>
      </c>
      <c r="N5305" s="2">
        <f>IF(E5305="","",IF(ISNUMBER(SEARCH("SUBSOLO",E5305)),IFERROR(-VALUE(LEFT(E5305,FIND("º",SUBSTITUTE(E5305,"°","º"))-1)),-1),IF(LEFT(E5305,6)="TÉRREO",0,IFERROR(VALUE(LEFT(E5305,FIND("º",SUBSTITUTE(E5305,"°","º"))-1)),""))))</f>
        <v/>
      </c>
      <c r="O5305" s="2">
        <f>IF(OR(F5305="",G5305=""),"",IF(G5305&lt;='RETRATO 2027'!$K$5,"CONCLUÍDA",IF(F5305&lt;='RETRATO 2027'!$K$5,"EM ANDAMENTO","A INICIAR")))</f>
        <v/>
      </c>
    </row>
    <row r="5306">
      <c r="M5306" s="2">
        <f>IF(C5306="","",IFERROR(INDEX($S$5:$S$304,MATCH(C5306,$R$5:$R$304,0))&amp;"","?"))</f>
        <v/>
      </c>
      <c r="N5306" s="2">
        <f>IF(E5306="","",IF(ISNUMBER(SEARCH("SUBSOLO",E5306)),IFERROR(-VALUE(LEFT(E5306,FIND("º",SUBSTITUTE(E5306,"°","º"))-1)),-1),IF(LEFT(E5306,6)="TÉRREO",0,IFERROR(VALUE(LEFT(E5306,FIND("º",SUBSTITUTE(E5306,"°","º"))-1)),""))))</f>
        <v/>
      </c>
      <c r="O5306" s="2">
        <f>IF(OR(F5306="",G5306=""),"",IF(G5306&lt;='RETRATO 2027'!$K$5,"CONCLUÍDA",IF(F5306&lt;='RETRATO 2027'!$K$5,"EM ANDAMENTO","A INICIAR")))</f>
        <v/>
      </c>
    </row>
    <row r="5307">
      <c r="M5307" s="2">
        <f>IF(C5307="","",IFERROR(INDEX($S$5:$S$304,MATCH(C5307,$R$5:$R$304,0))&amp;"","?"))</f>
        <v/>
      </c>
      <c r="N5307" s="2">
        <f>IF(E5307="","",IF(ISNUMBER(SEARCH("SUBSOLO",E5307)),IFERROR(-VALUE(LEFT(E5307,FIND("º",SUBSTITUTE(E5307,"°","º"))-1)),-1),IF(LEFT(E5307,6)="TÉRREO",0,IFERROR(VALUE(LEFT(E5307,FIND("º",SUBSTITUTE(E5307,"°","º"))-1)),""))))</f>
        <v/>
      </c>
      <c r="O5307" s="2">
        <f>IF(OR(F5307="",G5307=""),"",IF(G5307&lt;='RETRATO 2027'!$K$5,"CONCLUÍDA",IF(F5307&lt;='RETRATO 2027'!$K$5,"EM ANDAMENTO","A INICIAR")))</f>
        <v/>
      </c>
    </row>
    <row r="5308">
      <c r="M5308" s="2">
        <f>IF(C5308="","",IFERROR(INDEX($S$5:$S$304,MATCH(C5308,$R$5:$R$304,0))&amp;"","?"))</f>
        <v/>
      </c>
      <c r="N5308" s="2">
        <f>IF(E5308="","",IF(ISNUMBER(SEARCH("SUBSOLO",E5308)),IFERROR(-VALUE(LEFT(E5308,FIND("º",SUBSTITUTE(E5308,"°","º"))-1)),-1),IF(LEFT(E5308,6)="TÉRREO",0,IFERROR(VALUE(LEFT(E5308,FIND("º",SUBSTITUTE(E5308,"°","º"))-1)),""))))</f>
        <v/>
      </c>
      <c r="O5308" s="2">
        <f>IF(OR(F5308="",G5308=""),"",IF(G5308&lt;='RETRATO 2027'!$K$5,"CONCLUÍDA",IF(F5308&lt;='RETRATO 2027'!$K$5,"EM ANDAMENTO","A INICIAR")))</f>
        <v/>
      </c>
    </row>
    <row r="5309">
      <c r="M5309" s="2">
        <f>IF(C5309="","",IFERROR(INDEX($S$5:$S$304,MATCH(C5309,$R$5:$R$304,0))&amp;"","?"))</f>
        <v/>
      </c>
      <c r="N5309" s="2">
        <f>IF(E5309="","",IF(ISNUMBER(SEARCH("SUBSOLO",E5309)),IFERROR(-VALUE(LEFT(E5309,FIND("º",SUBSTITUTE(E5309,"°","º"))-1)),-1),IF(LEFT(E5309,6)="TÉRREO",0,IFERROR(VALUE(LEFT(E5309,FIND("º",SUBSTITUTE(E5309,"°","º"))-1)),""))))</f>
        <v/>
      </c>
      <c r="O5309" s="2">
        <f>IF(OR(F5309="",G5309=""),"",IF(G5309&lt;='RETRATO 2027'!$K$5,"CONCLUÍDA",IF(F5309&lt;='RETRATO 2027'!$K$5,"EM ANDAMENTO","A INICIAR")))</f>
        <v/>
      </c>
    </row>
    <row r="5310">
      <c r="M5310" s="2">
        <f>IF(C5310="","",IFERROR(INDEX($S$5:$S$304,MATCH(C5310,$R$5:$R$304,0))&amp;"","?"))</f>
        <v/>
      </c>
      <c r="N5310" s="2">
        <f>IF(E5310="","",IF(ISNUMBER(SEARCH("SUBSOLO",E5310)),IFERROR(-VALUE(LEFT(E5310,FIND("º",SUBSTITUTE(E5310,"°","º"))-1)),-1),IF(LEFT(E5310,6)="TÉRREO",0,IFERROR(VALUE(LEFT(E5310,FIND("º",SUBSTITUTE(E5310,"°","º"))-1)),""))))</f>
        <v/>
      </c>
      <c r="O5310" s="2">
        <f>IF(OR(F5310="",G5310=""),"",IF(G5310&lt;='RETRATO 2027'!$K$5,"CONCLUÍDA",IF(F5310&lt;='RETRATO 2027'!$K$5,"EM ANDAMENTO","A INICIAR")))</f>
        <v/>
      </c>
    </row>
    <row r="5311">
      <c r="M5311" s="2">
        <f>IF(C5311="","",IFERROR(INDEX($S$5:$S$304,MATCH(C5311,$R$5:$R$304,0))&amp;"","?"))</f>
        <v/>
      </c>
      <c r="N5311" s="2">
        <f>IF(E5311="","",IF(ISNUMBER(SEARCH("SUBSOLO",E5311)),IFERROR(-VALUE(LEFT(E5311,FIND("º",SUBSTITUTE(E5311,"°","º"))-1)),-1),IF(LEFT(E5311,6)="TÉRREO",0,IFERROR(VALUE(LEFT(E5311,FIND("º",SUBSTITUTE(E5311,"°","º"))-1)),""))))</f>
        <v/>
      </c>
      <c r="O5311" s="2">
        <f>IF(OR(F5311="",G5311=""),"",IF(G5311&lt;='RETRATO 2027'!$K$5,"CONCLUÍDA",IF(F5311&lt;='RETRATO 2027'!$K$5,"EM ANDAMENTO","A INICIAR")))</f>
        <v/>
      </c>
    </row>
    <row r="5312">
      <c r="M5312" s="2">
        <f>IF(C5312="","",IFERROR(INDEX($S$5:$S$304,MATCH(C5312,$R$5:$R$304,0))&amp;"","?"))</f>
        <v/>
      </c>
      <c r="N5312" s="2">
        <f>IF(E5312="","",IF(ISNUMBER(SEARCH("SUBSOLO",E5312)),IFERROR(-VALUE(LEFT(E5312,FIND("º",SUBSTITUTE(E5312,"°","º"))-1)),-1),IF(LEFT(E5312,6)="TÉRREO",0,IFERROR(VALUE(LEFT(E5312,FIND("º",SUBSTITUTE(E5312,"°","º"))-1)),""))))</f>
        <v/>
      </c>
      <c r="O5312" s="2">
        <f>IF(OR(F5312="",G5312=""),"",IF(G5312&lt;='RETRATO 2027'!$K$5,"CONCLUÍDA",IF(F5312&lt;='RETRATO 2027'!$K$5,"EM ANDAMENTO","A INICIAR")))</f>
        <v/>
      </c>
    </row>
    <row r="5313">
      <c r="M5313" s="2">
        <f>IF(C5313="","",IFERROR(INDEX($S$5:$S$304,MATCH(C5313,$R$5:$R$304,0))&amp;"","?"))</f>
        <v/>
      </c>
      <c r="N5313" s="2">
        <f>IF(E5313="","",IF(ISNUMBER(SEARCH("SUBSOLO",E5313)),IFERROR(-VALUE(LEFT(E5313,FIND("º",SUBSTITUTE(E5313,"°","º"))-1)),-1),IF(LEFT(E5313,6)="TÉRREO",0,IFERROR(VALUE(LEFT(E5313,FIND("º",SUBSTITUTE(E5313,"°","º"))-1)),""))))</f>
        <v/>
      </c>
      <c r="O5313" s="2">
        <f>IF(OR(F5313="",G5313=""),"",IF(G5313&lt;='RETRATO 2027'!$K$5,"CONCLUÍDA",IF(F5313&lt;='RETRATO 2027'!$K$5,"EM ANDAMENTO","A INICIAR")))</f>
        <v/>
      </c>
    </row>
    <row r="5314">
      <c r="M5314" s="2">
        <f>IF(C5314="","",IFERROR(INDEX($S$5:$S$304,MATCH(C5314,$R$5:$R$304,0))&amp;"","?"))</f>
        <v/>
      </c>
      <c r="N5314" s="2">
        <f>IF(E5314="","",IF(ISNUMBER(SEARCH("SUBSOLO",E5314)),IFERROR(-VALUE(LEFT(E5314,FIND("º",SUBSTITUTE(E5314,"°","º"))-1)),-1),IF(LEFT(E5314,6)="TÉRREO",0,IFERROR(VALUE(LEFT(E5314,FIND("º",SUBSTITUTE(E5314,"°","º"))-1)),""))))</f>
        <v/>
      </c>
      <c r="O5314" s="2">
        <f>IF(OR(F5314="",G5314=""),"",IF(G5314&lt;='RETRATO 2027'!$K$5,"CONCLUÍDA",IF(F5314&lt;='RETRATO 2027'!$K$5,"EM ANDAMENTO","A INICIAR")))</f>
        <v/>
      </c>
    </row>
    <row r="5315">
      <c r="M5315" s="2">
        <f>IF(C5315="","",IFERROR(INDEX($S$5:$S$304,MATCH(C5315,$R$5:$R$304,0))&amp;"","?"))</f>
        <v/>
      </c>
      <c r="N5315" s="2">
        <f>IF(E5315="","",IF(ISNUMBER(SEARCH("SUBSOLO",E5315)),IFERROR(-VALUE(LEFT(E5315,FIND("º",SUBSTITUTE(E5315,"°","º"))-1)),-1),IF(LEFT(E5315,6)="TÉRREO",0,IFERROR(VALUE(LEFT(E5315,FIND("º",SUBSTITUTE(E5315,"°","º"))-1)),""))))</f>
        <v/>
      </c>
      <c r="O5315" s="2">
        <f>IF(OR(F5315="",G5315=""),"",IF(G5315&lt;='RETRATO 2027'!$K$5,"CONCLUÍDA",IF(F5315&lt;='RETRATO 2027'!$K$5,"EM ANDAMENTO","A INICIAR")))</f>
        <v/>
      </c>
    </row>
    <row r="5316">
      <c r="M5316" s="2">
        <f>IF(C5316="","",IFERROR(INDEX($S$5:$S$304,MATCH(C5316,$R$5:$R$304,0))&amp;"","?"))</f>
        <v/>
      </c>
      <c r="N5316" s="2">
        <f>IF(E5316="","",IF(ISNUMBER(SEARCH("SUBSOLO",E5316)),IFERROR(-VALUE(LEFT(E5316,FIND("º",SUBSTITUTE(E5316,"°","º"))-1)),-1),IF(LEFT(E5316,6)="TÉRREO",0,IFERROR(VALUE(LEFT(E5316,FIND("º",SUBSTITUTE(E5316,"°","º"))-1)),""))))</f>
        <v/>
      </c>
      <c r="O5316" s="2">
        <f>IF(OR(F5316="",G5316=""),"",IF(G5316&lt;='RETRATO 2027'!$K$5,"CONCLUÍDA",IF(F5316&lt;='RETRATO 2027'!$K$5,"EM ANDAMENTO","A INICIAR")))</f>
        <v/>
      </c>
    </row>
    <row r="5317">
      <c r="M5317" s="2">
        <f>IF(C5317="","",IFERROR(INDEX($S$5:$S$304,MATCH(C5317,$R$5:$R$304,0))&amp;"","?"))</f>
        <v/>
      </c>
      <c r="N5317" s="2">
        <f>IF(E5317="","",IF(ISNUMBER(SEARCH("SUBSOLO",E5317)),IFERROR(-VALUE(LEFT(E5317,FIND("º",SUBSTITUTE(E5317,"°","º"))-1)),-1),IF(LEFT(E5317,6)="TÉRREO",0,IFERROR(VALUE(LEFT(E5317,FIND("º",SUBSTITUTE(E5317,"°","º"))-1)),""))))</f>
        <v/>
      </c>
      <c r="O5317" s="2">
        <f>IF(OR(F5317="",G5317=""),"",IF(G5317&lt;='RETRATO 2027'!$K$5,"CONCLUÍDA",IF(F5317&lt;='RETRATO 2027'!$K$5,"EM ANDAMENTO","A INICIAR")))</f>
        <v/>
      </c>
    </row>
    <row r="5318">
      <c r="M5318" s="2">
        <f>IF(C5318="","",IFERROR(INDEX($S$5:$S$304,MATCH(C5318,$R$5:$R$304,0))&amp;"","?"))</f>
        <v/>
      </c>
      <c r="N5318" s="2">
        <f>IF(E5318="","",IF(ISNUMBER(SEARCH("SUBSOLO",E5318)),IFERROR(-VALUE(LEFT(E5318,FIND("º",SUBSTITUTE(E5318,"°","º"))-1)),-1),IF(LEFT(E5318,6)="TÉRREO",0,IFERROR(VALUE(LEFT(E5318,FIND("º",SUBSTITUTE(E5318,"°","º"))-1)),""))))</f>
        <v/>
      </c>
      <c r="O5318" s="2">
        <f>IF(OR(F5318="",G5318=""),"",IF(G5318&lt;='RETRATO 2027'!$K$5,"CONCLUÍDA",IF(F5318&lt;='RETRATO 2027'!$K$5,"EM ANDAMENTO","A INICIAR")))</f>
        <v/>
      </c>
    </row>
    <row r="5319">
      <c r="M5319" s="2">
        <f>IF(C5319="","",IFERROR(INDEX($S$5:$S$304,MATCH(C5319,$R$5:$R$304,0))&amp;"","?"))</f>
        <v/>
      </c>
      <c r="N5319" s="2">
        <f>IF(E5319="","",IF(ISNUMBER(SEARCH("SUBSOLO",E5319)),IFERROR(-VALUE(LEFT(E5319,FIND("º",SUBSTITUTE(E5319,"°","º"))-1)),-1),IF(LEFT(E5319,6)="TÉRREO",0,IFERROR(VALUE(LEFT(E5319,FIND("º",SUBSTITUTE(E5319,"°","º"))-1)),""))))</f>
        <v/>
      </c>
      <c r="O5319" s="2">
        <f>IF(OR(F5319="",G5319=""),"",IF(G5319&lt;='RETRATO 2027'!$K$5,"CONCLUÍDA",IF(F5319&lt;='RETRATO 2027'!$K$5,"EM ANDAMENTO","A INICIAR")))</f>
        <v/>
      </c>
    </row>
    <row r="5320">
      <c r="M5320" s="2">
        <f>IF(C5320="","",IFERROR(INDEX($S$5:$S$304,MATCH(C5320,$R$5:$R$304,0))&amp;"","?"))</f>
        <v/>
      </c>
      <c r="N5320" s="2">
        <f>IF(E5320="","",IF(ISNUMBER(SEARCH("SUBSOLO",E5320)),IFERROR(-VALUE(LEFT(E5320,FIND("º",SUBSTITUTE(E5320,"°","º"))-1)),-1),IF(LEFT(E5320,6)="TÉRREO",0,IFERROR(VALUE(LEFT(E5320,FIND("º",SUBSTITUTE(E5320,"°","º"))-1)),""))))</f>
        <v/>
      </c>
      <c r="O5320" s="2">
        <f>IF(OR(F5320="",G5320=""),"",IF(G5320&lt;='RETRATO 2027'!$K$5,"CONCLUÍDA",IF(F5320&lt;='RETRATO 2027'!$K$5,"EM ANDAMENTO","A INICIAR")))</f>
        <v/>
      </c>
    </row>
    <row r="5321">
      <c r="M5321" s="2">
        <f>IF(C5321="","",IFERROR(INDEX($S$5:$S$304,MATCH(C5321,$R$5:$R$304,0))&amp;"","?"))</f>
        <v/>
      </c>
      <c r="N5321" s="2">
        <f>IF(E5321="","",IF(ISNUMBER(SEARCH("SUBSOLO",E5321)),IFERROR(-VALUE(LEFT(E5321,FIND("º",SUBSTITUTE(E5321,"°","º"))-1)),-1),IF(LEFT(E5321,6)="TÉRREO",0,IFERROR(VALUE(LEFT(E5321,FIND("º",SUBSTITUTE(E5321,"°","º"))-1)),""))))</f>
        <v/>
      </c>
      <c r="O5321" s="2">
        <f>IF(OR(F5321="",G5321=""),"",IF(G5321&lt;='RETRATO 2027'!$K$5,"CONCLUÍDA",IF(F5321&lt;='RETRATO 2027'!$K$5,"EM ANDAMENTO","A INICIAR")))</f>
        <v/>
      </c>
    </row>
    <row r="5322">
      <c r="M5322" s="2">
        <f>IF(C5322="","",IFERROR(INDEX($S$5:$S$304,MATCH(C5322,$R$5:$R$304,0))&amp;"","?"))</f>
        <v/>
      </c>
      <c r="N5322" s="2">
        <f>IF(E5322="","",IF(ISNUMBER(SEARCH("SUBSOLO",E5322)),IFERROR(-VALUE(LEFT(E5322,FIND("º",SUBSTITUTE(E5322,"°","º"))-1)),-1),IF(LEFT(E5322,6)="TÉRREO",0,IFERROR(VALUE(LEFT(E5322,FIND("º",SUBSTITUTE(E5322,"°","º"))-1)),""))))</f>
        <v/>
      </c>
      <c r="O5322" s="2">
        <f>IF(OR(F5322="",G5322=""),"",IF(G5322&lt;='RETRATO 2027'!$K$5,"CONCLUÍDA",IF(F5322&lt;='RETRATO 2027'!$K$5,"EM ANDAMENTO","A INICIAR")))</f>
        <v/>
      </c>
    </row>
    <row r="5323">
      <c r="M5323" s="2">
        <f>IF(C5323="","",IFERROR(INDEX($S$5:$S$304,MATCH(C5323,$R$5:$R$304,0))&amp;"","?"))</f>
        <v/>
      </c>
      <c r="N5323" s="2">
        <f>IF(E5323="","",IF(ISNUMBER(SEARCH("SUBSOLO",E5323)),IFERROR(-VALUE(LEFT(E5323,FIND("º",SUBSTITUTE(E5323,"°","º"))-1)),-1),IF(LEFT(E5323,6)="TÉRREO",0,IFERROR(VALUE(LEFT(E5323,FIND("º",SUBSTITUTE(E5323,"°","º"))-1)),""))))</f>
        <v/>
      </c>
      <c r="O5323" s="2">
        <f>IF(OR(F5323="",G5323=""),"",IF(G5323&lt;='RETRATO 2027'!$K$5,"CONCLUÍDA",IF(F5323&lt;='RETRATO 2027'!$K$5,"EM ANDAMENTO","A INICIAR")))</f>
        <v/>
      </c>
    </row>
    <row r="5324">
      <c r="M5324" s="2">
        <f>IF(C5324="","",IFERROR(INDEX($S$5:$S$304,MATCH(C5324,$R$5:$R$304,0))&amp;"","?"))</f>
        <v/>
      </c>
      <c r="N5324" s="2">
        <f>IF(E5324="","",IF(ISNUMBER(SEARCH("SUBSOLO",E5324)),IFERROR(-VALUE(LEFT(E5324,FIND("º",SUBSTITUTE(E5324,"°","º"))-1)),-1),IF(LEFT(E5324,6)="TÉRREO",0,IFERROR(VALUE(LEFT(E5324,FIND("º",SUBSTITUTE(E5324,"°","º"))-1)),""))))</f>
        <v/>
      </c>
      <c r="O5324" s="2">
        <f>IF(OR(F5324="",G5324=""),"",IF(G5324&lt;='RETRATO 2027'!$K$5,"CONCLUÍDA",IF(F5324&lt;='RETRATO 2027'!$K$5,"EM ANDAMENTO","A INICIAR")))</f>
        <v/>
      </c>
    </row>
    <row r="5325">
      <c r="M5325" s="2">
        <f>IF(C5325="","",IFERROR(INDEX($S$5:$S$304,MATCH(C5325,$R$5:$R$304,0))&amp;"","?"))</f>
        <v/>
      </c>
      <c r="N5325" s="2">
        <f>IF(E5325="","",IF(ISNUMBER(SEARCH("SUBSOLO",E5325)),IFERROR(-VALUE(LEFT(E5325,FIND("º",SUBSTITUTE(E5325,"°","º"))-1)),-1),IF(LEFT(E5325,6)="TÉRREO",0,IFERROR(VALUE(LEFT(E5325,FIND("º",SUBSTITUTE(E5325,"°","º"))-1)),""))))</f>
        <v/>
      </c>
      <c r="O5325" s="2">
        <f>IF(OR(F5325="",G5325=""),"",IF(G5325&lt;='RETRATO 2027'!$K$5,"CONCLUÍDA",IF(F5325&lt;='RETRATO 2027'!$K$5,"EM ANDAMENTO","A INICIAR")))</f>
        <v/>
      </c>
    </row>
    <row r="5326">
      <c r="M5326" s="2">
        <f>IF(C5326="","",IFERROR(INDEX($S$5:$S$304,MATCH(C5326,$R$5:$R$304,0))&amp;"","?"))</f>
        <v/>
      </c>
      <c r="N5326" s="2">
        <f>IF(E5326="","",IF(ISNUMBER(SEARCH("SUBSOLO",E5326)),IFERROR(-VALUE(LEFT(E5326,FIND("º",SUBSTITUTE(E5326,"°","º"))-1)),-1),IF(LEFT(E5326,6)="TÉRREO",0,IFERROR(VALUE(LEFT(E5326,FIND("º",SUBSTITUTE(E5326,"°","º"))-1)),""))))</f>
        <v/>
      </c>
      <c r="O5326" s="2">
        <f>IF(OR(F5326="",G5326=""),"",IF(G5326&lt;='RETRATO 2027'!$K$5,"CONCLUÍDA",IF(F5326&lt;='RETRATO 2027'!$K$5,"EM ANDAMENTO","A INICIAR")))</f>
        <v/>
      </c>
    </row>
    <row r="5327">
      <c r="M5327" s="2">
        <f>IF(C5327="","",IFERROR(INDEX($S$5:$S$304,MATCH(C5327,$R$5:$R$304,0))&amp;"","?"))</f>
        <v/>
      </c>
      <c r="N5327" s="2">
        <f>IF(E5327="","",IF(ISNUMBER(SEARCH("SUBSOLO",E5327)),IFERROR(-VALUE(LEFT(E5327,FIND("º",SUBSTITUTE(E5327,"°","º"))-1)),-1),IF(LEFT(E5327,6)="TÉRREO",0,IFERROR(VALUE(LEFT(E5327,FIND("º",SUBSTITUTE(E5327,"°","º"))-1)),""))))</f>
        <v/>
      </c>
      <c r="O5327" s="2">
        <f>IF(OR(F5327="",G5327=""),"",IF(G5327&lt;='RETRATO 2027'!$K$5,"CONCLUÍDA",IF(F5327&lt;='RETRATO 2027'!$K$5,"EM ANDAMENTO","A INICIAR")))</f>
        <v/>
      </c>
    </row>
    <row r="5328">
      <c r="M5328" s="2">
        <f>IF(C5328="","",IFERROR(INDEX($S$5:$S$304,MATCH(C5328,$R$5:$R$304,0))&amp;"","?"))</f>
        <v/>
      </c>
      <c r="N5328" s="2">
        <f>IF(E5328="","",IF(ISNUMBER(SEARCH("SUBSOLO",E5328)),IFERROR(-VALUE(LEFT(E5328,FIND("º",SUBSTITUTE(E5328,"°","º"))-1)),-1),IF(LEFT(E5328,6)="TÉRREO",0,IFERROR(VALUE(LEFT(E5328,FIND("º",SUBSTITUTE(E5328,"°","º"))-1)),""))))</f>
        <v/>
      </c>
      <c r="O5328" s="2">
        <f>IF(OR(F5328="",G5328=""),"",IF(G5328&lt;='RETRATO 2027'!$K$5,"CONCLUÍDA",IF(F5328&lt;='RETRATO 2027'!$K$5,"EM ANDAMENTO","A INICIAR")))</f>
        <v/>
      </c>
    </row>
    <row r="5329">
      <c r="M5329" s="2">
        <f>IF(C5329="","",IFERROR(INDEX($S$5:$S$304,MATCH(C5329,$R$5:$R$304,0))&amp;"","?"))</f>
        <v/>
      </c>
      <c r="N5329" s="2">
        <f>IF(E5329="","",IF(ISNUMBER(SEARCH("SUBSOLO",E5329)),IFERROR(-VALUE(LEFT(E5329,FIND("º",SUBSTITUTE(E5329,"°","º"))-1)),-1),IF(LEFT(E5329,6)="TÉRREO",0,IFERROR(VALUE(LEFT(E5329,FIND("º",SUBSTITUTE(E5329,"°","º"))-1)),""))))</f>
        <v/>
      </c>
      <c r="O5329" s="2">
        <f>IF(OR(F5329="",G5329=""),"",IF(G5329&lt;='RETRATO 2027'!$K$5,"CONCLUÍDA",IF(F5329&lt;='RETRATO 2027'!$K$5,"EM ANDAMENTO","A INICIAR")))</f>
        <v/>
      </c>
    </row>
    <row r="5330">
      <c r="M5330" s="2">
        <f>IF(C5330="","",IFERROR(INDEX($S$5:$S$304,MATCH(C5330,$R$5:$R$304,0))&amp;"","?"))</f>
        <v/>
      </c>
      <c r="N5330" s="2">
        <f>IF(E5330="","",IF(ISNUMBER(SEARCH("SUBSOLO",E5330)),IFERROR(-VALUE(LEFT(E5330,FIND("º",SUBSTITUTE(E5330,"°","º"))-1)),-1),IF(LEFT(E5330,6)="TÉRREO",0,IFERROR(VALUE(LEFT(E5330,FIND("º",SUBSTITUTE(E5330,"°","º"))-1)),""))))</f>
        <v/>
      </c>
      <c r="O5330" s="2">
        <f>IF(OR(F5330="",G5330=""),"",IF(G5330&lt;='RETRATO 2027'!$K$5,"CONCLUÍDA",IF(F5330&lt;='RETRATO 2027'!$K$5,"EM ANDAMENTO","A INICIAR")))</f>
        <v/>
      </c>
    </row>
    <row r="5331">
      <c r="M5331" s="2">
        <f>IF(C5331="","",IFERROR(INDEX($S$5:$S$304,MATCH(C5331,$R$5:$R$304,0))&amp;"","?"))</f>
        <v/>
      </c>
      <c r="N5331" s="2">
        <f>IF(E5331="","",IF(ISNUMBER(SEARCH("SUBSOLO",E5331)),IFERROR(-VALUE(LEFT(E5331,FIND("º",SUBSTITUTE(E5331,"°","º"))-1)),-1),IF(LEFT(E5331,6)="TÉRREO",0,IFERROR(VALUE(LEFT(E5331,FIND("º",SUBSTITUTE(E5331,"°","º"))-1)),""))))</f>
        <v/>
      </c>
      <c r="O5331" s="2">
        <f>IF(OR(F5331="",G5331=""),"",IF(G5331&lt;='RETRATO 2027'!$K$5,"CONCLUÍDA",IF(F5331&lt;='RETRATO 2027'!$K$5,"EM ANDAMENTO","A INICIAR")))</f>
        <v/>
      </c>
    </row>
    <row r="5332">
      <c r="M5332" s="2">
        <f>IF(C5332="","",IFERROR(INDEX($S$5:$S$304,MATCH(C5332,$R$5:$R$304,0))&amp;"","?"))</f>
        <v/>
      </c>
      <c r="N5332" s="2">
        <f>IF(E5332="","",IF(ISNUMBER(SEARCH("SUBSOLO",E5332)),IFERROR(-VALUE(LEFT(E5332,FIND("º",SUBSTITUTE(E5332,"°","º"))-1)),-1),IF(LEFT(E5332,6)="TÉRREO",0,IFERROR(VALUE(LEFT(E5332,FIND("º",SUBSTITUTE(E5332,"°","º"))-1)),""))))</f>
        <v/>
      </c>
      <c r="O5332" s="2">
        <f>IF(OR(F5332="",G5332=""),"",IF(G5332&lt;='RETRATO 2027'!$K$5,"CONCLUÍDA",IF(F5332&lt;='RETRATO 2027'!$K$5,"EM ANDAMENTO","A INICIAR")))</f>
        <v/>
      </c>
    </row>
    <row r="5333">
      <c r="M5333" s="2">
        <f>IF(C5333="","",IFERROR(INDEX($S$5:$S$304,MATCH(C5333,$R$5:$R$304,0))&amp;"","?"))</f>
        <v/>
      </c>
      <c r="N5333" s="2">
        <f>IF(E5333="","",IF(ISNUMBER(SEARCH("SUBSOLO",E5333)),IFERROR(-VALUE(LEFT(E5333,FIND("º",SUBSTITUTE(E5333,"°","º"))-1)),-1),IF(LEFT(E5333,6)="TÉRREO",0,IFERROR(VALUE(LEFT(E5333,FIND("º",SUBSTITUTE(E5333,"°","º"))-1)),""))))</f>
        <v/>
      </c>
      <c r="O5333" s="2">
        <f>IF(OR(F5333="",G5333=""),"",IF(G5333&lt;='RETRATO 2027'!$K$5,"CONCLUÍDA",IF(F5333&lt;='RETRATO 2027'!$K$5,"EM ANDAMENTO","A INICIAR")))</f>
        <v/>
      </c>
    </row>
    <row r="5334">
      <c r="M5334" s="2">
        <f>IF(C5334="","",IFERROR(INDEX($S$5:$S$304,MATCH(C5334,$R$5:$R$304,0))&amp;"","?"))</f>
        <v/>
      </c>
      <c r="N5334" s="2">
        <f>IF(E5334="","",IF(ISNUMBER(SEARCH("SUBSOLO",E5334)),IFERROR(-VALUE(LEFT(E5334,FIND("º",SUBSTITUTE(E5334,"°","º"))-1)),-1),IF(LEFT(E5334,6)="TÉRREO",0,IFERROR(VALUE(LEFT(E5334,FIND("º",SUBSTITUTE(E5334,"°","º"))-1)),""))))</f>
        <v/>
      </c>
      <c r="O5334" s="2">
        <f>IF(OR(F5334="",G5334=""),"",IF(G5334&lt;='RETRATO 2027'!$K$5,"CONCLUÍDA",IF(F5334&lt;='RETRATO 2027'!$K$5,"EM ANDAMENTO","A INICIAR")))</f>
        <v/>
      </c>
    </row>
    <row r="5335">
      <c r="M5335" s="2">
        <f>IF(C5335="","",IFERROR(INDEX($S$5:$S$304,MATCH(C5335,$R$5:$R$304,0))&amp;"","?"))</f>
        <v/>
      </c>
      <c r="N5335" s="2">
        <f>IF(E5335="","",IF(ISNUMBER(SEARCH("SUBSOLO",E5335)),IFERROR(-VALUE(LEFT(E5335,FIND("º",SUBSTITUTE(E5335,"°","º"))-1)),-1),IF(LEFT(E5335,6)="TÉRREO",0,IFERROR(VALUE(LEFT(E5335,FIND("º",SUBSTITUTE(E5335,"°","º"))-1)),""))))</f>
        <v/>
      </c>
      <c r="O5335" s="2">
        <f>IF(OR(F5335="",G5335=""),"",IF(G5335&lt;='RETRATO 2027'!$K$5,"CONCLUÍDA",IF(F5335&lt;='RETRATO 2027'!$K$5,"EM ANDAMENTO","A INICIAR")))</f>
        <v/>
      </c>
    </row>
    <row r="5336">
      <c r="M5336" s="2">
        <f>IF(C5336="","",IFERROR(INDEX($S$5:$S$304,MATCH(C5336,$R$5:$R$304,0))&amp;"","?"))</f>
        <v/>
      </c>
      <c r="N5336" s="2">
        <f>IF(E5336="","",IF(ISNUMBER(SEARCH("SUBSOLO",E5336)),IFERROR(-VALUE(LEFT(E5336,FIND("º",SUBSTITUTE(E5336,"°","º"))-1)),-1),IF(LEFT(E5336,6)="TÉRREO",0,IFERROR(VALUE(LEFT(E5336,FIND("º",SUBSTITUTE(E5336,"°","º"))-1)),""))))</f>
        <v/>
      </c>
      <c r="O5336" s="2">
        <f>IF(OR(F5336="",G5336=""),"",IF(G5336&lt;='RETRATO 2027'!$K$5,"CONCLUÍDA",IF(F5336&lt;='RETRATO 2027'!$K$5,"EM ANDAMENTO","A INICIAR")))</f>
        <v/>
      </c>
    </row>
    <row r="5337">
      <c r="M5337" s="2">
        <f>IF(C5337="","",IFERROR(INDEX($S$5:$S$304,MATCH(C5337,$R$5:$R$304,0))&amp;"","?"))</f>
        <v/>
      </c>
      <c r="N5337" s="2">
        <f>IF(E5337="","",IF(ISNUMBER(SEARCH("SUBSOLO",E5337)),IFERROR(-VALUE(LEFT(E5337,FIND("º",SUBSTITUTE(E5337,"°","º"))-1)),-1),IF(LEFT(E5337,6)="TÉRREO",0,IFERROR(VALUE(LEFT(E5337,FIND("º",SUBSTITUTE(E5337,"°","º"))-1)),""))))</f>
        <v/>
      </c>
      <c r="O5337" s="2">
        <f>IF(OR(F5337="",G5337=""),"",IF(G5337&lt;='RETRATO 2027'!$K$5,"CONCLUÍDA",IF(F5337&lt;='RETRATO 2027'!$K$5,"EM ANDAMENTO","A INICIAR")))</f>
        <v/>
      </c>
    </row>
    <row r="5338">
      <c r="M5338" s="2">
        <f>IF(C5338="","",IFERROR(INDEX($S$5:$S$304,MATCH(C5338,$R$5:$R$304,0))&amp;"","?"))</f>
        <v/>
      </c>
      <c r="N5338" s="2">
        <f>IF(E5338="","",IF(ISNUMBER(SEARCH("SUBSOLO",E5338)),IFERROR(-VALUE(LEFT(E5338,FIND("º",SUBSTITUTE(E5338,"°","º"))-1)),-1),IF(LEFT(E5338,6)="TÉRREO",0,IFERROR(VALUE(LEFT(E5338,FIND("º",SUBSTITUTE(E5338,"°","º"))-1)),""))))</f>
        <v/>
      </c>
      <c r="O5338" s="2">
        <f>IF(OR(F5338="",G5338=""),"",IF(G5338&lt;='RETRATO 2027'!$K$5,"CONCLUÍDA",IF(F5338&lt;='RETRATO 2027'!$K$5,"EM ANDAMENTO","A INICIAR")))</f>
        <v/>
      </c>
    </row>
    <row r="5339">
      <c r="M5339" s="2">
        <f>IF(C5339="","",IFERROR(INDEX($S$5:$S$304,MATCH(C5339,$R$5:$R$304,0))&amp;"","?"))</f>
        <v/>
      </c>
      <c r="N5339" s="2">
        <f>IF(E5339="","",IF(ISNUMBER(SEARCH("SUBSOLO",E5339)),IFERROR(-VALUE(LEFT(E5339,FIND("º",SUBSTITUTE(E5339,"°","º"))-1)),-1),IF(LEFT(E5339,6)="TÉRREO",0,IFERROR(VALUE(LEFT(E5339,FIND("º",SUBSTITUTE(E5339,"°","º"))-1)),""))))</f>
        <v/>
      </c>
      <c r="O5339" s="2">
        <f>IF(OR(F5339="",G5339=""),"",IF(G5339&lt;='RETRATO 2027'!$K$5,"CONCLUÍDA",IF(F5339&lt;='RETRATO 2027'!$K$5,"EM ANDAMENTO","A INICIAR")))</f>
        <v/>
      </c>
    </row>
    <row r="5340">
      <c r="M5340" s="2">
        <f>IF(C5340="","",IFERROR(INDEX($S$5:$S$304,MATCH(C5340,$R$5:$R$304,0))&amp;"","?"))</f>
        <v/>
      </c>
      <c r="N5340" s="2">
        <f>IF(E5340="","",IF(ISNUMBER(SEARCH("SUBSOLO",E5340)),IFERROR(-VALUE(LEFT(E5340,FIND("º",SUBSTITUTE(E5340,"°","º"))-1)),-1),IF(LEFT(E5340,6)="TÉRREO",0,IFERROR(VALUE(LEFT(E5340,FIND("º",SUBSTITUTE(E5340,"°","º"))-1)),""))))</f>
        <v/>
      </c>
      <c r="O5340" s="2">
        <f>IF(OR(F5340="",G5340=""),"",IF(G5340&lt;='RETRATO 2027'!$K$5,"CONCLUÍDA",IF(F5340&lt;='RETRATO 2027'!$K$5,"EM ANDAMENTO","A INICIAR")))</f>
        <v/>
      </c>
    </row>
    <row r="5341">
      <c r="M5341" s="2">
        <f>IF(C5341="","",IFERROR(INDEX($S$5:$S$304,MATCH(C5341,$R$5:$R$304,0))&amp;"","?"))</f>
        <v/>
      </c>
      <c r="N5341" s="2">
        <f>IF(E5341="","",IF(ISNUMBER(SEARCH("SUBSOLO",E5341)),IFERROR(-VALUE(LEFT(E5341,FIND("º",SUBSTITUTE(E5341,"°","º"))-1)),-1),IF(LEFT(E5341,6)="TÉRREO",0,IFERROR(VALUE(LEFT(E5341,FIND("º",SUBSTITUTE(E5341,"°","º"))-1)),""))))</f>
        <v/>
      </c>
      <c r="O5341" s="2">
        <f>IF(OR(F5341="",G5341=""),"",IF(G5341&lt;='RETRATO 2027'!$K$5,"CONCLUÍDA",IF(F5341&lt;='RETRATO 2027'!$K$5,"EM ANDAMENTO","A INICIAR")))</f>
        <v/>
      </c>
    </row>
    <row r="5342">
      <c r="M5342" s="2">
        <f>IF(C5342="","",IFERROR(INDEX($S$5:$S$304,MATCH(C5342,$R$5:$R$304,0))&amp;"","?"))</f>
        <v/>
      </c>
      <c r="N5342" s="2">
        <f>IF(E5342="","",IF(ISNUMBER(SEARCH("SUBSOLO",E5342)),IFERROR(-VALUE(LEFT(E5342,FIND("º",SUBSTITUTE(E5342,"°","º"))-1)),-1),IF(LEFT(E5342,6)="TÉRREO",0,IFERROR(VALUE(LEFT(E5342,FIND("º",SUBSTITUTE(E5342,"°","º"))-1)),""))))</f>
        <v/>
      </c>
      <c r="O5342" s="2">
        <f>IF(OR(F5342="",G5342=""),"",IF(G5342&lt;='RETRATO 2027'!$K$5,"CONCLUÍDA",IF(F5342&lt;='RETRATO 2027'!$K$5,"EM ANDAMENTO","A INICIAR")))</f>
        <v/>
      </c>
    </row>
    <row r="5343">
      <c r="M5343" s="2">
        <f>IF(C5343="","",IFERROR(INDEX($S$5:$S$304,MATCH(C5343,$R$5:$R$304,0))&amp;"","?"))</f>
        <v/>
      </c>
      <c r="N5343" s="2">
        <f>IF(E5343="","",IF(ISNUMBER(SEARCH("SUBSOLO",E5343)),IFERROR(-VALUE(LEFT(E5343,FIND("º",SUBSTITUTE(E5343,"°","º"))-1)),-1),IF(LEFT(E5343,6)="TÉRREO",0,IFERROR(VALUE(LEFT(E5343,FIND("º",SUBSTITUTE(E5343,"°","º"))-1)),""))))</f>
        <v/>
      </c>
      <c r="O5343" s="2">
        <f>IF(OR(F5343="",G5343=""),"",IF(G5343&lt;='RETRATO 2027'!$K$5,"CONCLUÍDA",IF(F5343&lt;='RETRATO 2027'!$K$5,"EM ANDAMENTO","A INICIAR")))</f>
        <v/>
      </c>
    </row>
    <row r="5344">
      <c r="M5344" s="2">
        <f>IF(C5344="","",IFERROR(INDEX($S$5:$S$304,MATCH(C5344,$R$5:$R$304,0))&amp;"","?"))</f>
        <v/>
      </c>
      <c r="N5344" s="2">
        <f>IF(E5344="","",IF(ISNUMBER(SEARCH("SUBSOLO",E5344)),IFERROR(-VALUE(LEFT(E5344,FIND("º",SUBSTITUTE(E5344,"°","º"))-1)),-1),IF(LEFT(E5344,6)="TÉRREO",0,IFERROR(VALUE(LEFT(E5344,FIND("º",SUBSTITUTE(E5344,"°","º"))-1)),""))))</f>
        <v/>
      </c>
      <c r="O5344" s="2">
        <f>IF(OR(F5344="",G5344=""),"",IF(G5344&lt;='RETRATO 2027'!$K$5,"CONCLUÍDA",IF(F5344&lt;='RETRATO 2027'!$K$5,"EM ANDAMENTO","A INICIAR")))</f>
        <v/>
      </c>
    </row>
    <row r="5345">
      <c r="M5345" s="2">
        <f>IF(C5345="","",IFERROR(INDEX($S$5:$S$304,MATCH(C5345,$R$5:$R$304,0))&amp;"","?"))</f>
        <v/>
      </c>
      <c r="N5345" s="2">
        <f>IF(E5345="","",IF(ISNUMBER(SEARCH("SUBSOLO",E5345)),IFERROR(-VALUE(LEFT(E5345,FIND("º",SUBSTITUTE(E5345,"°","º"))-1)),-1),IF(LEFT(E5345,6)="TÉRREO",0,IFERROR(VALUE(LEFT(E5345,FIND("º",SUBSTITUTE(E5345,"°","º"))-1)),""))))</f>
        <v/>
      </c>
      <c r="O5345" s="2">
        <f>IF(OR(F5345="",G5345=""),"",IF(G5345&lt;='RETRATO 2027'!$K$5,"CONCLUÍDA",IF(F5345&lt;='RETRATO 2027'!$K$5,"EM ANDAMENTO","A INICIAR")))</f>
        <v/>
      </c>
    </row>
    <row r="5346">
      <c r="M5346" s="2">
        <f>IF(C5346="","",IFERROR(INDEX($S$5:$S$304,MATCH(C5346,$R$5:$R$304,0))&amp;"","?"))</f>
        <v/>
      </c>
      <c r="N5346" s="2">
        <f>IF(E5346="","",IF(ISNUMBER(SEARCH("SUBSOLO",E5346)),IFERROR(-VALUE(LEFT(E5346,FIND("º",SUBSTITUTE(E5346,"°","º"))-1)),-1),IF(LEFT(E5346,6)="TÉRREO",0,IFERROR(VALUE(LEFT(E5346,FIND("º",SUBSTITUTE(E5346,"°","º"))-1)),""))))</f>
        <v/>
      </c>
      <c r="O5346" s="2">
        <f>IF(OR(F5346="",G5346=""),"",IF(G5346&lt;='RETRATO 2027'!$K$5,"CONCLUÍDA",IF(F5346&lt;='RETRATO 2027'!$K$5,"EM ANDAMENTO","A INICIAR")))</f>
        <v/>
      </c>
    </row>
    <row r="5347">
      <c r="M5347" s="2">
        <f>IF(C5347="","",IFERROR(INDEX($S$5:$S$304,MATCH(C5347,$R$5:$R$304,0))&amp;"","?"))</f>
        <v/>
      </c>
      <c r="N5347" s="2">
        <f>IF(E5347="","",IF(ISNUMBER(SEARCH("SUBSOLO",E5347)),IFERROR(-VALUE(LEFT(E5347,FIND("º",SUBSTITUTE(E5347,"°","º"))-1)),-1),IF(LEFT(E5347,6)="TÉRREO",0,IFERROR(VALUE(LEFT(E5347,FIND("º",SUBSTITUTE(E5347,"°","º"))-1)),""))))</f>
        <v/>
      </c>
      <c r="O5347" s="2">
        <f>IF(OR(F5347="",G5347=""),"",IF(G5347&lt;='RETRATO 2027'!$K$5,"CONCLUÍDA",IF(F5347&lt;='RETRATO 2027'!$K$5,"EM ANDAMENTO","A INICIAR")))</f>
        <v/>
      </c>
    </row>
    <row r="5348">
      <c r="M5348" s="2">
        <f>IF(C5348="","",IFERROR(INDEX($S$5:$S$304,MATCH(C5348,$R$5:$R$304,0))&amp;"","?"))</f>
        <v/>
      </c>
      <c r="N5348" s="2">
        <f>IF(E5348="","",IF(ISNUMBER(SEARCH("SUBSOLO",E5348)),IFERROR(-VALUE(LEFT(E5348,FIND("º",SUBSTITUTE(E5348,"°","º"))-1)),-1),IF(LEFT(E5348,6)="TÉRREO",0,IFERROR(VALUE(LEFT(E5348,FIND("º",SUBSTITUTE(E5348,"°","º"))-1)),""))))</f>
        <v/>
      </c>
      <c r="O5348" s="2">
        <f>IF(OR(F5348="",G5348=""),"",IF(G5348&lt;='RETRATO 2027'!$K$5,"CONCLUÍDA",IF(F5348&lt;='RETRATO 2027'!$K$5,"EM ANDAMENTO","A INICIAR")))</f>
        <v/>
      </c>
    </row>
    <row r="5349">
      <c r="M5349" s="2">
        <f>IF(C5349="","",IFERROR(INDEX($S$5:$S$304,MATCH(C5349,$R$5:$R$304,0))&amp;"","?"))</f>
        <v/>
      </c>
      <c r="N5349" s="2">
        <f>IF(E5349="","",IF(ISNUMBER(SEARCH("SUBSOLO",E5349)),IFERROR(-VALUE(LEFT(E5349,FIND("º",SUBSTITUTE(E5349,"°","º"))-1)),-1),IF(LEFT(E5349,6)="TÉRREO",0,IFERROR(VALUE(LEFT(E5349,FIND("º",SUBSTITUTE(E5349,"°","º"))-1)),""))))</f>
        <v/>
      </c>
      <c r="O5349" s="2">
        <f>IF(OR(F5349="",G5349=""),"",IF(G5349&lt;='RETRATO 2027'!$K$5,"CONCLUÍDA",IF(F5349&lt;='RETRATO 2027'!$K$5,"EM ANDAMENTO","A INICIAR")))</f>
        <v/>
      </c>
    </row>
    <row r="5350">
      <c r="M5350" s="2">
        <f>IF(C5350="","",IFERROR(INDEX($S$5:$S$304,MATCH(C5350,$R$5:$R$304,0))&amp;"","?"))</f>
        <v/>
      </c>
      <c r="N5350" s="2">
        <f>IF(E5350="","",IF(ISNUMBER(SEARCH("SUBSOLO",E5350)),IFERROR(-VALUE(LEFT(E5350,FIND("º",SUBSTITUTE(E5350,"°","º"))-1)),-1),IF(LEFT(E5350,6)="TÉRREO",0,IFERROR(VALUE(LEFT(E5350,FIND("º",SUBSTITUTE(E5350,"°","º"))-1)),""))))</f>
        <v/>
      </c>
      <c r="O5350" s="2">
        <f>IF(OR(F5350="",G5350=""),"",IF(G5350&lt;='RETRATO 2027'!$K$5,"CONCLUÍDA",IF(F5350&lt;='RETRATO 2027'!$K$5,"EM ANDAMENTO","A INICIAR")))</f>
        <v/>
      </c>
    </row>
    <row r="5351">
      <c r="M5351" s="2">
        <f>IF(C5351="","",IFERROR(INDEX($S$5:$S$304,MATCH(C5351,$R$5:$R$304,0))&amp;"","?"))</f>
        <v/>
      </c>
      <c r="N5351" s="2">
        <f>IF(E5351="","",IF(ISNUMBER(SEARCH("SUBSOLO",E5351)),IFERROR(-VALUE(LEFT(E5351,FIND("º",SUBSTITUTE(E5351,"°","º"))-1)),-1),IF(LEFT(E5351,6)="TÉRREO",0,IFERROR(VALUE(LEFT(E5351,FIND("º",SUBSTITUTE(E5351,"°","º"))-1)),""))))</f>
        <v/>
      </c>
      <c r="O5351" s="2">
        <f>IF(OR(F5351="",G5351=""),"",IF(G5351&lt;='RETRATO 2027'!$K$5,"CONCLUÍDA",IF(F5351&lt;='RETRATO 2027'!$K$5,"EM ANDAMENTO","A INICIAR")))</f>
        <v/>
      </c>
    </row>
    <row r="5352">
      <c r="M5352" s="2">
        <f>IF(C5352="","",IFERROR(INDEX($S$5:$S$304,MATCH(C5352,$R$5:$R$304,0))&amp;"","?"))</f>
        <v/>
      </c>
      <c r="N5352" s="2">
        <f>IF(E5352="","",IF(ISNUMBER(SEARCH("SUBSOLO",E5352)),IFERROR(-VALUE(LEFT(E5352,FIND("º",SUBSTITUTE(E5352,"°","º"))-1)),-1),IF(LEFT(E5352,6)="TÉRREO",0,IFERROR(VALUE(LEFT(E5352,FIND("º",SUBSTITUTE(E5352,"°","º"))-1)),""))))</f>
        <v/>
      </c>
      <c r="O5352" s="2">
        <f>IF(OR(F5352="",G5352=""),"",IF(G5352&lt;='RETRATO 2027'!$K$5,"CONCLUÍDA",IF(F5352&lt;='RETRATO 2027'!$K$5,"EM ANDAMENTO","A INICIAR")))</f>
        <v/>
      </c>
    </row>
    <row r="5353">
      <c r="M5353" s="2">
        <f>IF(C5353="","",IFERROR(INDEX($S$5:$S$304,MATCH(C5353,$R$5:$R$304,0))&amp;"","?"))</f>
        <v/>
      </c>
      <c r="N5353" s="2">
        <f>IF(E5353="","",IF(ISNUMBER(SEARCH("SUBSOLO",E5353)),IFERROR(-VALUE(LEFT(E5353,FIND("º",SUBSTITUTE(E5353,"°","º"))-1)),-1),IF(LEFT(E5353,6)="TÉRREO",0,IFERROR(VALUE(LEFT(E5353,FIND("º",SUBSTITUTE(E5353,"°","º"))-1)),""))))</f>
        <v/>
      </c>
      <c r="O5353" s="2">
        <f>IF(OR(F5353="",G5353=""),"",IF(G5353&lt;='RETRATO 2027'!$K$5,"CONCLUÍDA",IF(F5353&lt;='RETRATO 2027'!$K$5,"EM ANDAMENTO","A INICIAR")))</f>
        <v/>
      </c>
    </row>
    <row r="5354">
      <c r="M5354" s="2">
        <f>IF(C5354="","",IFERROR(INDEX($S$5:$S$304,MATCH(C5354,$R$5:$R$304,0))&amp;"","?"))</f>
        <v/>
      </c>
      <c r="N5354" s="2">
        <f>IF(E5354="","",IF(ISNUMBER(SEARCH("SUBSOLO",E5354)),IFERROR(-VALUE(LEFT(E5354,FIND("º",SUBSTITUTE(E5354,"°","º"))-1)),-1),IF(LEFT(E5354,6)="TÉRREO",0,IFERROR(VALUE(LEFT(E5354,FIND("º",SUBSTITUTE(E5354,"°","º"))-1)),""))))</f>
        <v/>
      </c>
      <c r="O5354" s="2">
        <f>IF(OR(F5354="",G5354=""),"",IF(G5354&lt;='RETRATO 2027'!$K$5,"CONCLUÍDA",IF(F5354&lt;='RETRATO 2027'!$K$5,"EM ANDAMENTO","A INICIAR")))</f>
        <v/>
      </c>
    </row>
    <row r="5355">
      <c r="M5355" s="2">
        <f>IF(C5355="","",IFERROR(INDEX($S$5:$S$304,MATCH(C5355,$R$5:$R$304,0))&amp;"","?"))</f>
        <v/>
      </c>
      <c r="N5355" s="2">
        <f>IF(E5355="","",IF(ISNUMBER(SEARCH("SUBSOLO",E5355)),IFERROR(-VALUE(LEFT(E5355,FIND("º",SUBSTITUTE(E5355,"°","º"))-1)),-1),IF(LEFT(E5355,6)="TÉRREO",0,IFERROR(VALUE(LEFT(E5355,FIND("º",SUBSTITUTE(E5355,"°","º"))-1)),""))))</f>
        <v/>
      </c>
      <c r="O5355" s="2">
        <f>IF(OR(F5355="",G5355=""),"",IF(G5355&lt;='RETRATO 2027'!$K$5,"CONCLUÍDA",IF(F5355&lt;='RETRATO 2027'!$K$5,"EM ANDAMENTO","A INICIAR")))</f>
        <v/>
      </c>
    </row>
    <row r="5356">
      <c r="M5356" s="2">
        <f>IF(C5356="","",IFERROR(INDEX($S$5:$S$304,MATCH(C5356,$R$5:$R$304,0))&amp;"","?"))</f>
        <v/>
      </c>
      <c r="N5356" s="2">
        <f>IF(E5356="","",IF(ISNUMBER(SEARCH("SUBSOLO",E5356)),IFERROR(-VALUE(LEFT(E5356,FIND("º",SUBSTITUTE(E5356,"°","º"))-1)),-1),IF(LEFT(E5356,6)="TÉRREO",0,IFERROR(VALUE(LEFT(E5356,FIND("º",SUBSTITUTE(E5356,"°","º"))-1)),""))))</f>
        <v/>
      </c>
      <c r="O5356" s="2">
        <f>IF(OR(F5356="",G5356=""),"",IF(G5356&lt;='RETRATO 2027'!$K$5,"CONCLUÍDA",IF(F5356&lt;='RETRATO 2027'!$K$5,"EM ANDAMENTO","A INICIAR")))</f>
        <v/>
      </c>
    </row>
    <row r="5357">
      <c r="M5357" s="2">
        <f>IF(C5357="","",IFERROR(INDEX($S$5:$S$304,MATCH(C5357,$R$5:$R$304,0))&amp;"","?"))</f>
        <v/>
      </c>
      <c r="N5357" s="2">
        <f>IF(E5357="","",IF(ISNUMBER(SEARCH("SUBSOLO",E5357)),IFERROR(-VALUE(LEFT(E5357,FIND("º",SUBSTITUTE(E5357,"°","º"))-1)),-1),IF(LEFT(E5357,6)="TÉRREO",0,IFERROR(VALUE(LEFT(E5357,FIND("º",SUBSTITUTE(E5357,"°","º"))-1)),""))))</f>
        <v/>
      </c>
      <c r="O5357" s="2">
        <f>IF(OR(F5357="",G5357=""),"",IF(G5357&lt;='RETRATO 2027'!$K$5,"CONCLUÍDA",IF(F5357&lt;='RETRATO 2027'!$K$5,"EM ANDAMENTO","A INICIAR")))</f>
        <v/>
      </c>
    </row>
    <row r="5358">
      <c r="M5358" s="2">
        <f>IF(C5358="","",IFERROR(INDEX($S$5:$S$304,MATCH(C5358,$R$5:$R$304,0))&amp;"","?"))</f>
        <v/>
      </c>
      <c r="N5358" s="2">
        <f>IF(E5358="","",IF(ISNUMBER(SEARCH("SUBSOLO",E5358)),IFERROR(-VALUE(LEFT(E5358,FIND("º",SUBSTITUTE(E5358,"°","º"))-1)),-1),IF(LEFT(E5358,6)="TÉRREO",0,IFERROR(VALUE(LEFT(E5358,FIND("º",SUBSTITUTE(E5358,"°","º"))-1)),""))))</f>
        <v/>
      </c>
      <c r="O5358" s="2">
        <f>IF(OR(F5358="",G5358=""),"",IF(G5358&lt;='RETRATO 2027'!$K$5,"CONCLUÍDA",IF(F5358&lt;='RETRATO 2027'!$K$5,"EM ANDAMENTO","A INICIAR")))</f>
        <v/>
      </c>
    </row>
    <row r="5359">
      <c r="M5359" s="2">
        <f>IF(C5359="","",IFERROR(INDEX($S$5:$S$304,MATCH(C5359,$R$5:$R$304,0))&amp;"","?"))</f>
        <v/>
      </c>
      <c r="N5359" s="2">
        <f>IF(E5359="","",IF(ISNUMBER(SEARCH("SUBSOLO",E5359)),IFERROR(-VALUE(LEFT(E5359,FIND("º",SUBSTITUTE(E5359,"°","º"))-1)),-1),IF(LEFT(E5359,6)="TÉRREO",0,IFERROR(VALUE(LEFT(E5359,FIND("º",SUBSTITUTE(E5359,"°","º"))-1)),""))))</f>
        <v/>
      </c>
      <c r="O5359" s="2">
        <f>IF(OR(F5359="",G5359=""),"",IF(G5359&lt;='RETRATO 2027'!$K$5,"CONCLUÍDA",IF(F5359&lt;='RETRATO 2027'!$K$5,"EM ANDAMENTO","A INICIAR")))</f>
        <v/>
      </c>
    </row>
    <row r="5360">
      <c r="M5360" s="2">
        <f>IF(C5360="","",IFERROR(INDEX($S$5:$S$304,MATCH(C5360,$R$5:$R$304,0))&amp;"","?"))</f>
        <v/>
      </c>
      <c r="N5360" s="2">
        <f>IF(E5360="","",IF(ISNUMBER(SEARCH("SUBSOLO",E5360)),IFERROR(-VALUE(LEFT(E5360,FIND("º",SUBSTITUTE(E5360,"°","º"))-1)),-1),IF(LEFT(E5360,6)="TÉRREO",0,IFERROR(VALUE(LEFT(E5360,FIND("º",SUBSTITUTE(E5360,"°","º"))-1)),""))))</f>
        <v/>
      </c>
      <c r="O5360" s="2">
        <f>IF(OR(F5360="",G5360=""),"",IF(G5360&lt;='RETRATO 2027'!$K$5,"CONCLUÍDA",IF(F5360&lt;='RETRATO 2027'!$K$5,"EM ANDAMENTO","A INICIAR")))</f>
        <v/>
      </c>
    </row>
    <row r="5361">
      <c r="M5361" s="2">
        <f>IF(C5361="","",IFERROR(INDEX($S$5:$S$304,MATCH(C5361,$R$5:$R$304,0))&amp;"","?"))</f>
        <v/>
      </c>
      <c r="N5361" s="2">
        <f>IF(E5361="","",IF(ISNUMBER(SEARCH("SUBSOLO",E5361)),IFERROR(-VALUE(LEFT(E5361,FIND("º",SUBSTITUTE(E5361,"°","º"))-1)),-1),IF(LEFT(E5361,6)="TÉRREO",0,IFERROR(VALUE(LEFT(E5361,FIND("º",SUBSTITUTE(E5361,"°","º"))-1)),""))))</f>
        <v/>
      </c>
      <c r="O5361" s="2">
        <f>IF(OR(F5361="",G5361=""),"",IF(G5361&lt;='RETRATO 2027'!$K$5,"CONCLUÍDA",IF(F5361&lt;='RETRATO 2027'!$K$5,"EM ANDAMENTO","A INICIAR")))</f>
        <v/>
      </c>
    </row>
    <row r="5362">
      <c r="M5362" s="2">
        <f>IF(C5362="","",IFERROR(INDEX($S$5:$S$304,MATCH(C5362,$R$5:$R$304,0))&amp;"","?"))</f>
        <v/>
      </c>
      <c r="N5362" s="2">
        <f>IF(E5362="","",IF(ISNUMBER(SEARCH("SUBSOLO",E5362)),IFERROR(-VALUE(LEFT(E5362,FIND("º",SUBSTITUTE(E5362,"°","º"))-1)),-1),IF(LEFT(E5362,6)="TÉRREO",0,IFERROR(VALUE(LEFT(E5362,FIND("º",SUBSTITUTE(E5362,"°","º"))-1)),""))))</f>
        <v/>
      </c>
      <c r="O5362" s="2">
        <f>IF(OR(F5362="",G5362=""),"",IF(G5362&lt;='RETRATO 2027'!$K$5,"CONCLUÍDA",IF(F5362&lt;='RETRATO 2027'!$K$5,"EM ANDAMENTO","A INICIAR")))</f>
        <v/>
      </c>
    </row>
    <row r="5363">
      <c r="M5363" s="2">
        <f>IF(C5363="","",IFERROR(INDEX($S$5:$S$304,MATCH(C5363,$R$5:$R$304,0))&amp;"","?"))</f>
        <v/>
      </c>
      <c r="N5363" s="2">
        <f>IF(E5363="","",IF(ISNUMBER(SEARCH("SUBSOLO",E5363)),IFERROR(-VALUE(LEFT(E5363,FIND("º",SUBSTITUTE(E5363,"°","º"))-1)),-1),IF(LEFT(E5363,6)="TÉRREO",0,IFERROR(VALUE(LEFT(E5363,FIND("º",SUBSTITUTE(E5363,"°","º"))-1)),""))))</f>
        <v/>
      </c>
      <c r="O5363" s="2">
        <f>IF(OR(F5363="",G5363=""),"",IF(G5363&lt;='RETRATO 2027'!$K$5,"CONCLUÍDA",IF(F5363&lt;='RETRATO 2027'!$K$5,"EM ANDAMENTO","A INICIAR")))</f>
        <v/>
      </c>
    </row>
    <row r="5364">
      <c r="M5364" s="2">
        <f>IF(C5364="","",IFERROR(INDEX($S$5:$S$304,MATCH(C5364,$R$5:$R$304,0))&amp;"","?"))</f>
        <v/>
      </c>
      <c r="N5364" s="2">
        <f>IF(E5364="","",IF(ISNUMBER(SEARCH("SUBSOLO",E5364)),IFERROR(-VALUE(LEFT(E5364,FIND("º",SUBSTITUTE(E5364,"°","º"))-1)),-1),IF(LEFT(E5364,6)="TÉRREO",0,IFERROR(VALUE(LEFT(E5364,FIND("º",SUBSTITUTE(E5364,"°","º"))-1)),""))))</f>
        <v/>
      </c>
      <c r="O5364" s="2">
        <f>IF(OR(F5364="",G5364=""),"",IF(G5364&lt;='RETRATO 2027'!$K$5,"CONCLUÍDA",IF(F5364&lt;='RETRATO 2027'!$K$5,"EM ANDAMENTO","A INICIAR")))</f>
        <v/>
      </c>
    </row>
    <row r="5365">
      <c r="M5365" s="2">
        <f>IF(C5365="","",IFERROR(INDEX($S$5:$S$304,MATCH(C5365,$R$5:$R$304,0))&amp;"","?"))</f>
        <v/>
      </c>
      <c r="N5365" s="2">
        <f>IF(E5365="","",IF(ISNUMBER(SEARCH("SUBSOLO",E5365)),IFERROR(-VALUE(LEFT(E5365,FIND("º",SUBSTITUTE(E5365,"°","º"))-1)),-1),IF(LEFT(E5365,6)="TÉRREO",0,IFERROR(VALUE(LEFT(E5365,FIND("º",SUBSTITUTE(E5365,"°","º"))-1)),""))))</f>
        <v/>
      </c>
      <c r="O5365" s="2">
        <f>IF(OR(F5365="",G5365=""),"",IF(G5365&lt;='RETRATO 2027'!$K$5,"CONCLUÍDA",IF(F5365&lt;='RETRATO 2027'!$K$5,"EM ANDAMENTO","A INICIAR")))</f>
        <v/>
      </c>
    </row>
    <row r="5366">
      <c r="M5366" s="2">
        <f>IF(C5366="","",IFERROR(INDEX($S$5:$S$304,MATCH(C5366,$R$5:$R$304,0))&amp;"","?"))</f>
        <v/>
      </c>
      <c r="N5366" s="2">
        <f>IF(E5366="","",IF(ISNUMBER(SEARCH("SUBSOLO",E5366)),IFERROR(-VALUE(LEFT(E5366,FIND("º",SUBSTITUTE(E5366,"°","º"))-1)),-1),IF(LEFT(E5366,6)="TÉRREO",0,IFERROR(VALUE(LEFT(E5366,FIND("º",SUBSTITUTE(E5366,"°","º"))-1)),""))))</f>
        <v/>
      </c>
      <c r="O5366" s="2">
        <f>IF(OR(F5366="",G5366=""),"",IF(G5366&lt;='RETRATO 2027'!$K$5,"CONCLUÍDA",IF(F5366&lt;='RETRATO 2027'!$K$5,"EM ANDAMENTO","A INICIAR")))</f>
        <v/>
      </c>
    </row>
    <row r="5367">
      <c r="M5367" s="2">
        <f>IF(C5367="","",IFERROR(INDEX($S$5:$S$304,MATCH(C5367,$R$5:$R$304,0))&amp;"","?"))</f>
        <v/>
      </c>
      <c r="N5367" s="2">
        <f>IF(E5367="","",IF(ISNUMBER(SEARCH("SUBSOLO",E5367)),IFERROR(-VALUE(LEFT(E5367,FIND("º",SUBSTITUTE(E5367,"°","º"))-1)),-1),IF(LEFT(E5367,6)="TÉRREO",0,IFERROR(VALUE(LEFT(E5367,FIND("º",SUBSTITUTE(E5367,"°","º"))-1)),""))))</f>
        <v/>
      </c>
      <c r="O5367" s="2">
        <f>IF(OR(F5367="",G5367=""),"",IF(G5367&lt;='RETRATO 2027'!$K$5,"CONCLUÍDA",IF(F5367&lt;='RETRATO 2027'!$K$5,"EM ANDAMENTO","A INICIAR")))</f>
        <v/>
      </c>
    </row>
    <row r="5368">
      <c r="M5368" s="2">
        <f>IF(C5368="","",IFERROR(INDEX($S$5:$S$304,MATCH(C5368,$R$5:$R$304,0))&amp;"","?"))</f>
        <v/>
      </c>
      <c r="N5368" s="2">
        <f>IF(E5368="","",IF(ISNUMBER(SEARCH("SUBSOLO",E5368)),IFERROR(-VALUE(LEFT(E5368,FIND("º",SUBSTITUTE(E5368,"°","º"))-1)),-1),IF(LEFT(E5368,6)="TÉRREO",0,IFERROR(VALUE(LEFT(E5368,FIND("º",SUBSTITUTE(E5368,"°","º"))-1)),""))))</f>
        <v/>
      </c>
      <c r="O5368" s="2">
        <f>IF(OR(F5368="",G5368=""),"",IF(G5368&lt;='RETRATO 2027'!$K$5,"CONCLUÍDA",IF(F5368&lt;='RETRATO 2027'!$K$5,"EM ANDAMENTO","A INICIAR")))</f>
        <v/>
      </c>
    </row>
    <row r="5369">
      <c r="M5369" s="2">
        <f>IF(C5369="","",IFERROR(INDEX($S$5:$S$304,MATCH(C5369,$R$5:$R$304,0))&amp;"","?"))</f>
        <v/>
      </c>
      <c r="N5369" s="2">
        <f>IF(E5369="","",IF(ISNUMBER(SEARCH("SUBSOLO",E5369)),IFERROR(-VALUE(LEFT(E5369,FIND("º",SUBSTITUTE(E5369,"°","º"))-1)),-1),IF(LEFT(E5369,6)="TÉRREO",0,IFERROR(VALUE(LEFT(E5369,FIND("º",SUBSTITUTE(E5369,"°","º"))-1)),""))))</f>
        <v/>
      </c>
      <c r="O5369" s="2">
        <f>IF(OR(F5369="",G5369=""),"",IF(G5369&lt;='RETRATO 2027'!$K$5,"CONCLUÍDA",IF(F5369&lt;='RETRATO 2027'!$K$5,"EM ANDAMENTO","A INICIAR")))</f>
        <v/>
      </c>
    </row>
    <row r="5370">
      <c r="M5370" s="2">
        <f>IF(C5370="","",IFERROR(INDEX($S$5:$S$304,MATCH(C5370,$R$5:$R$304,0))&amp;"","?"))</f>
        <v/>
      </c>
      <c r="N5370" s="2">
        <f>IF(E5370="","",IF(ISNUMBER(SEARCH("SUBSOLO",E5370)),IFERROR(-VALUE(LEFT(E5370,FIND("º",SUBSTITUTE(E5370,"°","º"))-1)),-1),IF(LEFT(E5370,6)="TÉRREO",0,IFERROR(VALUE(LEFT(E5370,FIND("º",SUBSTITUTE(E5370,"°","º"))-1)),""))))</f>
        <v/>
      </c>
      <c r="O5370" s="2">
        <f>IF(OR(F5370="",G5370=""),"",IF(G5370&lt;='RETRATO 2027'!$K$5,"CONCLUÍDA",IF(F5370&lt;='RETRATO 2027'!$K$5,"EM ANDAMENTO","A INICIAR")))</f>
        <v/>
      </c>
    </row>
    <row r="5371">
      <c r="M5371" s="2">
        <f>IF(C5371="","",IFERROR(INDEX($S$5:$S$304,MATCH(C5371,$R$5:$R$304,0))&amp;"","?"))</f>
        <v/>
      </c>
      <c r="N5371" s="2">
        <f>IF(E5371="","",IF(ISNUMBER(SEARCH("SUBSOLO",E5371)),IFERROR(-VALUE(LEFT(E5371,FIND("º",SUBSTITUTE(E5371,"°","º"))-1)),-1),IF(LEFT(E5371,6)="TÉRREO",0,IFERROR(VALUE(LEFT(E5371,FIND("º",SUBSTITUTE(E5371,"°","º"))-1)),""))))</f>
        <v/>
      </c>
      <c r="O5371" s="2">
        <f>IF(OR(F5371="",G5371=""),"",IF(G5371&lt;='RETRATO 2027'!$K$5,"CONCLUÍDA",IF(F5371&lt;='RETRATO 2027'!$K$5,"EM ANDAMENTO","A INICIAR")))</f>
        <v/>
      </c>
    </row>
    <row r="5372">
      <c r="M5372" s="2">
        <f>IF(C5372="","",IFERROR(INDEX($S$5:$S$304,MATCH(C5372,$R$5:$R$304,0))&amp;"","?"))</f>
        <v/>
      </c>
      <c r="N5372" s="2">
        <f>IF(E5372="","",IF(ISNUMBER(SEARCH("SUBSOLO",E5372)),IFERROR(-VALUE(LEFT(E5372,FIND("º",SUBSTITUTE(E5372,"°","º"))-1)),-1),IF(LEFT(E5372,6)="TÉRREO",0,IFERROR(VALUE(LEFT(E5372,FIND("º",SUBSTITUTE(E5372,"°","º"))-1)),""))))</f>
        <v/>
      </c>
      <c r="O5372" s="2">
        <f>IF(OR(F5372="",G5372=""),"",IF(G5372&lt;='RETRATO 2027'!$K$5,"CONCLUÍDA",IF(F5372&lt;='RETRATO 2027'!$K$5,"EM ANDAMENTO","A INICIAR")))</f>
        <v/>
      </c>
    </row>
    <row r="5373">
      <c r="M5373" s="2">
        <f>IF(C5373="","",IFERROR(INDEX($S$5:$S$304,MATCH(C5373,$R$5:$R$304,0))&amp;"","?"))</f>
        <v/>
      </c>
      <c r="N5373" s="2">
        <f>IF(E5373="","",IF(ISNUMBER(SEARCH("SUBSOLO",E5373)),IFERROR(-VALUE(LEFT(E5373,FIND("º",SUBSTITUTE(E5373,"°","º"))-1)),-1),IF(LEFT(E5373,6)="TÉRREO",0,IFERROR(VALUE(LEFT(E5373,FIND("º",SUBSTITUTE(E5373,"°","º"))-1)),""))))</f>
        <v/>
      </c>
      <c r="O5373" s="2">
        <f>IF(OR(F5373="",G5373=""),"",IF(G5373&lt;='RETRATO 2027'!$K$5,"CONCLUÍDA",IF(F5373&lt;='RETRATO 2027'!$K$5,"EM ANDAMENTO","A INICIAR")))</f>
        <v/>
      </c>
    </row>
    <row r="5374">
      <c r="M5374" s="2">
        <f>IF(C5374="","",IFERROR(INDEX($S$5:$S$304,MATCH(C5374,$R$5:$R$304,0))&amp;"","?"))</f>
        <v/>
      </c>
      <c r="N5374" s="2">
        <f>IF(E5374="","",IF(ISNUMBER(SEARCH("SUBSOLO",E5374)),IFERROR(-VALUE(LEFT(E5374,FIND("º",SUBSTITUTE(E5374,"°","º"))-1)),-1),IF(LEFT(E5374,6)="TÉRREO",0,IFERROR(VALUE(LEFT(E5374,FIND("º",SUBSTITUTE(E5374,"°","º"))-1)),""))))</f>
        <v/>
      </c>
      <c r="O5374" s="2">
        <f>IF(OR(F5374="",G5374=""),"",IF(G5374&lt;='RETRATO 2027'!$K$5,"CONCLUÍDA",IF(F5374&lt;='RETRATO 2027'!$K$5,"EM ANDAMENTO","A INICIAR")))</f>
        <v/>
      </c>
    </row>
    <row r="5375">
      <c r="M5375" s="2">
        <f>IF(C5375="","",IFERROR(INDEX($S$5:$S$304,MATCH(C5375,$R$5:$R$304,0))&amp;"","?"))</f>
        <v/>
      </c>
      <c r="N5375" s="2">
        <f>IF(E5375="","",IF(ISNUMBER(SEARCH("SUBSOLO",E5375)),IFERROR(-VALUE(LEFT(E5375,FIND("º",SUBSTITUTE(E5375,"°","º"))-1)),-1),IF(LEFT(E5375,6)="TÉRREO",0,IFERROR(VALUE(LEFT(E5375,FIND("º",SUBSTITUTE(E5375,"°","º"))-1)),""))))</f>
        <v/>
      </c>
      <c r="O5375" s="2">
        <f>IF(OR(F5375="",G5375=""),"",IF(G5375&lt;='RETRATO 2027'!$K$5,"CONCLUÍDA",IF(F5375&lt;='RETRATO 2027'!$K$5,"EM ANDAMENTO","A INICIAR")))</f>
        <v/>
      </c>
    </row>
    <row r="5376">
      <c r="M5376" s="2">
        <f>IF(C5376="","",IFERROR(INDEX($S$5:$S$304,MATCH(C5376,$R$5:$R$304,0))&amp;"","?"))</f>
        <v/>
      </c>
      <c r="N5376" s="2">
        <f>IF(E5376="","",IF(ISNUMBER(SEARCH("SUBSOLO",E5376)),IFERROR(-VALUE(LEFT(E5376,FIND("º",SUBSTITUTE(E5376,"°","º"))-1)),-1),IF(LEFT(E5376,6)="TÉRREO",0,IFERROR(VALUE(LEFT(E5376,FIND("º",SUBSTITUTE(E5376,"°","º"))-1)),""))))</f>
        <v/>
      </c>
      <c r="O5376" s="2">
        <f>IF(OR(F5376="",G5376=""),"",IF(G5376&lt;='RETRATO 2027'!$K$5,"CONCLUÍDA",IF(F5376&lt;='RETRATO 2027'!$K$5,"EM ANDAMENTO","A INICIAR")))</f>
        <v/>
      </c>
    </row>
    <row r="5377">
      <c r="M5377" s="2">
        <f>IF(C5377="","",IFERROR(INDEX($S$5:$S$304,MATCH(C5377,$R$5:$R$304,0))&amp;"","?"))</f>
        <v/>
      </c>
      <c r="N5377" s="2">
        <f>IF(E5377="","",IF(ISNUMBER(SEARCH("SUBSOLO",E5377)),IFERROR(-VALUE(LEFT(E5377,FIND("º",SUBSTITUTE(E5377,"°","º"))-1)),-1),IF(LEFT(E5377,6)="TÉRREO",0,IFERROR(VALUE(LEFT(E5377,FIND("º",SUBSTITUTE(E5377,"°","º"))-1)),""))))</f>
        <v/>
      </c>
      <c r="O5377" s="2">
        <f>IF(OR(F5377="",G5377=""),"",IF(G5377&lt;='RETRATO 2027'!$K$5,"CONCLUÍDA",IF(F5377&lt;='RETRATO 2027'!$K$5,"EM ANDAMENTO","A INICIAR")))</f>
        <v/>
      </c>
    </row>
    <row r="5378">
      <c r="M5378" s="2">
        <f>IF(C5378="","",IFERROR(INDEX($S$5:$S$304,MATCH(C5378,$R$5:$R$304,0))&amp;"","?"))</f>
        <v/>
      </c>
      <c r="N5378" s="2">
        <f>IF(E5378="","",IF(ISNUMBER(SEARCH("SUBSOLO",E5378)),IFERROR(-VALUE(LEFT(E5378,FIND("º",SUBSTITUTE(E5378,"°","º"))-1)),-1),IF(LEFT(E5378,6)="TÉRREO",0,IFERROR(VALUE(LEFT(E5378,FIND("º",SUBSTITUTE(E5378,"°","º"))-1)),""))))</f>
        <v/>
      </c>
      <c r="O5378" s="2">
        <f>IF(OR(F5378="",G5378=""),"",IF(G5378&lt;='RETRATO 2027'!$K$5,"CONCLUÍDA",IF(F5378&lt;='RETRATO 2027'!$K$5,"EM ANDAMENTO","A INICIAR")))</f>
        <v/>
      </c>
    </row>
    <row r="5379">
      <c r="M5379" s="2">
        <f>IF(C5379="","",IFERROR(INDEX($S$5:$S$304,MATCH(C5379,$R$5:$R$304,0))&amp;"","?"))</f>
        <v/>
      </c>
      <c r="N5379" s="2">
        <f>IF(E5379="","",IF(ISNUMBER(SEARCH("SUBSOLO",E5379)),IFERROR(-VALUE(LEFT(E5379,FIND("º",SUBSTITUTE(E5379,"°","º"))-1)),-1),IF(LEFT(E5379,6)="TÉRREO",0,IFERROR(VALUE(LEFT(E5379,FIND("º",SUBSTITUTE(E5379,"°","º"))-1)),""))))</f>
        <v/>
      </c>
      <c r="O5379" s="2">
        <f>IF(OR(F5379="",G5379=""),"",IF(G5379&lt;='RETRATO 2027'!$K$5,"CONCLUÍDA",IF(F5379&lt;='RETRATO 2027'!$K$5,"EM ANDAMENTO","A INICIAR")))</f>
        <v/>
      </c>
    </row>
    <row r="5380">
      <c r="M5380" s="2">
        <f>IF(C5380="","",IFERROR(INDEX($S$5:$S$304,MATCH(C5380,$R$5:$R$304,0))&amp;"","?"))</f>
        <v/>
      </c>
      <c r="N5380" s="2">
        <f>IF(E5380="","",IF(ISNUMBER(SEARCH("SUBSOLO",E5380)),IFERROR(-VALUE(LEFT(E5380,FIND("º",SUBSTITUTE(E5380,"°","º"))-1)),-1),IF(LEFT(E5380,6)="TÉRREO",0,IFERROR(VALUE(LEFT(E5380,FIND("º",SUBSTITUTE(E5380,"°","º"))-1)),""))))</f>
        <v/>
      </c>
      <c r="O5380" s="2">
        <f>IF(OR(F5380="",G5380=""),"",IF(G5380&lt;='RETRATO 2027'!$K$5,"CONCLUÍDA",IF(F5380&lt;='RETRATO 2027'!$K$5,"EM ANDAMENTO","A INICIAR")))</f>
        <v/>
      </c>
    </row>
    <row r="5381">
      <c r="M5381" s="2">
        <f>IF(C5381="","",IFERROR(INDEX($S$5:$S$304,MATCH(C5381,$R$5:$R$304,0))&amp;"","?"))</f>
        <v/>
      </c>
      <c r="N5381" s="2">
        <f>IF(E5381="","",IF(ISNUMBER(SEARCH("SUBSOLO",E5381)),IFERROR(-VALUE(LEFT(E5381,FIND("º",SUBSTITUTE(E5381,"°","º"))-1)),-1),IF(LEFT(E5381,6)="TÉRREO",0,IFERROR(VALUE(LEFT(E5381,FIND("º",SUBSTITUTE(E5381,"°","º"))-1)),""))))</f>
        <v/>
      </c>
      <c r="O5381" s="2">
        <f>IF(OR(F5381="",G5381=""),"",IF(G5381&lt;='RETRATO 2027'!$K$5,"CONCLUÍDA",IF(F5381&lt;='RETRATO 2027'!$K$5,"EM ANDAMENTO","A INICIAR")))</f>
        <v/>
      </c>
    </row>
    <row r="5382">
      <c r="M5382" s="2">
        <f>IF(C5382="","",IFERROR(INDEX($S$5:$S$304,MATCH(C5382,$R$5:$R$304,0))&amp;"","?"))</f>
        <v/>
      </c>
      <c r="N5382" s="2">
        <f>IF(E5382="","",IF(ISNUMBER(SEARCH("SUBSOLO",E5382)),IFERROR(-VALUE(LEFT(E5382,FIND("º",SUBSTITUTE(E5382,"°","º"))-1)),-1),IF(LEFT(E5382,6)="TÉRREO",0,IFERROR(VALUE(LEFT(E5382,FIND("º",SUBSTITUTE(E5382,"°","º"))-1)),""))))</f>
        <v/>
      </c>
      <c r="O5382" s="2">
        <f>IF(OR(F5382="",G5382=""),"",IF(G5382&lt;='RETRATO 2027'!$K$5,"CONCLUÍDA",IF(F5382&lt;='RETRATO 2027'!$K$5,"EM ANDAMENTO","A INICIAR")))</f>
        <v/>
      </c>
    </row>
    <row r="5383">
      <c r="M5383" s="2">
        <f>IF(C5383="","",IFERROR(INDEX($S$5:$S$304,MATCH(C5383,$R$5:$R$304,0))&amp;"","?"))</f>
        <v/>
      </c>
      <c r="N5383" s="2">
        <f>IF(E5383="","",IF(ISNUMBER(SEARCH("SUBSOLO",E5383)),IFERROR(-VALUE(LEFT(E5383,FIND("º",SUBSTITUTE(E5383,"°","º"))-1)),-1),IF(LEFT(E5383,6)="TÉRREO",0,IFERROR(VALUE(LEFT(E5383,FIND("º",SUBSTITUTE(E5383,"°","º"))-1)),""))))</f>
        <v/>
      </c>
      <c r="O5383" s="2">
        <f>IF(OR(F5383="",G5383=""),"",IF(G5383&lt;='RETRATO 2027'!$K$5,"CONCLUÍDA",IF(F5383&lt;='RETRATO 2027'!$K$5,"EM ANDAMENTO","A INICIAR")))</f>
        <v/>
      </c>
    </row>
    <row r="5384">
      <c r="M5384" s="2">
        <f>IF(C5384="","",IFERROR(INDEX($S$5:$S$304,MATCH(C5384,$R$5:$R$304,0))&amp;"","?"))</f>
        <v/>
      </c>
      <c r="N5384" s="2">
        <f>IF(E5384="","",IF(ISNUMBER(SEARCH("SUBSOLO",E5384)),IFERROR(-VALUE(LEFT(E5384,FIND("º",SUBSTITUTE(E5384,"°","º"))-1)),-1),IF(LEFT(E5384,6)="TÉRREO",0,IFERROR(VALUE(LEFT(E5384,FIND("º",SUBSTITUTE(E5384,"°","º"))-1)),""))))</f>
        <v/>
      </c>
      <c r="O5384" s="2">
        <f>IF(OR(F5384="",G5384=""),"",IF(G5384&lt;='RETRATO 2027'!$K$5,"CONCLUÍDA",IF(F5384&lt;='RETRATO 2027'!$K$5,"EM ANDAMENTO","A INICIAR")))</f>
        <v/>
      </c>
    </row>
    <row r="5385">
      <c r="M5385" s="2">
        <f>IF(C5385="","",IFERROR(INDEX($S$5:$S$304,MATCH(C5385,$R$5:$R$304,0))&amp;"","?"))</f>
        <v/>
      </c>
      <c r="N5385" s="2">
        <f>IF(E5385="","",IF(ISNUMBER(SEARCH("SUBSOLO",E5385)),IFERROR(-VALUE(LEFT(E5385,FIND("º",SUBSTITUTE(E5385,"°","º"))-1)),-1),IF(LEFT(E5385,6)="TÉRREO",0,IFERROR(VALUE(LEFT(E5385,FIND("º",SUBSTITUTE(E5385,"°","º"))-1)),""))))</f>
        <v/>
      </c>
      <c r="O5385" s="2">
        <f>IF(OR(F5385="",G5385=""),"",IF(G5385&lt;='RETRATO 2027'!$K$5,"CONCLUÍDA",IF(F5385&lt;='RETRATO 2027'!$K$5,"EM ANDAMENTO","A INICIAR")))</f>
        <v/>
      </c>
    </row>
    <row r="5386">
      <c r="M5386" s="2">
        <f>IF(C5386="","",IFERROR(INDEX($S$5:$S$304,MATCH(C5386,$R$5:$R$304,0))&amp;"","?"))</f>
        <v/>
      </c>
      <c r="N5386" s="2">
        <f>IF(E5386="","",IF(ISNUMBER(SEARCH("SUBSOLO",E5386)),IFERROR(-VALUE(LEFT(E5386,FIND("º",SUBSTITUTE(E5386,"°","º"))-1)),-1),IF(LEFT(E5386,6)="TÉRREO",0,IFERROR(VALUE(LEFT(E5386,FIND("º",SUBSTITUTE(E5386,"°","º"))-1)),""))))</f>
        <v/>
      </c>
      <c r="O5386" s="2">
        <f>IF(OR(F5386="",G5386=""),"",IF(G5386&lt;='RETRATO 2027'!$K$5,"CONCLUÍDA",IF(F5386&lt;='RETRATO 2027'!$K$5,"EM ANDAMENTO","A INICIAR")))</f>
        <v/>
      </c>
    </row>
    <row r="5387">
      <c r="M5387" s="2">
        <f>IF(C5387="","",IFERROR(INDEX($S$5:$S$304,MATCH(C5387,$R$5:$R$304,0))&amp;"","?"))</f>
        <v/>
      </c>
      <c r="N5387" s="2">
        <f>IF(E5387="","",IF(ISNUMBER(SEARCH("SUBSOLO",E5387)),IFERROR(-VALUE(LEFT(E5387,FIND("º",SUBSTITUTE(E5387,"°","º"))-1)),-1),IF(LEFT(E5387,6)="TÉRREO",0,IFERROR(VALUE(LEFT(E5387,FIND("º",SUBSTITUTE(E5387,"°","º"))-1)),""))))</f>
        <v/>
      </c>
      <c r="O5387" s="2">
        <f>IF(OR(F5387="",G5387=""),"",IF(G5387&lt;='RETRATO 2027'!$K$5,"CONCLUÍDA",IF(F5387&lt;='RETRATO 2027'!$K$5,"EM ANDAMENTO","A INICIAR")))</f>
        <v/>
      </c>
    </row>
    <row r="5388">
      <c r="M5388" s="2">
        <f>IF(C5388="","",IFERROR(INDEX($S$5:$S$304,MATCH(C5388,$R$5:$R$304,0))&amp;"","?"))</f>
        <v/>
      </c>
      <c r="N5388" s="2">
        <f>IF(E5388="","",IF(ISNUMBER(SEARCH("SUBSOLO",E5388)),IFERROR(-VALUE(LEFT(E5388,FIND("º",SUBSTITUTE(E5388,"°","º"))-1)),-1),IF(LEFT(E5388,6)="TÉRREO",0,IFERROR(VALUE(LEFT(E5388,FIND("º",SUBSTITUTE(E5388,"°","º"))-1)),""))))</f>
        <v/>
      </c>
      <c r="O5388" s="2">
        <f>IF(OR(F5388="",G5388=""),"",IF(G5388&lt;='RETRATO 2027'!$K$5,"CONCLUÍDA",IF(F5388&lt;='RETRATO 2027'!$K$5,"EM ANDAMENTO","A INICIAR")))</f>
        <v/>
      </c>
    </row>
    <row r="5389">
      <c r="M5389" s="2">
        <f>IF(C5389="","",IFERROR(INDEX($S$5:$S$304,MATCH(C5389,$R$5:$R$304,0))&amp;"","?"))</f>
        <v/>
      </c>
      <c r="N5389" s="2">
        <f>IF(E5389="","",IF(ISNUMBER(SEARCH("SUBSOLO",E5389)),IFERROR(-VALUE(LEFT(E5389,FIND("º",SUBSTITUTE(E5389,"°","º"))-1)),-1),IF(LEFT(E5389,6)="TÉRREO",0,IFERROR(VALUE(LEFT(E5389,FIND("º",SUBSTITUTE(E5389,"°","º"))-1)),""))))</f>
        <v/>
      </c>
      <c r="O5389" s="2">
        <f>IF(OR(F5389="",G5389=""),"",IF(G5389&lt;='RETRATO 2027'!$K$5,"CONCLUÍDA",IF(F5389&lt;='RETRATO 2027'!$K$5,"EM ANDAMENTO","A INICIAR")))</f>
        <v/>
      </c>
    </row>
    <row r="5390">
      <c r="M5390" s="2">
        <f>IF(C5390="","",IFERROR(INDEX($S$5:$S$304,MATCH(C5390,$R$5:$R$304,0))&amp;"","?"))</f>
        <v/>
      </c>
      <c r="N5390" s="2">
        <f>IF(E5390="","",IF(ISNUMBER(SEARCH("SUBSOLO",E5390)),IFERROR(-VALUE(LEFT(E5390,FIND("º",SUBSTITUTE(E5390,"°","º"))-1)),-1),IF(LEFT(E5390,6)="TÉRREO",0,IFERROR(VALUE(LEFT(E5390,FIND("º",SUBSTITUTE(E5390,"°","º"))-1)),""))))</f>
        <v/>
      </c>
      <c r="O5390" s="2">
        <f>IF(OR(F5390="",G5390=""),"",IF(G5390&lt;='RETRATO 2027'!$K$5,"CONCLUÍDA",IF(F5390&lt;='RETRATO 2027'!$K$5,"EM ANDAMENTO","A INICIAR")))</f>
        <v/>
      </c>
    </row>
    <row r="5391">
      <c r="M5391" s="2">
        <f>IF(C5391="","",IFERROR(INDEX($S$5:$S$304,MATCH(C5391,$R$5:$R$304,0))&amp;"","?"))</f>
        <v/>
      </c>
      <c r="N5391" s="2">
        <f>IF(E5391="","",IF(ISNUMBER(SEARCH("SUBSOLO",E5391)),IFERROR(-VALUE(LEFT(E5391,FIND("º",SUBSTITUTE(E5391,"°","º"))-1)),-1),IF(LEFT(E5391,6)="TÉRREO",0,IFERROR(VALUE(LEFT(E5391,FIND("º",SUBSTITUTE(E5391,"°","º"))-1)),""))))</f>
        <v/>
      </c>
      <c r="O5391" s="2">
        <f>IF(OR(F5391="",G5391=""),"",IF(G5391&lt;='RETRATO 2027'!$K$5,"CONCLUÍDA",IF(F5391&lt;='RETRATO 2027'!$K$5,"EM ANDAMENTO","A INICIAR")))</f>
        <v/>
      </c>
    </row>
    <row r="5392">
      <c r="M5392" s="2">
        <f>IF(C5392="","",IFERROR(INDEX($S$5:$S$304,MATCH(C5392,$R$5:$R$304,0))&amp;"","?"))</f>
        <v/>
      </c>
      <c r="N5392" s="2">
        <f>IF(E5392="","",IF(ISNUMBER(SEARCH("SUBSOLO",E5392)),IFERROR(-VALUE(LEFT(E5392,FIND("º",SUBSTITUTE(E5392,"°","º"))-1)),-1),IF(LEFT(E5392,6)="TÉRREO",0,IFERROR(VALUE(LEFT(E5392,FIND("º",SUBSTITUTE(E5392,"°","º"))-1)),""))))</f>
        <v/>
      </c>
      <c r="O5392" s="2">
        <f>IF(OR(F5392="",G5392=""),"",IF(G5392&lt;='RETRATO 2027'!$K$5,"CONCLUÍDA",IF(F5392&lt;='RETRATO 2027'!$K$5,"EM ANDAMENTO","A INICIAR")))</f>
        <v/>
      </c>
    </row>
    <row r="5393">
      <c r="M5393" s="2">
        <f>IF(C5393="","",IFERROR(INDEX($S$5:$S$304,MATCH(C5393,$R$5:$R$304,0))&amp;"","?"))</f>
        <v/>
      </c>
      <c r="N5393" s="2">
        <f>IF(E5393="","",IF(ISNUMBER(SEARCH("SUBSOLO",E5393)),IFERROR(-VALUE(LEFT(E5393,FIND("º",SUBSTITUTE(E5393,"°","º"))-1)),-1),IF(LEFT(E5393,6)="TÉRREO",0,IFERROR(VALUE(LEFT(E5393,FIND("º",SUBSTITUTE(E5393,"°","º"))-1)),""))))</f>
        <v/>
      </c>
      <c r="O5393" s="2">
        <f>IF(OR(F5393="",G5393=""),"",IF(G5393&lt;='RETRATO 2027'!$K$5,"CONCLUÍDA",IF(F5393&lt;='RETRATO 2027'!$K$5,"EM ANDAMENTO","A INICIAR")))</f>
        <v/>
      </c>
    </row>
    <row r="5394">
      <c r="M5394" s="2">
        <f>IF(C5394="","",IFERROR(INDEX($S$5:$S$304,MATCH(C5394,$R$5:$R$304,0))&amp;"","?"))</f>
        <v/>
      </c>
      <c r="N5394" s="2">
        <f>IF(E5394="","",IF(ISNUMBER(SEARCH("SUBSOLO",E5394)),IFERROR(-VALUE(LEFT(E5394,FIND("º",SUBSTITUTE(E5394,"°","º"))-1)),-1),IF(LEFT(E5394,6)="TÉRREO",0,IFERROR(VALUE(LEFT(E5394,FIND("º",SUBSTITUTE(E5394,"°","º"))-1)),""))))</f>
        <v/>
      </c>
      <c r="O5394" s="2">
        <f>IF(OR(F5394="",G5394=""),"",IF(G5394&lt;='RETRATO 2027'!$K$5,"CONCLUÍDA",IF(F5394&lt;='RETRATO 2027'!$K$5,"EM ANDAMENTO","A INICIAR")))</f>
        <v/>
      </c>
    </row>
    <row r="5395">
      <c r="M5395" s="2">
        <f>IF(C5395="","",IFERROR(INDEX($S$5:$S$304,MATCH(C5395,$R$5:$R$304,0))&amp;"","?"))</f>
        <v/>
      </c>
      <c r="N5395" s="2">
        <f>IF(E5395="","",IF(ISNUMBER(SEARCH("SUBSOLO",E5395)),IFERROR(-VALUE(LEFT(E5395,FIND("º",SUBSTITUTE(E5395,"°","º"))-1)),-1),IF(LEFT(E5395,6)="TÉRREO",0,IFERROR(VALUE(LEFT(E5395,FIND("º",SUBSTITUTE(E5395,"°","º"))-1)),""))))</f>
        <v/>
      </c>
      <c r="O5395" s="2">
        <f>IF(OR(F5395="",G5395=""),"",IF(G5395&lt;='RETRATO 2027'!$K$5,"CONCLUÍDA",IF(F5395&lt;='RETRATO 2027'!$K$5,"EM ANDAMENTO","A INICIAR")))</f>
        <v/>
      </c>
    </row>
    <row r="5396">
      <c r="M5396" s="2">
        <f>IF(C5396="","",IFERROR(INDEX($S$5:$S$304,MATCH(C5396,$R$5:$R$304,0))&amp;"","?"))</f>
        <v/>
      </c>
      <c r="N5396" s="2">
        <f>IF(E5396="","",IF(ISNUMBER(SEARCH("SUBSOLO",E5396)),IFERROR(-VALUE(LEFT(E5396,FIND("º",SUBSTITUTE(E5396,"°","º"))-1)),-1),IF(LEFT(E5396,6)="TÉRREO",0,IFERROR(VALUE(LEFT(E5396,FIND("º",SUBSTITUTE(E5396,"°","º"))-1)),""))))</f>
        <v/>
      </c>
      <c r="O5396" s="2">
        <f>IF(OR(F5396="",G5396=""),"",IF(G5396&lt;='RETRATO 2027'!$K$5,"CONCLUÍDA",IF(F5396&lt;='RETRATO 2027'!$K$5,"EM ANDAMENTO","A INICIAR")))</f>
        <v/>
      </c>
    </row>
    <row r="5397">
      <c r="M5397" s="2">
        <f>IF(C5397="","",IFERROR(INDEX($S$5:$S$304,MATCH(C5397,$R$5:$R$304,0))&amp;"","?"))</f>
        <v/>
      </c>
      <c r="N5397" s="2">
        <f>IF(E5397="","",IF(ISNUMBER(SEARCH("SUBSOLO",E5397)),IFERROR(-VALUE(LEFT(E5397,FIND("º",SUBSTITUTE(E5397,"°","º"))-1)),-1),IF(LEFT(E5397,6)="TÉRREO",0,IFERROR(VALUE(LEFT(E5397,FIND("º",SUBSTITUTE(E5397,"°","º"))-1)),""))))</f>
        <v/>
      </c>
      <c r="O5397" s="2">
        <f>IF(OR(F5397="",G5397=""),"",IF(G5397&lt;='RETRATO 2027'!$K$5,"CONCLUÍDA",IF(F5397&lt;='RETRATO 2027'!$K$5,"EM ANDAMENTO","A INICIAR")))</f>
        <v/>
      </c>
    </row>
    <row r="5398">
      <c r="M5398" s="2">
        <f>IF(C5398="","",IFERROR(INDEX($S$5:$S$304,MATCH(C5398,$R$5:$R$304,0))&amp;"","?"))</f>
        <v/>
      </c>
      <c r="N5398" s="2">
        <f>IF(E5398="","",IF(ISNUMBER(SEARCH("SUBSOLO",E5398)),IFERROR(-VALUE(LEFT(E5398,FIND("º",SUBSTITUTE(E5398,"°","º"))-1)),-1),IF(LEFT(E5398,6)="TÉRREO",0,IFERROR(VALUE(LEFT(E5398,FIND("º",SUBSTITUTE(E5398,"°","º"))-1)),""))))</f>
        <v/>
      </c>
      <c r="O5398" s="2">
        <f>IF(OR(F5398="",G5398=""),"",IF(G5398&lt;='RETRATO 2027'!$K$5,"CONCLUÍDA",IF(F5398&lt;='RETRATO 2027'!$K$5,"EM ANDAMENTO","A INICIAR")))</f>
        <v/>
      </c>
    </row>
    <row r="5399">
      <c r="M5399" s="2">
        <f>IF(C5399="","",IFERROR(INDEX($S$5:$S$304,MATCH(C5399,$R$5:$R$304,0))&amp;"","?"))</f>
        <v/>
      </c>
      <c r="N5399" s="2">
        <f>IF(E5399="","",IF(ISNUMBER(SEARCH("SUBSOLO",E5399)),IFERROR(-VALUE(LEFT(E5399,FIND("º",SUBSTITUTE(E5399,"°","º"))-1)),-1),IF(LEFT(E5399,6)="TÉRREO",0,IFERROR(VALUE(LEFT(E5399,FIND("º",SUBSTITUTE(E5399,"°","º"))-1)),""))))</f>
        <v/>
      </c>
      <c r="O5399" s="2">
        <f>IF(OR(F5399="",G5399=""),"",IF(G5399&lt;='RETRATO 2027'!$K$5,"CONCLUÍDA",IF(F5399&lt;='RETRATO 2027'!$K$5,"EM ANDAMENTO","A INICIAR")))</f>
        <v/>
      </c>
    </row>
    <row r="5400">
      <c r="M5400" s="2">
        <f>IF(C5400="","",IFERROR(INDEX($S$5:$S$304,MATCH(C5400,$R$5:$R$304,0))&amp;"","?"))</f>
        <v/>
      </c>
      <c r="N5400" s="2">
        <f>IF(E5400="","",IF(ISNUMBER(SEARCH("SUBSOLO",E5400)),IFERROR(-VALUE(LEFT(E5400,FIND("º",SUBSTITUTE(E5400,"°","º"))-1)),-1),IF(LEFT(E5400,6)="TÉRREO",0,IFERROR(VALUE(LEFT(E5400,FIND("º",SUBSTITUTE(E5400,"°","º"))-1)),""))))</f>
        <v/>
      </c>
      <c r="O5400" s="2">
        <f>IF(OR(F5400="",G5400=""),"",IF(G5400&lt;='RETRATO 2027'!$K$5,"CONCLUÍDA",IF(F5400&lt;='RETRATO 2027'!$K$5,"EM ANDAMENTO","A INICIAR")))</f>
        <v/>
      </c>
    </row>
    <row r="5401">
      <c r="M5401" s="2">
        <f>IF(C5401="","",IFERROR(INDEX($S$5:$S$304,MATCH(C5401,$R$5:$R$304,0))&amp;"","?"))</f>
        <v/>
      </c>
      <c r="N5401" s="2">
        <f>IF(E5401="","",IF(ISNUMBER(SEARCH("SUBSOLO",E5401)),IFERROR(-VALUE(LEFT(E5401,FIND("º",SUBSTITUTE(E5401,"°","º"))-1)),-1),IF(LEFT(E5401,6)="TÉRREO",0,IFERROR(VALUE(LEFT(E5401,FIND("º",SUBSTITUTE(E5401,"°","º"))-1)),""))))</f>
        <v/>
      </c>
      <c r="O5401" s="2">
        <f>IF(OR(F5401="",G5401=""),"",IF(G5401&lt;='RETRATO 2027'!$K$5,"CONCLUÍDA",IF(F5401&lt;='RETRATO 2027'!$K$5,"EM ANDAMENTO","A INICIAR")))</f>
        <v/>
      </c>
    </row>
    <row r="5402">
      <c r="M5402" s="2">
        <f>IF(C5402="","",IFERROR(INDEX($S$5:$S$304,MATCH(C5402,$R$5:$R$304,0))&amp;"","?"))</f>
        <v/>
      </c>
      <c r="N5402" s="2">
        <f>IF(E5402="","",IF(ISNUMBER(SEARCH("SUBSOLO",E5402)),IFERROR(-VALUE(LEFT(E5402,FIND("º",SUBSTITUTE(E5402,"°","º"))-1)),-1),IF(LEFT(E5402,6)="TÉRREO",0,IFERROR(VALUE(LEFT(E5402,FIND("º",SUBSTITUTE(E5402,"°","º"))-1)),""))))</f>
        <v/>
      </c>
      <c r="O5402" s="2">
        <f>IF(OR(F5402="",G5402=""),"",IF(G5402&lt;='RETRATO 2027'!$K$5,"CONCLUÍDA",IF(F5402&lt;='RETRATO 2027'!$K$5,"EM ANDAMENTO","A INICIAR")))</f>
        <v/>
      </c>
    </row>
    <row r="5403">
      <c r="M5403" s="2">
        <f>IF(C5403="","",IFERROR(INDEX($S$5:$S$304,MATCH(C5403,$R$5:$R$304,0))&amp;"","?"))</f>
        <v/>
      </c>
      <c r="N5403" s="2">
        <f>IF(E5403="","",IF(ISNUMBER(SEARCH("SUBSOLO",E5403)),IFERROR(-VALUE(LEFT(E5403,FIND("º",SUBSTITUTE(E5403,"°","º"))-1)),-1),IF(LEFT(E5403,6)="TÉRREO",0,IFERROR(VALUE(LEFT(E5403,FIND("º",SUBSTITUTE(E5403,"°","º"))-1)),""))))</f>
        <v/>
      </c>
      <c r="O5403" s="2">
        <f>IF(OR(F5403="",G5403=""),"",IF(G5403&lt;='RETRATO 2027'!$K$5,"CONCLUÍDA",IF(F5403&lt;='RETRATO 2027'!$K$5,"EM ANDAMENTO","A INICIAR")))</f>
        <v/>
      </c>
    </row>
    <row r="5404">
      <c r="M5404" s="2">
        <f>IF(C5404="","",IFERROR(INDEX($S$5:$S$304,MATCH(C5404,$R$5:$R$304,0))&amp;"","?"))</f>
        <v/>
      </c>
      <c r="N5404" s="2">
        <f>IF(E5404="","",IF(ISNUMBER(SEARCH("SUBSOLO",E5404)),IFERROR(-VALUE(LEFT(E5404,FIND("º",SUBSTITUTE(E5404,"°","º"))-1)),-1),IF(LEFT(E5404,6)="TÉRREO",0,IFERROR(VALUE(LEFT(E5404,FIND("º",SUBSTITUTE(E5404,"°","º"))-1)),""))))</f>
        <v/>
      </c>
      <c r="O5404" s="2">
        <f>IF(OR(F5404="",G5404=""),"",IF(G5404&lt;='RETRATO 2027'!$K$5,"CONCLUÍDA",IF(F5404&lt;='RETRATO 2027'!$K$5,"EM ANDAMENTO","A INICIAR")))</f>
        <v/>
      </c>
    </row>
    <row r="5405">
      <c r="M5405" s="2">
        <f>IF(C5405="","",IFERROR(INDEX($S$5:$S$304,MATCH(C5405,$R$5:$R$304,0))&amp;"","?"))</f>
        <v/>
      </c>
      <c r="N5405" s="2">
        <f>IF(E5405="","",IF(ISNUMBER(SEARCH("SUBSOLO",E5405)),IFERROR(-VALUE(LEFT(E5405,FIND("º",SUBSTITUTE(E5405,"°","º"))-1)),-1),IF(LEFT(E5405,6)="TÉRREO",0,IFERROR(VALUE(LEFT(E5405,FIND("º",SUBSTITUTE(E5405,"°","º"))-1)),""))))</f>
        <v/>
      </c>
      <c r="O5405" s="2">
        <f>IF(OR(F5405="",G5405=""),"",IF(G5405&lt;='RETRATO 2027'!$K$5,"CONCLUÍDA",IF(F5405&lt;='RETRATO 2027'!$K$5,"EM ANDAMENTO","A INICIAR")))</f>
        <v/>
      </c>
    </row>
    <row r="5406">
      <c r="M5406" s="2">
        <f>IF(C5406="","",IFERROR(INDEX($S$5:$S$304,MATCH(C5406,$R$5:$R$304,0))&amp;"","?"))</f>
        <v/>
      </c>
      <c r="N5406" s="2">
        <f>IF(E5406="","",IF(ISNUMBER(SEARCH("SUBSOLO",E5406)),IFERROR(-VALUE(LEFT(E5406,FIND("º",SUBSTITUTE(E5406,"°","º"))-1)),-1),IF(LEFT(E5406,6)="TÉRREO",0,IFERROR(VALUE(LEFT(E5406,FIND("º",SUBSTITUTE(E5406,"°","º"))-1)),""))))</f>
        <v/>
      </c>
      <c r="O5406" s="2">
        <f>IF(OR(F5406="",G5406=""),"",IF(G5406&lt;='RETRATO 2027'!$K$5,"CONCLUÍDA",IF(F5406&lt;='RETRATO 2027'!$K$5,"EM ANDAMENTO","A INICIAR")))</f>
        <v/>
      </c>
    </row>
    <row r="5407">
      <c r="M5407" s="2">
        <f>IF(C5407="","",IFERROR(INDEX($S$5:$S$304,MATCH(C5407,$R$5:$R$304,0))&amp;"","?"))</f>
        <v/>
      </c>
      <c r="N5407" s="2">
        <f>IF(E5407="","",IF(ISNUMBER(SEARCH("SUBSOLO",E5407)),IFERROR(-VALUE(LEFT(E5407,FIND("º",SUBSTITUTE(E5407,"°","º"))-1)),-1),IF(LEFT(E5407,6)="TÉRREO",0,IFERROR(VALUE(LEFT(E5407,FIND("º",SUBSTITUTE(E5407,"°","º"))-1)),""))))</f>
        <v/>
      </c>
      <c r="O5407" s="2">
        <f>IF(OR(F5407="",G5407=""),"",IF(G5407&lt;='RETRATO 2027'!$K$5,"CONCLUÍDA",IF(F5407&lt;='RETRATO 2027'!$K$5,"EM ANDAMENTO","A INICIAR")))</f>
        <v/>
      </c>
    </row>
    <row r="5408">
      <c r="M5408" s="2">
        <f>IF(C5408="","",IFERROR(INDEX($S$5:$S$304,MATCH(C5408,$R$5:$R$304,0))&amp;"","?"))</f>
        <v/>
      </c>
      <c r="N5408" s="2">
        <f>IF(E5408="","",IF(ISNUMBER(SEARCH("SUBSOLO",E5408)),IFERROR(-VALUE(LEFT(E5408,FIND("º",SUBSTITUTE(E5408,"°","º"))-1)),-1),IF(LEFT(E5408,6)="TÉRREO",0,IFERROR(VALUE(LEFT(E5408,FIND("º",SUBSTITUTE(E5408,"°","º"))-1)),""))))</f>
        <v/>
      </c>
      <c r="O5408" s="2">
        <f>IF(OR(F5408="",G5408=""),"",IF(G5408&lt;='RETRATO 2027'!$K$5,"CONCLUÍDA",IF(F5408&lt;='RETRATO 2027'!$K$5,"EM ANDAMENTO","A INICIAR")))</f>
        <v/>
      </c>
    </row>
    <row r="5409">
      <c r="M5409" s="2">
        <f>IF(C5409="","",IFERROR(INDEX($S$5:$S$304,MATCH(C5409,$R$5:$R$304,0))&amp;"","?"))</f>
        <v/>
      </c>
      <c r="N5409" s="2">
        <f>IF(E5409="","",IF(ISNUMBER(SEARCH("SUBSOLO",E5409)),IFERROR(-VALUE(LEFT(E5409,FIND("º",SUBSTITUTE(E5409,"°","º"))-1)),-1),IF(LEFT(E5409,6)="TÉRREO",0,IFERROR(VALUE(LEFT(E5409,FIND("º",SUBSTITUTE(E5409,"°","º"))-1)),""))))</f>
        <v/>
      </c>
      <c r="O5409" s="2">
        <f>IF(OR(F5409="",G5409=""),"",IF(G5409&lt;='RETRATO 2027'!$K$5,"CONCLUÍDA",IF(F5409&lt;='RETRATO 2027'!$K$5,"EM ANDAMENTO","A INICIAR")))</f>
        <v/>
      </c>
    </row>
    <row r="5410">
      <c r="M5410" s="2">
        <f>IF(C5410="","",IFERROR(INDEX($S$5:$S$304,MATCH(C5410,$R$5:$R$304,0))&amp;"","?"))</f>
        <v/>
      </c>
      <c r="N5410" s="2">
        <f>IF(E5410="","",IF(ISNUMBER(SEARCH("SUBSOLO",E5410)),IFERROR(-VALUE(LEFT(E5410,FIND("º",SUBSTITUTE(E5410,"°","º"))-1)),-1),IF(LEFT(E5410,6)="TÉRREO",0,IFERROR(VALUE(LEFT(E5410,FIND("º",SUBSTITUTE(E5410,"°","º"))-1)),""))))</f>
        <v/>
      </c>
      <c r="O5410" s="2">
        <f>IF(OR(F5410="",G5410=""),"",IF(G5410&lt;='RETRATO 2027'!$K$5,"CONCLUÍDA",IF(F5410&lt;='RETRATO 2027'!$K$5,"EM ANDAMENTO","A INICIAR")))</f>
        <v/>
      </c>
    </row>
    <row r="5411">
      <c r="M5411" s="2">
        <f>IF(C5411="","",IFERROR(INDEX($S$5:$S$304,MATCH(C5411,$R$5:$R$304,0))&amp;"","?"))</f>
        <v/>
      </c>
      <c r="N5411" s="2">
        <f>IF(E5411="","",IF(ISNUMBER(SEARCH("SUBSOLO",E5411)),IFERROR(-VALUE(LEFT(E5411,FIND("º",SUBSTITUTE(E5411,"°","º"))-1)),-1),IF(LEFT(E5411,6)="TÉRREO",0,IFERROR(VALUE(LEFT(E5411,FIND("º",SUBSTITUTE(E5411,"°","º"))-1)),""))))</f>
        <v/>
      </c>
      <c r="O5411" s="2">
        <f>IF(OR(F5411="",G5411=""),"",IF(G5411&lt;='RETRATO 2027'!$K$5,"CONCLUÍDA",IF(F5411&lt;='RETRATO 2027'!$K$5,"EM ANDAMENTO","A INICIAR")))</f>
        <v/>
      </c>
    </row>
    <row r="5412">
      <c r="M5412" s="2">
        <f>IF(C5412="","",IFERROR(INDEX($S$5:$S$304,MATCH(C5412,$R$5:$R$304,0))&amp;"","?"))</f>
        <v/>
      </c>
      <c r="N5412" s="2">
        <f>IF(E5412="","",IF(ISNUMBER(SEARCH("SUBSOLO",E5412)),IFERROR(-VALUE(LEFT(E5412,FIND("º",SUBSTITUTE(E5412,"°","º"))-1)),-1),IF(LEFT(E5412,6)="TÉRREO",0,IFERROR(VALUE(LEFT(E5412,FIND("º",SUBSTITUTE(E5412,"°","º"))-1)),""))))</f>
        <v/>
      </c>
      <c r="O5412" s="2">
        <f>IF(OR(F5412="",G5412=""),"",IF(G5412&lt;='RETRATO 2027'!$K$5,"CONCLUÍDA",IF(F5412&lt;='RETRATO 2027'!$K$5,"EM ANDAMENTO","A INICIAR")))</f>
        <v/>
      </c>
    </row>
    <row r="5413">
      <c r="M5413" s="2">
        <f>IF(C5413="","",IFERROR(INDEX($S$5:$S$304,MATCH(C5413,$R$5:$R$304,0))&amp;"","?"))</f>
        <v/>
      </c>
      <c r="N5413" s="2">
        <f>IF(E5413="","",IF(ISNUMBER(SEARCH("SUBSOLO",E5413)),IFERROR(-VALUE(LEFT(E5413,FIND("º",SUBSTITUTE(E5413,"°","º"))-1)),-1),IF(LEFT(E5413,6)="TÉRREO",0,IFERROR(VALUE(LEFT(E5413,FIND("º",SUBSTITUTE(E5413,"°","º"))-1)),""))))</f>
        <v/>
      </c>
      <c r="O5413" s="2">
        <f>IF(OR(F5413="",G5413=""),"",IF(G5413&lt;='RETRATO 2027'!$K$5,"CONCLUÍDA",IF(F5413&lt;='RETRATO 2027'!$K$5,"EM ANDAMENTO","A INICIAR")))</f>
        <v/>
      </c>
    </row>
    <row r="5414">
      <c r="M5414" s="2">
        <f>IF(C5414="","",IFERROR(INDEX($S$5:$S$304,MATCH(C5414,$R$5:$R$304,0))&amp;"","?"))</f>
        <v/>
      </c>
      <c r="N5414" s="2">
        <f>IF(E5414="","",IF(ISNUMBER(SEARCH("SUBSOLO",E5414)),IFERROR(-VALUE(LEFT(E5414,FIND("º",SUBSTITUTE(E5414,"°","º"))-1)),-1),IF(LEFT(E5414,6)="TÉRREO",0,IFERROR(VALUE(LEFT(E5414,FIND("º",SUBSTITUTE(E5414,"°","º"))-1)),""))))</f>
        <v/>
      </c>
      <c r="O5414" s="2">
        <f>IF(OR(F5414="",G5414=""),"",IF(G5414&lt;='RETRATO 2027'!$K$5,"CONCLUÍDA",IF(F5414&lt;='RETRATO 2027'!$K$5,"EM ANDAMENTO","A INICIAR")))</f>
        <v/>
      </c>
    </row>
    <row r="5415">
      <c r="M5415" s="2">
        <f>IF(C5415="","",IFERROR(INDEX($S$5:$S$304,MATCH(C5415,$R$5:$R$304,0))&amp;"","?"))</f>
        <v/>
      </c>
      <c r="N5415" s="2">
        <f>IF(E5415="","",IF(ISNUMBER(SEARCH("SUBSOLO",E5415)),IFERROR(-VALUE(LEFT(E5415,FIND("º",SUBSTITUTE(E5415,"°","º"))-1)),-1),IF(LEFT(E5415,6)="TÉRREO",0,IFERROR(VALUE(LEFT(E5415,FIND("º",SUBSTITUTE(E5415,"°","º"))-1)),""))))</f>
        <v/>
      </c>
      <c r="O5415" s="2">
        <f>IF(OR(F5415="",G5415=""),"",IF(G5415&lt;='RETRATO 2027'!$K$5,"CONCLUÍDA",IF(F5415&lt;='RETRATO 2027'!$K$5,"EM ANDAMENTO","A INICIAR")))</f>
        <v/>
      </c>
    </row>
    <row r="5416">
      <c r="M5416" s="2">
        <f>IF(C5416="","",IFERROR(INDEX($S$5:$S$304,MATCH(C5416,$R$5:$R$304,0))&amp;"","?"))</f>
        <v/>
      </c>
      <c r="N5416" s="2">
        <f>IF(E5416="","",IF(ISNUMBER(SEARCH("SUBSOLO",E5416)),IFERROR(-VALUE(LEFT(E5416,FIND("º",SUBSTITUTE(E5416,"°","º"))-1)),-1),IF(LEFT(E5416,6)="TÉRREO",0,IFERROR(VALUE(LEFT(E5416,FIND("º",SUBSTITUTE(E5416,"°","º"))-1)),""))))</f>
        <v/>
      </c>
      <c r="O5416" s="2">
        <f>IF(OR(F5416="",G5416=""),"",IF(G5416&lt;='RETRATO 2027'!$K$5,"CONCLUÍDA",IF(F5416&lt;='RETRATO 2027'!$K$5,"EM ANDAMENTO","A INICIAR")))</f>
        <v/>
      </c>
    </row>
    <row r="5417">
      <c r="M5417" s="2">
        <f>IF(C5417="","",IFERROR(INDEX($S$5:$S$304,MATCH(C5417,$R$5:$R$304,0))&amp;"","?"))</f>
        <v/>
      </c>
      <c r="N5417" s="2">
        <f>IF(E5417="","",IF(ISNUMBER(SEARCH("SUBSOLO",E5417)),IFERROR(-VALUE(LEFT(E5417,FIND("º",SUBSTITUTE(E5417,"°","º"))-1)),-1),IF(LEFT(E5417,6)="TÉRREO",0,IFERROR(VALUE(LEFT(E5417,FIND("º",SUBSTITUTE(E5417,"°","º"))-1)),""))))</f>
        <v/>
      </c>
      <c r="O5417" s="2">
        <f>IF(OR(F5417="",G5417=""),"",IF(G5417&lt;='RETRATO 2027'!$K$5,"CONCLUÍDA",IF(F5417&lt;='RETRATO 2027'!$K$5,"EM ANDAMENTO","A INICIAR")))</f>
        <v/>
      </c>
    </row>
    <row r="5418">
      <c r="M5418" s="2">
        <f>IF(C5418="","",IFERROR(INDEX($S$5:$S$304,MATCH(C5418,$R$5:$R$304,0))&amp;"","?"))</f>
        <v/>
      </c>
      <c r="N5418" s="2">
        <f>IF(E5418="","",IF(ISNUMBER(SEARCH("SUBSOLO",E5418)),IFERROR(-VALUE(LEFT(E5418,FIND("º",SUBSTITUTE(E5418,"°","º"))-1)),-1),IF(LEFT(E5418,6)="TÉRREO",0,IFERROR(VALUE(LEFT(E5418,FIND("º",SUBSTITUTE(E5418,"°","º"))-1)),""))))</f>
        <v/>
      </c>
      <c r="O5418" s="2">
        <f>IF(OR(F5418="",G5418=""),"",IF(G5418&lt;='RETRATO 2027'!$K$5,"CONCLUÍDA",IF(F5418&lt;='RETRATO 2027'!$K$5,"EM ANDAMENTO","A INICIAR")))</f>
        <v/>
      </c>
    </row>
    <row r="5419">
      <c r="M5419" s="2">
        <f>IF(C5419="","",IFERROR(INDEX($S$5:$S$304,MATCH(C5419,$R$5:$R$304,0))&amp;"","?"))</f>
        <v/>
      </c>
      <c r="N5419" s="2">
        <f>IF(E5419="","",IF(ISNUMBER(SEARCH("SUBSOLO",E5419)),IFERROR(-VALUE(LEFT(E5419,FIND("º",SUBSTITUTE(E5419,"°","º"))-1)),-1),IF(LEFT(E5419,6)="TÉRREO",0,IFERROR(VALUE(LEFT(E5419,FIND("º",SUBSTITUTE(E5419,"°","º"))-1)),""))))</f>
        <v/>
      </c>
      <c r="O5419" s="2">
        <f>IF(OR(F5419="",G5419=""),"",IF(G5419&lt;='RETRATO 2027'!$K$5,"CONCLUÍDA",IF(F5419&lt;='RETRATO 2027'!$K$5,"EM ANDAMENTO","A INICIAR")))</f>
        <v/>
      </c>
    </row>
    <row r="5420">
      <c r="M5420" s="2">
        <f>IF(C5420="","",IFERROR(INDEX($S$5:$S$304,MATCH(C5420,$R$5:$R$304,0))&amp;"","?"))</f>
        <v/>
      </c>
      <c r="N5420" s="2">
        <f>IF(E5420="","",IF(ISNUMBER(SEARCH("SUBSOLO",E5420)),IFERROR(-VALUE(LEFT(E5420,FIND("º",SUBSTITUTE(E5420,"°","º"))-1)),-1),IF(LEFT(E5420,6)="TÉRREO",0,IFERROR(VALUE(LEFT(E5420,FIND("º",SUBSTITUTE(E5420,"°","º"))-1)),""))))</f>
        <v/>
      </c>
      <c r="O5420" s="2">
        <f>IF(OR(F5420="",G5420=""),"",IF(G5420&lt;='RETRATO 2027'!$K$5,"CONCLUÍDA",IF(F5420&lt;='RETRATO 2027'!$K$5,"EM ANDAMENTO","A INICIAR")))</f>
        <v/>
      </c>
    </row>
    <row r="5421">
      <c r="M5421" s="2">
        <f>IF(C5421="","",IFERROR(INDEX($S$5:$S$304,MATCH(C5421,$R$5:$R$304,0))&amp;"","?"))</f>
        <v/>
      </c>
      <c r="N5421" s="2">
        <f>IF(E5421="","",IF(ISNUMBER(SEARCH("SUBSOLO",E5421)),IFERROR(-VALUE(LEFT(E5421,FIND("º",SUBSTITUTE(E5421,"°","º"))-1)),-1),IF(LEFT(E5421,6)="TÉRREO",0,IFERROR(VALUE(LEFT(E5421,FIND("º",SUBSTITUTE(E5421,"°","º"))-1)),""))))</f>
        <v/>
      </c>
      <c r="O5421" s="2">
        <f>IF(OR(F5421="",G5421=""),"",IF(G5421&lt;='RETRATO 2027'!$K$5,"CONCLUÍDA",IF(F5421&lt;='RETRATO 2027'!$K$5,"EM ANDAMENTO","A INICIAR")))</f>
        <v/>
      </c>
    </row>
    <row r="5422">
      <c r="M5422" s="2">
        <f>IF(C5422="","",IFERROR(INDEX($S$5:$S$304,MATCH(C5422,$R$5:$R$304,0))&amp;"","?"))</f>
        <v/>
      </c>
      <c r="N5422" s="2">
        <f>IF(E5422="","",IF(ISNUMBER(SEARCH("SUBSOLO",E5422)),IFERROR(-VALUE(LEFT(E5422,FIND("º",SUBSTITUTE(E5422,"°","º"))-1)),-1),IF(LEFT(E5422,6)="TÉRREO",0,IFERROR(VALUE(LEFT(E5422,FIND("º",SUBSTITUTE(E5422,"°","º"))-1)),""))))</f>
        <v/>
      </c>
      <c r="O5422" s="2">
        <f>IF(OR(F5422="",G5422=""),"",IF(G5422&lt;='RETRATO 2027'!$K$5,"CONCLUÍDA",IF(F5422&lt;='RETRATO 2027'!$K$5,"EM ANDAMENTO","A INICIAR")))</f>
        <v/>
      </c>
    </row>
    <row r="5423">
      <c r="M5423" s="2">
        <f>IF(C5423="","",IFERROR(INDEX($S$5:$S$304,MATCH(C5423,$R$5:$R$304,0))&amp;"","?"))</f>
        <v/>
      </c>
      <c r="N5423" s="2">
        <f>IF(E5423="","",IF(ISNUMBER(SEARCH("SUBSOLO",E5423)),IFERROR(-VALUE(LEFT(E5423,FIND("º",SUBSTITUTE(E5423,"°","º"))-1)),-1),IF(LEFT(E5423,6)="TÉRREO",0,IFERROR(VALUE(LEFT(E5423,FIND("º",SUBSTITUTE(E5423,"°","º"))-1)),""))))</f>
        <v/>
      </c>
      <c r="O5423" s="2">
        <f>IF(OR(F5423="",G5423=""),"",IF(G5423&lt;='RETRATO 2027'!$K$5,"CONCLUÍDA",IF(F5423&lt;='RETRATO 2027'!$K$5,"EM ANDAMENTO","A INICIAR")))</f>
        <v/>
      </c>
    </row>
    <row r="5424">
      <c r="M5424" s="2">
        <f>IF(C5424="","",IFERROR(INDEX($S$5:$S$304,MATCH(C5424,$R$5:$R$304,0))&amp;"","?"))</f>
        <v/>
      </c>
      <c r="N5424" s="2">
        <f>IF(E5424="","",IF(ISNUMBER(SEARCH("SUBSOLO",E5424)),IFERROR(-VALUE(LEFT(E5424,FIND("º",SUBSTITUTE(E5424,"°","º"))-1)),-1),IF(LEFT(E5424,6)="TÉRREO",0,IFERROR(VALUE(LEFT(E5424,FIND("º",SUBSTITUTE(E5424,"°","º"))-1)),""))))</f>
        <v/>
      </c>
      <c r="O5424" s="2">
        <f>IF(OR(F5424="",G5424=""),"",IF(G5424&lt;='RETRATO 2027'!$K$5,"CONCLUÍDA",IF(F5424&lt;='RETRATO 2027'!$K$5,"EM ANDAMENTO","A INICIAR")))</f>
        <v/>
      </c>
    </row>
    <row r="5425">
      <c r="M5425" s="2">
        <f>IF(C5425="","",IFERROR(INDEX($S$5:$S$304,MATCH(C5425,$R$5:$R$304,0))&amp;"","?"))</f>
        <v/>
      </c>
      <c r="N5425" s="2">
        <f>IF(E5425="","",IF(ISNUMBER(SEARCH("SUBSOLO",E5425)),IFERROR(-VALUE(LEFT(E5425,FIND("º",SUBSTITUTE(E5425,"°","º"))-1)),-1),IF(LEFT(E5425,6)="TÉRREO",0,IFERROR(VALUE(LEFT(E5425,FIND("º",SUBSTITUTE(E5425,"°","º"))-1)),""))))</f>
        <v/>
      </c>
      <c r="O5425" s="2">
        <f>IF(OR(F5425="",G5425=""),"",IF(G5425&lt;='RETRATO 2027'!$K$5,"CONCLUÍDA",IF(F5425&lt;='RETRATO 2027'!$K$5,"EM ANDAMENTO","A INICIAR")))</f>
        <v/>
      </c>
    </row>
    <row r="5426">
      <c r="M5426" s="2">
        <f>IF(C5426="","",IFERROR(INDEX($S$5:$S$304,MATCH(C5426,$R$5:$R$304,0))&amp;"","?"))</f>
        <v/>
      </c>
      <c r="N5426" s="2">
        <f>IF(E5426="","",IF(ISNUMBER(SEARCH("SUBSOLO",E5426)),IFERROR(-VALUE(LEFT(E5426,FIND("º",SUBSTITUTE(E5426,"°","º"))-1)),-1),IF(LEFT(E5426,6)="TÉRREO",0,IFERROR(VALUE(LEFT(E5426,FIND("º",SUBSTITUTE(E5426,"°","º"))-1)),""))))</f>
        <v/>
      </c>
      <c r="O5426" s="2">
        <f>IF(OR(F5426="",G5426=""),"",IF(G5426&lt;='RETRATO 2027'!$K$5,"CONCLUÍDA",IF(F5426&lt;='RETRATO 2027'!$K$5,"EM ANDAMENTO","A INICIAR")))</f>
        <v/>
      </c>
    </row>
    <row r="5427">
      <c r="M5427" s="2">
        <f>IF(C5427="","",IFERROR(INDEX($S$5:$S$304,MATCH(C5427,$R$5:$R$304,0))&amp;"","?"))</f>
        <v/>
      </c>
      <c r="N5427" s="2">
        <f>IF(E5427="","",IF(ISNUMBER(SEARCH("SUBSOLO",E5427)),IFERROR(-VALUE(LEFT(E5427,FIND("º",SUBSTITUTE(E5427,"°","º"))-1)),-1),IF(LEFT(E5427,6)="TÉRREO",0,IFERROR(VALUE(LEFT(E5427,FIND("º",SUBSTITUTE(E5427,"°","º"))-1)),""))))</f>
        <v/>
      </c>
      <c r="O5427" s="2">
        <f>IF(OR(F5427="",G5427=""),"",IF(G5427&lt;='RETRATO 2027'!$K$5,"CONCLUÍDA",IF(F5427&lt;='RETRATO 2027'!$K$5,"EM ANDAMENTO","A INICIAR")))</f>
        <v/>
      </c>
    </row>
    <row r="5428">
      <c r="M5428" s="2">
        <f>IF(C5428="","",IFERROR(INDEX($S$5:$S$304,MATCH(C5428,$R$5:$R$304,0))&amp;"","?"))</f>
        <v/>
      </c>
      <c r="N5428" s="2">
        <f>IF(E5428="","",IF(ISNUMBER(SEARCH("SUBSOLO",E5428)),IFERROR(-VALUE(LEFT(E5428,FIND("º",SUBSTITUTE(E5428,"°","º"))-1)),-1),IF(LEFT(E5428,6)="TÉRREO",0,IFERROR(VALUE(LEFT(E5428,FIND("º",SUBSTITUTE(E5428,"°","º"))-1)),""))))</f>
        <v/>
      </c>
      <c r="O5428" s="2">
        <f>IF(OR(F5428="",G5428=""),"",IF(G5428&lt;='RETRATO 2027'!$K$5,"CONCLUÍDA",IF(F5428&lt;='RETRATO 2027'!$K$5,"EM ANDAMENTO","A INICIAR")))</f>
        <v/>
      </c>
    </row>
    <row r="5429">
      <c r="M5429" s="2">
        <f>IF(C5429="","",IFERROR(INDEX($S$5:$S$304,MATCH(C5429,$R$5:$R$304,0))&amp;"","?"))</f>
        <v/>
      </c>
      <c r="N5429" s="2">
        <f>IF(E5429="","",IF(ISNUMBER(SEARCH("SUBSOLO",E5429)),IFERROR(-VALUE(LEFT(E5429,FIND("º",SUBSTITUTE(E5429,"°","º"))-1)),-1),IF(LEFT(E5429,6)="TÉRREO",0,IFERROR(VALUE(LEFT(E5429,FIND("º",SUBSTITUTE(E5429,"°","º"))-1)),""))))</f>
        <v/>
      </c>
      <c r="O5429" s="2">
        <f>IF(OR(F5429="",G5429=""),"",IF(G5429&lt;='RETRATO 2027'!$K$5,"CONCLUÍDA",IF(F5429&lt;='RETRATO 2027'!$K$5,"EM ANDAMENTO","A INICIAR")))</f>
        <v/>
      </c>
    </row>
    <row r="5430">
      <c r="M5430" s="2">
        <f>IF(C5430="","",IFERROR(INDEX($S$5:$S$304,MATCH(C5430,$R$5:$R$304,0))&amp;"","?"))</f>
        <v/>
      </c>
      <c r="N5430" s="2">
        <f>IF(E5430="","",IF(ISNUMBER(SEARCH("SUBSOLO",E5430)),IFERROR(-VALUE(LEFT(E5430,FIND("º",SUBSTITUTE(E5430,"°","º"))-1)),-1),IF(LEFT(E5430,6)="TÉRREO",0,IFERROR(VALUE(LEFT(E5430,FIND("º",SUBSTITUTE(E5430,"°","º"))-1)),""))))</f>
        <v/>
      </c>
      <c r="O5430" s="2">
        <f>IF(OR(F5430="",G5430=""),"",IF(G5430&lt;='RETRATO 2027'!$K$5,"CONCLUÍDA",IF(F5430&lt;='RETRATO 2027'!$K$5,"EM ANDAMENTO","A INICIAR")))</f>
        <v/>
      </c>
    </row>
    <row r="5431">
      <c r="M5431" s="2">
        <f>IF(C5431="","",IFERROR(INDEX($S$5:$S$304,MATCH(C5431,$R$5:$R$304,0))&amp;"","?"))</f>
        <v/>
      </c>
      <c r="N5431" s="2">
        <f>IF(E5431="","",IF(ISNUMBER(SEARCH("SUBSOLO",E5431)),IFERROR(-VALUE(LEFT(E5431,FIND("º",SUBSTITUTE(E5431,"°","º"))-1)),-1),IF(LEFT(E5431,6)="TÉRREO",0,IFERROR(VALUE(LEFT(E5431,FIND("º",SUBSTITUTE(E5431,"°","º"))-1)),""))))</f>
        <v/>
      </c>
      <c r="O5431" s="2">
        <f>IF(OR(F5431="",G5431=""),"",IF(G5431&lt;='RETRATO 2027'!$K$5,"CONCLUÍDA",IF(F5431&lt;='RETRATO 2027'!$K$5,"EM ANDAMENTO","A INICIAR")))</f>
        <v/>
      </c>
    </row>
    <row r="5432">
      <c r="M5432" s="2">
        <f>IF(C5432="","",IFERROR(INDEX($S$5:$S$304,MATCH(C5432,$R$5:$R$304,0))&amp;"","?"))</f>
        <v/>
      </c>
      <c r="N5432" s="2">
        <f>IF(E5432="","",IF(ISNUMBER(SEARCH("SUBSOLO",E5432)),IFERROR(-VALUE(LEFT(E5432,FIND("º",SUBSTITUTE(E5432,"°","º"))-1)),-1),IF(LEFT(E5432,6)="TÉRREO",0,IFERROR(VALUE(LEFT(E5432,FIND("º",SUBSTITUTE(E5432,"°","º"))-1)),""))))</f>
        <v/>
      </c>
      <c r="O5432" s="2">
        <f>IF(OR(F5432="",G5432=""),"",IF(G5432&lt;='RETRATO 2027'!$K$5,"CONCLUÍDA",IF(F5432&lt;='RETRATO 2027'!$K$5,"EM ANDAMENTO","A INICIAR")))</f>
        <v/>
      </c>
    </row>
    <row r="5433">
      <c r="M5433" s="2">
        <f>IF(C5433="","",IFERROR(INDEX($S$5:$S$304,MATCH(C5433,$R$5:$R$304,0))&amp;"","?"))</f>
        <v/>
      </c>
      <c r="N5433" s="2">
        <f>IF(E5433="","",IF(ISNUMBER(SEARCH("SUBSOLO",E5433)),IFERROR(-VALUE(LEFT(E5433,FIND("º",SUBSTITUTE(E5433,"°","º"))-1)),-1),IF(LEFT(E5433,6)="TÉRREO",0,IFERROR(VALUE(LEFT(E5433,FIND("º",SUBSTITUTE(E5433,"°","º"))-1)),""))))</f>
        <v/>
      </c>
      <c r="O5433" s="2">
        <f>IF(OR(F5433="",G5433=""),"",IF(G5433&lt;='RETRATO 2027'!$K$5,"CONCLUÍDA",IF(F5433&lt;='RETRATO 2027'!$K$5,"EM ANDAMENTO","A INICIAR")))</f>
        <v/>
      </c>
    </row>
    <row r="5434">
      <c r="M5434" s="2">
        <f>IF(C5434="","",IFERROR(INDEX($S$5:$S$304,MATCH(C5434,$R$5:$R$304,0))&amp;"","?"))</f>
        <v/>
      </c>
      <c r="N5434" s="2">
        <f>IF(E5434="","",IF(ISNUMBER(SEARCH("SUBSOLO",E5434)),IFERROR(-VALUE(LEFT(E5434,FIND("º",SUBSTITUTE(E5434,"°","º"))-1)),-1),IF(LEFT(E5434,6)="TÉRREO",0,IFERROR(VALUE(LEFT(E5434,FIND("º",SUBSTITUTE(E5434,"°","º"))-1)),""))))</f>
        <v/>
      </c>
      <c r="O5434" s="2">
        <f>IF(OR(F5434="",G5434=""),"",IF(G5434&lt;='RETRATO 2027'!$K$5,"CONCLUÍDA",IF(F5434&lt;='RETRATO 2027'!$K$5,"EM ANDAMENTO","A INICIAR")))</f>
        <v/>
      </c>
    </row>
    <row r="5435">
      <c r="M5435" s="2">
        <f>IF(C5435="","",IFERROR(INDEX($S$5:$S$304,MATCH(C5435,$R$5:$R$304,0))&amp;"","?"))</f>
        <v/>
      </c>
      <c r="N5435" s="2">
        <f>IF(E5435="","",IF(ISNUMBER(SEARCH("SUBSOLO",E5435)),IFERROR(-VALUE(LEFT(E5435,FIND("º",SUBSTITUTE(E5435,"°","º"))-1)),-1),IF(LEFT(E5435,6)="TÉRREO",0,IFERROR(VALUE(LEFT(E5435,FIND("º",SUBSTITUTE(E5435,"°","º"))-1)),""))))</f>
        <v/>
      </c>
      <c r="O5435" s="2">
        <f>IF(OR(F5435="",G5435=""),"",IF(G5435&lt;='RETRATO 2027'!$K$5,"CONCLUÍDA",IF(F5435&lt;='RETRATO 2027'!$K$5,"EM ANDAMENTO","A INICIAR")))</f>
        <v/>
      </c>
    </row>
    <row r="5436">
      <c r="M5436" s="2">
        <f>IF(C5436="","",IFERROR(INDEX($S$5:$S$304,MATCH(C5436,$R$5:$R$304,0))&amp;"","?"))</f>
        <v/>
      </c>
      <c r="N5436" s="2">
        <f>IF(E5436="","",IF(ISNUMBER(SEARCH("SUBSOLO",E5436)),IFERROR(-VALUE(LEFT(E5436,FIND("º",SUBSTITUTE(E5436,"°","º"))-1)),-1),IF(LEFT(E5436,6)="TÉRREO",0,IFERROR(VALUE(LEFT(E5436,FIND("º",SUBSTITUTE(E5436,"°","º"))-1)),""))))</f>
        <v/>
      </c>
      <c r="O5436" s="2">
        <f>IF(OR(F5436="",G5436=""),"",IF(G5436&lt;='RETRATO 2027'!$K$5,"CONCLUÍDA",IF(F5436&lt;='RETRATO 2027'!$K$5,"EM ANDAMENTO","A INICIAR")))</f>
        <v/>
      </c>
    </row>
    <row r="5437">
      <c r="M5437" s="2">
        <f>IF(C5437="","",IFERROR(INDEX($S$5:$S$304,MATCH(C5437,$R$5:$R$304,0))&amp;"","?"))</f>
        <v/>
      </c>
      <c r="N5437" s="2">
        <f>IF(E5437="","",IF(ISNUMBER(SEARCH("SUBSOLO",E5437)),IFERROR(-VALUE(LEFT(E5437,FIND("º",SUBSTITUTE(E5437,"°","º"))-1)),-1),IF(LEFT(E5437,6)="TÉRREO",0,IFERROR(VALUE(LEFT(E5437,FIND("º",SUBSTITUTE(E5437,"°","º"))-1)),""))))</f>
        <v/>
      </c>
      <c r="O5437" s="2">
        <f>IF(OR(F5437="",G5437=""),"",IF(G5437&lt;='RETRATO 2027'!$K$5,"CONCLUÍDA",IF(F5437&lt;='RETRATO 2027'!$K$5,"EM ANDAMENTO","A INICIAR")))</f>
        <v/>
      </c>
    </row>
    <row r="5438">
      <c r="M5438" s="2">
        <f>IF(C5438="","",IFERROR(INDEX($S$5:$S$304,MATCH(C5438,$R$5:$R$304,0))&amp;"","?"))</f>
        <v/>
      </c>
      <c r="N5438" s="2">
        <f>IF(E5438="","",IF(ISNUMBER(SEARCH("SUBSOLO",E5438)),IFERROR(-VALUE(LEFT(E5438,FIND("º",SUBSTITUTE(E5438,"°","º"))-1)),-1),IF(LEFT(E5438,6)="TÉRREO",0,IFERROR(VALUE(LEFT(E5438,FIND("º",SUBSTITUTE(E5438,"°","º"))-1)),""))))</f>
        <v/>
      </c>
      <c r="O5438" s="2">
        <f>IF(OR(F5438="",G5438=""),"",IF(G5438&lt;='RETRATO 2027'!$K$5,"CONCLUÍDA",IF(F5438&lt;='RETRATO 2027'!$K$5,"EM ANDAMENTO","A INICIAR")))</f>
        <v/>
      </c>
    </row>
    <row r="5439">
      <c r="M5439" s="2">
        <f>IF(C5439="","",IFERROR(INDEX($S$5:$S$304,MATCH(C5439,$R$5:$R$304,0))&amp;"","?"))</f>
        <v/>
      </c>
      <c r="N5439" s="2">
        <f>IF(E5439="","",IF(ISNUMBER(SEARCH("SUBSOLO",E5439)),IFERROR(-VALUE(LEFT(E5439,FIND("º",SUBSTITUTE(E5439,"°","º"))-1)),-1),IF(LEFT(E5439,6)="TÉRREO",0,IFERROR(VALUE(LEFT(E5439,FIND("º",SUBSTITUTE(E5439,"°","º"))-1)),""))))</f>
        <v/>
      </c>
      <c r="O5439" s="2">
        <f>IF(OR(F5439="",G5439=""),"",IF(G5439&lt;='RETRATO 2027'!$K$5,"CONCLUÍDA",IF(F5439&lt;='RETRATO 2027'!$K$5,"EM ANDAMENTO","A INICIAR")))</f>
        <v/>
      </c>
    </row>
    <row r="5440">
      <c r="M5440" s="2">
        <f>IF(C5440="","",IFERROR(INDEX($S$5:$S$304,MATCH(C5440,$R$5:$R$304,0))&amp;"","?"))</f>
        <v/>
      </c>
      <c r="N5440" s="2">
        <f>IF(E5440="","",IF(ISNUMBER(SEARCH("SUBSOLO",E5440)),IFERROR(-VALUE(LEFT(E5440,FIND("º",SUBSTITUTE(E5440,"°","º"))-1)),-1),IF(LEFT(E5440,6)="TÉRREO",0,IFERROR(VALUE(LEFT(E5440,FIND("º",SUBSTITUTE(E5440,"°","º"))-1)),""))))</f>
        <v/>
      </c>
      <c r="O5440" s="2">
        <f>IF(OR(F5440="",G5440=""),"",IF(G5440&lt;='RETRATO 2027'!$K$5,"CONCLUÍDA",IF(F5440&lt;='RETRATO 2027'!$K$5,"EM ANDAMENTO","A INICIAR")))</f>
        <v/>
      </c>
    </row>
    <row r="5441">
      <c r="M5441" s="2">
        <f>IF(C5441="","",IFERROR(INDEX($S$5:$S$304,MATCH(C5441,$R$5:$R$304,0))&amp;"","?"))</f>
        <v/>
      </c>
      <c r="N5441" s="2">
        <f>IF(E5441="","",IF(ISNUMBER(SEARCH("SUBSOLO",E5441)),IFERROR(-VALUE(LEFT(E5441,FIND("º",SUBSTITUTE(E5441,"°","º"))-1)),-1),IF(LEFT(E5441,6)="TÉRREO",0,IFERROR(VALUE(LEFT(E5441,FIND("º",SUBSTITUTE(E5441,"°","º"))-1)),""))))</f>
        <v/>
      </c>
      <c r="O5441" s="2">
        <f>IF(OR(F5441="",G5441=""),"",IF(G5441&lt;='RETRATO 2027'!$K$5,"CONCLUÍDA",IF(F5441&lt;='RETRATO 2027'!$K$5,"EM ANDAMENTO","A INICIAR")))</f>
        <v/>
      </c>
    </row>
    <row r="5442">
      <c r="M5442" s="2">
        <f>IF(C5442="","",IFERROR(INDEX($S$5:$S$304,MATCH(C5442,$R$5:$R$304,0))&amp;"","?"))</f>
        <v/>
      </c>
      <c r="N5442" s="2">
        <f>IF(E5442="","",IF(ISNUMBER(SEARCH("SUBSOLO",E5442)),IFERROR(-VALUE(LEFT(E5442,FIND("º",SUBSTITUTE(E5442,"°","º"))-1)),-1),IF(LEFT(E5442,6)="TÉRREO",0,IFERROR(VALUE(LEFT(E5442,FIND("º",SUBSTITUTE(E5442,"°","º"))-1)),""))))</f>
        <v/>
      </c>
      <c r="O5442" s="2">
        <f>IF(OR(F5442="",G5442=""),"",IF(G5442&lt;='RETRATO 2027'!$K$5,"CONCLUÍDA",IF(F5442&lt;='RETRATO 2027'!$K$5,"EM ANDAMENTO","A INICIAR")))</f>
        <v/>
      </c>
    </row>
    <row r="5443">
      <c r="M5443" s="2">
        <f>IF(C5443="","",IFERROR(INDEX($S$5:$S$304,MATCH(C5443,$R$5:$R$304,0))&amp;"","?"))</f>
        <v/>
      </c>
      <c r="N5443" s="2">
        <f>IF(E5443="","",IF(ISNUMBER(SEARCH("SUBSOLO",E5443)),IFERROR(-VALUE(LEFT(E5443,FIND("º",SUBSTITUTE(E5443,"°","º"))-1)),-1),IF(LEFT(E5443,6)="TÉRREO",0,IFERROR(VALUE(LEFT(E5443,FIND("º",SUBSTITUTE(E5443,"°","º"))-1)),""))))</f>
        <v/>
      </c>
      <c r="O5443" s="2">
        <f>IF(OR(F5443="",G5443=""),"",IF(G5443&lt;='RETRATO 2027'!$K$5,"CONCLUÍDA",IF(F5443&lt;='RETRATO 2027'!$K$5,"EM ANDAMENTO","A INICIAR")))</f>
        <v/>
      </c>
    </row>
    <row r="5444">
      <c r="M5444" s="2">
        <f>IF(C5444="","",IFERROR(INDEX($S$5:$S$304,MATCH(C5444,$R$5:$R$304,0))&amp;"","?"))</f>
        <v/>
      </c>
      <c r="N5444" s="2">
        <f>IF(E5444="","",IF(ISNUMBER(SEARCH("SUBSOLO",E5444)),IFERROR(-VALUE(LEFT(E5444,FIND("º",SUBSTITUTE(E5444,"°","º"))-1)),-1),IF(LEFT(E5444,6)="TÉRREO",0,IFERROR(VALUE(LEFT(E5444,FIND("º",SUBSTITUTE(E5444,"°","º"))-1)),""))))</f>
        <v/>
      </c>
      <c r="O5444" s="2">
        <f>IF(OR(F5444="",G5444=""),"",IF(G5444&lt;='RETRATO 2027'!$K$5,"CONCLUÍDA",IF(F5444&lt;='RETRATO 2027'!$K$5,"EM ANDAMENTO","A INICIAR")))</f>
        <v/>
      </c>
    </row>
    <row r="5445">
      <c r="M5445" s="2">
        <f>IF(C5445="","",IFERROR(INDEX($S$5:$S$304,MATCH(C5445,$R$5:$R$304,0))&amp;"","?"))</f>
        <v/>
      </c>
      <c r="N5445" s="2">
        <f>IF(E5445="","",IF(ISNUMBER(SEARCH("SUBSOLO",E5445)),IFERROR(-VALUE(LEFT(E5445,FIND("º",SUBSTITUTE(E5445,"°","º"))-1)),-1),IF(LEFT(E5445,6)="TÉRREO",0,IFERROR(VALUE(LEFT(E5445,FIND("º",SUBSTITUTE(E5445,"°","º"))-1)),""))))</f>
        <v/>
      </c>
      <c r="O5445" s="2">
        <f>IF(OR(F5445="",G5445=""),"",IF(G5445&lt;='RETRATO 2027'!$K$5,"CONCLUÍDA",IF(F5445&lt;='RETRATO 2027'!$K$5,"EM ANDAMENTO","A INICIAR")))</f>
        <v/>
      </c>
    </row>
    <row r="5446">
      <c r="M5446" s="2">
        <f>IF(C5446="","",IFERROR(INDEX($S$5:$S$304,MATCH(C5446,$R$5:$R$304,0))&amp;"","?"))</f>
        <v/>
      </c>
      <c r="N5446" s="2">
        <f>IF(E5446="","",IF(ISNUMBER(SEARCH("SUBSOLO",E5446)),IFERROR(-VALUE(LEFT(E5446,FIND("º",SUBSTITUTE(E5446,"°","º"))-1)),-1),IF(LEFT(E5446,6)="TÉRREO",0,IFERROR(VALUE(LEFT(E5446,FIND("º",SUBSTITUTE(E5446,"°","º"))-1)),""))))</f>
        <v/>
      </c>
      <c r="O5446" s="2">
        <f>IF(OR(F5446="",G5446=""),"",IF(G5446&lt;='RETRATO 2027'!$K$5,"CONCLUÍDA",IF(F5446&lt;='RETRATO 2027'!$K$5,"EM ANDAMENTO","A INICIAR")))</f>
        <v/>
      </c>
    </row>
    <row r="5447">
      <c r="M5447" s="2">
        <f>IF(C5447="","",IFERROR(INDEX($S$5:$S$304,MATCH(C5447,$R$5:$R$304,0))&amp;"","?"))</f>
        <v/>
      </c>
      <c r="N5447" s="2">
        <f>IF(E5447="","",IF(ISNUMBER(SEARCH("SUBSOLO",E5447)),IFERROR(-VALUE(LEFT(E5447,FIND("º",SUBSTITUTE(E5447,"°","º"))-1)),-1),IF(LEFT(E5447,6)="TÉRREO",0,IFERROR(VALUE(LEFT(E5447,FIND("º",SUBSTITUTE(E5447,"°","º"))-1)),""))))</f>
        <v/>
      </c>
      <c r="O5447" s="2">
        <f>IF(OR(F5447="",G5447=""),"",IF(G5447&lt;='RETRATO 2027'!$K$5,"CONCLUÍDA",IF(F5447&lt;='RETRATO 2027'!$K$5,"EM ANDAMENTO","A INICIAR")))</f>
        <v/>
      </c>
    </row>
    <row r="5448">
      <c r="M5448" s="2">
        <f>IF(C5448="","",IFERROR(INDEX($S$5:$S$304,MATCH(C5448,$R$5:$R$304,0))&amp;"","?"))</f>
        <v/>
      </c>
      <c r="N5448" s="2">
        <f>IF(E5448="","",IF(ISNUMBER(SEARCH("SUBSOLO",E5448)),IFERROR(-VALUE(LEFT(E5448,FIND("º",SUBSTITUTE(E5448,"°","º"))-1)),-1),IF(LEFT(E5448,6)="TÉRREO",0,IFERROR(VALUE(LEFT(E5448,FIND("º",SUBSTITUTE(E5448,"°","º"))-1)),""))))</f>
        <v/>
      </c>
      <c r="O5448" s="2">
        <f>IF(OR(F5448="",G5448=""),"",IF(G5448&lt;='RETRATO 2027'!$K$5,"CONCLUÍDA",IF(F5448&lt;='RETRATO 2027'!$K$5,"EM ANDAMENTO","A INICIAR")))</f>
        <v/>
      </c>
    </row>
    <row r="5449">
      <c r="M5449" s="2">
        <f>IF(C5449="","",IFERROR(INDEX($S$5:$S$304,MATCH(C5449,$R$5:$R$304,0))&amp;"","?"))</f>
        <v/>
      </c>
      <c r="N5449" s="2">
        <f>IF(E5449="","",IF(ISNUMBER(SEARCH("SUBSOLO",E5449)),IFERROR(-VALUE(LEFT(E5449,FIND("º",SUBSTITUTE(E5449,"°","º"))-1)),-1),IF(LEFT(E5449,6)="TÉRREO",0,IFERROR(VALUE(LEFT(E5449,FIND("º",SUBSTITUTE(E5449,"°","º"))-1)),""))))</f>
        <v/>
      </c>
      <c r="O5449" s="2">
        <f>IF(OR(F5449="",G5449=""),"",IF(G5449&lt;='RETRATO 2027'!$K$5,"CONCLUÍDA",IF(F5449&lt;='RETRATO 2027'!$K$5,"EM ANDAMENTO","A INICIAR")))</f>
        <v/>
      </c>
    </row>
    <row r="5450">
      <c r="M5450" s="2">
        <f>IF(C5450="","",IFERROR(INDEX($S$5:$S$304,MATCH(C5450,$R$5:$R$304,0))&amp;"","?"))</f>
        <v/>
      </c>
      <c r="N5450" s="2">
        <f>IF(E5450="","",IF(ISNUMBER(SEARCH("SUBSOLO",E5450)),IFERROR(-VALUE(LEFT(E5450,FIND("º",SUBSTITUTE(E5450,"°","º"))-1)),-1),IF(LEFT(E5450,6)="TÉRREO",0,IFERROR(VALUE(LEFT(E5450,FIND("º",SUBSTITUTE(E5450,"°","º"))-1)),""))))</f>
        <v/>
      </c>
      <c r="O5450" s="2">
        <f>IF(OR(F5450="",G5450=""),"",IF(G5450&lt;='RETRATO 2027'!$K$5,"CONCLUÍDA",IF(F5450&lt;='RETRATO 2027'!$K$5,"EM ANDAMENTO","A INICIAR")))</f>
        <v/>
      </c>
    </row>
    <row r="5451">
      <c r="M5451" s="2">
        <f>IF(C5451="","",IFERROR(INDEX($S$5:$S$304,MATCH(C5451,$R$5:$R$304,0))&amp;"","?"))</f>
        <v/>
      </c>
      <c r="N5451" s="2">
        <f>IF(E5451="","",IF(ISNUMBER(SEARCH("SUBSOLO",E5451)),IFERROR(-VALUE(LEFT(E5451,FIND("º",SUBSTITUTE(E5451,"°","º"))-1)),-1),IF(LEFT(E5451,6)="TÉRREO",0,IFERROR(VALUE(LEFT(E5451,FIND("º",SUBSTITUTE(E5451,"°","º"))-1)),""))))</f>
        <v/>
      </c>
      <c r="O5451" s="2">
        <f>IF(OR(F5451="",G5451=""),"",IF(G5451&lt;='RETRATO 2027'!$K$5,"CONCLUÍDA",IF(F5451&lt;='RETRATO 2027'!$K$5,"EM ANDAMENTO","A INICIAR")))</f>
        <v/>
      </c>
    </row>
    <row r="5452">
      <c r="M5452" s="2">
        <f>IF(C5452="","",IFERROR(INDEX($S$5:$S$304,MATCH(C5452,$R$5:$R$304,0))&amp;"","?"))</f>
        <v/>
      </c>
      <c r="N5452" s="2">
        <f>IF(E5452="","",IF(ISNUMBER(SEARCH("SUBSOLO",E5452)),IFERROR(-VALUE(LEFT(E5452,FIND("º",SUBSTITUTE(E5452,"°","º"))-1)),-1),IF(LEFT(E5452,6)="TÉRREO",0,IFERROR(VALUE(LEFT(E5452,FIND("º",SUBSTITUTE(E5452,"°","º"))-1)),""))))</f>
        <v/>
      </c>
      <c r="O5452" s="2">
        <f>IF(OR(F5452="",G5452=""),"",IF(G5452&lt;='RETRATO 2027'!$K$5,"CONCLUÍDA",IF(F5452&lt;='RETRATO 2027'!$K$5,"EM ANDAMENTO","A INICIAR")))</f>
        <v/>
      </c>
    </row>
    <row r="5453">
      <c r="M5453" s="2">
        <f>IF(C5453="","",IFERROR(INDEX($S$5:$S$304,MATCH(C5453,$R$5:$R$304,0))&amp;"","?"))</f>
        <v/>
      </c>
      <c r="N5453" s="2">
        <f>IF(E5453="","",IF(ISNUMBER(SEARCH("SUBSOLO",E5453)),IFERROR(-VALUE(LEFT(E5453,FIND("º",SUBSTITUTE(E5453,"°","º"))-1)),-1),IF(LEFT(E5453,6)="TÉRREO",0,IFERROR(VALUE(LEFT(E5453,FIND("º",SUBSTITUTE(E5453,"°","º"))-1)),""))))</f>
        <v/>
      </c>
      <c r="O5453" s="2">
        <f>IF(OR(F5453="",G5453=""),"",IF(G5453&lt;='RETRATO 2027'!$K$5,"CONCLUÍDA",IF(F5453&lt;='RETRATO 2027'!$K$5,"EM ANDAMENTO","A INICIAR")))</f>
        <v/>
      </c>
    </row>
    <row r="5454">
      <c r="M5454" s="2">
        <f>IF(C5454="","",IFERROR(INDEX($S$5:$S$304,MATCH(C5454,$R$5:$R$304,0))&amp;"","?"))</f>
        <v/>
      </c>
      <c r="N5454" s="2">
        <f>IF(E5454="","",IF(ISNUMBER(SEARCH("SUBSOLO",E5454)),IFERROR(-VALUE(LEFT(E5454,FIND("º",SUBSTITUTE(E5454,"°","º"))-1)),-1),IF(LEFT(E5454,6)="TÉRREO",0,IFERROR(VALUE(LEFT(E5454,FIND("º",SUBSTITUTE(E5454,"°","º"))-1)),""))))</f>
        <v/>
      </c>
      <c r="O5454" s="2">
        <f>IF(OR(F5454="",G5454=""),"",IF(G5454&lt;='RETRATO 2027'!$K$5,"CONCLUÍDA",IF(F5454&lt;='RETRATO 2027'!$K$5,"EM ANDAMENTO","A INICIAR")))</f>
        <v/>
      </c>
    </row>
    <row r="5455">
      <c r="M5455" s="2">
        <f>IF(C5455="","",IFERROR(INDEX($S$5:$S$304,MATCH(C5455,$R$5:$R$304,0))&amp;"","?"))</f>
        <v/>
      </c>
      <c r="N5455" s="2">
        <f>IF(E5455="","",IF(ISNUMBER(SEARCH("SUBSOLO",E5455)),IFERROR(-VALUE(LEFT(E5455,FIND("º",SUBSTITUTE(E5455,"°","º"))-1)),-1),IF(LEFT(E5455,6)="TÉRREO",0,IFERROR(VALUE(LEFT(E5455,FIND("º",SUBSTITUTE(E5455,"°","º"))-1)),""))))</f>
        <v/>
      </c>
      <c r="O5455" s="2">
        <f>IF(OR(F5455="",G5455=""),"",IF(G5455&lt;='RETRATO 2027'!$K$5,"CONCLUÍDA",IF(F5455&lt;='RETRATO 2027'!$K$5,"EM ANDAMENTO","A INICIAR")))</f>
        <v/>
      </c>
    </row>
    <row r="5456">
      <c r="M5456" s="2">
        <f>IF(C5456="","",IFERROR(INDEX($S$5:$S$304,MATCH(C5456,$R$5:$R$304,0))&amp;"","?"))</f>
        <v/>
      </c>
      <c r="N5456" s="2">
        <f>IF(E5456="","",IF(ISNUMBER(SEARCH("SUBSOLO",E5456)),IFERROR(-VALUE(LEFT(E5456,FIND("º",SUBSTITUTE(E5456,"°","º"))-1)),-1),IF(LEFT(E5456,6)="TÉRREO",0,IFERROR(VALUE(LEFT(E5456,FIND("º",SUBSTITUTE(E5456,"°","º"))-1)),""))))</f>
        <v/>
      </c>
      <c r="O5456" s="2">
        <f>IF(OR(F5456="",G5456=""),"",IF(G5456&lt;='RETRATO 2027'!$K$5,"CONCLUÍDA",IF(F5456&lt;='RETRATO 2027'!$K$5,"EM ANDAMENTO","A INICIAR")))</f>
        <v/>
      </c>
    </row>
    <row r="5457">
      <c r="M5457" s="2">
        <f>IF(C5457="","",IFERROR(INDEX($S$5:$S$304,MATCH(C5457,$R$5:$R$304,0))&amp;"","?"))</f>
        <v/>
      </c>
      <c r="N5457" s="2">
        <f>IF(E5457="","",IF(ISNUMBER(SEARCH("SUBSOLO",E5457)),IFERROR(-VALUE(LEFT(E5457,FIND("º",SUBSTITUTE(E5457,"°","º"))-1)),-1),IF(LEFT(E5457,6)="TÉRREO",0,IFERROR(VALUE(LEFT(E5457,FIND("º",SUBSTITUTE(E5457,"°","º"))-1)),""))))</f>
        <v/>
      </c>
      <c r="O5457" s="2">
        <f>IF(OR(F5457="",G5457=""),"",IF(G5457&lt;='RETRATO 2027'!$K$5,"CONCLUÍDA",IF(F5457&lt;='RETRATO 2027'!$K$5,"EM ANDAMENTO","A INICIAR")))</f>
        <v/>
      </c>
    </row>
    <row r="5458">
      <c r="M5458" s="2">
        <f>IF(C5458="","",IFERROR(INDEX($S$5:$S$304,MATCH(C5458,$R$5:$R$304,0))&amp;"","?"))</f>
        <v/>
      </c>
      <c r="N5458" s="2">
        <f>IF(E5458="","",IF(ISNUMBER(SEARCH("SUBSOLO",E5458)),IFERROR(-VALUE(LEFT(E5458,FIND("º",SUBSTITUTE(E5458,"°","º"))-1)),-1),IF(LEFT(E5458,6)="TÉRREO",0,IFERROR(VALUE(LEFT(E5458,FIND("º",SUBSTITUTE(E5458,"°","º"))-1)),""))))</f>
        <v/>
      </c>
      <c r="O5458" s="2">
        <f>IF(OR(F5458="",G5458=""),"",IF(G5458&lt;='RETRATO 2027'!$K$5,"CONCLUÍDA",IF(F5458&lt;='RETRATO 2027'!$K$5,"EM ANDAMENTO","A INICIAR")))</f>
        <v/>
      </c>
    </row>
    <row r="5459">
      <c r="M5459" s="2">
        <f>IF(C5459="","",IFERROR(INDEX($S$5:$S$304,MATCH(C5459,$R$5:$R$304,0))&amp;"","?"))</f>
        <v/>
      </c>
      <c r="N5459" s="2">
        <f>IF(E5459="","",IF(ISNUMBER(SEARCH("SUBSOLO",E5459)),IFERROR(-VALUE(LEFT(E5459,FIND("º",SUBSTITUTE(E5459,"°","º"))-1)),-1),IF(LEFT(E5459,6)="TÉRREO",0,IFERROR(VALUE(LEFT(E5459,FIND("º",SUBSTITUTE(E5459,"°","º"))-1)),""))))</f>
        <v/>
      </c>
      <c r="O5459" s="2">
        <f>IF(OR(F5459="",G5459=""),"",IF(G5459&lt;='RETRATO 2027'!$K$5,"CONCLUÍDA",IF(F5459&lt;='RETRATO 2027'!$K$5,"EM ANDAMENTO","A INICIAR")))</f>
        <v/>
      </c>
    </row>
    <row r="5460">
      <c r="M5460" s="2">
        <f>IF(C5460="","",IFERROR(INDEX($S$5:$S$304,MATCH(C5460,$R$5:$R$304,0))&amp;"","?"))</f>
        <v/>
      </c>
      <c r="N5460" s="2">
        <f>IF(E5460="","",IF(ISNUMBER(SEARCH("SUBSOLO",E5460)),IFERROR(-VALUE(LEFT(E5460,FIND("º",SUBSTITUTE(E5460,"°","º"))-1)),-1),IF(LEFT(E5460,6)="TÉRREO",0,IFERROR(VALUE(LEFT(E5460,FIND("º",SUBSTITUTE(E5460,"°","º"))-1)),""))))</f>
        <v/>
      </c>
      <c r="O5460" s="2">
        <f>IF(OR(F5460="",G5460=""),"",IF(G5460&lt;='RETRATO 2027'!$K$5,"CONCLUÍDA",IF(F5460&lt;='RETRATO 2027'!$K$5,"EM ANDAMENTO","A INICIAR")))</f>
        <v/>
      </c>
    </row>
    <row r="5461">
      <c r="M5461" s="2">
        <f>IF(C5461="","",IFERROR(INDEX($S$5:$S$304,MATCH(C5461,$R$5:$R$304,0))&amp;"","?"))</f>
        <v/>
      </c>
      <c r="N5461" s="2">
        <f>IF(E5461="","",IF(ISNUMBER(SEARCH("SUBSOLO",E5461)),IFERROR(-VALUE(LEFT(E5461,FIND("º",SUBSTITUTE(E5461,"°","º"))-1)),-1),IF(LEFT(E5461,6)="TÉRREO",0,IFERROR(VALUE(LEFT(E5461,FIND("º",SUBSTITUTE(E5461,"°","º"))-1)),""))))</f>
        <v/>
      </c>
      <c r="O5461" s="2">
        <f>IF(OR(F5461="",G5461=""),"",IF(G5461&lt;='RETRATO 2027'!$K$5,"CONCLUÍDA",IF(F5461&lt;='RETRATO 2027'!$K$5,"EM ANDAMENTO","A INICIAR")))</f>
        <v/>
      </c>
    </row>
    <row r="5462">
      <c r="M5462" s="2">
        <f>IF(C5462="","",IFERROR(INDEX($S$5:$S$304,MATCH(C5462,$R$5:$R$304,0))&amp;"","?"))</f>
        <v/>
      </c>
      <c r="N5462" s="2">
        <f>IF(E5462="","",IF(ISNUMBER(SEARCH("SUBSOLO",E5462)),IFERROR(-VALUE(LEFT(E5462,FIND("º",SUBSTITUTE(E5462,"°","º"))-1)),-1),IF(LEFT(E5462,6)="TÉRREO",0,IFERROR(VALUE(LEFT(E5462,FIND("º",SUBSTITUTE(E5462,"°","º"))-1)),""))))</f>
        <v/>
      </c>
      <c r="O5462" s="2">
        <f>IF(OR(F5462="",G5462=""),"",IF(G5462&lt;='RETRATO 2027'!$K$5,"CONCLUÍDA",IF(F5462&lt;='RETRATO 2027'!$K$5,"EM ANDAMENTO","A INICIAR")))</f>
        <v/>
      </c>
    </row>
    <row r="5463">
      <c r="M5463" s="2">
        <f>IF(C5463="","",IFERROR(INDEX($S$5:$S$304,MATCH(C5463,$R$5:$R$304,0))&amp;"","?"))</f>
        <v/>
      </c>
      <c r="N5463" s="2">
        <f>IF(E5463="","",IF(ISNUMBER(SEARCH("SUBSOLO",E5463)),IFERROR(-VALUE(LEFT(E5463,FIND("º",SUBSTITUTE(E5463,"°","º"))-1)),-1),IF(LEFT(E5463,6)="TÉRREO",0,IFERROR(VALUE(LEFT(E5463,FIND("º",SUBSTITUTE(E5463,"°","º"))-1)),""))))</f>
        <v/>
      </c>
      <c r="O5463" s="2">
        <f>IF(OR(F5463="",G5463=""),"",IF(G5463&lt;='RETRATO 2027'!$K$5,"CONCLUÍDA",IF(F5463&lt;='RETRATO 2027'!$K$5,"EM ANDAMENTO","A INICIAR")))</f>
        <v/>
      </c>
    </row>
    <row r="5464">
      <c r="M5464" s="2">
        <f>IF(C5464="","",IFERROR(INDEX($S$5:$S$304,MATCH(C5464,$R$5:$R$304,0))&amp;"","?"))</f>
        <v/>
      </c>
      <c r="N5464" s="2">
        <f>IF(E5464="","",IF(ISNUMBER(SEARCH("SUBSOLO",E5464)),IFERROR(-VALUE(LEFT(E5464,FIND("º",SUBSTITUTE(E5464,"°","º"))-1)),-1),IF(LEFT(E5464,6)="TÉRREO",0,IFERROR(VALUE(LEFT(E5464,FIND("º",SUBSTITUTE(E5464,"°","º"))-1)),""))))</f>
        <v/>
      </c>
      <c r="O5464" s="2">
        <f>IF(OR(F5464="",G5464=""),"",IF(G5464&lt;='RETRATO 2027'!$K$5,"CONCLUÍDA",IF(F5464&lt;='RETRATO 2027'!$K$5,"EM ANDAMENTO","A INICIAR")))</f>
        <v/>
      </c>
    </row>
    <row r="5465">
      <c r="M5465" s="2">
        <f>IF(C5465="","",IFERROR(INDEX($S$5:$S$304,MATCH(C5465,$R$5:$R$304,0))&amp;"","?"))</f>
        <v/>
      </c>
      <c r="N5465" s="2">
        <f>IF(E5465="","",IF(ISNUMBER(SEARCH("SUBSOLO",E5465)),IFERROR(-VALUE(LEFT(E5465,FIND("º",SUBSTITUTE(E5465,"°","º"))-1)),-1),IF(LEFT(E5465,6)="TÉRREO",0,IFERROR(VALUE(LEFT(E5465,FIND("º",SUBSTITUTE(E5465,"°","º"))-1)),""))))</f>
        <v/>
      </c>
      <c r="O5465" s="2">
        <f>IF(OR(F5465="",G5465=""),"",IF(G5465&lt;='RETRATO 2027'!$K$5,"CONCLUÍDA",IF(F5465&lt;='RETRATO 2027'!$K$5,"EM ANDAMENTO","A INICIAR")))</f>
        <v/>
      </c>
    </row>
    <row r="5466">
      <c r="M5466" s="2">
        <f>IF(C5466="","",IFERROR(INDEX($S$5:$S$304,MATCH(C5466,$R$5:$R$304,0))&amp;"","?"))</f>
        <v/>
      </c>
      <c r="N5466" s="2">
        <f>IF(E5466="","",IF(ISNUMBER(SEARCH("SUBSOLO",E5466)),IFERROR(-VALUE(LEFT(E5466,FIND("º",SUBSTITUTE(E5466,"°","º"))-1)),-1),IF(LEFT(E5466,6)="TÉRREO",0,IFERROR(VALUE(LEFT(E5466,FIND("º",SUBSTITUTE(E5466,"°","º"))-1)),""))))</f>
        <v/>
      </c>
      <c r="O5466" s="2">
        <f>IF(OR(F5466="",G5466=""),"",IF(G5466&lt;='RETRATO 2027'!$K$5,"CONCLUÍDA",IF(F5466&lt;='RETRATO 2027'!$K$5,"EM ANDAMENTO","A INICIAR")))</f>
        <v/>
      </c>
    </row>
    <row r="5467">
      <c r="M5467" s="2">
        <f>IF(C5467="","",IFERROR(INDEX($S$5:$S$304,MATCH(C5467,$R$5:$R$304,0))&amp;"","?"))</f>
        <v/>
      </c>
      <c r="N5467" s="2">
        <f>IF(E5467="","",IF(ISNUMBER(SEARCH("SUBSOLO",E5467)),IFERROR(-VALUE(LEFT(E5467,FIND("º",SUBSTITUTE(E5467,"°","º"))-1)),-1),IF(LEFT(E5467,6)="TÉRREO",0,IFERROR(VALUE(LEFT(E5467,FIND("º",SUBSTITUTE(E5467,"°","º"))-1)),""))))</f>
        <v/>
      </c>
      <c r="O5467" s="2">
        <f>IF(OR(F5467="",G5467=""),"",IF(G5467&lt;='RETRATO 2027'!$K$5,"CONCLUÍDA",IF(F5467&lt;='RETRATO 2027'!$K$5,"EM ANDAMENTO","A INICIAR")))</f>
        <v/>
      </c>
    </row>
    <row r="5468">
      <c r="M5468" s="2">
        <f>IF(C5468="","",IFERROR(INDEX($S$5:$S$304,MATCH(C5468,$R$5:$R$304,0))&amp;"","?"))</f>
        <v/>
      </c>
      <c r="N5468" s="2">
        <f>IF(E5468="","",IF(ISNUMBER(SEARCH("SUBSOLO",E5468)),IFERROR(-VALUE(LEFT(E5468,FIND("º",SUBSTITUTE(E5468,"°","º"))-1)),-1),IF(LEFT(E5468,6)="TÉRREO",0,IFERROR(VALUE(LEFT(E5468,FIND("º",SUBSTITUTE(E5468,"°","º"))-1)),""))))</f>
        <v/>
      </c>
      <c r="O5468" s="2">
        <f>IF(OR(F5468="",G5468=""),"",IF(G5468&lt;='RETRATO 2027'!$K$5,"CONCLUÍDA",IF(F5468&lt;='RETRATO 2027'!$K$5,"EM ANDAMENTO","A INICIAR")))</f>
        <v/>
      </c>
    </row>
    <row r="5469">
      <c r="M5469" s="2">
        <f>IF(C5469="","",IFERROR(INDEX($S$5:$S$304,MATCH(C5469,$R$5:$R$304,0))&amp;"","?"))</f>
        <v/>
      </c>
      <c r="N5469" s="2">
        <f>IF(E5469="","",IF(ISNUMBER(SEARCH("SUBSOLO",E5469)),IFERROR(-VALUE(LEFT(E5469,FIND("º",SUBSTITUTE(E5469,"°","º"))-1)),-1),IF(LEFT(E5469,6)="TÉRREO",0,IFERROR(VALUE(LEFT(E5469,FIND("º",SUBSTITUTE(E5469,"°","º"))-1)),""))))</f>
        <v/>
      </c>
      <c r="O5469" s="2">
        <f>IF(OR(F5469="",G5469=""),"",IF(G5469&lt;='RETRATO 2027'!$K$5,"CONCLUÍDA",IF(F5469&lt;='RETRATO 2027'!$K$5,"EM ANDAMENTO","A INICIAR")))</f>
        <v/>
      </c>
    </row>
    <row r="5470">
      <c r="M5470" s="2">
        <f>IF(C5470="","",IFERROR(INDEX($S$5:$S$304,MATCH(C5470,$R$5:$R$304,0))&amp;"","?"))</f>
        <v/>
      </c>
      <c r="N5470" s="2">
        <f>IF(E5470="","",IF(ISNUMBER(SEARCH("SUBSOLO",E5470)),IFERROR(-VALUE(LEFT(E5470,FIND("º",SUBSTITUTE(E5470,"°","º"))-1)),-1),IF(LEFT(E5470,6)="TÉRREO",0,IFERROR(VALUE(LEFT(E5470,FIND("º",SUBSTITUTE(E5470,"°","º"))-1)),""))))</f>
        <v/>
      </c>
      <c r="O5470" s="2">
        <f>IF(OR(F5470="",G5470=""),"",IF(G5470&lt;='RETRATO 2027'!$K$5,"CONCLUÍDA",IF(F5470&lt;='RETRATO 2027'!$K$5,"EM ANDAMENTO","A INICIAR")))</f>
        <v/>
      </c>
    </row>
    <row r="5471">
      <c r="M5471" s="2">
        <f>IF(C5471="","",IFERROR(INDEX($S$5:$S$304,MATCH(C5471,$R$5:$R$304,0))&amp;"","?"))</f>
        <v/>
      </c>
      <c r="N5471" s="2">
        <f>IF(E5471="","",IF(ISNUMBER(SEARCH("SUBSOLO",E5471)),IFERROR(-VALUE(LEFT(E5471,FIND("º",SUBSTITUTE(E5471,"°","º"))-1)),-1),IF(LEFT(E5471,6)="TÉRREO",0,IFERROR(VALUE(LEFT(E5471,FIND("º",SUBSTITUTE(E5471,"°","º"))-1)),""))))</f>
        <v/>
      </c>
      <c r="O5471" s="2">
        <f>IF(OR(F5471="",G5471=""),"",IF(G5471&lt;='RETRATO 2027'!$K$5,"CONCLUÍDA",IF(F5471&lt;='RETRATO 2027'!$K$5,"EM ANDAMENTO","A INICIAR")))</f>
        <v/>
      </c>
    </row>
    <row r="5472">
      <c r="M5472" s="2">
        <f>IF(C5472="","",IFERROR(INDEX($S$5:$S$304,MATCH(C5472,$R$5:$R$304,0))&amp;"","?"))</f>
        <v/>
      </c>
      <c r="N5472" s="2">
        <f>IF(E5472="","",IF(ISNUMBER(SEARCH("SUBSOLO",E5472)),IFERROR(-VALUE(LEFT(E5472,FIND("º",SUBSTITUTE(E5472,"°","º"))-1)),-1),IF(LEFT(E5472,6)="TÉRREO",0,IFERROR(VALUE(LEFT(E5472,FIND("º",SUBSTITUTE(E5472,"°","º"))-1)),""))))</f>
        <v/>
      </c>
      <c r="O5472" s="2">
        <f>IF(OR(F5472="",G5472=""),"",IF(G5472&lt;='RETRATO 2027'!$K$5,"CONCLUÍDA",IF(F5472&lt;='RETRATO 2027'!$K$5,"EM ANDAMENTO","A INICIAR")))</f>
        <v/>
      </c>
    </row>
    <row r="5473">
      <c r="M5473" s="2">
        <f>IF(C5473="","",IFERROR(INDEX($S$5:$S$304,MATCH(C5473,$R$5:$R$304,0))&amp;"","?"))</f>
        <v/>
      </c>
      <c r="N5473" s="2">
        <f>IF(E5473="","",IF(ISNUMBER(SEARCH("SUBSOLO",E5473)),IFERROR(-VALUE(LEFT(E5473,FIND("º",SUBSTITUTE(E5473,"°","º"))-1)),-1),IF(LEFT(E5473,6)="TÉRREO",0,IFERROR(VALUE(LEFT(E5473,FIND("º",SUBSTITUTE(E5473,"°","º"))-1)),""))))</f>
        <v/>
      </c>
      <c r="O5473" s="2">
        <f>IF(OR(F5473="",G5473=""),"",IF(G5473&lt;='RETRATO 2027'!$K$5,"CONCLUÍDA",IF(F5473&lt;='RETRATO 2027'!$K$5,"EM ANDAMENTO","A INICIAR")))</f>
        <v/>
      </c>
    </row>
    <row r="5474">
      <c r="M5474" s="2">
        <f>IF(C5474="","",IFERROR(INDEX($S$5:$S$304,MATCH(C5474,$R$5:$R$304,0))&amp;"","?"))</f>
        <v/>
      </c>
      <c r="N5474" s="2">
        <f>IF(E5474="","",IF(ISNUMBER(SEARCH("SUBSOLO",E5474)),IFERROR(-VALUE(LEFT(E5474,FIND("º",SUBSTITUTE(E5474,"°","º"))-1)),-1),IF(LEFT(E5474,6)="TÉRREO",0,IFERROR(VALUE(LEFT(E5474,FIND("º",SUBSTITUTE(E5474,"°","º"))-1)),""))))</f>
        <v/>
      </c>
      <c r="O5474" s="2">
        <f>IF(OR(F5474="",G5474=""),"",IF(G5474&lt;='RETRATO 2027'!$K$5,"CONCLUÍDA",IF(F5474&lt;='RETRATO 2027'!$K$5,"EM ANDAMENTO","A INICIAR")))</f>
        <v/>
      </c>
    </row>
    <row r="5475">
      <c r="M5475" s="2">
        <f>IF(C5475="","",IFERROR(INDEX($S$5:$S$304,MATCH(C5475,$R$5:$R$304,0))&amp;"","?"))</f>
        <v/>
      </c>
      <c r="N5475" s="2">
        <f>IF(E5475="","",IF(ISNUMBER(SEARCH("SUBSOLO",E5475)),IFERROR(-VALUE(LEFT(E5475,FIND("º",SUBSTITUTE(E5475,"°","º"))-1)),-1),IF(LEFT(E5475,6)="TÉRREO",0,IFERROR(VALUE(LEFT(E5475,FIND("º",SUBSTITUTE(E5475,"°","º"))-1)),""))))</f>
        <v/>
      </c>
      <c r="O5475" s="2">
        <f>IF(OR(F5475="",G5475=""),"",IF(G5475&lt;='RETRATO 2027'!$K$5,"CONCLUÍDA",IF(F5475&lt;='RETRATO 2027'!$K$5,"EM ANDAMENTO","A INICIAR")))</f>
        <v/>
      </c>
    </row>
    <row r="5476">
      <c r="M5476" s="2">
        <f>IF(C5476="","",IFERROR(INDEX($S$5:$S$304,MATCH(C5476,$R$5:$R$304,0))&amp;"","?"))</f>
        <v/>
      </c>
      <c r="N5476" s="2">
        <f>IF(E5476="","",IF(ISNUMBER(SEARCH("SUBSOLO",E5476)),IFERROR(-VALUE(LEFT(E5476,FIND("º",SUBSTITUTE(E5476,"°","º"))-1)),-1),IF(LEFT(E5476,6)="TÉRREO",0,IFERROR(VALUE(LEFT(E5476,FIND("º",SUBSTITUTE(E5476,"°","º"))-1)),""))))</f>
        <v/>
      </c>
      <c r="O5476" s="2">
        <f>IF(OR(F5476="",G5476=""),"",IF(G5476&lt;='RETRATO 2027'!$K$5,"CONCLUÍDA",IF(F5476&lt;='RETRATO 2027'!$K$5,"EM ANDAMENTO","A INICIAR")))</f>
        <v/>
      </c>
    </row>
    <row r="5477">
      <c r="M5477" s="2">
        <f>IF(C5477="","",IFERROR(INDEX($S$5:$S$304,MATCH(C5477,$R$5:$R$304,0))&amp;"","?"))</f>
        <v/>
      </c>
      <c r="N5477" s="2">
        <f>IF(E5477="","",IF(ISNUMBER(SEARCH("SUBSOLO",E5477)),IFERROR(-VALUE(LEFT(E5477,FIND("º",SUBSTITUTE(E5477,"°","º"))-1)),-1),IF(LEFT(E5477,6)="TÉRREO",0,IFERROR(VALUE(LEFT(E5477,FIND("º",SUBSTITUTE(E5477,"°","º"))-1)),""))))</f>
        <v/>
      </c>
      <c r="O5477" s="2">
        <f>IF(OR(F5477="",G5477=""),"",IF(G5477&lt;='RETRATO 2027'!$K$5,"CONCLUÍDA",IF(F5477&lt;='RETRATO 2027'!$K$5,"EM ANDAMENTO","A INICIAR")))</f>
        <v/>
      </c>
    </row>
    <row r="5478">
      <c r="M5478" s="2">
        <f>IF(C5478="","",IFERROR(INDEX($S$5:$S$304,MATCH(C5478,$R$5:$R$304,0))&amp;"","?"))</f>
        <v/>
      </c>
      <c r="N5478" s="2">
        <f>IF(E5478="","",IF(ISNUMBER(SEARCH("SUBSOLO",E5478)),IFERROR(-VALUE(LEFT(E5478,FIND("º",SUBSTITUTE(E5478,"°","º"))-1)),-1),IF(LEFT(E5478,6)="TÉRREO",0,IFERROR(VALUE(LEFT(E5478,FIND("º",SUBSTITUTE(E5478,"°","º"))-1)),""))))</f>
        <v/>
      </c>
      <c r="O5478" s="2">
        <f>IF(OR(F5478="",G5478=""),"",IF(G5478&lt;='RETRATO 2027'!$K$5,"CONCLUÍDA",IF(F5478&lt;='RETRATO 2027'!$K$5,"EM ANDAMENTO","A INICIAR")))</f>
        <v/>
      </c>
    </row>
    <row r="5479">
      <c r="M5479" s="2">
        <f>IF(C5479="","",IFERROR(INDEX($S$5:$S$304,MATCH(C5479,$R$5:$R$304,0))&amp;"","?"))</f>
        <v/>
      </c>
      <c r="N5479" s="2">
        <f>IF(E5479="","",IF(ISNUMBER(SEARCH("SUBSOLO",E5479)),IFERROR(-VALUE(LEFT(E5479,FIND("º",SUBSTITUTE(E5479,"°","º"))-1)),-1),IF(LEFT(E5479,6)="TÉRREO",0,IFERROR(VALUE(LEFT(E5479,FIND("º",SUBSTITUTE(E5479,"°","º"))-1)),""))))</f>
        <v/>
      </c>
      <c r="O5479" s="2">
        <f>IF(OR(F5479="",G5479=""),"",IF(G5479&lt;='RETRATO 2027'!$K$5,"CONCLUÍDA",IF(F5479&lt;='RETRATO 2027'!$K$5,"EM ANDAMENTO","A INICIAR")))</f>
        <v/>
      </c>
    </row>
    <row r="5480">
      <c r="M5480" s="2">
        <f>IF(C5480="","",IFERROR(INDEX($S$5:$S$304,MATCH(C5480,$R$5:$R$304,0))&amp;"","?"))</f>
        <v/>
      </c>
      <c r="N5480" s="2">
        <f>IF(E5480="","",IF(ISNUMBER(SEARCH("SUBSOLO",E5480)),IFERROR(-VALUE(LEFT(E5480,FIND("º",SUBSTITUTE(E5480,"°","º"))-1)),-1),IF(LEFT(E5480,6)="TÉRREO",0,IFERROR(VALUE(LEFT(E5480,FIND("º",SUBSTITUTE(E5480,"°","º"))-1)),""))))</f>
        <v/>
      </c>
      <c r="O5480" s="2">
        <f>IF(OR(F5480="",G5480=""),"",IF(G5480&lt;='RETRATO 2027'!$K$5,"CONCLUÍDA",IF(F5480&lt;='RETRATO 2027'!$K$5,"EM ANDAMENTO","A INICIAR")))</f>
        <v/>
      </c>
    </row>
    <row r="5481">
      <c r="M5481" s="2">
        <f>IF(C5481="","",IFERROR(INDEX($S$5:$S$304,MATCH(C5481,$R$5:$R$304,0))&amp;"","?"))</f>
        <v/>
      </c>
      <c r="N5481" s="2">
        <f>IF(E5481="","",IF(ISNUMBER(SEARCH("SUBSOLO",E5481)),IFERROR(-VALUE(LEFT(E5481,FIND("º",SUBSTITUTE(E5481,"°","º"))-1)),-1),IF(LEFT(E5481,6)="TÉRREO",0,IFERROR(VALUE(LEFT(E5481,FIND("º",SUBSTITUTE(E5481,"°","º"))-1)),""))))</f>
        <v/>
      </c>
      <c r="O5481" s="2">
        <f>IF(OR(F5481="",G5481=""),"",IF(G5481&lt;='RETRATO 2027'!$K$5,"CONCLUÍDA",IF(F5481&lt;='RETRATO 2027'!$K$5,"EM ANDAMENTO","A INICIAR")))</f>
        <v/>
      </c>
    </row>
    <row r="5482">
      <c r="M5482" s="2">
        <f>IF(C5482="","",IFERROR(INDEX($S$5:$S$304,MATCH(C5482,$R$5:$R$304,0))&amp;"","?"))</f>
        <v/>
      </c>
      <c r="N5482" s="2">
        <f>IF(E5482="","",IF(ISNUMBER(SEARCH("SUBSOLO",E5482)),IFERROR(-VALUE(LEFT(E5482,FIND("º",SUBSTITUTE(E5482,"°","º"))-1)),-1),IF(LEFT(E5482,6)="TÉRREO",0,IFERROR(VALUE(LEFT(E5482,FIND("º",SUBSTITUTE(E5482,"°","º"))-1)),""))))</f>
        <v/>
      </c>
      <c r="O5482" s="2">
        <f>IF(OR(F5482="",G5482=""),"",IF(G5482&lt;='RETRATO 2027'!$K$5,"CONCLUÍDA",IF(F5482&lt;='RETRATO 2027'!$K$5,"EM ANDAMENTO","A INICIAR")))</f>
        <v/>
      </c>
    </row>
    <row r="5483">
      <c r="M5483" s="2">
        <f>IF(C5483="","",IFERROR(INDEX($S$5:$S$304,MATCH(C5483,$R$5:$R$304,0))&amp;"","?"))</f>
        <v/>
      </c>
      <c r="N5483" s="2">
        <f>IF(E5483="","",IF(ISNUMBER(SEARCH("SUBSOLO",E5483)),IFERROR(-VALUE(LEFT(E5483,FIND("º",SUBSTITUTE(E5483,"°","º"))-1)),-1),IF(LEFT(E5483,6)="TÉRREO",0,IFERROR(VALUE(LEFT(E5483,FIND("º",SUBSTITUTE(E5483,"°","º"))-1)),""))))</f>
        <v/>
      </c>
      <c r="O5483" s="2">
        <f>IF(OR(F5483="",G5483=""),"",IF(G5483&lt;='RETRATO 2027'!$K$5,"CONCLUÍDA",IF(F5483&lt;='RETRATO 2027'!$K$5,"EM ANDAMENTO","A INICIAR")))</f>
        <v/>
      </c>
    </row>
    <row r="5484">
      <c r="M5484" s="2">
        <f>IF(C5484="","",IFERROR(INDEX($S$5:$S$304,MATCH(C5484,$R$5:$R$304,0))&amp;"","?"))</f>
        <v/>
      </c>
      <c r="N5484" s="2">
        <f>IF(E5484="","",IF(ISNUMBER(SEARCH("SUBSOLO",E5484)),IFERROR(-VALUE(LEFT(E5484,FIND("º",SUBSTITUTE(E5484,"°","º"))-1)),-1),IF(LEFT(E5484,6)="TÉRREO",0,IFERROR(VALUE(LEFT(E5484,FIND("º",SUBSTITUTE(E5484,"°","º"))-1)),""))))</f>
        <v/>
      </c>
      <c r="O5484" s="2">
        <f>IF(OR(F5484="",G5484=""),"",IF(G5484&lt;='RETRATO 2027'!$K$5,"CONCLUÍDA",IF(F5484&lt;='RETRATO 2027'!$K$5,"EM ANDAMENTO","A INICIAR")))</f>
        <v/>
      </c>
    </row>
    <row r="5485">
      <c r="M5485" s="2">
        <f>IF(C5485="","",IFERROR(INDEX($S$5:$S$304,MATCH(C5485,$R$5:$R$304,0))&amp;"","?"))</f>
        <v/>
      </c>
      <c r="N5485" s="2">
        <f>IF(E5485="","",IF(ISNUMBER(SEARCH("SUBSOLO",E5485)),IFERROR(-VALUE(LEFT(E5485,FIND("º",SUBSTITUTE(E5485,"°","º"))-1)),-1),IF(LEFT(E5485,6)="TÉRREO",0,IFERROR(VALUE(LEFT(E5485,FIND("º",SUBSTITUTE(E5485,"°","º"))-1)),""))))</f>
        <v/>
      </c>
      <c r="O5485" s="2">
        <f>IF(OR(F5485="",G5485=""),"",IF(G5485&lt;='RETRATO 2027'!$K$5,"CONCLUÍDA",IF(F5485&lt;='RETRATO 2027'!$K$5,"EM ANDAMENTO","A INICIAR")))</f>
        <v/>
      </c>
    </row>
    <row r="5486">
      <c r="M5486" s="2">
        <f>IF(C5486="","",IFERROR(INDEX($S$5:$S$304,MATCH(C5486,$R$5:$R$304,0))&amp;"","?"))</f>
        <v/>
      </c>
      <c r="N5486" s="2">
        <f>IF(E5486="","",IF(ISNUMBER(SEARCH("SUBSOLO",E5486)),IFERROR(-VALUE(LEFT(E5486,FIND("º",SUBSTITUTE(E5486,"°","º"))-1)),-1),IF(LEFT(E5486,6)="TÉRREO",0,IFERROR(VALUE(LEFT(E5486,FIND("º",SUBSTITUTE(E5486,"°","º"))-1)),""))))</f>
        <v/>
      </c>
      <c r="O5486" s="2">
        <f>IF(OR(F5486="",G5486=""),"",IF(G5486&lt;='RETRATO 2027'!$K$5,"CONCLUÍDA",IF(F5486&lt;='RETRATO 2027'!$K$5,"EM ANDAMENTO","A INICIAR")))</f>
        <v/>
      </c>
    </row>
    <row r="5487">
      <c r="M5487" s="2">
        <f>IF(C5487="","",IFERROR(INDEX($S$5:$S$304,MATCH(C5487,$R$5:$R$304,0))&amp;"","?"))</f>
        <v/>
      </c>
      <c r="N5487" s="2">
        <f>IF(E5487="","",IF(ISNUMBER(SEARCH("SUBSOLO",E5487)),IFERROR(-VALUE(LEFT(E5487,FIND("º",SUBSTITUTE(E5487,"°","º"))-1)),-1),IF(LEFT(E5487,6)="TÉRREO",0,IFERROR(VALUE(LEFT(E5487,FIND("º",SUBSTITUTE(E5487,"°","º"))-1)),""))))</f>
        <v/>
      </c>
      <c r="O5487" s="2">
        <f>IF(OR(F5487="",G5487=""),"",IF(G5487&lt;='RETRATO 2027'!$K$5,"CONCLUÍDA",IF(F5487&lt;='RETRATO 2027'!$K$5,"EM ANDAMENTO","A INICIAR")))</f>
        <v/>
      </c>
    </row>
    <row r="5488">
      <c r="M5488" s="2">
        <f>IF(C5488="","",IFERROR(INDEX($S$5:$S$304,MATCH(C5488,$R$5:$R$304,0))&amp;"","?"))</f>
        <v/>
      </c>
      <c r="N5488" s="2">
        <f>IF(E5488="","",IF(ISNUMBER(SEARCH("SUBSOLO",E5488)),IFERROR(-VALUE(LEFT(E5488,FIND("º",SUBSTITUTE(E5488,"°","º"))-1)),-1),IF(LEFT(E5488,6)="TÉRREO",0,IFERROR(VALUE(LEFT(E5488,FIND("º",SUBSTITUTE(E5488,"°","º"))-1)),""))))</f>
        <v/>
      </c>
      <c r="O5488" s="2">
        <f>IF(OR(F5488="",G5488=""),"",IF(G5488&lt;='RETRATO 2027'!$K$5,"CONCLUÍDA",IF(F5488&lt;='RETRATO 2027'!$K$5,"EM ANDAMENTO","A INICIAR")))</f>
        <v/>
      </c>
    </row>
    <row r="5489">
      <c r="M5489" s="2">
        <f>IF(C5489="","",IFERROR(INDEX($S$5:$S$304,MATCH(C5489,$R$5:$R$304,0))&amp;"","?"))</f>
        <v/>
      </c>
      <c r="N5489" s="2">
        <f>IF(E5489="","",IF(ISNUMBER(SEARCH("SUBSOLO",E5489)),IFERROR(-VALUE(LEFT(E5489,FIND("º",SUBSTITUTE(E5489,"°","º"))-1)),-1),IF(LEFT(E5489,6)="TÉRREO",0,IFERROR(VALUE(LEFT(E5489,FIND("º",SUBSTITUTE(E5489,"°","º"))-1)),""))))</f>
        <v/>
      </c>
      <c r="O5489" s="2">
        <f>IF(OR(F5489="",G5489=""),"",IF(G5489&lt;='RETRATO 2027'!$K$5,"CONCLUÍDA",IF(F5489&lt;='RETRATO 2027'!$K$5,"EM ANDAMENTO","A INICIAR")))</f>
        <v/>
      </c>
    </row>
    <row r="5490">
      <c r="M5490" s="2">
        <f>IF(C5490="","",IFERROR(INDEX($S$5:$S$304,MATCH(C5490,$R$5:$R$304,0))&amp;"","?"))</f>
        <v/>
      </c>
      <c r="N5490" s="2">
        <f>IF(E5490="","",IF(ISNUMBER(SEARCH("SUBSOLO",E5490)),IFERROR(-VALUE(LEFT(E5490,FIND("º",SUBSTITUTE(E5490,"°","º"))-1)),-1),IF(LEFT(E5490,6)="TÉRREO",0,IFERROR(VALUE(LEFT(E5490,FIND("º",SUBSTITUTE(E5490,"°","º"))-1)),""))))</f>
        <v/>
      </c>
      <c r="O5490" s="2">
        <f>IF(OR(F5490="",G5490=""),"",IF(G5490&lt;='RETRATO 2027'!$K$5,"CONCLUÍDA",IF(F5490&lt;='RETRATO 2027'!$K$5,"EM ANDAMENTO","A INICIAR")))</f>
        <v/>
      </c>
    </row>
    <row r="5491">
      <c r="M5491" s="2">
        <f>IF(C5491="","",IFERROR(INDEX($S$5:$S$304,MATCH(C5491,$R$5:$R$304,0))&amp;"","?"))</f>
        <v/>
      </c>
      <c r="N5491" s="2">
        <f>IF(E5491="","",IF(ISNUMBER(SEARCH("SUBSOLO",E5491)),IFERROR(-VALUE(LEFT(E5491,FIND("º",SUBSTITUTE(E5491,"°","º"))-1)),-1),IF(LEFT(E5491,6)="TÉRREO",0,IFERROR(VALUE(LEFT(E5491,FIND("º",SUBSTITUTE(E5491,"°","º"))-1)),""))))</f>
        <v/>
      </c>
      <c r="O5491" s="2">
        <f>IF(OR(F5491="",G5491=""),"",IF(G5491&lt;='RETRATO 2027'!$K$5,"CONCLUÍDA",IF(F5491&lt;='RETRATO 2027'!$K$5,"EM ANDAMENTO","A INICIAR")))</f>
        <v/>
      </c>
    </row>
    <row r="5492">
      <c r="M5492" s="2">
        <f>IF(C5492="","",IFERROR(INDEX($S$5:$S$304,MATCH(C5492,$R$5:$R$304,0))&amp;"","?"))</f>
        <v/>
      </c>
      <c r="N5492" s="2">
        <f>IF(E5492="","",IF(ISNUMBER(SEARCH("SUBSOLO",E5492)),IFERROR(-VALUE(LEFT(E5492,FIND("º",SUBSTITUTE(E5492,"°","º"))-1)),-1),IF(LEFT(E5492,6)="TÉRREO",0,IFERROR(VALUE(LEFT(E5492,FIND("º",SUBSTITUTE(E5492,"°","º"))-1)),""))))</f>
        <v/>
      </c>
      <c r="O5492" s="2">
        <f>IF(OR(F5492="",G5492=""),"",IF(G5492&lt;='RETRATO 2027'!$K$5,"CONCLUÍDA",IF(F5492&lt;='RETRATO 2027'!$K$5,"EM ANDAMENTO","A INICIAR")))</f>
        <v/>
      </c>
    </row>
    <row r="5493">
      <c r="M5493" s="2">
        <f>IF(C5493="","",IFERROR(INDEX($S$5:$S$304,MATCH(C5493,$R$5:$R$304,0))&amp;"","?"))</f>
        <v/>
      </c>
      <c r="N5493" s="2">
        <f>IF(E5493="","",IF(ISNUMBER(SEARCH("SUBSOLO",E5493)),IFERROR(-VALUE(LEFT(E5493,FIND("º",SUBSTITUTE(E5493,"°","º"))-1)),-1),IF(LEFT(E5493,6)="TÉRREO",0,IFERROR(VALUE(LEFT(E5493,FIND("º",SUBSTITUTE(E5493,"°","º"))-1)),""))))</f>
        <v/>
      </c>
      <c r="O5493" s="2">
        <f>IF(OR(F5493="",G5493=""),"",IF(G5493&lt;='RETRATO 2027'!$K$5,"CONCLUÍDA",IF(F5493&lt;='RETRATO 2027'!$K$5,"EM ANDAMENTO","A INICIAR")))</f>
        <v/>
      </c>
    </row>
    <row r="5494">
      <c r="M5494" s="2">
        <f>IF(C5494="","",IFERROR(INDEX($S$5:$S$304,MATCH(C5494,$R$5:$R$304,0))&amp;"","?"))</f>
        <v/>
      </c>
      <c r="N5494" s="2">
        <f>IF(E5494="","",IF(ISNUMBER(SEARCH("SUBSOLO",E5494)),IFERROR(-VALUE(LEFT(E5494,FIND("º",SUBSTITUTE(E5494,"°","º"))-1)),-1),IF(LEFT(E5494,6)="TÉRREO",0,IFERROR(VALUE(LEFT(E5494,FIND("º",SUBSTITUTE(E5494,"°","º"))-1)),""))))</f>
        <v/>
      </c>
      <c r="O5494" s="2">
        <f>IF(OR(F5494="",G5494=""),"",IF(G5494&lt;='RETRATO 2027'!$K$5,"CONCLUÍDA",IF(F5494&lt;='RETRATO 2027'!$K$5,"EM ANDAMENTO","A INICIAR")))</f>
        <v/>
      </c>
    </row>
    <row r="5495">
      <c r="M5495" s="2">
        <f>IF(C5495="","",IFERROR(INDEX($S$5:$S$304,MATCH(C5495,$R$5:$R$304,0))&amp;"","?"))</f>
        <v/>
      </c>
      <c r="N5495" s="2">
        <f>IF(E5495="","",IF(ISNUMBER(SEARCH("SUBSOLO",E5495)),IFERROR(-VALUE(LEFT(E5495,FIND("º",SUBSTITUTE(E5495,"°","º"))-1)),-1),IF(LEFT(E5495,6)="TÉRREO",0,IFERROR(VALUE(LEFT(E5495,FIND("º",SUBSTITUTE(E5495,"°","º"))-1)),""))))</f>
        <v/>
      </c>
      <c r="O5495" s="2">
        <f>IF(OR(F5495="",G5495=""),"",IF(G5495&lt;='RETRATO 2027'!$K$5,"CONCLUÍDA",IF(F5495&lt;='RETRATO 2027'!$K$5,"EM ANDAMENTO","A INICIAR")))</f>
        <v/>
      </c>
    </row>
    <row r="5496">
      <c r="M5496" s="2">
        <f>IF(C5496="","",IFERROR(INDEX($S$5:$S$304,MATCH(C5496,$R$5:$R$304,0))&amp;"","?"))</f>
        <v/>
      </c>
      <c r="N5496" s="2">
        <f>IF(E5496="","",IF(ISNUMBER(SEARCH("SUBSOLO",E5496)),IFERROR(-VALUE(LEFT(E5496,FIND("º",SUBSTITUTE(E5496,"°","º"))-1)),-1),IF(LEFT(E5496,6)="TÉRREO",0,IFERROR(VALUE(LEFT(E5496,FIND("º",SUBSTITUTE(E5496,"°","º"))-1)),""))))</f>
        <v/>
      </c>
      <c r="O5496" s="2">
        <f>IF(OR(F5496="",G5496=""),"",IF(G5496&lt;='RETRATO 2027'!$K$5,"CONCLUÍDA",IF(F5496&lt;='RETRATO 2027'!$K$5,"EM ANDAMENTO","A INICIAR")))</f>
        <v/>
      </c>
    </row>
    <row r="5497">
      <c r="M5497" s="2">
        <f>IF(C5497="","",IFERROR(INDEX($S$5:$S$304,MATCH(C5497,$R$5:$R$304,0))&amp;"","?"))</f>
        <v/>
      </c>
      <c r="N5497" s="2">
        <f>IF(E5497="","",IF(ISNUMBER(SEARCH("SUBSOLO",E5497)),IFERROR(-VALUE(LEFT(E5497,FIND("º",SUBSTITUTE(E5497,"°","º"))-1)),-1),IF(LEFT(E5497,6)="TÉRREO",0,IFERROR(VALUE(LEFT(E5497,FIND("º",SUBSTITUTE(E5497,"°","º"))-1)),""))))</f>
        <v/>
      </c>
      <c r="O5497" s="2">
        <f>IF(OR(F5497="",G5497=""),"",IF(G5497&lt;='RETRATO 2027'!$K$5,"CONCLUÍDA",IF(F5497&lt;='RETRATO 2027'!$K$5,"EM ANDAMENTO","A INICIAR")))</f>
        <v/>
      </c>
    </row>
    <row r="5498">
      <c r="M5498" s="2">
        <f>IF(C5498="","",IFERROR(INDEX($S$5:$S$304,MATCH(C5498,$R$5:$R$304,0))&amp;"","?"))</f>
        <v/>
      </c>
      <c r="N5498" s="2">
        <f>IF(E5498="","",IF(ISNUMBER(SEARCH("SUBSOLO",E5498)),IFERROR(-VALUE(LEFT(E5498,FIND("º",SUBSTITUTE(E5498,"°","º"))-1)),-1),IF(LEFT(E5498,6)="TÉRREO",0,IFERROR(VALUE(LEFT(E5498,FIND("º",SUBSTITUTE(E5498,"°","º"))-1)),""))))</f>
        <v/>
      </c>
      <c r="O5498" s="2">
        <f>IF(OR(F5498="",G5498=""),"",IF(G5498&lt;='RETRATO 2027'!$K$5,"CONCLUÍDA",IF(F5498&lt;='RETRATO 2027'!$K$5,"EM ANDAMENTO","A INICIAR")))</f>
        <v/>
      </c>
    </row>
    <row r="5499">
      <c r="M5499" s="2">
        <f>IF(C5499="","",IFERROR(INDEX($S$5:$S$304,MATCH(C5499,$R$5:$R$304,0))&amp;"","?"))</f>
        <v/>
      </c>
      <c r="N5499" s="2">
        <f>IF(E5499="","",IF(ISNUMBER(SEARCH("SUBSOLO",E5499)),IFERROR(-VALUE(LEFT(E5499,FIND("º",SUBSTITUTE(E5499,"°","º"))-1)),-1),IF(LEFT(E5499,6)="TÉRREO",0,IFERROR(VALUE(LEFT(E5499,FIND("º",SUBSTITUTE(E5499,"°","º"))-1)),""))))</f>
        <v/>
      </c>
      <c r="O5499" s="2">
        <f>IF(OR(F5499="",G5499=""),"",IF(G5499&lt;='RETRATO 2027'!$K$5,"CONCLUÍDA",IF(F5499&lt;='RETRATO 2027'!$K$5,"EM ANDAMENTO","A INICIAR")))</f>
        <v/>
      </c>
    </row>
    <row r="5500">
      <c r="M5500" s="2">
        <f>IF(C5500="","",IFERROR(INDEX($S$5:$S$304,MATCH(C5500,$R$5:$R$304,0))&amp;"","?"))</f>
        <v/>
      </c>
      <c r="N5500" s="2">
        <f>IF(E5500="","",IF(ISNUMBER(SEARCH("SUBSOLO",E5500)),IFERROR(-VALUE(LEFT(E5500,FIND("º",SUBSTITUTE(E5500,"°","º"))-1)),-1),IF(LEFT(E5500,6)="TÉRREO",0,IFERROR(VALUE(LEFT(E5500,FIND("º",SUBSTITUTE(E5500,"°","º"))-1)),""))))</f>
        <v/>
      </c>
      <c r="O5500" s="2">
        <f>IF(OR(F5500="",G5500=""),"",IF(G5500&lt;='RETRATO 2027'!$K$5,"CONCLUÍDA",IF(F5500&lt;='RETRATO 2027'!$K$5,"EM ANDAMENTO","A INICIAR")))</f>
        <v/>
      </c>
    </row>
    <row r="5501">
      <c r="M5501" s="2">
        <f>IF(C5501="","",IFERROR(INDEX($S$5:$S$304,MATCH(C5501,$R$5:$R$304,0))&amp;"","?"))</f>
        <v/>
      </c>
      <c r="N5501" s="2">
        <f>IF(E5501="","",IF(ISNUMBER(SEARCH("SUBSOLO",E5501)),IFERROR(-VALUE(LEFT(E5501,FIND("º",SUBSTITUTE(E5501,"°","º"))-1)),-1),IF(LEFT(E5501,6)="TÉRREO",0,IFERROR(VALUE(LEFT(E5501,FIND("º",SUBSTITUTE(E5501,"°","º"))-1)),""))))</f>
        <v/>
      </c>
      <c r="O5501" s="2">
        <f>IF(OR(F5501="",G5501=""),"",IF(G5501&lt;='RETRATO 2027'!$K$5,"CONCLUÍDA",IF(F5501&lt;='RETRATO 2027'!$K$5,"EM ANDAMENTO","A INICIAR")))</f>
        <v/>
      </c>
    </row>
    <row r="5502">
      <c r="M5502" s="2">
        <f>IF(C5502="","",IFERROR(INDEX($S$5:$S$304,MATCH(C5502,$R$5:$R$304,0))&amp;"","?"))</f>
        <v/>
      </c>
      <c r="N5502" s="2">
        <f>IF(E5502="","",IF(ISNUMBER(SEARCH("SUBSOLO",E5502)),IFERROR(-VALUE(LEFT(E5502,FIND("º",SUBSTITUTE(E5502,"°","º"))-1)),-1),IF(LEFT(E5502,6)="TÉRREO",0,IFERROR(VALUE(LEFT(E5502,FIND("º",SUBSTITUTE(E5502,"°","º"))-1)),""))))</f>
        <v/>
      </c>
      <c r="O5502" s="2">
        <f>IF(OR(F5502="",G5502=""),"",IF(G5502&lt;='RETRATO 2027'!$K$5,"CONCLUÍDA",IF(F5502&lt;='RETRATO 2027'!$K$5,"EM ANDAMENTO","A INICIAR")))</f>
        <v/>
      </c>
    </row>
    <row r="5503">
      <c r="M5503" s="2">
        <f>IF(C5503="","",IFERROR(INDEX($S$5:$S$304,MATCH(C5503,$R$5:$R$304,0))&amp;"","?"))</f>
        <v/>
      </c>
      <c r="N5503" s="2">
        <f>IF(E5503="","",IF(ISNUMBER(SEARCH("SUBSOLO",E5503)),IFERROR(-VALUE(LEFT(E5503,FIND("º",SUBSTITUTE(E5503,"°","º"))-1)),-1),IF(LEFT(E5503,6)="TÉRREO",0,IFERROR(VALUE(LEFT(E5503,FIND("º",SUBSTITUTE(E5503,"°","º"))-1)),""))))</f>
        <v/>
      </c>
      <c r="O5503" s="2">
        <f>IF(OR(F5503="",G5503=""),"",IF(G5503&lt;='RETRATO 2027'!$K$5,"CONCLUÍDA",IF(F5503&lt;='RETRATO 2027'!$K$5,"EM ANDAMENTO","A INICIAR")))</f>
        <v/>
      </c>
    </row>
    <row r="5504">
      <c r="M5504" s="2">
        <f>IF(C5504="","",IFERROR(INDEX($S$5:$S$304,MATCH(C5504,$R$5:$R$304,0))&amp;"","?"))</f>
        <v/>
      </c>
      <c r="N5504" s="2">
        <f>IF(E5504="","",IF(ISNUMBER(SEARCH("SUBSOLO",E5504)),IFERROR(-VALUE(LEFT(E5504,FIND("º",SUBSTITUTE(E5504,"°","º"))-1)),-1),IF(LEFT(E5504,6)="TÉRREO",0,IFERROR(VALUE(LEFT(E5504,FIND("º",SUBSTITUTE(E5504,"°","º"))-1)),""))))</f>
        <v/>
      </c>
      <c r="O5504" s="2">
        <f>IF(OR(F5504="",G5504=""),"",IF(G5504&lt;='RETRATO 2027'!$K$5,"CONCLUÍDA",IF(F5504&lt;='RETRATO 2027'!$K$5,"EM ANDAMENTO","A INICIAR")))</f>
        <v/>
      </c>
    </row>
    <row r="5505">
      <c r="M5505" s="2">
        <f>IF(C5505="","",IFERROR(INDEX($S$5:$S$304,MATCH(C5505,$R$5:$R$304,0))&amp;"","?"))</f>
        <v/>
      </c>
      <c r="N5505" s="2">
        <f>IF(E5505="","",IF(ISNUMBER(SEARCH("SUBSOLO",E5505)),IFERROR(-VALUE(LEFT(E5505,FIND("º",SUBSTITUTE(E5505,"°","º"))-1)),-1),IF(LEFT(E5505,6)="TÉRREO",0,IFERROR(VALUE(LEFT(E5505,FIND("º",SUBSTITUTE(E5505,"°","º"))-1)),""))))</f>
        <v/>
      </c>
      <c r="O5505" s="2">
        <f>IF(OR(F5505="",G5505=""),"",IF(G5505&lt;='RETRATO 2027'!$K$5,"CONCLUÍDA",IF(F5505&lt;='RETRATO 2027'!$K$5,"EM ANDAMENTO","A INICIAR")))</f>
        <v/>
      </c>
    </row>
    <row r="5506">
      <c r="M5506" s="2">
        <f>IF(C5506="","",IFERROR(INDEX($S$5:$S$304,MATCH(C5506,$R$5:$R$304,0))&amp;"","?"))</f>
        <v/>
      </c>
      <c r="N5506" s="2">
        <f>IF(E5506="","",IF(ISNUMBER(SEARCH("SUBSOLO",E5506)),IFERROR(-VALUE(LEFT(E5506,FIND("º",SUBSTITUTE(E5506,"°","º"))-1)),-1),IF(LEFT(E5506,6)="TÉRREO",0,IFERROR(VALUE(LEFT(E5506,FIND("º",SUBSTITUTE(E5506,"°","º"))-1)),""))))</f>
        <v/>
      </c>
      <c r="O5506" s="2">
        <f>IF(OR(F5506="",G5506=""),"",IF(G5506&lt;='RETRATO 2027'!$K$5,"CONCLUÍDA",IF(F5506&lt;='RETRATO 2027'!$K$5,"EM ANDAMENTO","A INICIAR")))</f>
        <v/>
      </c>
    </row>
    <row r="5507">
      <c r="M5507" s="2">
        <f>IF(C5507="","",IFERROR(INDEX($S$5:$S$304,MATCH(C5507,$R$5:$R$304,0))&amp;"","?"))</f>
        <v/>
      </c>
      <c r="N5507" s="2">
        <f>IF(E5507="","",IF(ISNUMBER(SEARCH("SUBSOLO",E5507)),IFERROR(-VALUE(LEFT(E5507,FIND("º",SUBSTITUTE(E5507,"°","º"))-1)),-1),IF(LEFT(E5507,6)="TÉRREO",0,IFERROR(VALUE(LEFT(E5507,FIND("º",SUBSTITUTE(E5507,"°","º"))-1)),""))))</f>
        <v/>
      </c>
      <c r="O5507" s="2">
        <f>IF(OR(F5507="",G5507=""),"",IF(G5507&lt;='RETRATO 2027'!$K$5,"CONCLUÍDA",IF(F5507&lt;='RETRATO 2027'!$K$5,"EM ANDAMENTO","A INICIAR")))</f>
        <v/>
      </c>
    </row>
    <row r="5508">
      <c r="M5508" s="2">
        <f>IF(C5508="","",IFERROR(INDEX($S$5:$S$304,MATCH(C5508,$R$5:$R$304,0))&amp;"","?"))</f>
        <v/>
      </c>
      <c r="N5508" s="2">
        <f>IF(E5508="","",IF(ISNUMBER(SEARCH("SUBSOLO",E5508)),IFERROR(-VALUE(LEFT(E5508,FIND("º",SUBSTITUTE(E5508,"°","º"))-1)),-1),IF(LEFT(E5508,6)="TÉRREO",0,IFERROR(VALUE(LEFT(E5508,FIND("º",SUBSTITUTE(E5508,"°","º"))-1)),""))))</f>
        <v/>
      </c>
      <c r="O5508" s="2">
        <f>IF(OR(F5508="",G5508=""),"",IF(G5508&lt;='RETRATO 2027'!$K$5,"CONCLUÍDA",IF(F5508&lt;='RETRATO 2027'!$K$5,"EM ANDAMENTO","A INICIAR")))</f>
        <v/>
      </c>
    </row>
    <row r="5509">
      <c r="M5509" s="2">
        <f>IF(C5509="","",IFERROR(INDEX($S$5:$S$304,MATCH(C5509,$R$5:$R$304,0))&amp;"","?"))</f>
        <v/>
      </c>
      <c r="N5509" s="2">
        <f>IF(E5509="","",IF(ISNUMBER(SEARCH("SUBSOLO",E5509)),IFERROR(-VALUE(LEFT(E5509,FIND("º",SUBSTITUTE(E5509,"°","º"))-1)),-1),IF(LEFT(E5509,6)="TÉRREO",0,IFERROR(VALUE(LEFT(E5509,FIND("º",SUBSTITUTE(E5509,"°","º"))-1)),""))))</f>
        <v/>
      </c>
      <c r="O5509" s="2">
        <f>IF(OR(F5509="",G5509=""),"",IF(G5509&lt;='RETRATO 2027'!$K$5,"CONCLUÍDA",IF(F5509&lt;='RETRATO 2027'!$K$5,"EM ANDAMENTO","A INICIAR")))</f>
        <v/>
      </c>
    </row>
    <row r="5510">
      <c r="M5510" s="2">
        <f>IF(C5510="","",IFERROR(INDEX($S$5:$S$304,MATCH(C5510,$R$5:$R$304,0))&amp;"","?"))</f>
        <v/>
      </c>
      <c r="N5510" s="2">
        <f>IF(E5510="","",IF(ISNUMBER(SEARCH("SUBSOLO",E5510)),IFERROR(-VALUE(LEFT(E5510,FIND("º",SUBSTITUTE(E5510,"°","º"))-1)),-1),IF(LEFT(E5510,6)="TÉRREO",0,IFERROR(VALUE(LEFT(E5510,FIND("º",SUBSTITUTE(E5510,"°","º"))-1)),""))))</f>
        <v/>
      </c>
      <c r="O5510" s="2">
        <f>IF(OR(F5510="",G5510=""),"",IF(G5510&lt;='RETRATO 2027'!$K$5,"CONCLUÍDA",IF(F5510&lt;='RETRATO 2027'!$K$5,"EM ANDAMENTO","A INICIAR")))</f>
        <v/>
      </c>
    </row>
    <row r="5511">
      <c r="M5511" s="2">
        <f>IF(C5511="","",IFERROR(INDEX($S$5:$S$304,MATCH(C5511,$R$5:$R$304,0))&amp;"","?"))</f>
        <v/>
      </c>
      <c r="N5511" s="2">
        <f>IF(E5511="","",IF(ISNUMBER(SEARCH("SUBSOLO",E5511)),IFERROR(-VALUE(LEFT(E5511,FIND("º",SUBSTITUTE(E5511,"°","º"))-1)),-1),IF(LEFT(E5511,6)="TÉRREO",0,IFERROR(VALUE(LEFT(E5511,FIND("º",SUBSTITUTE(E5511,"°","º"))-1)),""))))</f>
        <v/>
      </c>
      <c r="O5511" s="2">
        <f>IF(OR(F5511="",G5511=""),"",IF(G5511&lt;='RETRATO 2027'!$K$5,"CONCLUÍDA",IF(F5511&lt;='RETRATO 2027'!$K$5,"EM ANDAMENTO","A INICIAR")))</f>
        <v/>
      </c>
    </row>
    <row r="5512">
      <c r="M5512" s="2">
        <f>IF(C5512="","",IFERROR(INDEX($S$5:$S$304,MATCH(C5512,$R$5:$R$304,0))&amp;"","?"))</f>
        <v/>
      </c>
      <c r="N5512" s="2">
        <f>IF(E5512="","",IF(ISNUMBER(SEARCH("SUBSOLO",E5512)),IFERROR(-VALUE(LEFT(E5512,FIND("º",SUBSTITUTE(E5512,"°","º"))-1)),-1),IF(LEFT(E5512,6)="TÉRREO",0,IFERROR(VALUE(LEFT(E5512,FIND("º",SUBSTITUTE(E5512,"°","º"))-1)),""))))</f>
        <v/>
      </c>
      <c r="O5512" s="2">
        <f>IF(OR(F5512="",G5512=""),"",IF(G5512&lt;='RETRATO 2027'!$K$5,"CONCLUÍDA",IF(F5512&lt;='RETRATO 2027'!$K$5,"EM ANDAMENTO","A INICIAR")))</f>
        <v/>
      </c>
    </row>
    <row r="5513">
      <c r="M5513" s="2">
        <f>IF(C5513="","",IFERROR(INDEX($S$5:$S$304,MATCH(C5513,$R$5:$R$304,0))&amp;"","?"))</f>
        <v/>
      </c>
      <c r="N5513" s="2">
        <f>IF(E5513="","",IF(ISNUMBER(SEARCH("SUBSOLO",E5513)),IFERROR(-VALUE(LEFT(E5513,FIND("º",SUBSTITUTE(E5513,"°","º"))-1)),-1),IF(LEFT(E5513,6)="TÉRREO",0,IFERROR(VALUE(LEFT(E5513,FIND("º",SUBSTITUTE(E5513,"°","º"))-1)),""))))</f>
        <v/>
      </c>
      <c r="O5513" s="2">
        <f>IF(OR(F5513="",G5513=""),"",IF(G5513&lt;='RETRATO 2027'!$K$5,"CONCLUÍDA",IF(F5513&lt;='RETRATO 2027'!$K$5,"EM ANDAMENTO","A INICIAR")))</f>
        <v/>
      </c>
    </row>
    <row r="5514">
      <c r="M5514" s="2">
        <f>IF(C5514="","",IFERROR(INDEX($S$5:$S$304,MATCH(C5514,$R$5:$R$304,0))&amp;"","?"))</f>
        <v/>
      </c>
      <c r="N5514" s="2">
        <f>IF(E5514="","",IF(ISNUMBER(SEARCH("SUBSOLO",E5514)),IFERROR(-VALUE(LEFT(E5514,FIND("º",SUBSTITUTE(E5514,"°","º"))-1)),-1),IF(LEFT(E5514,6)="TÉRREO",0,IFERROR(VALUE(LEFT(E5514,FIND("º",SUBSTITUTE(E5514,"°","º"))-1)),""))))</f>
        <v/>
      </c>
      <c r="O5514" s="2">
        <f>IF(OR(F5514="",G5514=""),"",IF(G5514&lt;='RETRATO 2027'!$K$5,"CONCLUÍDA",IF(F5514&lt;='RETRATO 2027'!$K$5,"EM ANDAMENTO","A INICIAR")))</f>
        <v/>
      </c>
    </row>
    <row r="5515">
      <c r="M5515" s="2">
        <f>IF(C5515="","",IFERROR(INDEX($S$5:$S$304,MATCH(C5515,$R$5:$R$304,0))&amp;"","?"))</f>
        <v/>
      </c>
      <c r="N5515" s="2">
        <f>IF(E5515="","",IF(ISNUMBER(SEARCH("SUBSOLO",E5515)),IFERROR(-VALUE(LEFT(E5515,FIND("º",SUBSTITUTE(E5515,"°","º"))-1)),-1),IF(LEFT(E5515,6)="TÉRREO",0,IFERROR(VALUE(LEFT(E5515,FIND("º",SUBSTITUTE(E5515,"°","º"))-1)),""))))</f>
        <v/>
      </c>
      <c r="O5515" s="2">
        <f>IF(OR(F5515="",G5515=""),"",IF(G5515&lt;='RETRATO 2027'!$K$5,"CONCLUÍDA",IF(F5515&lt;='RETRATO 2027'!$K$5,"EM ANDAMENTO","A INICIAR")))</f>
        <v/>
      </c>
    </row>
    <row r="5516">
      <c r="M5516" s="2">
        <f>IF(C5516="","",IFERROR(INDEX($S$5:$S$304,MATCH(C5516,$R$5:$R$304,0))&amp;"","?"))</f>
        <v/>
      </c>
      <c r="N5516" s="2">
        <f>IF(E5516="","",IF(ISNUMBER(SEARCH("SUBSOLO",E5516)),IFERROR(-VALUE(LEFT(E5516,FIND("º",SUBSTITUTE(E5516,"°","º"))-1)),-1),IF(LEFT(E5516,6)="TÉRREO",0,IFERROR(VALUE(LEFT(E5516,FIND("º",SUBSTITUTE(E5516,"°","º"))-1)),""))))</f>
        <v/>
      </c>
      <c r="O5516" s="2">
        <f>IF(OR(F5516="",G5516=""),"",IF(G5516&lt;='RETRATO 2027'!$K$5,"CONCLUÍDA",IF(F5516&lt;='RETRATO 2027'!$K$5,"EM ANDAMENTO","A INICIAR")))</f>
        <v/>
      </c>
    </row>
    <row r="5517">
      <c r="M5517" s="2">
        <f>IF(C5517="","",IFERROR(INDEX($S$5:$S$304,MATCH(C5517,$R$5:$R$304,0))&amp;"","?"))</f>
        <v/>
      </c>
      <c r="N5517" s="2">
        <f>IF(E5517="","",IF(ISNUMBER(SEARCH("SUBSOLO",E5517)),IFERROR(-VALUE(LEFT(E5517,FIND("º",SUBSTITUTE(E5517,"°","º"))-1)),-1),IF(LEFT(E5517,6)="TÉRREO",0,IFERROR(VALUE(LEFT(E5517,FIND("º",SUBSTITUTE(E5517,"°","º"))-1)),""))))</f>
        <v/>
      </c>
      <c r="O5517" s="2">
        <f>IF(OR(F5517="",G5517=""),"",IF(G5517&lt;='RETRATO 2027'!$K$5,"CONCLUÍDA",IF(F5517&lt;='RETRATO 2027'!$K$5,"EM ANDAMENTO","A INICIAR")))</f>
        <v/>
      </c>
    </row>
    <row r="5518">
      <c r="M5518" s="2">
        <f>IF(C5518="","",IFERROR(INDEX($S$5:$S$304,MATCH(C5518,$R$5:$R$304,0))&amp;"","?"))</f>
        <v/>
      </c>
      <c r="N5518" s="2">
        <f>IF(E5518="","",IF(ISNUMBER(SEARCH("SUBSOLO",E5518)),IFERROR(-VALUE(LEFT(E5518,FIND("º",SUBSTITUTE(E5518,"°","º"))-1)),-1),IF(LEFT(E5518,6)="TÉRREO",0,IFERROR(VALUE(LEFT(E5518,FIND("º",SUBSTITUTE(E5518,"°","º"))-1)),""))))</f>
        <v/>
      </c>
      <c r="O5518" s="2">
        <f>IF(OR(F5518="",G5518=""),"",IF(G5518&lt;='RETRATO 2027'!$K$5,"CONCLUÍDA",IF(F5518&lt;='RETRATO 2027'!$K$5,"EM ANDAMENTO","A INICIAR")))</f>
        <v/>
      </c>
    </row>
    <row r="5519">
      <c r="M5519" s="2">
        <f>IF(C5519="","",IFERROR(INDEX($S$5:$S$304,MATCH(C5519,$R$5:$R$304,0))&amp;"","?"))</f>
        <v/>
      </c>
      <c r="N5519" s="2">
        <f>IF(E5519="","",IF(ISNUMBER(SEARCH("SUBSOLO",E5519)),IFERROR(-VALUE(LEFT(E5519,FIND("º",SUBSTITUTE(E5519,"°","º"))-1)),-1),IF(LEFT(E5519,6)="TÉRREO",0,IFERROR(VALUE(LEFT(E5519,FIND("º",SUBSTITUTE(E5519,"°","º"))-1)),""))))</f>
        <v/>
      </c>
      <c r="O5519" s="2">
        <f>IF(OR(F5519="",G5519=""),"",IF(G5519&lt;='RETRATO 2027'!$K$5,"CONCLUÍDA",IF(F5519&lt;='RETRATO 2027'!$K$5,"EM ANDAMENTO","A INICIAR")))</f>
        <v/>
      </c>
    </row>
    <row r="5520">
      <c r="M5520" s="2">
        <f>IF(C5520="","",IFERROR(INDEX($S$5:$S$304,MATCH(C5520,$R$5:$R$304,0))&amp;"","?"))</f>
        <v/>
      </c>
      <c r="N5520" s="2">
        <f>IF(E5520="","",IF(ISNUMBER(SEARCH("SUBSOLO",E5520)),IFERROR(-VALUE(LEFT(E5520,FIND("º",SUBSTITUTE(E5520,"°","º"))-1)),-1),IF(LEFT(E5520,6)="TÉRREO",0,IFERROR(VALUE(LEFT(E5520,FIND("º",SUBSTITUTE(E5520,"°","º"))-1)),""))))</f>
        <v/>
      </c>
      <c r="O5520" s="2">
        <f>IF(OR(F5520="",G5520=""),"",IF(G5520&lt;='RETRATO 2027'!$K$5,"CONCLUÍDA",IF(F5520&lt;='RETRATO 2027'!$K$5,"EM ANDAMENTO","A INICIAR")))</f>
        <v/>
      </c>
    </row>
    <row r="5521">
      <c r="M5521" s="2">
        <f>IF(C5521="","",IFERROR(INDEX($S$5:$S$304,MATCH(C5521,$R$5:$R$304,0))&amp;"","?"))</f>
        <v/>
      </c>
      <c r="N5521" s="2">
        <f>IF(E5521="","",IF(ISNUMBER(SEARCH("SUBSOLO",E5521)),IFERROR(-VALUE(LEFT(E5521,FIND("º",SUBSTITUTE(E5521,"°","º"))-1)),-1),IF(LEFT(E5521,6)="TÉRREO",0,IFERROR(VALUE(LEFT(E5521,FIND("º",SUBSTITUTE(E5521,"°","º"))-1)),""))))</f>
        <v/>
      </c>
      <c r="O5521" s="2">
        <f>IF(OR(F5521="",G5521=""),"",IF(G5521&lt;='RETRATO 2027'!$K$5,"CONCLUÍDA",IF(F5521&lt;='RETRATO 2027'!$K$5,"EM ANDAMENTO","A INICIAR")))</f>
        <v/>
      </c>
    </row>
    <row r="5522">
      <c r="M5522" s="2">
        <f>IF(C5522="","",IFERROR(INDEX($S$5:$S$304,MATCH(C5522,$R$5:$R$304,0))&amp;"","?"))</f>
        <v/>
      </c>
      <c r="N5522" s="2">
        <f>IF(E5522="","",IF(ISNUMBER(SEARCH("SUBSOLO",E5522)),IFERROR(-VALUE(LEFT(E5522,FIND("º",SUBSTITUTE(E5522,"°","º"))-1)),-1),IF(LEFT(E5522,6)="TÉRREO",0,IFERROR(VALUE(LEFT(E5522,FIND("º",SUBSTITUTE(E5522,"°","º"))-1)),""))))</f>
        <v/>
      </c>
      <c r="O5522" s="2">
        <f>IF(OR(F5522="",G5522=""),"",IF(G5522&lt;='RETRATO 2027'!$K$5,"CONCLUÍDA",IF(F5522&lt;='RETRATO 2027'!$K$5,"EM ANDAMENTO","A INICIAR")))</f>
        <v/>
      </c>
    </row>
    <row r="5523">
      <c r="M5523" s="2">
        <f>IF(C5523="","",IFERROR(INDEX($S$5:$S$304,MATCH(C5523,$R$5:$R$304,0))&amp;"","?"))</f>
        <v/>
      </c>
      <c r="N5523" s="2">
        <f>IF(E5523="","",IF(ISNUMBER(SEARCH("SUBSOLO",E5523)),IFERROR(-VALUE(LEFT(E5523,FIND("º",SUBSTITUTE(E5523,"°","º"))-1)),-1),IF(LEFT(E5523,6)="TÉRREO",0,IFERROR(VALUE(LEFT(E5523,FIND("º",SUBSTITUTE(E5523,"°","º"))-1)),""))))</f>
        <v/>
      </c>
      <c r="O5523" s="2">
        <f>IF(OR(F5523="",G5523=""),"",IF(G5523&lt;='RETRATO 2027'!$K$5,"CONCLUÍDA",IF(F5523&lt;='RETRATO 2027'!$K$5,"EM ANDAMENTO","A INICIAR")))</f>
        <v/>
      </c>
    </row>
    <row r="5524">
      <c r="M5524" s="2">
        <f>IF(C5524="","",IFERROR(INDEX($S$5:$S$304,MATCH(C5524,$R$5:$R$304,0))&amp;"","?"))</f>
        <v/>
      </c>
      <c r="N5524" s="2">
        <f>IF(E5524="","",IF(ISNUMBER(SEARCH("SUBSOLO",E5524)),IFERROR(-VALUE(LEFT(E5524,FIND("º",SUBSTITUTE(E5524,"°","º"))-1)),-1),IF(LEFT(E5524,6)="TÉRREO",0,IFERROR(VALUE(LEFT(E5524,FIND("º",SUBSTITUTE(E5524,"°","º"))-1)),""))))</f>
        <v/>
      </c>
      <c r="O5524" s="2">
        <f>IF(OR(F5524="",G5524=""),"",IF(G5524&lt;='RETRATO 2027'!$K$5,"CONCLUÍDA",IF(F5524&lt;='RETRATO 2027'!$K$5,"EM ANDAMENTO","A INICIAR")))</f>
        <v/>
      </c>
    </row>
    <row r="5525">
      <c r="M5525" s="2">
        <f>IF(C5525="","",IFERROR(INDEX($S$5:$S$304,MATCH(C5525,$R$5:$R$304,0))&amp;"","?"))</f>
        <v/>
      </c>
      <c r="N5525" s="2">
        <f>IF(E5525="","",IF(ISNUMBER(SEARCH("SUBSOLO",E5525)),IFERROR(-VALUE(LEFT(E5525,FIND("º",SUBSTITUTE(E5525,"°","º"))-1)),-1),IF(LEFT(E5525,6)="TÉRREO",0,IFERROR(VALUE(LEFT(E5525,FIND("º",SUBSTITUTE(E5525,"°","º"))-1)),""))))</f>
        <v/>
      </c>
      <c r="O5525" s="2">
        <f>IF(OR(F5525="",G5525=""),"",IF(G5525&lt;='RETRATO 2027'!$K$5,"CONCLUÍDA",IF(F5525&lt;='RETRATO 2027'!$K$5,"EM ANDAMENTO","A INICIAR")))</f>
        <v/>
      </c>
    </row>
    <row r="5526">
      <c r="M5526" s="2">
        <f>IF(C5526="","",IFERROR(INDEX($S$5:$S$304,MATCH(C5526,$R$5:$R$304,0))&amp;"","?"))</f>
        <v/>
      </c>
      <c r="N5526" s="2">
        <f>IF(E5526="","",IF(ISNUMBER(SEARCH("SUBSOLO",E5526)),IFERROR(-VALUE(LEFT(E5526,FIND("º",SUBSTITUTE(E5526,"°","º"))-1)),-1),IF(LEFT(E5526,6)="TÉRREO",0,IFERROR(VALUE(LEFT(E5526,FIND("º",SUBSTITUTE(E5526,"°","º"))-1)),""))))</f>
        <v/>
      </c>
      <c r="O5526" s="2">
        <f>IF(OR(F5526="",G5526=""),"",IF(G5526&lt;='RETRATO 2027'!$K$5,"CONCLUÍDA",IF(F5526&lt;='RETRATO 2027'!$K$5,"EM ANDAMENTO","A INICIAR")))</f>
        <v/>
      </c>
    </row>
    <row r="5527">
      <c r="M5527" s="2">
        <f>IF(C5527="","",IFERROR(INDEX($S$5:$S$304,MATCH(C5527,$R$5:$R$304,0))&amp;"","?"))</f>
        <v/>
      </c>
      <c r="N5527" s="2">
        <f>IF(E5527="","",IF(ISNUMBER(SEARCH("SUBSOLO",E5527)),IFERROR(-VALUE(LEFT(E5527,FIND("º",SUBSTITUTE(E5527,"°","º"))-1)),-1),IF(LEFT(E5527,6)="TÉRREO",0,IFERROR(VALUE(LEFT(E5527,FIND("º",SUBSTITUTE(E5527,"°","º"))-1)),""))))</f>
        <v/>
      </c>
      <c r="O5527" s="2">
        <f>IF(OR(F5527="",G5527=""),"",IF(G5527&lt;='RETRATO 2027'!$K$5,"CONCLUÍDA",IF(F5527&lt;='RETRATO 2027'!$K$5,"EM ANDAMENTO","A INICIAR")))</f>
        <v/>
      </c>
    </row>
    <row r="5528">
      <c r="M5528" s="2">
        <f>IF(C5528="","",IFERROR(INDEX($S$5:$S$304,MATCH(C5528,$R$5:$R$304,0))&amp;"","?"))</f>
        <v/>
      </c>
      <c r="N5528" s="2">
        <f>IF(E5528="","",IF(ISNUMBER(SEARCH("SUBSOLO",E5528)),IFERROR(-VALUE(LEFT(E5528,FIND("º",SUBSTITUTE(E5528,"°","º"))-1)),-1),IF(LEFT(E5528,6)="TÉRREO",0,IFERROR(VALUE(LEFT(E5528,FIND("º",SUBSTITUTE(E5528,"°","º"))-1)),""))))</f>
        <v/>
      </c>
      <c r="O5528" s="2">
        <f>IF(OR(F5528="",G5528=""),"",IF(G5528&lt;='RETRATO 2027'!$K$5,"CONCLUÍDA",IF(F5528&lt;='RETRATO 2027'!$K$5,"EM ANDAMENTO","A INICIAR")))</f>
        <v/>
      </c>
    </row>
    <row r="5529">
      <c r="M5529" s="2">
        <f>IF(C5529="","",IFERROR(INDEX($S$5:$S$304,MATCH(C5529,$R$5:$R$304,0))&amp;"","?"))</f>
        <v/>
      </c>
      <c r="N5529" s="2">
        <f>IF(E5529="","",IF(ISNUMBER(SEARCH("SUBSOLO",E5529)),IFERROR(-VALUE(LEFT(E5529,FIND("º",SUBSTITUTE(E5529,"°","º"))-1)),-1),IF(LEFT(E5529,6)="TÉRREO",0,IFERROR(VALUE(LEFT(E5529,FIND("º",SUBSTITUTE(E5529,"°","º"))-1)),""))))</f>
        <v/>
      </c>
      <c r="O5529" s="2">
        <f>IF(OR(F5529="",G5529=""),"",IF(G5529&lt;='RETRATO 2027'!$K$5,"CONCLUÍDA",IF(F5529&lt;='RETRATO 2027'!$K$5,"EM ANDAMENTO","A INICIAR")))</f>
        <v/>
      </c>
    </row>
    <row r="5530">
      <c r="M5530" s="2">
        <f>IF(C5530="","",IFERROR(INDEX($S$5:$S$304,MATCH(C5530,$R$5:$R$304,0))&amp;"","?"))</f>
        <v/>
      </c>
      <c r="N5530" s="2">
        <f>IF(E5530="","",IF(ISNUMBER(SEARCH("SUBSOLO",E5530)),IFERROR(-VALUE(LEFT(E5530,FIND("º",SUBSTITUTE(E5530,"°","º"))-1)),-1),IF(LEFT(E5530,6)="TÉRREO",0,IFERROR(VALUE(LEFT(E5530,FIND("º",SUBSTITUTE(E5530,"°","º"))-1)),""))))</f>
        <v/>
      </c>
      <c r="O5530" s="2">
        <f>IF(OR(F5530="",G5530=""),"",IF(G5530&lt;='RETRATO 2027'!$K$5,"CONCLUÍDA",IF(F5530&lt;='RETRATO 2027'!$K$5,"EM ANDAMENTO","A INICIAR")))</f>
        <v/>
      </c>
    </row>
    <row r="5531">
      <c r="M5531" s="2">
        <f>IF(C5531="","",IFERROR(INDEX($S$5:$S$304,MATCH(C5531,$R$5:$R$304,0))&amp;"","?"))</f>
        <v/>
      </c>
      <c r="N5531" s="2">
        <f>IF(E5531="","",IF(ISNUMBER(SEARCH("SUBSOLO",E5531)),IFERROR(-VALUE(LEFT(E5531,FIND("º",SUBSTITUTE(E5531,"°","º"))-1)),-1),IF(LEFT(E5531,6)="TÉRREO",0,IFERROR(VALUE(LEFT(E5531,FIND("º",SUBSTITUTE(E5531,"°","º"))-1)),""))))</f>
        <v/>
      </c>
      <c r="O5531" s="2">
        <f>IF(OR(F5531="",G5531=""),"",IF(G5531&lt;='RETRATO 2027'!$K$5,"CONCLUÍDA",IF(F5531&lt;='RETRATO 2027'!$K$5,"EM ANDAMENTO","A INICIAR")))</f>
        <v/>
      </c>
    </row>
    <row r="5532">
      <c r="M5532" s="2">
        <f>IF(C5532="","",IFERROR(INDEX($S$5:$S$304,MATCH(C5532,$R$5:$R$304,0))&amp;"","?"))</f>
        <v/>
      </c>
      <c r="N5532" s="2">
        <f>IF(E5532="","",IF(ISNUMBER(SEARCH("SUBSOLO",E5532)),IFERROR(-VALUE(LEFT(E5532,FIND("º",SUBSTITUTE(E5532,"°","º"))-1)),-1),IF(LEFT(E5532,6)="TÉRREO",0,IFERROR(VALUE(LEFT(E5532,FIND("º",SUBSTITUTE(E5532,"°","º"))-1)),""))))</f>
        <v/>
      </c>
      <c r="O5532" s="2">
        <f>IF(OR(F5532="",G5532=""),"",IF(G5532&lt;='RETRATO 2027'!$K$5,"CONCLUÍDA",IF(F5532&lt;='RETRATO 2027'!$K$5,"EM ANDAMENTO","A INICIAR")))</f>
        <v/>
      </c>
    </row>
    <row r="5533">
      <c r="M5533" s="2">
        <f>IF(C5533="","",IFERROR(INDEX($S$5:$S$304,MATCH(C5533,$R$5:$R$304,0))&amp;"","?"))</f>
        <v/>
      </c>
      <c r="N5533" s="2">
        <f>IF(E5533="","",IF(ISNUMBER(SEARCH("SUBSOLO",E5533)),IFERROR(-VALUE(LEFT(E5533,FIND("º",SUBSTITUTE(E5533,"°","º"))-1)),-1),IF(LEFT(E5533,6)="TÉRREO",0,IFERROR(VALUE(LEFT(E5533,FIND("º",SUBSTITUTE(E5533,"°","º"))-1)),""))))</f>
        <v/>
      </c>
      <c r="O5533" s="2">
        <f>IF(OR(F5533="",G5533=""),"",IF(G5533&lt;='RETRATO 2027'!$K$5,"CONCLUÍDA",IF(F5533&lt;='RETRATO 2027'!$K$5,"EM ANDAMENTO","A INICIAR")))</f>
        <v/>
      </c>
    </row>
    <row r="5534">
      <c r="M5534" s="2">
        <f>IF(C5534="","",IFERROR(INDEX($S$5:$S$304,MATCH(C5534,$R$5:$R$304,0))&amp;"","?"))</f>
        <v/>
      </c>
      <c r="N5534" s="2">
        <f>IF(E5534="","",IF(ISNUMBER(SEARCH("SUBSOLO",E5534)),IFERROR(-VALUE(LEFT(E5534,FIND("º",SUBSTITUTE(E5534,"°","º"))-1)),-1),IF(LEFT(E5534,6)="TÉRREO",0,IFERROR(VALUE(LEFT(E5534,FIND("º",SUBSTITUTE(E5534,"°","º"))-1)),""))))</f>
        <v/>
      </c>
      <c r="O5534" s="2">
        <f>IF(OR(F5534="",G5534=""),"",IF(G5534&lt;='RETRATO 2027'!$K$5,"CONCLUÍDA",IF(F5534&lt;='RETRATO 2027'!$K$5,"EM ANDAMENTO","A INICIAR")))</f>
        <v/>
      </c>
    </row>
    <row r="5535">
      <c r="M5535" s="2">
        <f>IF(C5535="","",IFERROR(INDEX($S$5:$S$304,MATCH(C5535,$R$5:$R$304,0))&amp;"","?"))</f>
        <v/>
      </c>
      <c r="N5535" s="2">
        <f>IF(E5535="","",IF(ISNUMBER(SEARCH("SUBSOLO",E5535)),IFERROR(-VALUE(LEFT(E5535,FIND("º",SUBSTITUTE(E5535,"°","º"))-1)),-1),IF(LEFT(E5535,6)="TÉRREO",0,IFERROR(VALUE(LEFT(E5535,FIND("º",SUBSTITUTE(E5535,"°","º"))-1)),""))))</f>
        <v/>
      </c>
      <c r="O5535" s="2">
        <f>IF(OR(F5535="",G5535=""),"",IF(G5535&lt;='RETRATO 2027'!$K$5,"CONCLUÍDA",IF(F5535&lt;='RETRATO 2027'!$K$5,"EM ANDAMENTO","A INICIAR")))</f>
        <v/>
      </c>
    </row>
    <row r="5536">
      <c r="M5536" s="2">
        <f>IF(C5536="","",IFERROR(INDEX($S$5:$S$304,MATCH(C5536,$R$5:$R$304,0))&amp;"","?"))</f>
        <v/>
      </c>
      <c r="N5536" s="2">
        <f>IF(E5536="","",IF(ISNUMBER(SEARCH("SUBSOLO",E5536)),IFERROR(-VALUE(LEFT(E5536,FIND("º",SUBSTITUTE(E5536,"°","º"))-1)),-1),IF(LEFT(E5536,6)="TÉRREO",0,IFERROR(VALUE(LEFT(E5536,FIND("º",SUBSTITUTE(E5536,"°","º"))-1)),""))))</f>
        <v/>
      </c>
      <c r="O5536" s="2">
        <f>IF(OR(F5536="",G5536=""),"",IF(G5536&lt;='RETRATO 2027'!$K$5,"CONCLUÍDA",IF(F5536&lt;='RETRATO 2027'!$K$5,"EM ANDAMENTO","A INICIAR")))</f>
        <v/>
      </c>
    </row>
    <row r="5537">
      <c r="M5537" s="2">
        <f>IF(C5537="","",IFERROR(INDEX($S$5:$S$304,MATCH(C5537,$R$5:$R$304,0))&amp;"","?"))</f>
        <v/>
      </c>
      <c r="N5537" s="2">
        <f>IF(E5537="","",IF(ISNUMBER(SEARCH("SUBSOLO",E5537)),IFERROR(-VALUE(LEFT(E5537,FIND("º",SUBSTITUTE(E5537,"°","º"))-1)),-1),IF(LEFT(E5537,6)="TÉRREO",0,IFERROR(VALUE(LEFT(E5537,FIND("º",SUBSTITUTE(E5537,"°","º"))-1)),""))))</f>
        <v/>
      </c>
      <c r="O5537" s="2">
        <f>IF(OR(F5537="",G5537=""),"",IF(G5537&lt;='RETRATO 2027'!$K$5,"CONCLUÍDA",IF(F5537&lt;='RETRATO 2027'!$K$5,"EM ANDAMENTO","A INICIAR")))</f>
        <v/>
      </c>
    </row>
    <row r="5538">
      <c r="M5538" s="2">
        <f>IF(C5538="","",IFERROR(INDEX($S$5:$S$304,MATCH(C5538,$R$5:$R$304,0))&amp;"","?"))</f>
        <v/>
      </c>
      <c r="N5538" s="2">
        <f>IF(E5538="","",IF(ISNUMBER(SEARCH("SUBSOLO",E5538)),IFERROR(-VALUE(LEFT(E5538,FIND("º",SUBSTITUTE(E5538,"°","º"))-1)),-1),IF(LEFT(E5538,6)="TÉRREO",0,IFERROR(VALUE(LEFT(E5538,FIND("º",SUBSTITUTE(E5538,"°","º"))-1)),""))))</f>
        <v/>
      </c>
      <c r="O5538" s="2">
        <f>IF(OR(F5538="",G5538=""),"",IF(G5538&lt;='RETRATO 2027'!$K$5,"CONCLUÍDA",IF(F5538&lt;='RETRATO 2027'!$K$5,"EM ANDAMENTO","A INICIAR")))</f>
        <v/>
      </c>
    </row>
    <row r="5539">
      <c r="M5539" s="2">
        <f>IF(C5539="","",IFERROR(INDEX($S$5:$S$304,MATCH(C5539,$R$5:$R$304,0))&amp;"","?"))</f>
        <v/>
      </c>
      <c r="N5539" s="2">
        <f>IF(E5539="","",IF(ISNUMBER(SEARCH("SUBSOLO",E5539)),IFERROR(-VALUE(LEFT(E5539,FIND("º",SUBSTITUTE(E5539,"°","º"))-1)),-1),IF(LEFT(E5539,6)="TÉRREO",0,IFERROR(VALUE(LEFT(E5539,FIND("º",SUBSTITUTE(E5539,"°","º"))-1)),""))))</f>
        <v/>
      </c>
      <c r="O5539" s="2">
        <f>IF(OR(F5539="",G5539=""),"",IF(G5539&lt;='RETRATO 2027'!$K$5,"CONCLUÍDA",IF(F5539&lt;='RETRATO 2027'!$K$5,"EM ANDAMENTO","A INICIAR")))</f>
        <v/>
      </c>
    </row>
    <row r="5540">
      <c r="M5540" s="2">
        <f>IF(C5540="","",IFERROR(INDEX($S$5:$S$304,MATCH(C5540,$R$5:$R$304,0))&amp;"","?"))</f>
        <v/>
      </c>
      <c r="N5540" s="2">
        <f>IF(E5540="","",IF(ISNUMBER(SEARCH("SUBSOLO",E5540)),IFERROR(-VALUE(LEFT(E5540,FIND("º",SUBSTITUTE(E5540,"°","º"))-1)),-1),IF(LEFT(E5540,6)="TÉRREO",0,IFERROR(VALUE(LEFT(E5540,FIND("º",SUBSTITUTE(E5540,"°","º"))-1)),""))))</f>
        <v/>
      </c>
      <c r="O5540" s="2">
        <f>IF(OR(F5540="",G5540=""),"",IF(G5540&lt;='RETRATO 2027'!$K$5,"CONCLUÍDA",IF(F5540&lt;='RETRATO 2027'!$K$5,"EM ANDAMENTO","A INICIAR")))</f>
        <v/>
      </c>
    </row>
    <row r="5541">
      <c r="M5541" s="2">
        <f>IF(C5541="","",IFERROR(INDEX($S$5:$S$304,MATCH(C5541,$R$5:$R$304,0))&amp;"","?"))</f>
        <v/>
      </c>
      <c r="N5541" s="2">
        <f>IF(E5541="","",IF(ISNUMBER(SEARCH("SUBSOLO",E5541)),IFERROR(-VALUE(LEFT(E5541,FIND("º",SUBSTITUTE(E5541,"°","º"))-1)),-1),IF(LEFT(E5541,6)="TÉRREO",0,IFERROR(VALUE(LEFT(E5541,FIND("º",SUBSTITUTE(E5541,"°","º"))-1)),""))))</f>
        <v/>
      </c>
      <c r="O5541" s="2">
        <f>IF(OR(F5541="",G5541=""),"",IF(G5541&lt;='RETRATO 2027'!$K$5,"CONCLUÍDA",IF(F5541&lt;='RETRATO 2027'!$K$5,"EM ANDAMENTO","A INICIAR")))</f>
        <v/>
      </c>
    </row>
    <row r="5542">
      <c r="M5542" s="2">
        <f>IF(C5542="","",IFERROR(INDEX($S$5:$S$304,MATCH(C5542,$R$5:$R$304,0))&amp;"","?"))</f>
        <v/>
      </c>
      <c r="N5542" s="2">
        <f>IF(E5542="","",IF(ISNUMBER(SEARCH("SUBSOLO",E5542)),IFERROR(-VALUE(LEFT(E5542,FIND("º",SUBSTITUTE(E5542,"°","º"))-1)),-1),IF(LEFT(E5542,6)="TÉRREO",0,IFERROR(VALUE(LEFT(E5542,FIND("º",SUBSTITUTE(E5542,"°","º"))-1)),""))))</f>
        <v/>
      </c>
      <c r="O5542" s="2">
        <f>IF(OR(F5542="",G5542=""),"",IF(G5542&lt;='RETRATO 2027'!$K$5,"CONCLUÍDA",IF(F5542&lt;='RETRATO 2027'!$K$5,"EM ANDAMENTO","A INICIAR")))</f>
        <v/>
      </c>
    </row>
    <row r="5543">
      <c r="M5543" s="2">
        <f>IF(C5543="","",IFERROR(INDEX($S$5:$S$304,MATCH(C5543,$R$5:$R$304,0))&amp;"","?"))</f>
        <v/>
      </c>
      <c r="N5543" s="2">
        <f>IF(E5543="","",IF(ISNUMBER(SEARCH("SUBSOLO",E5543)),IFERROR(-VALUE(LEFT(E5543,FIND("º",SUBSTITUTE(E5543,"°","º"))-1)),-1),IF(LEFT(E5543,6)="TÉRREO",0,IFERROR(VALUE(LEFT(E5543,FIND("º",SUBSTITUTE(E5543,"°","º"))-1)),""))))</f>
        <v/>
      </c>
      <c r="O5543" s="2">
        <f>IF(OR(F5543="",G5543=""),"",IF(G5543&lt;='RETRATO 2027'!$K$5,"CONCLUÍDA",IF(F5543&lt;='RETRATO 2027'!$K$5,"EM ANDAMENTO","A INICIAR")))</f>
        <v/>
      </c>
    </row>
    <row r="5544">
      <c r="M5544" s="2">
        <f>IF(C5544="","",IFERROR(INDEX($S$5:$S$304,MATCH(C5544,$R$5:$R$304,0))&amp;"","?"))</f>
        <v/>
      </c>
      <c r="N5544" s="2">
        <f>IF(E5544="","",IF(ISNUMBER(SEARCH("SUBSOLO",E5544)),IFERROR(-VALUE(LEFT(E5544,FIND("º",SUBSTITUTE(E5544,"°","º"))-1)),-1),IF(LEFT(E5544,6)="TÉRREO",0,IFERROR(VALUE(LEFT(E5544,FIND("º",SUBSTITUTE(E5544,"°","º"))-1)),""))))</f>
        <v/>
      </c>
      <c r="O5544" s="2">
        <f>IF(OR(F5544="",G5544=""),"",IF(G5544&lt;='RETRATO 2027'!$K$5,"CONCLUÍDA",IF(F5544&lt;='RETRATO 2027'!$K$5,"EM ANDAMENTO","A INICIAR")))</f>
        <v/>
      </c>
    </row>
    <row r="5545">
      <c r="M5545" s="2">
        <f>IF(C5545="","",IFERROR(INDEX($S$5:$S$304,MATCH(C5545,$R$5:$R$304,0))&amp;"","?"))</f>
        <v/>
      </c>
      <c r="N5545" s="2">
        <f>IF(E5545="","",IF(ISNUMBER(SEARCH("SUBSOLO",E5545)),IFERROR(-VALUE(LEFT(E5545,FIND("º",SUBSTITUTE(E5545,"°","º"))-1)),-1),IF(LEFT(E5545,6)="TÉRREO",0,IFERROR(VALUE(LEFT(E5545,FIND("º",SUBSTITUTE(E5545,"°","º"))-1)),""))))</f>
        <v/>
      </c>
      <c r="O5545" s="2">
        <f>IF(OR(F5545="",G5545=""),"",IF(G5545&lt;='RETRATO 2027'!$K$5,"CONCLUÍDA",IF(F5545&lt;='RETRATO 2027'!$K$5,"EM ANDAMENTO","A INICIAR")))</f>
        <v/>
      </c>
    </row>
    <row r="5546">
      <c r="M5546" s="2">
        <f>IF(C5546="","",IFERROR(INDEX($S$5:$S$304,MATCH(C5546,$R$5:$R$304,0))&amp;"","?"))</f>
        <v/>
      </c>
      <c r="N5546" s="2">
        <f>IF(E5546="","",IF(ISNUMBER(SEARCH("SUBSOLO",E5546)),IFERROR(-VALUE(LEFT(E5546,FIND("º",SUBSTITUTE(E5546,"°","º"))-1)),-1),IF(LEFT(E5546,6)="TÉRREO",0,IFERROR(VALUE(LEFT(E5546,FIND("º",SUBSTITUTE(E5546,"°","º"))-1)),""))))</f>
        <v/>
      </c>
      <c r="O5546" s="2">
        <f>IF(OR(F5546="",G5546=""),"",IF(G5546&lt;='RETRATO 2027'!$K$5,"CONCLUÍDA",IF(F5546&lt;='RETRATO 2027'!$K$5,"EM ANDAMENTO","A INICIAR")))</f>
        <v/>
      </c>
    </row>
    <row r="5547">
      <c r="M5547" s="2">
        <f>IF(C5547="","",IFERROR(INDEX($S$5:$S$304,MATCH(C5547,$R$5:$R$304,0))&amp;"","?"))</f>
        <v/>
      </c>
      <c r="N5547" s="2">
        <f>IF(E5547="","",IF(ISNUMBER(SEARCH("SUBSOLO",E5547)),IFERROR(-VALUE(LEFT(E5547,FIND("º",SUBSTITUTE(E5547,"°","º"))-1)),-1),IF(LEFT(E5547,6)="TÉRREO",0,IFERROR(VALUE(LEFT(E5547,FIND("º",SUBSTITUTE(E5547,"°","º"))-1)),""))))</f>
        <v/>
      </c>
      <c r="O5547" s="2">
        <f>IF(OR(F5547="",G5547=""),"",IF(G5547&lt;='RETRATO 2027'!$K$5,"CONCLUÍDA",IF(F5547&lt;='RETRATO 2027'!$K$5,"EM ANDAMENTO","A INICIAR")))</f>
        <v/>
      </c>
    </row>
    <row r="5548">
      <c r="M5548" s="2">
        <f>IF(C5548="","",IFERROR(INDEX($S$5:$S$304,MATCH(C5548,$R$5:$R$304,0))&amp;"","?"))</f>
        <v/>
      </c>
      <c r="N5548" s="2">
        <f>IF(E5548="","",IF(ISNUMBER(SEARCH("SUBSOLO",E5548)),IFERROR(-VALUE(LEFT(E5548,FIND("º",SUBSTITUTE(E5548,"°","º"))-1)),-1),IF(LEFT(E5548,6)="TÉRREO",0,IFERROR(VALUE(LEFT(E5548,FIND("º",SUBSTITUTE(E5548,"°","º"))-1)),""))))</f>
        <v/>
      </c>
      <c r="O5548" s="2">
        <f>IF(OR(F5548="",G5548=""),"",IF(G5548&lt;='RETRATO 2027'!$K$5,"CONCLUÍDA",IF(F5548&lt;='RETRATO 2027'!$K$5,"EM ANDAMENTO","A INICIAR")))</f>
        <v/>
      </c>
    </row>
    <row r="5549">
      <c r="M5549" s="2">
        <f>IF(C5549="","",IFERROR(INDEX($S$5:$S$304,MATCH(C5549,$R$5:$R$304,0))&amp;"","?"))</f>
        <v/>
      </c>
      <c r="N5549" s="2">
        <f>IF(E5549="","",IF(ISNUMBER(SEARCH("SUBSOLO",E5549)),IFERROR(-VALUE(LEFT(E5549,FIND("º",SUBSTITUTE(E5549,"°","º"))-1)),-1),IF(LEFT(E5549,6)="TÉRREO",0,IFERROR(VALUE(LEFT(E5549,FIND("º",SUBSTITUTE(E5549,"°","º"))-1)),""))))</f>
        <v/>
      </c>
      <c r="O5549" s="2">
        <f>IF(OR(F5549="",G5549=""),"",IF(G5549&lt;='RETRATO 2027'!$K$5,"CONCLUÍDA",IF(F5549&lt;='RETRATO 2027'!$K$5,"EM ANDAMENTO","A INICIAR")))</f>
        <v/>
      </c>
    </row>
    <row r="5550">
      <c r="M5550" s="2">
        <f>IF(C5550="","",IFERROR(INDEX($S$5:$S$304,MATCH(C5550,$R$5:$R$304,0))&amp;"","?"))</f>
        <v/>
      </c>
      <c r="N5550" s="2">
        <f>IF(E5550="","",IF(ISNUMBER(SEARCH("SUBSOLO",E5550)),IFERROR(-VALUE(LEFT(E5550,FIND("º",SUBSTITUTE(E5550,"°","º"))-1)),-1),IF(LEFT(E5550,6)="TÉRREO",0,IFERROR(VALUE(LEFT(E5550,FIND("º",SUBSTITUTE(E5550,"°","º"))-1)),""))))</f>
        <v/>
      </c>
      <c r="O5550" s="2">
        <f>IF(OR(F5550="",G5550=""),"",IF(G5550&lt;='RETRATO 2027'!$K$5,"CONCLUÍDA",IF(F5550&lt;='RETRATO 2027'!$K$5,"EM ANDAMENTO","A INICIAR")))</f>
        <v/>
      </c>
    </row>
    <row r="5551">
      <c r="M5551" s="2">
        <f>IF(C5551="","",IFERROR(INDEX($S$5:$S$304,MATCH(C5551,$R$5:$R$304,0))&amp;"","?"))</f>
        <v/>
      </c>
      <c r="N5551" s="2">
        <f>IF(E5551="","",IF(ISNUMBER(SEARCH("SUBSOLO",E5551)),IFERROR(-VALUE(LEFT(E5551,FIND("º",SUBSTITUTE(E5551,"°","º"))-1)),-1),IF(LEFT(E5551,6)="TÉRREO",0,IFERROR(VALUE(LEFT(E5551,FIND("º",SUBSTITUTE(E5551,"°","º"))-1)),""))))</f>
        <v/>
      </c>
      <c r="O5551" s="2">
        <f>IF(OR(F5551="",G5551=""),"",IF(G5551&lt;='RETRATO 2027'!$K$5,"CONCLUÍDA",IF(F5551&lt;='RETRATO 2027'!$K$5,"EM ANDAMENTO","A INICIAR")))</f>
        <v/>
      </c>
    </row>
    <row r="5552">
      <c r="M5552" s="2">
        <f>IF(C5552="","",IFERROR(INDEX($S$5:$S$304,MATCH(C5552,$R$5:$R$304,0))&amp;"","?"))</f>
        <v/>
      </c>
      <c r="N5552" s="2">
        <f>IF(E5552="","",IF(ISNUMBER(SEARCH("SUBSOLO",E5552)),IFERROR(-VALUE(LEFT(E5552,FIND("º",SUBSTITUTE(E5552,"°","º"))-1)),-1),IF(LEFT(E5552,6)="TÉRREO",0,IFERROR(VALUE(LEFT(E5552,FIND("º",SUBSTITUTE(E5552,"°","º"))-1)),""))))</f>
        <v/>
      </c>
      <c r="O5552" s="2">
        <f>IF(OR(F5552="",G5552=""),"",IF(G5552&lt;='RETRATO 2027'!$K$5,"CONCLUÍDA",IF(F5552&lt;='RETRATO 2027'!$K$5,"EM ANDAMENTO","A INICIAR")))</f>
        <v/>
      </c>
    </row>
    <row r="5553">
      <c r="M5553" s="2">
        <f>IF(C5553="","",IFERROR(INDEX($S$5:$S$304,MATCH(C5553,$R$5:$R$304,0))&amp;"","?"))</f>
        <v/>
      </c>
      <c r="N5553" s="2">
        <f>IF(E5553="","",IF(ISNUMBER(SEARCH("SUBSOLO",E5553)),IFERROR(-VALUE(LEFT(E5553,FIND("º",SUBSTITUTE(E5553,"°","º"))-1)),-1),IF(LEFT(E5553,6)="TÉRREO",0,IFERROR(VALUE(LEFT(E5553,FIND("º",SUBSTITUTE(E5553,"°","º"))-1)),""))))</f>
        <v/>
      </c>
      <c r="O5553" s="2">
        <f>IF(OR(F5553="",G5553=""),"",IF(G5553&lt;='RETRATO 2027'!$K$5,"CONCLUÍDA",IF(F5553&lt;='RETRATO 2027'!$K$5,"EM ANDAMENTO","A INICIAR")))</f>
        <v/>
      </c>
    </row>
    <row r="5554">
      <c r="M5554" s="2">
        <f>IF(C5554="","",IFERROR(INDEX($S$5:$S$304,MATCH(C5554,$R$5:$R$304,0))&amp;"","?"))</f>
        <v/>
      </c>
      <c r="N5554" s="2">
        <f>IF(E5554="","",IF(ISNUMBER(SEARCH("SUBSOLO",E5554)),IFERROR(-VALUE(LEFT(E5554,FIND("º",SUBSTITUTE(E5554,"°","º"))-1)),-1),IF(LEFT(E5554,6)="TÉRREO",0,IFERROR(VALUE(LEFT(E5554,FIND("º",SUBSTITUTE(E5554,"°","º"))-1)),""))))</f>
        <v/>
      </c>
      <c r="O5554" s="2">
        <f>IF(OR(F5554="",G5554=""),"",IF(G5554&lt;='RETRATO 2027'!$K$5,"CONCLUÍDA",IF(F5554&lt;='RETRATO 2027'!$K$5,"EM ANDAMENTO","A INICIAR")))</f>
        <v/>
      </c>
    </row>
    <row r="5555">
      <c r="M5555" s="2">
        <f>IF(C5555="","",IFERROR(INDEX($S$5:$S$304,MATCH(C5555,$R$5:$R$304,0))&amp;"","?"))</f>
        <v/>
      </c>
      <c r="N5555" s="2">
        <f>IF(E5555="","",IF(ISNUMBER(SEARCH("SUBSOLO",E5555)),IFERROR(-VALUE(LEFT(E5555,FIND("º",SUBSTITUTE(E5555,"°","º"))-1)),-1),IF(LEFT(E5555,6)="TÉRREO",0,IFERROR(VALUE(LEFT(E5555,FIND("º",SUBSTITUTE(E5555,"°","º"))-1)),""))))</f>
        <v/>
      </c>
      <c r="O5555" s="2">
        <f>IF(OR(F5555="",G5555=""),"",IF(G5555&lt;='RETRATO 2027'!$K$5,"CONCLUÍDA",IF(F5555&lt;='RETRATO 2027'!$K$5,"EM ANDAMENTO","A INICIAR")))</f>
        <v/>
      </c>
    </row>
    <row r="5556">
      <c r="M5556" s="2">
        <f>IF(C5556="","",IFERROR(INDEX($S$5:$S$304,MATCH(C5556,$R$5:$R$304,0))&amp;"","?"))</f>
        <v/>
      </c>
      <c r="N5556" s="2">
        <f>IF(E5556="","",IF(ISNUMBER(SEARCH("SUBSOLO",E5556)),IFERROR(-VALUE(LEFT(E5556,FIND("º",SUBSTITUTE(E5556,"°","º"))-1)),-1),IF(LEFT(E5556,6)="TÉRREO",0,IFERROR(VALUE(LEFT(E5556,FIND("º",SUBSTITUTE(E5556,"°","º"))-1)),""))))</f>
        <v/>
      </c>
      <c r="O5556" s="2">
        <f>IF(OR(F5556="",G5556=""),"",IF(G5556&lt;='RETRATO 2027'!$K$5,"CONCLUÍDA",IF(F5556&lt;='RETRATO 2027'!$K$5,"EM ANDAMENTO","A INICIAR")))</f>
        <v/>
      </c>
    </row>
    <row r="5557">
      <c r="M5557" s="2">
        <f>IF(C5557="","",IFERROR(INDEX($S$5:$S$304,MATCH(C5557,$R$5:$R$304,0))&amp;"","?"))</f>
        <v/>
      </c>
      <c r="N5557" s="2">
        <f>IF(E5557="","",IF(ISNUMBER(SEARCH("SUBSOLO",E5557)),IFERROR(-VALUE(LEFT(E5557,FIND("º",SUBSTITUTE(E5557,"°","º"))-1)),-1),IF(LEFT(E5557,6)="TÉRREO",0,IFERROR(VALUE(LEFT(E5557,FIND("º",SUBSTITUTE(E5557,"°","º"))-1)),""))))</f>
        <v/>
      </c>
      <c r="O5557" s="2">
        <f>IF(OR(F5557="",G5557=""),"",IF(G5557&lt;='RETRATO 2027'!$K$5,"CONCLUÍDA",IF(F5557&lt;='RETRATO 2027'!$K$5,"EM ANDAMENTO","A INICIAR")))</f>
        <v/>
      </c>
    </row>
    <row r="5558">
      <c r="M5558" s="2">
        <f>IF(C5558="","",IFERROR(INDEX($S$5:$S$304,MATCH(C5558,$R$5:$R$304,0))&amp;"","?"))</f>
        <v/>
      </c>
      <c r="N5558" s="2">
        <f>IF(E5558="","",IF(ISNUMBER(SEARCH("SUBSOLO",E5558)),IFERROR(-VALUE(LEFT(E5558,FIND("º",SUBSTITUTE(E5558,"°","º"))-1)),-1),IF(LEFT(E5558,6)="TÉRREO",0,IFERROR(VALUE(LEFT(E5558,FIND("º",SUBSTITUTE(E5558,"°","º"))-1)),""))))</f>
        <v/>
      </c>
      <c r="O5558" s="2">
        <f>IF(OR(F5558="",G5558=""),"",IF(G5558&lt;='RETRATO 2027'!$K$5,"CONCLUÍDA",IF(F5558&lt;='RETRATO 2027'!$K$5,"EM ANDAMENTO","A INICIAR")))</f>
        <v/>
      </c>
    </row>
    <row r="5559">
      <c r="M5559" s="2">
        <f>IF(C5559="","",IFERROR(INDEX($S$5:$S$304,MATCH(C5559,$R$5:$R$304,0))&amp;"","?"))</f>
        <v/>
      </c>
      <c r="N5559" s="2">
        <f>IF(E5559="","",IF(ISNUMBER(SEARCH("SUBSOLO",E5559)),IFERROR(-VALUE(LEFT(E5559,FIND("º",SUBSTITUTE(E5559,"°","º"))-1)),-1),IF(LEFT(E5559,6)="TÉRREO",0,IFERROR(VALUE(LEFT(E5559,FIND("º",SUBSTITUTE(E5559,"°","º"))-1)),""))))</f>
        <v/>
      </c>
      <c r="O5559" s="2">
        <f>IF(OR(F5559="",G5559=""),"",IF(G5559&lt;='RETRATO 2027'!$K$5,"CONCLUÍDA",IF(F5559&lt;='RETRATO 2027'!$K$5,"EM ANDAMENTO","A INICIAR")))</f>
        <v/>
      </c>
    </row>
    <row r="5560">
      <c r="M5560" s="2">
        <f>IF(C5560="","",IFERROR(INDEX($S$5:$S$304,MATCH(C5560,$R$5:$R$304,0))&amp;"","?"))</f>
        <v/>
      </c>
      <c r="N5560" s="2">
        <f>IF(E5560="","",IF(ISNUMBER(SEARCH("SUBSOLO",E5560)),IFERROR(-VALUE(LEFT(E5560,FIND("º",SUBSTITUTE(E5560,"°","º"))-1)),-1),IF(LEFT(E5560,6)="TÉRREO",0,IFERROR(VALUE(LEFT(E5560,FIND("º",SUBSTITUTE(E5560,"°","º"))-1)),""))))</f>
        <v/>
      </c>
      <c r="O5560" s="2">
        <f>IF(OR(F5560="",G5560=""),"",IF(G5560&lt;='RETRATO 2027'!$K$5,"CONCLUÍDA",IF(F5560&lt;='RETRATO 2027'!$K$5,"EM ANDAMENTO","A INICIAR")))</f>
        <v/>
      </c>
    </row>
    <row r="5561">
      <c r="M5561" s="2">
        <f>IF(C5561="","",IFERROR(INDEX($S$5:$S$304,MATCH(C5561,$R$5:$R$304,0))&amp;"","?"))</f>
        <v/>
      </c>
      <c r="N5561" s="2">
        <f>IF(E5561="","",IF(ISNUMBER(SEARCH("SUBSOLO",E5561)),IFERROR(-VALUE(LEFT(E5561,FIND("º",SUBSTITUTE(E5561,"°","º"))-1)),-1),IF(LEFT(E5561,6)="TÉRREO",0,IFERROR(VALUE(LEFT(E5561,FIND("º",SUBSTITUTE(E5561,"°","º"))-1)),""))))</f>
        <v/>
      </c>
      <c r="O5561" s="2">
        <f>IF(OR(F5561="",G5561=""),"",IF(G5561&lt;='RETRATO 2027'!$K$5,"CONCLUÍDA",IF(F5561&lt;='RETRATO 2027'!$K$5,"EM ANDAMENTO","A INICIAR")))</f>
        <v/>
      </c>
    </row>
    <row r="5562">
      <c r="M5562" s="2">
        <f>IF(C5562="","",IFERROR(INDEX($S$5:$S$304,MATCH(C5562,$R$5:$R$304,0))&amp;"","?"))</f>
        <v/>
      </c>
      <c r="N5562" s="2">
        <f>IF(E5562="","",IF(ISNUMBER(SEARCH("SUBSOLO",E5562)),IFERROR(-VALUE(LEFT(E5562,FIND("º",SUBSTITUTE(E5562,"°","º"))-1)),-1),IF(LEFT(E5562,6)="TÉRREO",0,IFERROR(VALUE(LEFT(E5562,FIND("º",SUBSTITUTE(E5562,"°","º"))-1)),""))))</f>
        <v/>
      </c>
      <c r="O5562" s="2">
        <f>IF(OR(F5562="",G5562=""),"",IF(G5562&lt;='RETRATO 2027'!$K$5,"CONCLUÍDA",IF(F5562&lt;='RETRATO 2027'!$K$5,"EM ANDAMENTO","A INICIAR")))</f>
        <v/>
      </c>
    </row>
    <row r="5563">
      <c r="M5563" s="2">
        <f>IF(C5563="","",IFERROR(INDEX($S$5:$S$304,MATCH(C5563,$R$5:$R$304,0))&amp;"","?"))</f>
        <v/>
      </c>
      <c r="N5563" s="2">
        <f>IF(E5563="","",IF(ISNUMBER(SEARCH("SUBSOLO",E5563)),IFERROR(-VALUE(LEFT(E5563,FIND("º",SUBSTITUTE(E5563,"°","º"))-1)),-1),IF(LEFT(E5563,6)="TÉRREO",0,IFERROR(VALUE(LEFT(E5563,FIND("º",SUBSTITUTE(E5563,"°","º"))-1)),""))))</f>
        <v/>
      </c>
      <c r="O5563" s="2">
        <f>IF(OR(F5563="",G5563=""),"",IF(G5563&lt;='RETRATO 2027'!$K$5,"CONCLUÍDA",IF(F5563&lt;='RETRATO 2027'!$K$5,"EM ANDAMENTO","A INICIAR")))</f>
        <v/>
      </c>
    </row>
    <row r="5564">
      <c r="M5564" s="2">
        <f>IF(C5564="","",IFERROR(INDEX($S$5:$S$304,MATCH(C5564,$R$5:$R$304,0))&amp;"","?"))</f>
        <v/>
      </c>
      <c r="N5564" s="2">
        <f>IF(E5564="","",IF(ISNUMBER(SEARCH("SUBSOLO",E5564)),IFERROR(-VALUE(LEFT(E5564,FIND("º",SUBSTITUTE(E5564,"°","º"))-1)),-1),IF(LEFT(E5564,6)="TÉRREO",0,IFERROR(VALUE(LEFT(E5564,FIND("º",SUBSTITUTE(E5564,"°","º"))-1)),""))))</f>
        <v/>
      </c>
      <c r="O5564" s="2">
        <f>IF(OR(F5564="",G5564=""),"",IF(G5564&lt;='RETRATO 2027'!$K$5,"CONCLUÍDA",IF(F5564&lt;='RETRATO 2027'!$K$5,"EM ANDAMENTO","A INICIAR")))</f>
        <v/>
      </c>
    </row>
    <row r="5565">
      <c r="M5565" s="2">
        <f>IF(C5565="","",IFERROR(INDEX($S$5:$S$304,MATCH(C5565,$R$5:$R$304,0))&amp;"","?"))</f>
        <v/>
      </c>
      <c r="N5565" s="2">
        <f>IF(E5565="","",IF(ISNUMBER(SEARCH("SUBSOLO",E5565)),IFERROR(-VALUE(LEFT(E5565,FIND("º",SUBSTITUTE(E5565,"°","º"))-1)),-1),IF(LEFT(E5565,6)="TÉRREO",0,IFERROR(VALUE(LEFT(E5565,FIND("º",SUBSTITUTE(E5565,"°","º"))-1)),""))))</f>
        <v/>
      </c>
      <c r="O5565" s="2">
        <f>IF(OR(F5565="",G5565=""),"",IF(G5565&lt;='RETRATO 2027'!$K$5,"CONCLUÍDA",IF(F5565&lt;='RETRATO 2027'!$K$5,"EM ANDAMENTO","A INICIAR")))</f>
        <v/>
      </c>
    </row>
    <row r="5566">
      <c r="M5566" s="2">
        <f>IF(C5566="","",IFERROR(INDEX($S$5:$S$304,MATCH(C5566,$R$5:$R$304,0))&amp;"","?"))</f>
        <v/>
      </c>
      <c r="N5566" s="2">
        <f>IF(E5566="","",IF(ISNUMBER(SEARCH("SUBSOLO",E5566)),IFERROR(-VALUE(LEFT(E5566,FIND("º",SUBSTITUTE(E5566,"°","º"))-1)),-1),IF(LEFT(E5566,6)="TÉRREO",0,IFERROR(VALUE(LEFT(E5566,FIND("º",SUBSTITUTE(E5566,"°","º"))-1)),""))))</f>
        <v/>
      </c>
      <c r="O5566" s="2">
        <f>IF(OR(F5566="",G5566=""),"",IF(G5566&lt;='RETRATO 2027'!$K$5,"CONCLUÍDA",IF(F5566&lt;='RETRATO 2027'!$K$5,"EM ANDAMENTO","A INICIAR")))</f>
        <v/>
      </c>
    </row>
    <row r="5567">
      <c r="M5567" s="2">
        <f>IF(C5567="","",IFERROR(INDEX($S$5:$S$304,MATCH(C5567,$R$5:$R$304,0))&amp;"","?"))</f>
        <v/>
      </c>
      <c r="N5567" s="2">
        <f>IF(E5567="","",IF(ISNUMBER(SEARCH("SUBSOLO",E5567)),IFERROR(-VALUE(LEFT(E5567,FIND("º",SUBSTITUTE(E5567,"°","º"))-1)),-1),IF(LEFT(E5567,6)="TÉRREO",0,IFERROR(VALUE(LEFT(E5567,FIND("º",SUBSTITUTE(E5567,"°","º"))-1)),""))))</f>
        <v/>
      </c>
      <c r="O5567" s="2">
        <f>IF(OR(F5567="",G5567=""),"",IF(G5567&lt;='RETRATO 2027'!$K$5,"CONCLUÍDA",IF(F5567&lt;='RETRATO 2027'!$K$5,"EM ANDAMENTO","A INICIAR")))</f>
        <v/>
      </c>
    </row>
    <row r="5568">
      <c r="M5568" s="2">
        <f>IF(C5568="","",IFERROR(INDEX($S$5:$S$304,MATCH(C5568,$R$5:$R$304,0))&amp;"","?"))</f>
        <v/>
      </c>
      <c r="N5568" s="2">
        <f>IF(E5568="","",IF(ISNUMBER(SEARCH("SUBSOLO",E5568)),IFERROR(-VALUE(LEFT(E5568,FIND("º",SUBSTITUTE(E5568,"°","º"))-1)),-1),IF(LEFT(E5568,6)="TÉRREO",0,IFERROR(VALUE(LEFT(E5568,FIND("º",SUBSTITUTE(E5568,"°","º"))-1)),""))))</f>
        <v/>
      </c>
      <c r="O5568" s="2">
        <f>IF(OR(F5568="",G5568=""),"",IF(G5568&lt;='RETRATO 2027'!$K$5,"CONCLUÍDA",IF(F5568&lt;='RETRATO 2027'!$K$5,"EM ANDAMENTO","A INICIAR")))</f>
        <v/>
      </c>
    </row>
    <row r="5569">
      <c r="M5569" s="2">
        <f>IF(C5569="","",IFERROR(INDEX($S$5:$S$304,MATCH(C5569,$R$5:$R$304,0))&amp;"","?"))</f>
        <v/>
      </c>
      <c r="N5569" s="2">
        <f>IF(E5569="","",IF(ISNUMBER(SEARCH("SUBSOLO",E5569)),IFERROR(-VALUE(LEFT(E5569,FIND("º",SUBSTITUTE(E5569,"°","º"))-1)),-1),IF(LEFT(E5569,6)="TÉRREO",0,IFERROR(VALUE(LEFT(E5569,FIND("º",SUBSTITUTE(E5569,"°","º"))-1)),""))))</f>
        <v/>
      </c>
      <c r="O5569" s="2">
        <f>IF(OR(F5569="",G5569=""),"",IF(G5569&lt;='RETRATO 2027'!$K$5,"CONCLUÍDA",IF(F5569&lt;='RETRATO 2027'!$K$5,"EM ANDAMENTO","A INICIAR")))</f>
        <v/>
      </c>
    </row>
    <row r="5570">
      <c r="M5570" s="2">
        <f>IF(C5570="","",IFERROR(INDEX($S$5:$S$304,MATCH(C5570,$R$5:$R$304,0))&amp;"","?"))</f>
        <v/>
      </c>
      <c r="N5570" s="2">
        <f>IF(E5570="","",IF(ISNUMBER(SEARCH("SUBSOLO",E5570)),IFERROR(-VALUE(LEFT(E5570,FIND("º",SUBSTITUTE(E5570,"°","º"))-1)),-1),IF(LEFT(E5570,6)="TÉRREO",0,IFERROR(VALUE(LEFT(E5570,FIND("º",SUBSTITUTE(E5570,"°","º"))-1)),""))))</f>
        <v/>
      </c>
      <c r="O5570" s="2">
        <f>IF(OR(F5570="",G5570=""),"",IF(G5570&lt;='RETRATO 2027'!$K$5,"CONCLUÍDA",IF(F5570&lt;='RETRATO 2027'!$K$5,"EM ANDAMENTO","A INICIAR")))</f>
        <v/>
      </c>
    </row>
    <row r="5571">
      <c r="M5571" s="2">
        <f>IF(C5571="","",IFERROR(INDEX($S$5:$S$304,MATCH(C5571,$R$5:$R$304,0))&amp;"","?"))</f>
        <v/>
      </c>
      <c r="N5571" s="2">
        <f>IF(E5571="","",IF(ISNUMBER(SEARCH("SUBSOLO",E5571)),IFERROR(-VALUE(LEFT(E5571,FIND("º",SUBSTITUTE(E5571,"°","º"))-1)),-1),IF(LEFT(E5571,6)="TÉRREO",0,IFERROR(VALUE(LEFT(E5571,FIND("º",SUBSTITUTE(E5571,"°","º"))-1)),""))))</f>
        <v/>
      </c>
      <c r="O5571" s="2">
        <f>IF(OR(F5571="",G5571=""),"",IF(G5571&lt;='RETRATO 2027'!$K$5,"CONCLUÍDA",IF(F5571&lt;='RETRATO 2027'!$K$5,"EM ANDAMENTO","A INICIAR")))</f>
        <v/>
      </c>
    </row>
    <row r="5572">
      <c r="M5572" s="2">
        <f>IF(C5572="","",IFERROR(INDEX($S$5:$S$304,MATCH(C5572,$R$5:$R$304,0))&amp;"","?"))</f>
        <v/>
      </c>
      <c r="N5572" s="2">
        <f>IF(E5572="","",IF(ISNUMBER(SEARCH("SUBSOLO",E5572)),IFERROR(-VALUE(LEFT(E5572,FIND("º",SUBSTITUTE(E5572,"°","º"))-1)),-1),IF(LEFT(E5572,6)="TÉRREO",0,IFERROR(VALUE(LEFT(E5572,FIND("º",SUBSTITUTE(E5572,"°","º"))-1)),""))))</f>
        <v/>
      </c>
      <c r="O5572" s="2">
        <f>IF(OR(F5572="",G5572=""),"",IF(G5572&lt;='RETRATO 2027'!$K$5,"CONCLUÍDA",IF(F5572&lt;='RETRATO 2027'!$K$5,"EM ANDAMENTO","A INICIAR")))</f>
        <v/>
      </c>
    </row>
    <row r="5573">
      <c r="M5573" s="2">
        <f>IF(C5573="","",IFERROR(INDEX($S$5:$S$304,MATCH(C5573,$R$5:$R$304,0))&amp;"","?"))</f>
        <v/>
      </c>
      <c r="N5573" s="2">
        <f>IF(E5573="","",IF(ISNUMBER(SEARCH("SUBSOLO",E5573)),IFERROR(-VALUE(LEFT(E5573,FIND("º",SUBSTITUTE(E5573,"°","º"))-1)),-1),IF(LEFT(E5573,6)="TÉRREO",0,IFERROR(VALUE(LEFT(E5573,FIND("º",SUBSTITUTE(E5573,"°","º"))-1)),""))))</f>
        <v/>
      </c>
      <c r="O5573" s="2">
        <f>IF(OR(F5573="",G5573=""),"",IF(G5573&lt;='RETRATO 2027'!$K$5,"CONCLUÍDA",IF(F5573&lt;='RETRATO 2027'!$K$5,"EM ANDAMENTO","A INICIAR")))</f>
        <v/>
      </c>
    </row>
    <row r="5574">
      <c r="M5574" s="2">
        <f>IF(C5574="","",IFERROR(INDEX($S$5:$S$304,MATCH(C5574,$R$5:$R$304,0))&amp;"","?"))</f>
        <v/>
      </c>
      <c r="N5574" s="2">
        <f>IF(E5574="","",IF(ISNUMBER(SEARCH("SUBSOLO",E5574)),IFERROR(-VALUE(LEFT(E5574,FIND("º",SUBSTITUTE(E5574,"°","º"))-1)),-1),IF(LEFT(E5574,6)="TÉRREO",0,IFERROR(VALUE(LEFT(E5574,FIND("º",SUBSTITUTE(E5574,"°","º"))-1)),""))))</f>
        <v/>
      </c>
      <c r="O5574" s="2">
        <f>IF(OR(F5574="",G5574=""),"",IF(G5574&lt;='RETRATO 2027'!$K$5,"CONCLUÍDA",IF(F5574&lt;='RETRATO 2027'!$K$5,"EM ANDAMENTO","A INICIAR")))</f>
        <v/>
      </c>
    </row>
    <row r="5575">
      <c r="M5575" s="2">
        <f>IF(C5575="","",IFERROR(INDEX($S$5:$S$304,MATCH(C5575,$R$5:$R$304,0))&amp;"","?"))</f>
        <v/>
      </c>
      <c r="N5575" s="2">
        <f>IF(E5575="","",IF(ISNUMBER(SEARCH("SUBSOLO",E5575)),IFERROR(-VALUE(LEFT(E5575,FIND("º",SUBSTITUTE(E5575,"°","º"))-1)),-1),IF(LEFT(E5575,6)="TÉRREO",0,IFERROR(VALUE(LEFT(E5575,FIND("º",SUBSTITUTE(E5575,"°","º"))-1)),""))))</f>
        <v/>
      </c>
      <c r="O5575" s="2">
        <f>IF(OR(F5575="",G5575=""),"",IF(G5575&lt;='RETRATO 2027'!$K$5,"CONCLUÍDA",IF(F5575&lt;='RETRATO 2027'!$K$5,"EM ANDAMENTO","A INICIAR")))</f>
        <v/>
      </c>
    </row>
    <row r="5576">
      <c r="M5576" s="2">
        <f>IF(C5576="","",IFERROR(INDEX($S$5:$S$304,MATCH(C5576,$R$5:$R$304,0))&amp;"","?"))</f>
        <v/>
      </c>
      <c r="N5576" s="2">
        <f>IF(E5576="","",IF(ISNUMBER(SEARCH("SUBSOLO",E5576)),IFERROR(-VALUE(LEFT(E5576,FIND("º",SUBSTITUTE(E5576,"°","º"))-1)),-1),IF(LEFT(E5576,6)="TÉRREO",0,IFERROR(VALUE(LEFT(E5576,FIND("º",SUBSTITUTE(E5576,"°","º"))-1)),""))))</f>
        <v/>
      </c>
      <c r="O5576" s="2">
        <f>IF(OR(F5576="",G5576=""),"",IF(G5576&lt;='RETRATO 2027'!$K$5,"CONCLUÍDA",IF(F5576&lt;='RETRATO 2027'!$K$5,"EM ANDAMENTO","A INICIAR")))</f>
        <v/>
      </c>
    </row>
    <row r="5577">
      <c r="M5577" s="2">
        <f>IF(C5577="","",IFERROR(INDEX($S$5:$S$304,MATCH(C5577,$R$5:$R$304,0))&amp;"","?"))</f>
        <v/>
      </c>
      <c r="N5577" s="2">
        <f>IF(E5577="","",IF(ISNUMBER(SEARCH("SUBSOLO",E5577)),IFERROR(-VALUE(LEFT(E5577,FIND("º",SUBSTITUTE(E5577,"°","º"))-1)),-1),IF(LEFT(E5577,6)="TÉRREO",0,IFERROR(VALUE(LEFT(E5577,FIND("º",SUBSTITUTE(E5577,"°","º"))-1)),""))))</f>
        <v/>
      </c>
      <c r="O5577" s="2">
        <f>IF(OR(F5577="",G5577=""),"",IF(G5577&lt;='RETRATO 2027'!$K$5,"CONCLUÍDA",IF(F5577&lt;='RETRATO 2027'!$K$5,"EM ANDAMENTO","A INICIAR")))</f>
        <v/>
      </c>
    </row>
    <row r="5578">
      <c r="M5578" s="2">
        <f>IF(C5578="","",IFERROR(INDEX($S$5:$S$304,MATCH(C5578,$R$5:$R$304,0))&amp;"","?"))</f>
        <v/>
      </c>
      <c r="N5578" s="2">
        <f>IF(E5578="","",IF(ISNUMBER(SEARCH("SUBSOLO",E5578)),IFERROR(-VALUE(LEFT(E5578,FIND("º",SUBSTITUTE(E5578,"°","º"))-1)),-1),IF(LEFT(E5578,6)="TÉRREO",0,IFERROR(VALUE(LEFT(E5578,FIND("º",SUBSTITUTE(E5578,"°","º"))-1)),""))))</f>
        <v/>
      </c>
      <c r="O5578" s="2">
        <f>IF(OR(F5578="",G5578=""),"",IF(G5578&lt;='RETRATO 2027'!$K$5,"CONCLUÍDA",IF(F5578&lt;='RETRATO 2027'!$K$5,"EM ANDAMENTO","A INICIAR")))</f>
        <v/>
      </c>
    </row>
    <row r="5579">
      <c r="M5579" s="2">
        <f>IF(C5579="","",IFERROR(INDEX($S$5:$S$304,MATCH(C5579,$R$5:$R$304,0))&amp;"","?"))</f>
        <v/>
      </c>
      <c r="N5579" s="2">
        <f>IF(E5579="","",IF(ISNUMBER(SEARCH("SUBSOLO",E5579)),IFERROR(-VALUE(LEFT(E5579,FIND("º",SUBSTITUTE(E5579,"°","º"))-1)),-1),IF(LEFT(E5579,6)="TÉRREO",0,IFERROR(VALUE(LEFT(E5579,FIND("º",SUBSTITUTE(E5579,"°","º"))-1)),""))))</f>
        <v/>
      </c>
      <c r="O5579" s="2">
        <f>IF(OR(F5579="",G5579=""),"",IF(G5579&lt;='RETRATO 2027'!$K$5,"CONCLUÍDA",IF(F5579&lt;='RETRATO 2027'!$K$5,"EM ANDAMENTO","A INICIAR")))</f>
        <v/>
      </c>
    </row>
    <row r="5580">
      <c r="M5580" s="2">
        <f>IF(C5580="","",IFERROR(INDEX($S$5:$S$304,MATCH(C5580,$R$5:$R$304,0))&amp;"","?"))</f>
        <v/>
      </c>
      <c r="N5580" s="2">
        <f>IF(E5580="","",IF(ISNUMBER(SEARCH("SUBSOLO",E5580)),IFERROR(-VALUE(LEFT(E5580,FIND("º",SUBSTITUTE(E5580,"°","º"))-1)),-1),IF(LEFT(E5580,6)="TÉRREO",0,IFERROR(VALUE(LEFT(E5580,FIND("º",SUBSTITUTE(E5580,"°","º"))-1)),""))))</f>
        <v/>
      </c>
      <c r="O5580" s="2">
        <f>IF(OR(F5580="",G5580=""),"",IF(G5580&lt;='RETRATO 2027'!$K$5,"CONCLUÍDA",IF(F5580&lt;='RETRATO 2027'!$K$5,"EM ANDAMENTO","A INICIAR")))</f>
        <v/>
      </c>
    </row>
    <row r="5581">
      <c r="M5581" s="2">
        <f>IF(C5581="","",IFERROR(INDEX($S$5:$S$304,MATCH(C5581,$R$5:$R$304,0))&amp;"","?"))</f>
        <v/>
      </c>
      <c r="N5581" s="2">
        <f>IF(E5581="","",IF(ISNUMBER(SEARCH("SUBSOLO",E5581)),IFERROR(-VALUE(LEFT(E5581,FIND("º",SUBSTITUTE(E5581,"°","º"))-1)),-1),IF(LEFT(E5581,6)="TÉRREO",0,IFERROR(VALUE(LEFT(E5581,FIND("º",SUBSTITUTE(E5581,"°","º"))-1)),""))))</f>
        <v/>
      </c>
      <c r="O5581" s="2">
        <f>IF(OR(F5581="",G5581=""),"",IF(G5581&lt;='RETRATO 2027'!$K$5,"CONCLUÍDA",IF(F5581&lt;='RETRATO 2027'!$K$5,"EM ANDAMENTO","A INICIAR")))</f>
        <v/>
      </c>
    </row>
    <row r="5582">
      <c r="M5582" s="2">
        <f>IF(C5582="","",IFERROR(INDEX($S$5:$S$304,MATCH(C5582,$R$5:$R$304,0))&amp;"","?"))</f>
        <v/>
      </c>
      <c r="N5582" s="2">
        <f>IF(E5582="","",IF(ISNUMBER(SEARCH("SUBSOLO",E5582)),IFERROR(-VALUE(LEFT(E5582,FIND("º",SUBSTITUTE(E5582,"°","º"))-1)),-1),IF(LEFT(E5582,6)="TÉRREO",0,IFERROR(VALUE(LEFT(E5582,FIND("º",SUBSTITUTE(E5582,"°","º"))-1)),""))))</f>
        <v/>
      </c>
      <c r="O5582" s="2">
        <f>IF(OR(F5582="",G5582=""),"",IF(G5582&lt;='RETRATO 2027'!$K$5,"CONCLUÍDA",IF(F5582&lt;='RETRATO 2027'!$K$5,"EM ANDAMENTO","A INICIAR")))</f>
        <v/>
      </c>
    </row>
    <row r="5583">
      <c r="M5583" s="2">
        <f>IF(C5583="","",IFERROR(INDEX($S$5:$S$304,MATCH(C5583,$R$5:$R$304,0))&amp;"","?"))</f>
        <v/>
      </c>
      <c r="N5583" s="2">
        <f>IF(E5583="","",IF(ISNUMBER(SEARCH("SUBSOLO",E5583)),IFERROR(-VALUE(LEFT(E5583,FIND("º",SUBSTITUTE(E5583,"°","º"))-1)),-1),IF(LEFT(E5583,6)="TÉRREO",0,IFERROR(VALUE(LEFT(E5583,FIND("º",SUBSTITUTE(E5583,"°","º"))-1)),""))))</f>
        <v/>
      </c>
      <c r="O5583" s="2">
        <f>IF(OR(F5583="",G5583=""),"",IF(G5583&lt;='RETRATO 2027'!$K$5,"CONCLUÍDA",IF(F5583&lt;='RETRATO 2027'!$K$5,"EM ANDAMENTO","A INICIAR")))</f>
        <v/>
      </c>
    </row>
    <row r="5584">
      <c r="M5584" s="2">
        <f>IF(C5584="","",IFERROR(INDEX($S$5:$S$304,MATCH(C5584,$R$5:$R$304,0))&amp;"","?"))</f>
        <v/>
      </c>
      <c r="N5584" s="2">
        <f>IF(E5584="","",IF(ISNUMBER(SEARCH("SUBSOLO",E5584)),IFERROR(-VALUE(LEFT(E5584,FIND("º",SUBSTITUTE(E5584,"°","º"))-1)),-1),IF(LEFT(E5584,6)="TÉRREO",0,IFERROR(VALUE(LEFT(E5584,FIND("º",SUBSTITUTE(E5584,"°","º"))-1)),""))))</f>
        <v/>
      </c>
      <c r="O5584" s="2">
        <f>IF(OR(F5584="",G5584=""),"",IF(G5584&lt;='RETRATO 2027'!$K$5,"CONCLUÍDA",IF(F5584&lt;='RETRATO 2027'!$K$5,"EM ANDAMENTO","A INICIAR")))</f>
        <v/>
      </c>
    </row>
    <row r="5585">
      <c r="M5585" s="2">
        <f>IF(C5585="","",IFERROR(INDEX($S$5:$S$304,MATCH(C5585,$R$5:$R$304,0))&amp;"","?"))</f>
        <v/>
      </c>
      <c r="N5585" s="2">
        <f>IF(E5585="","",IF(ISNUMBER(SEARCH("SUBSOLO",E5585)),IFERROR(-VALUE(LEFT(E5585,FIND("º",SUBSTITUTE(E5585,"°","º"))-1)),-1),IF(LEFT(E5585,6)="TÉRREO",0,IFERROR(VALUE(LEFT(E5585,FIND("º",SUBSTITUTE(E5585,"°","º"))-1)),""))))</f>
        <v/>
      </c>
      <c r="O5585" s="2">
        <f>IF(OR(F5585="",G5585=""),"",IF(G5585&lt;='RETRATO 2027'!$K$5,"CONCLUÍDA",IF(F5585&lt;='RETRATO 2027'!$K$5,"EM ANDAMENTO","A INICIAR")))</f>
        <v/>
      </c>
    </row>
    <row r="5586">
      <c r="M5586" s="2">
        <f>IF(C5586="","",IFERROR(INDEX($S$5:$S$304,MATCH(C5586,$R$5:$R$304,0))&amp;"","?"))</f>
        <v/>
      </c>
      <c r="N5586" s="2">
        <f>IF(E5586="","",IF(ISNUMBER(SEARCH("SUBSOLO",E5586)),IFERROR(-VALUE(LEFT(E5586,FIND("º",SUBSTITUTE(E5586,"°","º"))-1)),-1),IF(LEFT(E5586,6)="TÉRREO",0,IFERROR(VALUE(LEFT(E5586,FIND("º",SUBSTITUTE(E5586,"°","º"))-1)),""))))</f>
        <v/>
      </c>
      <c r="O5586" s="2">
        <f>IF(OR(F5586="",G5586=""),"",IF(G5586&lt;='RETRATO 2027'!$K$5,"CONCLUÍDA",IF(F5586&lt;='RETRATO 2027'!$K$5,"EM ANDAMENTO","A INICIAR")))</f>
        <v/>
      </c>
    </row>
    <row r="5587">
      <c r="M5587" s="2">
        <f>IF(C5587="","",IFERROR(INDEX($S$5:$S$304,MATCH(C5587,$R$5:$R$304,0))&amp;"","?"))</f>
        <v/>
      </c>
      <c r="N5587" s="2">
        <f>IF(E5587="","",IF(ISNUMBER(SEARCH("SUBSOLO",E5587)),IFERROR(-VALUE(LEFT(E5587,FIND("º",SUBSTITUTE(E5587,"°","º"))-1)),-1),IF(LEFT(E5587,6)="TÉRREO",0,IFERROR(VALUE(LEFT(E5587,FIND("º",SUBSTITUTE(E5587,"°","º"))-1)),""))))</f>
        <v/>
      </c>
      <c r="O5587" s="2">
        <f>IF(OR(F5587="",G5587=""),"",IF(G5587&lt;='RETRATO 2027'!$K$5,"CONCLUÍDA",IF(F5587&lt;='RETRATO 2027'!$K$5,"EM ANDAMENTO","A INICIAR")))</f>
        <v/>
      </c>
    </row>
    <row r="5588">
      <c r="M5588" s="2">
        <f>IF(C5588="","",IFERROR(INDEX($S$5:$S$304,MATCH(C5588,$R$5:$R$304,0))&amp;"","?"))</f>
        <v/>
      </c>
      <c r="N5588" s="2">
        <f>IF(E5588="","",IF(ISNUMBER(SEARCH("SUBSOLO",E5588)),IFERROR(-VALUE(LEFT(E5588,FIND("º",SUBSTITUTE(E5588,"°","º"))-1)),-1),IF(LEFT(E5588,6)="TÉRREO",0,IFERROR(VALUE(LEFT(E5588,FIND("º",SUBSTITUTE(E5588,"°","º"))-1)),""))))</f>
        <v/>
      </c>
      <c r="O5588" s="2">
        <f>IF(OR(F5588="",G5588=""),"",IF(G5588&lt;='RETRATO 2027'!$K$5,"CONCLUÍDA",IF(F5588&lt;='RETRATO 2027'!$K$5,"EM ANDAMENTO","A INICIAR")))</f>
        <v/>
      </c>
    </row>
    <row r="5589">
      <c r="M5589" s="2">
        <f>IF(C5589="","",IFERROR(INDEX($S$5:$S$304,MATCH(C5589,$R$5:$R$304,0))&amp;"","?"))</f>
        <v/>
      </c>
      <c r="N5589" s="2">
        <f>IF(E5589="","",IF(ISNUMBER(SEARCH("SUBSOLO",E5589)),IFERROR(-VALUE(LEFT(E5589,FIND("º",SUBSTITUTE(E5589,"°","º"))-1)),-1),IF(LEFT(E5589,6)="TÉRREO",0,IFERROR(VALUE(LEFT(E5589,FIND("º",SUBSTITUTE(E5589,"°","º"))-1)),""))))</f>
        <v/>
      </c>
      <c r="O5589" s="2">
        <f>IF(OR(F5589="",G5589=""),"",IF(G5589&lt;='RETRATO 2027'!$K$5,"CONCLUÍDA",IF(F5589&lt;='RETRATO 2027'!$K$5,"EM ANDAMENTO","A INICIAR")))</f>
        <v/>
      </c>
    </row>
    <row r="5590">
      <c r="M5590" s="2">
        <f>IF(C5590="","",IFERROR(INDEX($S$5:$S$304,MATCH(C5590,$R$5:$R$304,0))&amp;"","?"))</f>
        <v/>
      </c>
      <c r="N5590" s="2">
        <f>IF(E5590="","",IF(ISNUMBER(SEARCH("SUBSOLO",E5590)),IFERROR(-VALUE(LEFT(E5590,FIND("º",SUBSTITUTE(E5590,"°","º"))-1)),-1),IF(LEFT(E5590,6)="TÉRREO",0,IFERROR(VALUE(LEFT(E5590,FIND("º",SUBSTITUTE(E5590,"°","º"))-1)),""))))</f>
        <v/>
      </c>
      <c r="O5590" s="2">
        <f>IF(OR(F5590="",G5590=""),"",IF(G5590&lt;='RETRATO 2027'!$K$5,"CONCLUÍDA",IF(F5590&lt;='RETRATO 2027'!$K$5,"EM ANDAMENTO","A INICIAR")))</f>
        <v/>
      </c>
    </row>
    <row r="5591">
      <c r="M5591" s="2">
        <f>IF(C5591="","",IFERROR(INDEX($S$5:$S$304,MATCH(C5591,$R$5:$R$304,0))&amp;"","?"))</f>
        <v/>
      </c>
      <c r="N5591" s="2">
        <f>IF(E5591="","",IF(ISNUMBER(SEARCH("SUBSOLO",E5591)),IFERROR(-VALUE(LEFT(E5591,FIND("º",SUBSTITUTE(E5591,"°","º"))-1)),-1),IF(LEFT(E5591,6)="TÉRREO",0,IFERROR(VALUE(LEFT(E5591,FIND("º",SUBSTITUTE(E5591,"°","º"))-1)),""))))</f>
        <v/>
      </c>
      <c r="O5591" s="2">
        <f>IF(OR(F5591="",G5591=""),"",IF(G5591&lt;='RETRATO 2027'!$K$5,"CONCLUÍDA",IF(F5591&lt;='RETRATO 2027'!$K$5,"EM ANDAMENTO","A INICIAR")))</f>
        <v/>
      </c>
    </row>
    <row r="5592">
      <c r="M5592" s="2">
        <f>IF(C5592="","",IFERROR(INDEX($S$5:$S$304,MATCH(C5592,$R$5:$R$304,0))&amp;"","?"))</f>
        <v/>
      </c>
      <c r="N5592" s="2">
        <f>IF(E5592="","",IF(ISNUMBER(SEARCH("SUBSOLO",E5592)),IFERROR(-VALUE(LEFT(E5592,FIND("º",SUBSTITUTE(E5592,"°","º"))-1)),-1),IF(LEFT(E5592,6)="TÉRREO",0,IFERROR(VALUE(LEFT(E5592,FIND("º",SUBSTITUTE(E5592,"°","º"))-1)),""))))</f>
        <v/>
      </c>
      <c r="O5592" s="2">
        <f>IF(OR(F5592="",G5592=""),"",IF(G5592&lt;='RETRATO 2027'!$K$5,"CONCLUÍDA",IF(F5592&lt;='RETRATO 2027'!$K$5,"EM ANDAMENTO","A INICIAR")))</f>
        <v/>
      </c>
    </row>
    <row r="5593">
      <c r="M5593" s="2">
        <f>IF(C5593="","",IFERROR(INDEX($S$5:$S$304,MATCH(C5593,$R$5:$R$304,0))&amp;"","?"))</f>
        <v/>
      </c>
      <c r="N5593" s="2">
        <f>IF(E5593="","",IF(ISNUMBER(SEARCH("SUBSOLO",E5593)),IFERROR(-VALUE(LEFT(E5593,FIND("º",SUBSTITUTE(E5593,"°","º"))-1)),-1),IF(LEFT(E5593,6)="TÉRREO",0,IFERROR(VALUE(LEFT(E5593,FIND("º",SUBSTITUTE(E5593,"°","º"))-1)),""))))</f>
        <v/>
      </c>
      <c r="O5593" s="2">
        <f>IF(OR(F5593="",G5593=""),"",IF(G5593&lt;='RETRATO 2027'!$K$5,"CONCLUÍDA",IF(F5593&lt;='RETRATO 2027'!$K$5,"EM ANDAMENTO","A INICIAR")))</f>
        <v/>
      </c>
    </row>
    <row r="5594">
      <c r="M5594" s="2">
        <f>IF(C5594="","",IFERROR(INDEX($S$5:$S$304,MATCH(C5594,$R$5:$R$304,0))&amp;"","?"))</f>
        <v/>
      </c>
      <c r="N5594" s="2">
        <f>IF(E5594="","",IF(ISNUMBER(SEARCH("SUBSOLO",E5594)),IFERROR(-VALUE(LEFT(E5594,FIND("º",SUBSTITUTE(E5594,"°","º"))-1)),-1),IF(LEFT(E5594,6)="TÉRREO",0,IFERROR(VALUE(LEFT(E5594,FIND("º",SUBSTITUTE(E5594,"°","º"))-1)),""))))</f>
        <v/>
      </c>
      <c r="O5594" s="2">
        <f>IF(OR(F5594="",G5594=""),"",IF(G5594&lt;='RETRATO 2027'!$K$5,"CONCLUÍDA",IF(F5594&lt;='RETRATO 2027'!$K$5,"EM ANDAMENTO","A INICIAR")))</f>
        <v/>
      </c>
    </row>
    <row r="5595">
      <c r="M5595" s="2">
        <f>IF(C5595="","",IFERROR(INDEX($S$5:$S$304,MATCH(C5595,$R$5:$R$304,0))&amp;"","?"))</f>
        <v/>
      </c>
      <c r="N5595" s="2">
        <f>IF(E5595="","",IF(ISNUMBER(SEARCH("SUBSOLO",E5595)),IFERROR(-VALUE(LEFT(E5595,FIND("º",SUBSTITUTE(E5595,"°","º"))-1)),-1),IF(LEFT(E5595,6)="TÉRREO",0,IFERROR(VALUE(LEFT(E5595,FIND("º",SUBSTITUTE(E5595,"°","º"))-1)),""))))</f>
        <v/>
      </c>
      <c r="O5595" s="2">
        <f>IF(OR(F5595="",G5595=""),"",IF(G5595&lt;='RETRATO 2027'!$K$5,"CONCLUÍDA",IF(F5595&lt;='RETRATO 2027'!$K$5,"EM ANDAMENTO","A INICIAR")))</f>
        <v/>
      </c>
    </row>
    <row r="5596">
      <c r="M5596" s="2">
        <f>IF(C5596="","",IFERROR(INDEX($S$5:$S$304,MATCH(C5596,$R$5:$R$304,0))&amp;"","?"))</f>
        <v/>
      </c>
      <c r="N5596" s="2">
        <f>IF(E5596="","",IF(ISNUMBER(SEARCH("SUBSOLO",E5596)),IFERROR(-VALUE(LEFT(E5596,FIND("º",SUBSTITUTE(E5596,"°","º"))-1)),-1),IF(LEFT(E5596,6)="TÉRREO",0,IFERROR(VALUE(LEFT(E5596,FIND("º",SUBSTITUTE(E5596,"°","º"))-1)),""))))</f>
        <v/>
      </c>
      <c r="O5596" s="2">
        <f>IF(OR(F5596="",G5596=""),"",IF(G5596&lt;='RETRATO 2027'!$K$5,"CONCLUÍDA",IF(F5596&lt;='RETRATO 2027'!$K$5,"EM ANDAMENTO","A INICIAR")))</f>
        <v/>
      </c>
    </row>
    <row r="5597">
      <c r="M5597" s="2">
        <f>IF(C5597="","",IFERROR(INDEX($S$5:$S$304,MATCH(C5597,$R$5:$R$304,0))&amp;"","?"))</f>
        <v/>
      </c>
      <c r="N5597" s="2">
        <f>IF(E5597="","",IF(ISNUMBER(SEARCH("SUBSOLO",E5597)),IFERROR(-VALUE(LEFT(E5597,FIND("º",SUBSTITUTE(E5597,"°","º"))-1)),-1),IF(LEFT(E5597,6)="TÉRREO",0,IFERROR(VALUE(LEFT(E5597,FIND("º",SUBSTITUTE(E5597,"°","º"))-1)),""))))</f>
        <v/>
      </c>
      <c r="O5597" s="2">
        <f>IF(OR(F5597="",G5597=""),"",IF(G5597&lt;='RETRATO 2027'!$K$5,"CONCLUÍDA",IF(F5597&lt;='RETRATO 2027'!$K$5,"EM ANDAMENTO","A INICIAR")))</f>
        <v/>
      </c>
    </row>
    <row r="5598">
      <c r="M5598" s="2">
        <f>IF(C5598="","",IFERROR(INDEX($S$5:$S$304,MATCH(C5598,$R$5:$R$304,0))&amp;"","?"))</f>
        <v/>
      </c>
      <c r="N5598" s="2">
        <f>IF(E5598="","",IF(ISNUMBER(SEARCH("SUBSOLO",E5598)),IFERROR(-VALUE(LEFT(E5598,FIND("º",SUBSTITUTE(E5598,"°","º"))-1)),-1),IF(LEFT(E5598,6)="TÉRREO",0,IFERROR(VALUE(LEFT(E5598,FIND("º",SUBSTITUTE(E5598,"°","º"))-1)),""))))</f>
        <v/>
      </c>
      <c r="O5598" s="2">
        <f>IF(OR(F5598="",G5598=""),"",IF(G5598&lt;='RETRATO 2027'!$K$5,"CONCLUÍDA",IF(F5598&lt;='RETRATO 2027'!$K$5,"EM ANDAMENTO","A INICIAR")))</f>
        <v/>
      </c>
    </row>
    <row r="5599">
      <c r="M5599" s="2">
        <f>IF(C5599="","",IFERROR(INDEX($S$5:$S$304,MATCH(C5599,$R$5:$R$304,0))&amp;"","?"))</f>
        <v/>
      </c>
      <c r="N5599" s="2">
        <f>IF(E5599="","",IF(ISNUMBER(SEARCH("SUBSOLO",E5599)),IFERROR(-VALUE(LEFT(E5599,FIND("º",SUBSTITUTE(E5599,"°","º"))-1)),-1),IF(LEFT(E5599,6)="TÉRREO",0,IFERROR(VALUE(LEFT(E5599,FIND("º",SUBSTITUTE(E5599,"°","º"))-1)),""))))</f>
        <v/>
      </c>
      <c r="O5599" s="2">
        <f>IF(OR(F5599="",G5599=""),"",IF(G5599&lt;='RETRATO 2027'!$K$5,"CONCLUÍDA",IF(F5599&lt;='RETRATO 2027'!$K$5,"EM ANDAMENTO","A INICIAR")))</f>
        <v/>
      </c>
    </row>
    <row r="5600">
      <c r="M5600" s="2">
        <f>IF(C5600="","",IFERROR(INDEX($S$5:$S$304,MATCH(C5600,$R$5:$R$304,0))&amp;"","?"))</f>
        <v/>
      </c>
      <c r="N5600" s="2">
        <f>IF(E5600="","",IF(ISNUMBER(SEARCH("SUBSOLO",E5600)),IFERROR(-VALUE(LEFT(E5600,FIND("º",SUBSTITUTE(E5600,"°","º"))-1)),-1),IF(LEFT(E5600,6)="TÉRREO",0,IFERROR(VALUE(LEFT(E5600,FIND("º",SUBSTITUTE(E5600,"°","º"))-1)),""))))</f>
        <v/>
      </c>
      <c r="O5600" s="2">
        <f>IF(OR(F5600="",G5600=""),"",IF(G5600&lt;='RETRATO 2027'!$K$5,"CONCLUÍDA",IF(F5600&lt;='RETRATO 2027'!$K$5,"EM ANDAMENTO","A INICIAR")))</f>
        <v/>
      </c>
    </row>
    <row r="5601">
      <c r="M5601" s="2">
        <f>IF(C5601="","",IFERROR(INDEX($S$5:$S$304,MATCH(C5601,$R$5:$R$304,0))&amp;"","?"))</f>
        <v/>
      </c>
      <c r="N5601" s="2">
        <f>IF(E5601="","",IF(ISNUMBER(SEARCH("SUBSOLO",E5601)),IFERROR(-VALUE(LEFT(E5601,FIND("º",SUBSTITUTE(E5601,"°","º"))-1)),-1),IF(LEFT(E5601,6)="TÉRREO",0,IFERROR(VALUE(LEFT(E5601,FIND("º",SUBSTITUTE(E5601,"°","º"))-1)),""))))</f>
        <v/>
      </c>
      <c r="O5601" s="2">
        <f>IF(OR(F5601="",G5601=""),"",IF(G5601&lt;='RETRATO 2027'!$K$5,"CONCLUÍDA",IF(F5601&lt;='RETRATO 2027'!$K$5,"EM ANDAMENTO","A INICIAR")))</f>
        <v/>
      </c>
    </row>
    <row r="5602">
      <c r="M5602" s="2">
        <f>IF(C5602="","",IFERROR(INDEX($S$5:$S$304,MATCH(C5602,$R$5:$R$304,0))&amp;"","?"))</f>
        <v/>
      </c>
      <c r="N5602" s="2">
        <f>IF(E5602="","",IF(ISNUMBER(SEARCH("SUBSOLO",E5602)),IFERROR(-VALUE(LEFT(E5602,FIND("º",SUBSTITUTE(E5602,"°","º"))-1)),-1),IF(LEFT(E5602,6)="TÉRREO",0,IFERROR(VALUE(LEFT(E5602,FIND("º",SUBSTITUTE(E5602,"°","º"))-1)),""))))</f>
        <v/>
      </c>
      <c r="O5602" s="2">
        <f>IF(OR(F5602="",G5602=""),"",IF(G5602&lt;='RETRATO 2027'!$K$5,"CONCLUÍDA",IF(F5602&lt;='RETRATO 2027'!$K$5,"EM ANDAMENTO","A INICIAR")))</f>
        <v/>
      </c>
    </row>
    <row r="5603">
      <c r="M5603" s="2">
        <f>IF(C5603="","",IFERROR(INDEX($S$5:$S$304,MATCH(C5603,$R$5:$R$304,0))&amp;"","?"))</f>
        <v/>
      </c>
      <c r="N5603" s="2">
        <f>IF(E5603="","",IF(ISNUMBER(SEARCH("SUBSOLO",E5603)),IFERROR(-VALUE(LEFT(E5603,FIND("º",SUBSTITUTE(E5603,"°","º"))-1)),-1),IF(LEFT(E5603,6)="TÉRREO",0,IFERROR(VALUE(LEFT(E5603,FIND("º",SUBSTITUTE(E5603,"°","º"))-1)),""))))</f>
        <v/>
      </c>
      <c r="O5603" s="2">
        <f>IF(OR(F5603="",G5603=""),"",IF(G5603&lt;='RETRATO 2027'!$K$5,"CONCLUÍDA",IF(F5603&lt;='RETRATO 2027'!$K$5,"EM ANDAMENTO","A INICIAR")))</f>
        <v/>
      </c>
    </row>
    <row r="5604">
      <c r="M5604" s="2">
        <f>IF(C5604="","",IFERROR(INDEX($S$5:$S$304,MATCH(C5604,$R$5:$R$304,0))&amp;"","?"))</f>
        <v/>
      </c>
      <c r="N5604" s="2">
        <f>IF(E5604="","",IF(ISNUMBER(SEARCH("SUBSOLO",E5604)),IFERROR(-VALUE(LEFT(E5604,FIND("º",SUBSTITUTE(E5604,"°","º"))-1)),-1),IF(LEFT(E5604,6)="TÉRREO",0,IFERROR(VALUE(LEFT(E5604,FIND("º",SUBSTITUTE(E5604,"°","º"))-1)),""))))</f>
        <v/>
      </c>
      <c r="O5604" s="2">
        <f>IF(OR(F5604="",G5604=""),"",IF(G5604&lt;='RETRATO 2027'!$K$5,"CONCLUÍDA",IF(F5604&lt;='RETRATO 2027'!$K$5,"EM ANDAMENTO","A INICIAR")))</f>
        <v/>
      </c>
    </row>
    <row r="5605">
      <c r="M5605" s="2">
        <f>IF(C5605="","",IFERROR(INDEX($S$5:$S$304,MATCH(C5605,$R$5:$R$304,0))&amp;"","?"))</f>
        <v/>
      </c>
      <c r="N5605" s="2">
        <f>IF(E5605="","",IF(ISNUMBER(SEARCH("SUBSOLO",E5605)),IFERROR(-VALUE(LEFT(E5605,FIND("º",SUBSTITUTE(E5605,"°","º"))-1)),-1),IF(LEFT(E5605,6)="TÉRREO",0,IFERROR(VALUE(LEFT(E5605,FIND("º",SUBSTITUTE(E5605,"°","º"))-1)),""))))</f>
        <v/>
      </c>
      <c r="O5605" s="2">
        <f>IF(OR(F5605="",G5605=""),"",IF(G5605&lt;='RETRATO 2027'!$K$5,"CONCLUÍDA",IF(F5605&lt;='RETRATO 2027'!$K$5,"EM ANDAMENTO","A INICIAR")))</f>
        <v/>
      </c>
    </row>
    <row r="5606">
      <c r="M5606" s="2">
        <f>IF(C5606="","",IFERROR(INDEX($S$5:$S$304,MATCH(C5606,$R$5:$R$304,0))&amp;"","?"))</f>
        <v/>
      </c>
      <c r="N5606" s="2">
        <f>IF(E5606="","",IF(ISNUMBER(SEARCH("SUBSOLO",E5606)),IFERROR(-VALUE(LEFT(E5606,FIND("º",SUBSTITUTE(E5606,"°","º"))-1)),-1),IF(LEFT(E5606,6)="TÉRREO",0,IFERROR(VALUE(LEFT(E5606,FIND("º",SUBSTITUTE(E5606,"°","º"))-1)),""))))</f>
        <v/>
      </c>
      <c r="O5606" s="2">
        <f>IF(OR(F5606="",G5606=""),"",IF(G5606&lt;='RETRATO 2027'!$K$5,"CONCLUÍDA",IF(F5606&lt;='RETRATO 2027'!$K$5,"EM ANDAMENTO","A INICIAR")))</f>
        <v/>
      </c>
    </row>
    <row r="5607">
      <c r="M5607" s="2">
        <f>IF(C5607="","",IFERROR(INDEX($S$5:$S$304,MATCH(C5607,$R$5:$R$304,0))&amp;"","?"))</f>
        <v/>
      </c>
      <c r="N5607" s="2">
        <f>IF(E5607="","",IF(ISNUMBER(SEARCH("SUBSOLO",E5607)),IFERROR(-VALUE(LEFT(E5607,FIND("º",SUBSTITUTE(E5607,"°","º"))-1)),-1),IF(LEFT(E5607,6)="TÉRREO",0,IFERROR(VALUE(LEFT(E5607,FIND("º",SUBSTITUTE(E5607,"°","º"))-1)),""))))</f>
        <v/>
      </c>
      <c r="O5607" s="2">
        <f>IF(OR(F5607="",G5607=""),"",IF(G5607&lt;='RETRATO 2027'!$K$5,"CONCLUÍDA",IF(F5607&lt;='RETRATO 2027'!$K$5,"EM ANDAMENTO","A INICIAR")))</f>
        <v/>
      </c>
    </row>
    <row r="5608">
      <c r="M5608" s="2">
        <f>IF(C5608="","",IFERROR(INDEX($S$5:$S$304,MATCH(C5608,$R$5:$R$304,0))&amp;"","?"))</f>
        <v/>
      </c>
      <c r="N5608" s="2">
        <f>IF(E5608="","",IF(ISNUMBER(SEARCH("SUBSOLO",E5608)),IFERROR(-VALUE(LEFT(E5608,FIND("º",SUBSTITUTE(E5608,"°","º"))-1)),-1),IF(LEFT(E5608,6)="TÉRREO",0,IFERROR(VALUE(LEFT(E5608,FIND("º",SUBSTITUTE(E5608,"°","º"))-1)),""))))</f>
        <v/>
      </c>
      <c r="O5608" s="2">
        <f>IF(OR(F5608="",G5608=""),"",IF(G5608&lt;='RETRATO 2027'!$K$5,"CONCLUÍDA",IF(F5608&lt;='RETRATO 2027'!$K$5,"EM ANDAMENTO","A INICIAR")))</f>
        <v/>
      </c>
    </row>
    <row r="5609">
      <c r="M5609" s="2">
        <f>IF(C5609="","",IFERROR(INDEX($S$5:$S$304,MATCH(C5609,$R$5:$R$304,0))&amp;"","?"))</f>
        <v/>
      </c>
      <c r="N5609" s="2">
        <f>IF(E5609="","",IF(ISNUMBER(SEARCH("SUBSOLO",E5609)),IFERROR(-VALUE(LEFT(E5609,FIND("º",SUBSTITUTE(E5609,"°","º"))-1)),-1),IF(LEFT(E5609,6)="TÉRREO",0,IFERROR(VALUE(LEFT(E5609,FIND("º",SUBSTITUTE(E5609,"°","º"))-1)),""))))</f>
        <v/>
      </c>
      <c r="O5609" s="2">
        <f>IF(OR(F5609="",G5609=""),"",IF(G5609&lt;='RETRATO 2027'!$K$5,"CONCLUÍDA",IF(F5609&lt;='RETRATO 2027'!$K$5,"EM ANDAMENTO","A INICIAR")))</f>
        <v/>
      </c>
    </row>
    <row r="5610">
      <c r="M5610" s="2">
        <f>IF(C5610="","",IFERROR(INDEX($S$5:$S$304,MATCH(C5610,$R$5:$R$304,0))&amp;"","?"))</f>
        <v/>
      </c>
      <c r="N5610" s="2">
        <f>IF(E5610="","",IF(ISNUMBER(SEARCH("SUBSOLO",E5610)),IFERROR(-VALUE(LEFT(E5610,FIND("º",SUBSTITUTE(E5610,"°","º"))-1)),-1),IF(LEFT(E5610,6)="TÉRREO",0,IFERROR(VALUE(LEFT(E5610,FIND("º",SUBSTITUTE(E5610,"°","º"))-1)),""))))</f>
        <v/>
      </c>
      <c r="O5610" s="2">
        <f>IF(OR(F5610="",G5610=""),"",IF(G5610&lt;='RETRATO 2027'!$K$5,"CONCLUÍDA",IF(F5610&lt;='RETRATO 2027'!$K$5,"EM ANDAMENTO","A INICIAR")))</f>
        <v/>
      </c>
    </row>
    <row r="5611">
      <c r="M5611" s="2">
        <f>IF(C5611="","",IFERROR(INDEX($S$5:$S$304,MATCH(C5611,$R$5:$R$304,0))&amp;"","?"))</f>
        <v/>
      </c>
      <c r="N5611" s="2">
        <f>IF(E5611="","",IF(ISNUMBER(SEARCH("SUBSOLO",E5611)),IFERROR(-VALUE(LEFT(E5611,FIND("º",SUBSTITUTE(E5611,"°","º"))-1)),-1),IF(LEFT(E5611,6)="TÉRREO",0,IFERROR(VALUE(LEFT(E5611,FIND("º",SUBSTITUTE(E5611,"°","º"))-1)),""))))</f>
        <v/>
      </c>
      <c r="O5611" s="2">
        <f>IF(OR(F5611="",G5611=""),"",IF(G5611&lt;='RETRATO 2027'!$K$5,"CONCLUÍDA",IF(F5611&lt;='RETRATO 2027'!$K$5,"EM ANDAMENTO","A INICIAR")))</f>
        <v/>
      </c>
    </row>
    <row r="5612">
      <c r="M5612" s="2">
        <f>IF(C5612="","",IFERROR(INDEX($S$5:$S$304,MATCH(C5612,$R$5:$R$304,0))&amp;"","?"))</f>
        <v/>
      </c>
      <c r="N5612" s="2">
        <f>IF(E5612="","",IF(ISNUMBER(SEARCH("SUBSOLO",E5612)),IFERROR(-VALUE(LEFT(E5612,FIND("º",SUBSTITUTE(E5612,"°","º"))-1)),-1),IF(LEFT(E5612,6)="TÉRREO",0,IFERROR(VALUE(LEFT(E5612,FIND("º",SUBSTITUTE(E5612,"°","º"))-1)),""))))</f>
        <v/>
      </c>
      <c r="O5612" s="2">
        <f>IF(OR(F5612="",G5612=""),"",IF(G5612&lt;='RETRATO 2027'!$K$5,"CONCLUÍDA",IF(F5612&lt;='RETRATO 2027'!$K$5,"EM ANDAMENTO","A INICIAR")))</f>
        <v/>
      </c>
    </row>
    <row r="5613">
      <c r="M5613" s="2">
        <f>IF(C5613="","",IFERROR(INDEX($S$5:$S$304,MATCH(C5613,$R$5:$R$304,0))&amp;"","?"))</f>
        <v/>
      </c>
      <c r="N5613" s="2">
        <f>IF(E5613="","",IF(ISNUMBER(SEARCH("SUBSOLO",E5613)),IFERROR(-VALUE(LEFT(E5613,FIND("º",SUBSTITUTE(E5613,"°","º"))-1)),-1),IF(LEFT(E5613,6)="TÉRREO",0,IFERROR(VALUE(LEFT(E5613,FIND("º",SUBSTITUTE(E5613,"°","º"))-1)),""))))</f>
        <v/>
      </c>
      <c r="O5613" s="2">
        <f>IF(OR(F5613="",G5613=""),"",IF(G5613&lt;='RETRATO 2027'!$K$5,"CONCLUÍDA",IF(F5613&lt;='RETRATO 2027'!$K$5,"EM ANDAMENTO","A INICIAR")))</f>
        <v/>
      </c>
    </row>
    <row r="5614">
      <c r="M5614" s="2">
        <f>IF(C5614="","",IFERROR(INDEX($S$5:$S$304,MATCH(C5614,$R$5:$R$304,0))&amp;"","?"))</f>
        <v/>
      </c>
      <c r="N5614" s="2">
        <f>IF(E5614="","",IF(ISNUMBER(SEARCH("SUBSOLO",E5614)),IFERROR(-VALUE(LEFT(E5614,FIND("º",SUBSTITUTE(E5614,"°","º"))-1)),-1),IF(LEFT(E5614,6)="TÉRREO",0,IFERROR(VALUE(LEFT(E5614,FIND("º",SUBSTITUTE(E5614,"°","º"))-1)),""))))</f>
        <v/>
      </c>
      <c r="O5614" s="2">
        <f>IF(OR(F5614="",G5614=""),"",IF(G5614&lt;='RETRATO 2027'!$K$5,"CONCLUÍDA",IF(F5614&lt;='RETRATO 2027'!$K$5,"EM ANDAMENTO","A INICIAR")))</f>
        <v/>
      </c>
    </row>
    <row r="5615">
      <c r="M5615" s="2">
        <f>IF(C5615="","",IFERROR(INDEX($S$5:$S$304,MATCH(C5615,$R$5:$R$304,0))&amp;"","?"))</f>
        <v/>
      </c>
      <c r="N5615" s="2">
        <f>IF(E5615="","",IF(ISNUMBER(SEARCH("SUBSOLO",E5615)),IFERROR(-VALUE(LEFT(E5615,FIND("º",SUBSTITUTE(E5615,"°","º"))-1)),-1),IF(LEFT(E5615,6)="TÉRREO",0,IFERROR(VALUE(LEFT(E5615,FIND("º",SUBSTITUTE(E5615,"°","º"))-1)),""))))</f>
        <v/>
      </c>
      <c r="O5615" s="2">
        <f>IF(OR(F5615="",G5615=""),"",IF(G5615&lt;='RETRATO 2027'!$K$5,"CONCLUÍDA",IF(F5615&lt;='RETRATO 2027'!$K$5,"EM ANDAMENTO","A INICIAR")))</f>
        <v/>
      </c>
    </row>
    <row r="5616">
      <c r="M5616" s="2">
        <f>IF(C5616="","",IFERROR(INDEX($S$5:$S$304,MATCH(C5616,$R$5:$R$304,0))&amp;"","?"))</f>
        <v/>
      </c>
      <c r="N5616" s="2">
        <f>IF(E5616="","",IF(ISNUMBER(SEARCH("SUBSOLO",E5616)),IFERROR(-VALUE(LEFT(E5616,FIND("º",SUBSTITUTE(E5616,"°","º"))-1)),-1),IF(LEFT(E5616,6)="TÉRREO",0,IFERROR(VALUE(LEFT(E5616,FIND("º",SUBSTITUTE(E5616,"°","º"))-1)),""))))</f>
        <v/>
      </c>
      <c r="O5616" s="2">
        <f>IF(OR(F5616="",G5616=""),"",IF(G5616&lt;='RETRATO 2027'!$K$5,"CONCLUÍDA",IF(F5616&lt;='RETRATO 2027'!$K$5,"EM ANDAMENTO","A INICIAR")))</f>
        <v/>
      </c>
    </row>
    <row r="5617">
      <c r="M5617" s="2">
        <f>IF(C5617="","",IFERROR(INDEX($S$5:$S$304,MATCH(C5617,$R$5:$R$304,0))&amp;"","?"))</f>
        <v/>
      </c>
      <c r="N5617" s="2">
        <f>IF(E5617="","",IF(ISNUMBER(SEARCH("SUBSOLO",E5617)),IFERROR(-VALUE(LEFT(E5617,FIND("º",SUBSTITUTE(E5617,"°","º"))-1)),-1),IF(LEFT(E5617,6)="TÉRREO",0,IFERROR(VALUE(LEFT(E5617,FIND("º",SUBSTITUTE(E5617,"°","º"))-1)),""))))</f>
        <v/>
      </c>
      <c r="O5617" s="2">
        <f>IF(OR(F5617="",G5617=""),"",IF(G5617&lt;='RETRATO 2027'!$K$5,"CONCLUÍDA",IF(F5617&lt;='RETRATO 2027'!$K$5,"EM ANDAMENTO","A INICIAR")))</f>
        <v/>
      </c>
    </row>
    <row r="5618">
      <c r="M5618" s="2">
        <f>IF(C5618="","",IFERROR(INDEX($S$5:$S$304,MATCH(C5618,$R$5:$R$304,0))&amp;"","?"))</f>
        <v/>
      </c>
      <c r="N5618" s="2">
        <f>IF(E5618="","",IF(ISNUMBER(SEARCH("SUBSOLO",E5618)),IFERROR(-VALUE(LEFT(E5618,FIND("º",SUBSTITUTE(E5618,"°","º"))-1)),-1),IF(LEFT(E5618,6)="TÉRREO",0,IFERROR(VALUE(LEFT(E5618,FIND("º",SUBSTITUTE(E5618,"°","º"))-1)),""))))</f>
        <v/>
      </c>
      <c r="O5618" s="2">
        <f>IF(OR(F5618="",G5618=""),"",IF(G5618&lt;='RETRATO 2027'!$K$5,"CONCLUÍDA",IF(F5618&lt;='RETRATO 2027'!$K$5,"EM ANDAMENTO","A INICIAR")))</f>
        <v/>
      </c>
    </row>
    <row r="5619">
      <c r="M5619" s="2">
        <f>IF(C5619="","",IFERROR(INDEX($S$5:$S$304,MATCH(C5619,$R$5:$R$304,0))&amp;"","?"))</f>
        <v/>
      </c>
      <c r="N5619" s="2">
        <f>IF(E5619="","",IF(ISNUMBER(SEARCH("SUBSOLO",E5619)),IFERROR(-VALUE(LEFT(E5619,FIND("º",SUBSTITUTE(E5619,"°","º"))-1)),-1),IF(LEFT(E5619,6)="TÉRREO",0,IFERROR(VALUE(LEFT(E5619,FIND("º",SUBSTITUTE(E5619,"°","º"))-1)),""))))</f>
        <v/>
      </c>
      <c r="O5619" s="2">
        <f>IF(OR(F5619="",G5619=""),"",IF(G5619&lt;='RETRATO 2027'!$K$5,"CONCLUÍDA",IF(F5619&lt;='RETRATO 2027'!$K$5,"EM ANDAMENTO","A INICIAR")))</f>
        <v/>
      </c>
    </row>
    <row r="5620">
      <c r="M5620" s="2">
        <f>IF(C5620="","",IFERROR(INDEX($S$5:$S$304,MATCH(C5620,$R$5:$R$304,0))&amp;"","?"))</f>
        <v/>
      </c>
      <c r="N5620" s="2">
        <f>IF(E5620="","",IF(ISNUMBER(SEARCH("SUBSOLO",E5620)),IFERROR(-VALUE(LEFT(E5620,FIND("º",SUBSTITUTE(E5620,"°","º"))-1)),-1),IF(LEFT(E5620,6)="TÉRREO",0,IFERROR(VALUE(LEFT(E5620,FIND("º",SUBSTITUTE(E5620,"°","º"))-1)),""))))</f>
        <v/>
      </c>
      <c r="O5620" s="2">
        <f>IF(OR(F5620="",G5620=""),"",IF(G5620&lt;='RETRATO 2027'!$K$5,"CONCLUÍDA",IF(F5620&lt;='RETRATO 2027'!$K$5,"EM ANDAMENTO","A INICIAR")))</f>
        <v/>
      </c>
    </row>
    <row r="5621">
      <c r="M5621" s="2">
        <f>IF(C5621="","",IFERROR(INDEX($S$5:$S$304,MATCH(C5621,$R$5:$R$304,0))&amp;"","?"))</f>
        <v/>
      </c>
      <c r="N5621" s="2">
        <f>IF(E5621="","",IF(ISNUMBER(SEARCH("SUBSOLO",E5621)),IFERROR(-VALUE(LEFT(E5621,FIND("º",SUBSTITUTE(E5621,"°","º"))-1)),-1),IF(LEFT(E5621,6)="TÉRREO",0,IFERROR(VALUE(LEFT(E5621,FIND("º",SUBSTITUTE(E5621,"°","º"))-1)),""))))</f>
        <v/>
      </c>
      <c r="O5621" s="2">
        <f>IF(OR(F5621="",G5621=""),"",IF(G5621&lt;='RETRATO 2027'!$K$5,"CONCLUÍDA",IF(F5621&lt;='RETRATO 2027'!$K$5,"EM ANDAMENTO","A INICIAR")))</f>
        <v/>
      </c>
    </row>
    <row r="5622">
      <c r="M5622" s="2">
        <f>IF(C5622="","",IFERROR(INDEX($S$5:$S$304,MATCH(C5622,$R$5:$R$304,0))&amp;"","?"))</f>
        <v/>
      </c>
      <c r="N5622" s="2">
        <f>IF(E5622="","",IF(ISNUMBER(SEARCH("SUBSOLO",E5622)),IFERROR(-VALUE(LEFT(E5622,FIND("º",SUBSTITUTE(E5622,"°","º"))-1)),-1),IF(LEFT(E5622,6)="TÉRREO",0,IFERROR(VALUE(LEFT(E5622,FIND("º",SUBSTITUTE(E5622,"°","º"))-1)),""))))</f>
        <v/>
      </c>
      <c r="O5622" s="2">
        <f>IF(OR(F5622="",G5622=""),"",IF(G5622&lt;='RETRATO 2027'!$K$5,"CONCLUÍDA",IF(F5622&lt;='RETRATO 2027'!$K$5,"EM ANDAMENTO","A INICIAR")))</f>
        <v/>
      </c>
    </row>
    <row r="5623">
      <c r="M5623" s="2">
        <f>IF(C5623="","",IFERROR(INDEX($S$5:$S$304,MATCH(C5623,$R$5:$R$304,0))&amp;"","?"))</f>
        <v/>
      </c>
      <c r="N5623" s="2">
        <f>IF(E5623="","",IF(ISNUMBER(SEARCH("SUBSOLO",E5623)),IFERROR(-VALUE(LEFT(E5623,FIND("º",SUBSTITUTE(E5623,"°","º"))-1)),-1),IF(LEFT(E5623,6)="TÉRREO",0,IFERROR(VALUE(LEFT(E5623,FIND("º",SUBSTITUTE(E5623,"°","º"))-1)),""))))</f>
        <v/>
      </c>
      <c r="O5623" s="2">
        <f>IF(OR(F5623="",G5623=""),"",IF(G5623&lt;='RETRATO 2027'!$K$5,"CONCLUÍDA",IF(F5623&lt;='RETRATO 2027'!$K$5,"EM ANDAMENTO","A INICIAR")))</f>
        <v/>
      </c>
    </row>
    <row r="5624">
      <c r="M5624" s="2">
        <f>IF(C5624="","",IFERROR(INDEX($S$5:$S$304,MATCH(C5624,$R$5:$R$304,0))&amp;"","?"))</f>
        <v/>
      </c>
      <c r="N5624" s="2">
        <f>IF(E5624="","",IF(ISNUMBER(SEARCH("SUBSOLO",E5624)),IFERROR(-VALUE(LEFT(E5624,FIND("º",SUBSTITUTE(E5624,"°","º"))-1)),-1),IF(LEFT(E5624,6)="TÉRREO",0,IFERROR(VALUE(LEFT(E5624,FIND("º",SUBSTITUTE(E5624,"°","º"))-1)),""))))</f>
        <v/>
      </c>
      <c r="O5624" s="2">
        <f>IF(OR(F5624="",G5624=""),"",IF(G5624&lt;='RETRATO 2027'!$K$5,"CONCLUÍDA",IF(F5624&lt;='RETRATO 2027'!$K$5,"EM ANDAMENTO","A INICIAR")))</f>
        <v/>
      </c>
    </row>
    <row r="5625">
      <c r="M5625" s="2">
        <f>IF(C5625="","",IFERROR(INDEX($S$5:$S$304,MATCH(C5625,$R$5:$R$304,0))&amp;"","?"))</f>
        <v/>
      </c>
      <c r="N5625" s="2">
        <f>IF(E5625="","",IF(ISNUMBER(SEARCH("SUBSOLO",E5625)),IFERROR(-VALUE(LEFT(E5625,FIND("º",SUBSTITUTE(E5625,"°","º"))-1)),-1),IF(LEFT(E5625,6)="TÉRREO",0,IFERROR(VALUE(LEFT(E5625,FIND("º",SUBSTITUTE(E5625,"°","º"))-1)),""))))</f>
        <v/>
      </c>
      <c r="O5625" s="2">
        <f>IF(OR(F5625="",G5625=""),"",IF(G5625&lt;='RETRATO 2027'!$K$5,"CONCLUÍDA",IF(F5625&lt;='RETRATO 2027'!$K$5,"EM ANDAMENTO","A INICIAR")))</f>
        <v/>
      </c>
    </row>
    <row r="5626">
      <c r="M5626" s="2">
        <f>IF(C5626="","",IFERROR(INDEX($S$5:$S$304,MATCH(C5626,$R$5:$R$304,0))&amp;"","?"))</f>
        <v/>
      </c>
      <c r="N5626" s="2">
        <f>IF(E5626="","",IF(ISNUMBER(SEARCH("SUBSOLO",E5626)),IFERROR(-VALUE(LEFT(E5626,FIND("º",SUBSTITUTE(E5626,"°","º"))-1)),-1),IF(LEFT(E5626,6)="TÉRREO",0,IFERROR(VALUE(LEFT(E5626,FIND("º",SUBSTITUTE(E5626,"°","º"))-1)),""))))</f>
        <v/>
      </c>
      <c r="O5626" s="2">
        <f>IF(OR(F5626="",G5626=""),"",IF(G5626&lt;='RETRATO 2027'!$K$5,"CONCLUÍDA",IF(F5626&lt;='RETRATO 2027'!$K$5,"EM ANDAMENTO","A INICIAR")))</f>
        <v/>
      </c>
    </row>
    <row r="5627">
      <c r="M5627" s="2">
        <f>IF(C5627="","",IFERROR(INDEX($S$5:$S$304,MATCH(C5627,$R$5:$R$304,0))&amp;"","?"))</f>
        <v/>
      </c>
      <c r="N5627" s="2">
        <f>IF(E5627="","",IF(ISNUMBER(SEARCH("SUBSOLO",E5627)),IFERROR(-VALUE(LEFT(E5627,FIND("º",SUBSTITUTE(E5627,"°","º"))-1)),-1),IF(LEFT(E5627,6)="TÉRREO",0,IFERROR(VALUE(LEFT(E5627,FIND("º",SUBSTITUTE(E5627,"°","º"))-1)),""))))</f>
        <v/>
      </c>
      <c r="O5627" s="2">
        <f>IF(OR(F5627="",G5627=""),"",IF(G5627&lt;='RETRATO 2027'!$K$5,"CONCLUÍDA",IF(F5627&lt;='RETRATO 2027'!$K$5,"EM ANDAMENTO","A INICIAR")))</f>
        <v/>
      </c>
    </row>
    <row r="5628">
      <c r="M5628" s="2">
        <f>IF(C5628="","",IFERROR(INDEX($S$5:$S$304,MATCH(C5628,$R$5:$R$304,0))&amp;"","?"))</f>
        <v/>
      </c>
      <c r="N5628" s="2">
        <f>IF(E5628="","",IF(ISNUMBER(SEARCH("SUBSOLO",E5628)),IFERROR(-VALUE(LEFT(E5628,FIND("º",SUBSTITUTE(E5628,"°","º"))-1)),-1),IF(LEFT(E5628,6)="TÉRREO",0,IFERROR(VALUE(LEFT(E5628,FIND("º",SUBSTITUTE(E5628,"°","º"))-1)),""))))</f>
        <v/>
      </c>
      <c r="O5628" s="2">
        <f>IF(OR(F5628="",G5628=""),"",IF(G5628&lt;='RETRATO 2027'!$K$5,"CONCLUÍDA",IF(F5628&lt;='RETRATO 2027'!$K$5,"EM ANDAMENTO","A INICIAR")))</f>
        <v/>
      </c>
    </row>
    <row r="5629">
      <c r="M5629" s="2">
        <f>IF(C5629="","",IFERROR(INDEX($S$5:$S$304,MATCH(C5629,$R$5:$R$304,0))&amp;"","?"))</f>
        <v/>
      </c>
      <c r="N5629" s="2">
        <f>IF(E5629="","",IF(ISNUMBER(SEARCH("SUBSOLO",E5629)),IFERROR(-VALUE(LEFT(E5629,FIND("º",SUBSTITUTE(E5629,"°","º"))-1)),-1),IF(LEFT(E5629,6)="TÉRREO",0,IFERROR(VALUE(LEFT(E5629,FIND("º",SUBSTITUTE(E5629,"°","º"))-1)),""))))</f>
        <v/>
      </c>
      <c r="O5629" s="2">
        <f>IF(OR(F5629="",G5629=""),"",IF(G5629&lt;='RETRATO 2027'!$K$5,"CONCLUÍDA",IF(F5629&lt;='RETRATO 2027'!$K$5,"EM ANDAMENTO","A INICIAR")))</f>
        <v/>
      </c>
    </row>
    <row r="5630">
      <c r="M5630" s="2">
        <f>IF(C5630="","",IFERROR(INDEX($S$5:$S$304,MATCH(C5630,$R$5:$R$304,0))&amp;"","?"))</f>
        <v/>
      </c>
      <c r="N5630" s="2">
        <f>IF(E5630="","",IF(ISNUMBER(SEARCH("SUBSOLO",E5630)),IFERROR(-VALUE(LEFT(E5630,FIND("º",SUBSTITUTE(E5630,"°","º"))-1)),-1),IF(LEFT(E5630,6)="TÉRREO",0,IFERROR(VALUE(LEFT(E5630,FIND("º",SUBSTITUTE(E5630,"°","º"))-1)),""))))</f>
        <v/>
      </c>
      <c r="O5630" s="2">
        <f>IF(OR(F5630="",G5630=""),"",IF(G5630&lt;='RETRATO 2027'!$K$5,"CONCLUÍDA",IF(F5630&lt;='RETRATO 2027'!$K$5,"EM ANDAMENTO","A INICIAR")))</f>
        <v/>
      </c>
    </row>
    <row r="5631">
      <c r="M5631" s="2">
        <f>IF(C5631="","",IFERROR(INDEX($S$5:$S$304,MATCH(C5631,$R$5:$R$304,0))&amp;"","?"))</f>
        <v/>
      </c>
      <c r="N5631" s="2">
        <f>IF(E5631="","",IF(ISNUMBER(SEARCH("SUBSOLO",E5631)),IFERROR(-VALUE(LEFT(E5631,FIND("º",SUBSTITUTE(E5631,"°","º"))-1)),-1),IF(LEFT(E5631,6)="TÉRREO",0,IFERROR(VALUE(LEFT(E5631,FIND("º",SUBSTITUTE(E5631,"°","º"))-1)),""))))</f>
        <v/>
      </c>
      <c r="O5631" s="2">
        <f>IF(OR(F5631="",G5631=""),"",IF(G5631&lt;='RETRATO 2027'!$K$5,"CONCLUÍDA",IF(F5631&lt;='RETRATO 2027'!$K$5,"EM ANDAMENTO","A INICIAR")))</f>
        <v/>
      </c>
    </row>
    <row r="5632">
      <c r="M5632" s="2">
        <f>IF(C5632="","",IFERROR(INDEX($S$5:$S$304,MATCH(C5632,$R$5:$R$304,0))&amp;"","?"))</f>
        <v/>
      </c>
      <c r="N5632" s="2">
        <f>IF(E5632="","",IF(ISNUMBER(SEARCH("SUBSOLO",E5632)),IFERROR(-VALUE(LEFT(E5632,FIND("º",SUBSTITUTE(E5632,"°","º"))-1)),-1),IF(LEFT(E5632,6)="TÉRREO",0,IFERROR(VALUE(LEFT(E5632,FIND("º",SUBSTITUTE(E5632,"°","º"))-1)),""))))</f>
        <v/>
      </c>
      <c r="O5632" s="2">
        <f>IF(OR(F5632="",G5632=""),"",IF(G5632&lt;='RETRATO 2027'!$K$5,"CONCLUÍDA",IF(F5632&lt;='RETRATO 2027'!$K$5,"EM ANDAMENTO","A INICIAR")))</f>
        <v/>
      </c>
    </row>
    <row r="5633">
      <c r="M5633" s="2">
        <f>IF(C5633="","",IFERROR(INDEX($S$5:$S$304,MATCH(C5633,$R$5:$R$304,0))&amp;"","?"))</f>
        <v/>
      </c>
      <c r="N5633" s="2">
        <f>IF(E5633="","",IF(ISNUMBER(SEARCH("SUBSOLO",E5633)),IFERROR(-VALUE(LEFT(E5633,FIND("º",SUBSTITUTE(E5633,"°","º"))-1)),-1),IF(LEFT(E5633,6)="TÉRREO",0,IFERROR(VALUE(LEFT(E5633,FIND("º",SUBSTITUTE(E5633,"°","º"))-1)),""))))</f>
        <v/>
      </c>
      <c r="O5633" s="2">
        <f>IF(OR(F5633="",G5633=""),"",IF(G5633&lt;='RETRATO 2027'!$K$5,"CONCLUÍDA",IF(F5633&lt;='RETRATO 2027'!$K$5,"EM ANDAMENTO","A INICIAR")))</f>
        <v/>
      </c>
    </row>
    <row r="5634">
      <c r="M5634" s="2">
        <f>IF(C5634="","",IFERROR(INDEX($S$5:$S$304,MATCH(C5634,$R$5:$R$304,0))&amp;"","?"))</f>
        <v/>
      </c>
      <c r="N5634" s="2">
        <f>IF(E5634="","",IF(ISNUMBER(SEARCH("SUBSOLO",E5634)),IFERROR(-VALUE(LEFT(E5634,FIND("º",SUBSTITUTE(E5634,"°","º"))-1)),-1),IF(LEFT(E5634,6)="TÉRREO",0,IFERROR(VALUE(LEFT(E5634,FIND("º",SUBSTITUTE(E5634,"°","º"))-1)),""))))</f>
        <v/>
      </c>
      <c r="O5634" s="2">
        <f>IF(OR(F5634="",G5634=""),"",IF(G5634&lt;='RETRATO 2027'!$K$5,"CONCLUÍDA",IF(F5634&lt;='RETRATO 2027'!$K$5,"EM ANDAMENTO","A INICIAR")))</f>
        <v/>
      </c>
    </row>
    <row r="5635">
      <c r="M5635" s="2">
        <f>IF(C5635="","",IFERROR(INDEX($S$5:$S$304,MATCH(C5635,$R$5:$R$304,0))&amp;"","?"))</f>
        <v/>
      </c>
      <c r="N5635" s="2">
        <f>IF(E5635="","",IF(ISNUMBER(SEARCH("SUBSOLO",E5635)),IFERROR(-VALUE(LEFT(E5635,FIND("º",SUBSTITUTE(E5635,"°","º"))-1)),-1),IF(LEFT(E5635,6)="TÉRREO",0,IFERROR(VALUE(LEFT(E5635,FIND("º",SUBSTITUTE(E5635,"°","º"))-1)),""))))</f>
        <v/>
      </c>
      <c r="O5635" s="2">
        <f>IF(OR(F5635="",G5635=""),"",IF(G5635&lt;='RETRATO 2027'!$K$5,"CONCLUÍDA",IF(F5635&lt;='RETRATO 2027'!$K$5,"EM ANDAMENTO","A INICIAR")))</f>
        <v/>
      </c>
    </row>
    <row r="5636">
      <c r="M5636" s="2">
        <f>IF(C5636="","",IFERROR(INDEX($S$5:$S$304,MATCH(C5636,$R$5:$R$304,0))&amp;"","?"))</f>
        <v/>
      </c>
      <c r="N5636" s="2">
        <f>IF(E5636="","",IF(ISNUMBER(SEARCH("SUBSOLO",E5636)),IFERROR(-VALUE(LEFT(E5636,FIND("º",SUBSTITUTE(E5636,"°","º"))-1)),-1),IF(LEFT(E5636,6)="TÉRREO",0,IFERROR(VALUE(LEFT(E5636,FIND("º",SUBSTITUTE(E5636,"°","º"))-1)),""))))</f>
        <v/>
      </c>
      <c r="O5636" s="2">
        <f>IF(OR(F5636="",G5636=""),"",IF(G5636&lt;='RETRATO 2027'!$K$5,"CONCLUÍDA",IF(F5636&lt;='RETRATO 2027'!$K$5,"EM ANDAMENTO","A INICIAR")))</f>
        <v/>
      </c>
    </row>
    <row r="5637">
      <c r="M5637" s="2">
        <f>IF(C5637="","",IFERROR(INDEX($S$5:$S$304,MATCH(C5637,$R$5:$R$304,0))&amp;"","?"))</f>
        <v/>
      </c>
      <c r="N5637" s="2">
        <f>IF(E5637="","",IF(ISNUMBER(SEARCH("SUBSOLO",E5637)),IFERROR(-VALUE(LEFT(E5637,FIND("º",SUBSTITUTE(E5637,"°","º"))-1)),-1),IF(LEFT(E5637,6)="TÉRREO",0,IFERROR(VALUE(LEFT(E5637,FIND("º",SUBSTITUTE(E5637,"°","º"))-1)),""))))</f>
        <v/>
      </c>
      <c r="O5637" s="2">
        <f>IF(OR(F5637="",G5637=""),"",IF(G5637&lt;='RETRATO 2027'!$K$5,"CONCLUÍDA",IF(F5637&lt;='RETRATO 2027'!$K$5,"EM ANDAMENTO","A INICIAR")))</f>
        <v/>
      </c>
    </row>
    <row r="5638">
      <c r="M5638" s="2">
        <f>IF(C5638="","",IFERROR(INDEX($S$5:$S$304,MATCH(C5638,$R$5:$R$304,0))&amp;"","?"))</f>
        <v/>
      </c>
      <c r="N5638" s="2">
        <f>IF(E5638="","",IF(ISNUMBER(SEARCH("SUBSOLO",E5638)),IFERROR(-VALUE(LEFT(E5638,FIND("º",SUBSTITUTE(E5638,"°","º"))-1)),-1),IF(LEFT(E5638,6)="TÉRREO",0,IFERROR(VALUE(LEFT(E5638,FIND("º",SUBSTITUTE(E5638,"°","º"))-1)),""))))</f>
        <v/>
      </c>
      <c r="O5638" s="2">
        <f>IF(OR(F5638="",G5638=""),"",IF(G5638&lt;='RETRATO 2027'!$K$5,"CONCLUÍDA",IF(F5638&lt;='RETRATO 2027'!$K$5,"EM ANDAMENTO","A INICIAR")))</f>
        <v/>
      </c>
    </row>
    <row r="5639">
      <c r="M5639" s="2">
        <f>IF(C5639="","",IFERROR(INDEX($S$5:$S$304,MATCH(C5639,$R$5:$R$304,0))&amp;"","?"))</f>
        <v/>
      </c>
      <c r="N5639" s="2">
        <f>IF(E5639="","",IF(ISNUMBER(SEARCH("SUBSOLO",E5639)),IFERROR(-VALUE(LEFT(E5639,FIND("º",SUBSTITUTE(E5639,"°","º"))-1)),-1),IF(LEFT(E5639,6)="TÉRREO",0,IFERROR(VALUE(LEFT(E5639,FIND("º",SUBSTITUTE(E5639,"°","º"))-1)),""))))</f>
        <v/>
      </c>
      <c r="O5639" s="2">
        <f>IF(OR(F5639="",G5639=""),"",IF(G5639&lt;='RETRATO 2027'!$K$5,"CONCLUÍDA",IF(F5639&lt;='RETRATO 2027'!$K$5,"EM ANDAMENTO","A INICIAR")))</f>
        <v/>
      </c>
    </row>
    <row r="5640">
      <c r="M5640" s="2">
        <f>IF(C5640="","",IFERROR(INDEX($S$5:$S$304,MATCH(C5640,$R$5:$R$304,0))&amp;"","?"))</f>
        <v/>
      </c>
      <c r="N5640" s="2">
        <f>IF(E5640="","",IF(ISNUMBER(SEARCH("SUBSOLO",E5640)),IFERROR(-VALUE(LEFT(E5640,FIND("º",SUBSTITUTE(E5640,"°","º"))-1)),-1),IF(LEFT(E5640,6)="TÉRREO",0,IFERROR(VALUE(LEFT(E5640,FIND("º",SUBSTITUTE(E5640,"°","º"))-1)),""))))</f>
        <v/>
      </c>
      <c r="O5640" s="2">
        <f>IF(OR(F5640="",G5640=""),"",IF(G5640&lt;='RETRATO 2027'!$K$5,"CONCLUÍDA",IF(F5640&lt;='RETRATO 2027'!$K$5,"EM ANDAMENTO","A INICIAR")))</f>
        <v/>
      </c>
    </row>
    <row r="5641">
      <c r="M5641" s="2">
        <f>IF(C5641="","",IFERROR(INDEX($S$5:$S$304,MATCH(C5641,$R$5:$R$304,0))&amp;"","?"))</f>
        <v/>
      </c>
      <c r="N5641" s="2">
        <f>IF(E5641="","",IF(ISNUMBER(SEARCH("SUBSOLO",E5641)),IFERROR(-VALUE(LEFT(E5641,FIND("º",SUBSTITUTE(E5641,"°","º"))-1)),-1),IF(LEFT(E5641,6)="TÉRREO",0,IFERROR(VALUE(LEFT(E5641,FIND("º",SUBSTITUTE(E5641,"°","º"))-1)),""))))</f>
        <v/>
      </c>
      <c r="O5641" s="2">
        <f>IF(OR(F5641="",G5641=""),"",IF(G5641&lt;='RETRATO 2027'!$K$5,"CONCLUÍDA",IF(F5641&lt;='RETRATO 2027'!$K$5,"EM ANDAMENTO","A INICIAR")))</f>
        <v/>
      </c>
    </row>
    <row r="5642">
      <c r="M5642" s="2">
        <f>IF(C5642="","",IFERROR(INDEX($S$5:$S$304,MATCH(C5642,$R$5:$R$304,0))&amp;"","?"))</f>
        <v/>
      </c>
      <c r="N5642" s="2">
        <f>IF(E5642="","",IF(ISNUMBER(SEARCH("SUBSOLO",E5642)),IFERROR(-VALUE(LEFT(E5642,FIND("º",SUBSTITUTE(E5642,"°","º"))-1)),-1),IF(LEFT(E5642,6)="TÉRREO",0,IFERROR(VALUE(LEFT(E5642,FIND("º",SUBSTITUTE(E5642,"°","º"))-1)),""))))</f>
        <v/>
      </c>
      <c r="O5642" s="2">
        <f>IF(OR(F5642="",G5642=""),"",IF(G5642&lt;='RETRATO 2027'!$K$5,"CONCLUÍDA",IF(F5642&lt;='RETRATO 2027'!$K$5,"EM ANDAMENTO","A INICIAR")))</f>
        <v/>
      </c>
    </row>
    <row r="5643">
      <c r="M5643" s="2">
        <f>IF(C5643="","",IFERROR(INDEX($S$5:$S$304,MATCH(C5643,$R$5:$R$304,0))&amp;"","?"))</f>
        <v/>
      </c>
      <c r="N5643" s="2">
        <f>IF(E5643="","",IF(ISNUMBER(SEARCH("SUBSOLO",E5643)),IFERROR(-VALUE(LEFT(E5643,FIND("º",SUBSTITUTE(E5643,"°","º"))-1)),-1),IF(LEFT(E5643,6)="TÉRREO",0,IFERROR(VALUE(LEFT(E5643,FIND("º",SUBSTITUTE(E5643,"°","º"))-1)),""))))</f>
        <v/>
      </c>
      <c r="O5643" s="2">
        <f>IF(OR(F5643="",G5643=""),"",IF(G5643&lt;='RETRATO 2027'!$K$5,"CONCLUÍDA",IF(F5643&lt;='RETRATO 2027'!$K$5,"EM ANDAMENTO","A INICIAR")))</f>
        <v/>
      </c>
    </row>
    <row r="5644">
      <c r="M5644" s="2">
        <f>IF(C5644="","",IFERROR(INDEX($S$5:$S$304,MATCH(C5644,$R$5:$R$304,0))&amp;"","?"))</f>
        <v/>
      </c>
      <c r="N5644" s="2">
        <f>IF(E5644="","",IF(ISNUMBER(SEARCH("SUBSOLO",E5644)),IFERROR(-VALUE(LEFT(E5644,FIND("º",SUBSTITUTE(E5644,"°","º"))-1)),-1),IF(LEFT(E5644,6)="TÉRREO",0,IFERROR(VALUE(LEFT(E5644,FIND("º",SUBSTITUTE(E5644,"°","º"))-1)),""))))</f>
        <v/>
      </c>
      <c r="O5644" s="2">
        <f>IF(OR(F5644="",G5644=""),"",IF(G5644&lt;='RETRATO 2027'!$K$5,"CONCLUÍDA",IF(F5644&lt;='RETRATO 2027'!$K$5,"EM ANDAMENTO","A INICIAR")))</f>
        <v/>
      </c>
    </row>
    <row r="5645">
      <c r="M5645" s="2">
        <f>IF(C5645="","",IFERROR(INDEX($S$5:$S$304,MATCH(C5645,$R$5:$R$304,0))&amp;"","?"))</f>
        <v/>
      </c>
      <c r="N5645" s="2">
        <f>IF(E5645="","",IF(ISNUMBER(SEARCH("SUBSOLO",E5645)),IFERROR(-VALUE(LEFT(E5645,FIND("º",SUBSTITUTE(E5645,"°","º"))-1)),-1),IF(LEFT(E5645,6)="TÉRREO",0,IFERROR(VALUE(LEFT(E5645,FIND("º",SUBSTITUTE(E5645,"°","º"))-1)),""))))</f>
        <v/>
      </c>
      <c r="O5645" s="2">
        <f>IF(OR(F5645="",G5645=""),"",IF(G5645&lt;='RETRATO 2027'!$K$5,"CONCLUÍDA",IF(F5645&lt;='RETRATO 2027'!$K$5,"EM ANDAMENTO","A INICIAR")))</f>
        <v/>
      </c>
    </row>
    <row r="5646">
      <c r="M5646" s="2">
        <f>IF(C5646="","",IFERROR(INDEX($S$5:$S$304,MATCH(C5646,$R$5:$R$304,0))&amp;"","?"))</f>
        <v/>
      </c>
      <c r="N5646" s="2">
        <f>IF(E5646="","",IF(ISNUMBER(SEARCH("SUBSOLO",E5646)),IFERROR(-VALUE(LEFT(E5646,FIND("º",SUBSTITUTE(E5646,"°","º"))-1)),-1),IF(LEFT(E5646,6)="TÉRREO",0,IFERROR(VALUE(LEFT(E5646,FIND("º",SUBSTITUTE(E5646,"°","º"))-1)),""))))</f>
        <v/>
      </c>
      <c r="O5646" s="2">
        <f>IF(OR(F5646="",G5646=""),"",IF(G5646&lt;='RETRATO 2027'!$K$5,"CONCLUÍDA",IF(F5646&lt;='RETRATO 2027'!$K$5,"EM ANDAMENTO","A INICIAR")))</f>
        <v/>
      </c>
    </row>
    <row r="5647">
      <c r="M5647" s="2">
        <f>IF(C5647="","",IFERROR(INDEX($S$5:$S$304,MATCH(C5647,$R$5:$R$304,0))&amp;"","?"))</f>
        <v/>
      </c>
      <c r="N5647" s="2">
        <f>IF(E5647="","",IF(ISNUMBER(SEARCH("SUBSOLO",E5647)),IFERROR(-VALUE(LEFT(E5647,FIND("º",SUBSTITUTE(E5647,"°","º"))-1)),-1),IF(LEFT(E5647,6)="TÉRREO",0,IFERROR(VALUE(LEFT(E5647,FIND("º",SUBSTITUTE(E5647,"°","º"))-1)),""))))</f>
        <v/>
      </c>
      <c r="O5647" s="2">
        <f>IF(OR(F5647="",G5647=""),"",IF(G5647&lt;='RETRATO 2027'!$K$5,"CONCLUÍDA",IF(F5647&lt;='RETRATO 2027'!$K$5,"EM ANDAMENTO","A INICIAR")))</f>
        <v/>
      </c>
    </row>
    <row r="5648">
      <c r="M5648" s="2">
        <f>IF(C5648="","",IFERROR(INDEX($S$5:$S$304,MATCH(C5648,$R$5:$R$304,0))&amp;"","?"))</f>
        <v/>
      </c>
      <c r="N5648" s="2">
        <f>IF(E5648="","",IF(ISNUMBER(SEARCH("SUBSOLO",E5648)),IFERROR(-VALUE(LEFT(E5648,FIND("º",SUBSTITUTE(E5648,"°","º"))-1)),-1),IF(LEFT(E5648,6)="TÉRREO",0,IFERROR(VALUE(LEFT(E5648,FIND("º",SUBSTITUTE(E5648,"°","º"))-1)),""))))</f>
        <v/>
      </c>
      <c r="O5648" s="2">
        <f>IF(OR(F5648="",G5648=""),"",IF(G5648&lt;='RETRATO 2027'!$K$5,"CONCLUÍDA",IF(F5648&lt;='RETRATO 2027'!$K$5,"EM ANDAMENTO","A INICIAR")))</f>
        <v/>
      </c>
    </row>
    <row r="5649">
      <c r="M5649" s="2">
        <f>IF(C5649="","",IFERROR(INDEX($S$5:$S$304,MATCH(C5649,$R$5:$R$304,0))&amp;"","?"))</f>
        <v/>
      </c>
      <c r="N5649" s="2">
        <f>IF(E5649="","",IF(ISNUMBER(SEARCH("SUBSOLO",E5649)),IFERROR(-VALUE(LEFT(E5649,FIND("º",SUBSTITUTE(E5649,"°","º"))-1)),-1),IF(LEFT(E5649,6)="TÉRREO",0,IFERROR(VALUE(LEFT(E5649,FIND("º",SUBSTITUTE(E5649,"°","º"))-1)),""))))</f>
        <v/>
      </c>
      <c r="O5649" s="2">
        <f>IF(OR(F5649="",G5649=""),"",IF(G5649&lt;='RETRATO 2027'!$K$5,"CONCLUÍDA",IF(F5649&lt;='RETRATO 2027'!$K$5,"EM ANDAMENTO","A INICIAR")))</f>
        <v/>
      </c>
    </row>
    <row r="5650">
      <c r="M5650" s="2">
        <f>IF(C5650="","",IFERROR(INDEX($S$5:$S$304,MATCH(C5650,$R$5:$R$304,0))&amp;"","?"))</f>
        <v/>
      </c>
      <c r="N5650" s="2">
        <f>IF(E5650="","",IF(ISNUMBER(SEARCH("SUBSOLO",E5650)),IFERROR(-VALUE(LEFT(E5650,FIND("º",SUBSTITUTE(E5650,"°","º"))-1)),-1),IF(LEFT(E5650,6)="TÉRREO",0,IFERROR(VALUE(LEFT(E5650,FIND("º",SUBSTITUTE(E5650,"°","º"))-1)),""))))</f>
        <v/>
      </c>
      <c r="O5650" s="2">
        <f>IF(OR(F5650="",G5650=""),"",IF(G5650&lt;='RETRATO 2027'!$K$5,"CONCLUÍDA",IF(F5650&lt;='RETRATO 2027'!$K$5,"EM ANDAMENTO","A INICIAR")))</f>
        <v/>
      </c>
    </row>
    <row r="5651">
      <c r="M5651" s="2">
        <f>IF(C5651="","",IFERROR(INDEX($S$5:$S$304,MATCH(C5651,$R$5:$R$304,0))&amp;"","?"))</f>
        <v/>
      </c>
      <c r="N5651" s="2">
        <f>IF(E5651="","",IF(ISNUMBER(SEARCH("SUBSOLO",E5651)),IFERROR(-VALUE(LEFT(E5651,FIND("º",SUBSTITUTE(E5651,"°","º"))-1)),-1),IF(LEFT(E5651,6)="TÉRREO",0,IFERROR(VALUE(LEFT(E5651,FIND("º",SUBSTITUTE(E5651,"°","º"))-1)),""))))</f>
        <v/>
      </c>
      <c r="O5651" s="2">
        <f>IF(OR(F5651="",G5651=""),"",IF(G5651&lt;='RETRATO 2027'!$K$5,"CONCLUÍDA",IF(F5651&lt;='RETRATO 2027'!$K$5,"EM ANDAMENTO","A INICIAR")))</f>
        <v/>
      </c>
    </row>
    <row r="5652">
      <c r="M5652" s="2">
        <f>IF(C5652="","",IFERROR(INDEX($S$5:$S$304,MATCH(C5652,$R$5:$R$304,0))&amp;"","?"))</f>
        <v/>
      </c>
      <c r="N5652" s="2">
        <f>IF(E5652="","",IF(ISNUMBER(SEARCH("SUBSOLO",E5652)),IFERROR(-VALUE(LEFT(E5652,FIND("º",SUBSTITUTE(E5652,"°","º"))-1)),-1),IF(LEFT(E5652,6)="TÉRREO",0,IFERROR(VALUE(LEFT(E5652,FIND("º",SUBSTITUTE(E5652,"°","º"))-1)),""))))</f>
        <v/>
      </c>
      <c r="O5652" s="2">
        <f>IF(OR(F5652="",G5652=""),"",IF(G5652&lt;='RETRATO 2027'!$K$5,"CONCLUÍDA",IF(F5652&lt;='RETRATO 2027'!$K$5,"EM ANDAMENTO","A INICIAR")))</f>
        <v/>
      </c>
    </row>
    <row r="5653">
      <c r="M5653" s="2">
        <f>IF(C5653="","",IFERROR(INDEX($S$5:$S$304,MATCH(C5653,$R$5:$R$304,0))&amp;"","?"))</f>
        <v/>
      </c>
      <c r="N5653" s="2">
        <f>IF(E5653="","",IF(ISNUMBER(SEARCH("SUBSOLO",E5653)),IFERROR(-VALUE(LEFT(E5653,FIND("º",SUBSTITUTE(E5653,"°","º"))-1)),-1),IF(LEFT(E5653,6)="TÉRREO",0,IFERROR(VALUE(LEFT(E5653,FIND("º",SUBSTITUTE(E5653,"°","º"))-1)),""))))</f>
        <v/>
      </c>
      <c r="O5653" s="2">
        <f>IF(OR(F5653="",G5653=""),"",IF(G5653&lt;='RETRATO 2027'!$K$5,"CONCLUÍDA",IF(F5653&lt;='RETRATO 2027'!$K$5,"EM ANDAMENTO","A INICIAR")))</f>
        <v/>
      </c>
    </row>
    <row r="5654">
      <c r="M5654" s="2">
        <f>IF(C5654="","",IFERROR(INDEX($S$5:$S$304,MATCH(C5654,$R$5:$R$304,0))&amp;"","?"))</f>
        <v/>
      </c>
      <c r="N5654" s="2">
        <f>IF(E5654="","",IF(ISNUMBER(SEARCH("SUBSOLO",E5654)),IFERROR(-VALUE(LEFT(E5654,FIND("º",SUBSTITUTE(E5654,"°","º"))-1)),-1),IF(LEFT(E5654,6)="TÉRREO",0,IFERROR(VALUE(LEFT(E5654,FIND("º",SUBSTITUTE(E5654,"°","º"))-1)),""))))</f>
        <v/>
      </c>
      <c r="O5654" s="2">
        <f>IF(OR(F5654="",G5654=""),"",IF(G5654&lt;='RETRATO 2027'!$K$5,"CONCLUÍDA",IF(F5654&lt;='RETRATO 2027'!$K$5,"EM ANDAMENTO","A INICIAR")))</f>
        <v/>
      </c>
    </row>
    <row r="5655">
      <c r="M5655" s="2">
        <f>IF(C5655="","",IFERROR(INDEX($S$5:$S$304,MATCH(C5655,$R$5:$R$304,0))&amp;"","?"))</f>
        <v/>
      </c>
      <c r="N5655" s="2">
        <f>IF(E5655="","",IF(ISNUMBER(SEARCH("SUBSOLO",E5655)),IFERROR(-VALUE(LEFT(E5655,FIND("º",SUBSTITUTE(E5655,"°","º"))-1)),-1),IF(LEFT(E5655,6)="TÉRREO",0,IFERROR(VALUE(LEFT(E5655,FIND("º",SUBSTITUTE(E5655,"°","º"))-1)),""))))</f>
        <v/>
      </c>
      <c r="O5655" s="2">
        <f>IF(OR(F5655="",G5655=""),"",IF(G5655&lt;='RETRATO 2027'!$K$5,"CONCLUÍDA",IF(F5655&lt;='RETRATO 2027'!$K$5,"EM ANDAMENTO","A INICIAR")))</f>
        <v/>
      </c>
    </row>
    <row r="5656">
      <c r="M5656" s="2">
        <f>IF(C5656="","",IFERROR(INDEX($S$5:$S$304,MATCH(C5656,$R$5:$R$304,0))&amp;"","?"))</f>
        <v/>
      </c>
      <c r="N5656" s="2">
        <f>IF(E5656="","",IF(ISNUMBER(SEARCH("SUBSOLO",E5656)),IFERROR(-VALUE(LEFT(E5656,FIND("º",SUBSTITUTE(E5656,"°","º"))-1)),-1),IF(LEFT(E5656,6)="TÉRREO",0,IFERROR(VALUE(LEFT(E5656,FIND("º",SUBSTITUTE(E5656,"°","º"))-1)),""))))</f>
        <v/>
      </c>
      <c r="O5656" s="2">
        <f>IF(OR(F5656="",G5656=""),"",IF(G5656&lt;='RETRATO 2027'!$K$5,"CONCLUÍDA",IF(F5656&lt;='RETRATO 2027'!$K$5,"EM ANDAMENTO","A INICIAR")))</f>
        <v/>
      </c>
    </row>
    <row r="5657">
      <c r="M5657" s="2">
        <f>IF(C5657="","",IFERROR(INDEX($S$5:$S$304,MATCH(C5657,$R$5:$R$304,0))&amp;"","?"))</f>
        <v/>
      </c>
      <c r="N5657" s="2">
        <f>IF(E5657="","",IF(ISNUMBER(SEARCH("SUBSOLO",E5657)),IFERROR(-VALUE(LEFT(E5657,FIND("º",SUBSTITUTE(E5657,"°","º"))-1)),-1),IF(LEFT(E5657,6)="TÉRREO",0,IFERROR(VALUE(LEFT(E5657,FIND("º",SUBSTITUTE(E5657,"°","º"))-1)),""))))</f>
        <v/>
      </c>
      <c r="O5657" s="2">
        <f>IF(OR(F5657="",G5657=""),"",IF(G5657&lt;='RETRATO 2027'!$K$5,"CONCLUÍDA",IF(F5657&lt;='RETRATO 2027'!$K$5,"EM ANDAMENTO","A INICIAR")))</f>
        <v/>
      </c>
    </row>
    <row r="5658">
      <c r="M5658" s="2">
        <f>IF(C5658="","",IFERROR(INDEX($S$5:$S$304,MATCH(C5658,$R$5:$R$304,0))&amp;"","?"))</f>
        <v/>
      </c>
      <c r="N5658" s="2">
        <f>IF(E5658="","",IF(ISNUMBER(SEARCH("SUBSOLO",E5658)),IFERROR(-VALUE(LEFT(E5658,FIND("º",SUBSTITUTE(E5658,"°","º"))-1)),-1),IF(LEFT(E5658,6)="TÉRREO",0,IFERROR(VALUE(LEFT(E5658,FIND("º",SUBSTITUTE(E5658,"°","º"))-1)),""))))</f>
        <v/>
      </c>
      <c r="O5658" s="2">
        <f>IF(OR(F5658="",G5658=""),"",IF(G5658&lt;='RETRATO 2027'!$K$5,"CONCLUÍDA",IF(F5658&lt;='RETRATO 2027'!$K$5,"EM ANDAMENTO","A INICIAR")))</f>
        <v/>
      </c>
    </row>
    <row r="5659">
      <c r="M5659" s="2">
        <f>IF(C5659="","",IFERROR(INDEX($S$5:$S$304,MATCH(C5659,$R$5:$R$304,0))&amp;"","?"))</f>
        <v/>
      </c>
      <c r="N5659" s="2">
        <f>IF(E5659="","",IF(ISNUMBER(SEARCH("SUBSOLO",E5659)),IFERROR(-VALUE(LEFT(E5659,FIND("º",SUBSTITUTE(E5659,"°","º"))-1)),-1),IF(LEFT(E5659,6)="TÉRREO",0,IFERROR(VALUE(LEFT(E5659,FIND("º",SUBSTITUTE(E5659,"°","º"))-1)),""))))</f>
        <v/>
      </c>
      <c r="O5659" s="2">
        <f>IF(OR(F5659="",G5659=""),"",IF(G5659&lt;='RETRATO 2027'!$K$5,"CONCLUÍDA",IF(F5659&lt;='RETRATO 2027'!$K$5,"EM ANDAMENTO","A INICIAR")))</f>
        <v/>
      </c>
    </row>
    <row r="5660">
      <c r="M5660" s="2">
        <f>IF(C5660="","",IFERROR(INDEX($S$5:$S$304,MATCH(C5660,$R$5:$R$304,0))&amp;"","?"))</f>
        <v/>
      </c>
      <c r="N5660" s="2">
        <f>IF(E5660="","",IF(ISNUMBER(SEARCH("SUBSOLO",E5660)),IFERROR(-VALUE(LEFT(E5660,FIND("º",SUBSTITUTE(E5660,"°","º"))-1)),-1),IF(LEFT(E5660,6)="TÉRREO",0,IFERROR(VALUE(LEFT(E5660,FIND("º",SUBSTITUTE(E5660,"°","º"))-1)),""))))</f>
        <v/>
      </c>
      <c r="O5660" s="2">
        <f>IF(OR(F5660="",G5660=""),"",IF(G5660&lt;='RETRATO 2027'!$K$5,"CONCLUÍDA",IF(F5660&lt;='RETRATO 2027'!$K$5,"EM ANDAMENTO","A INICIAR")))</f>
        <v/>
      </c>
    </row>
    <row r="5661">
      <c r="M5661" s="2">
        <f>IF(C5661="","",IFERROR(INDEX($S$5:$S$304,MATCH(C5661,$R$5:$R$304,0))&amp;"","?"))</f>
        <v/>
      </c>
      <c r="N5661" s="2">
        <f>IF(E5661="","",IF(ISNUMBER(SEARCH("SUBSOLO",E5661)),IFERROR(-VALUE(LEFT(E5661,FIND("º",SUBSTITUTE(E5661,"°","º"))-1)),-1),IF(LEFT(E5661,6)="TÉRREO",0,IFERROR(VALUE(LEFT(E5661,FIND("º",SUBSTITUTE(E5661,"°","º"))-1)),""))))</f>
        <v/>
      </c>
      <c r="O5661" s="2">
        <f>IF(OR(F5661="",G5661=""),"",IF(G5661&lt;='RETRATO 2027'!$K$5,"CONCLUÍDA",IF(F5661&lt;='RETRATO 2027'!$K$5,"EM ANDAMENTO","A INICIAR")))</f>
        <v/>
      </c>
    </row>
    <row r="5662">
      <c r="M5662" s="2">
        <f>IF(C5662="","",IFERROR(INDEX($S$5:$S$304,MATCH(C5662,$R$5:$R$304,0))&amp;"","?"))</f>
        <v/>
      </c>
      <c r="N5662" s="2">
        <f>IF(E5662="","",IF(ISNUMBER(SEARCH("SUBSOLO",E5662)),IFERROR(-VALUE(LEFT(E5662,FIND("º",SUBSTITUTE(E5662,"°","º"))-1)),-1),IF(LEFT(E5662,6)="TÉRREO",0,IFERROR(VALUE(LEFT(E5662,FIND("º",SUBSTITUTE(E5662,"°","º"))-1)),""))))</f>
        <v/>
      </c>
      <c r="O5662" s="2">
        <f>IF(OR(F5662="",G5662=""),"",IF(G5662&lt;='RETRATO 2027'!$K$5,"CONCLUÍDA",IF(F5662&lt;='RETRATO 2027'!$K$5,"EM ANDAMENTO","A INICIAR")))</f>
        <v/>
      </c>
    </row>
    <row r="5663">
      <c r="M5663" s="2">
        <f>IF(C5663="","",IFERROR(INDEX($S$5:$S$304,MATCH(C5663,$R$5:$R$304,0))&amp;"","?"))</f>
        <v/>
      </c>
      <c r="N5663" s="2">
        <f>IF(E5663="","",IF(ISNUMBER(SEARCH("SUBSOLO",E5663)),IFERROR(-VALUE(LEFT(E5663,FIND("º",SUBSTITUTE(E5663,"°","º"))-1)),-1),IF(LEFT(E5663,6)="TÉRREO",0,IFERROR(VALUE(LEFT(E5663,FIND("º",SUBSTITUTE(E5663,"°","º"))-1)),""))))</f>
        <v/>
      </c>
      <c r="O5663" s="2">
        <f>IF(OR(F5663="",G5663=""),"",IF(G5663&lt;='RETRATO 2027'!$K$5,"CONCLUÍDA",IF(F5663&lt;='RETRATO 2027'!$K$5,"EM ANDAMENTO","A INICIAR")))</f>
        <v/>
      </c>
    </row>
    <row r="5664">
      <c r="M5664" s="2">
        <f>IF(C5664="","",IFERROR(INDEX($S$5:$S$304,MATCH(C5664,$R$5:$R$304,0))&amp;"","?"))</f>
        <v/>
      </c>
      <c r="N5664" s="2">
        <f>IF(E5664="","",IF(ISNUMBER(SEARCH("SUBSOLO",E5664)),IFERROR(-VALUE(LEFT(E5664,FIND("º",SUBSTITUTE(E5664,"°","º"))-1)),-1),IF(LEFT(E5664,6)="TÉRREO",0,IFERROR(VALUE(LEFT(E5664,FIND("º",SUBSTITUTE(E5664,"°","º"))-1)),""))))</f>
        <v/>
      </c>
      <c r="O5664" s="2">
        <f>IF(OR(F5664="",G5664=""),"",IF(G5664&lt;='RETRATO 2027'!$K$5,"CONCLUÍDA",IF(F5664&lt;='RETRATO 2027'!$K$5,"EM ANDAMENTO","A INICIAR")))</f>
        <v/>
      </c>
    </row>
    <row r="5665">
      <c r="M5665" s="2">
        <f>IF(C5665="","",IFERROR(INDEX($S$5:$S$304,MATCH(C5665,$R$5:$R$304,0))&amp;"","?"))</f>
        <v/>
      </c>
      <c r="N5665" s="2">
        <f>IF(E5665="","",IF(ISNUMBER(SEARCH("SUBSOLO",E5665)),IFERROR(-VALUE(LEFT(E5665,FIND("º",SUBSTITUTE(E5665,"°","º"))-1)),-1),IF(LEFT(E5665,6)="TÉRREO",0,IFERROR(VALUE(LEFT(E5665,FIND("º",SUBSTITUTE(E5665,"°","º"))-1)),""))))</f>
        <v/>
      </c>
      <c r="O5665" s="2">
        <f>IF(OR(F5665="",G5665=""),"",IF(G5665&lt;='RETRATO 2027'!$K$5,"CONCLUÍDA",IF(F5665&lt;='RETRATO 2027'!$K$5,"EM ANDAMENTO","A INICIAR")))</f>
        <v/>
      </c>
    </row>
    <row r="5666">
      <c r="M5666" s="2">
        <f>IF(C5666="","",IFERROR(INDEX($S$5:$S$304,MATCH(C5666,$R$5:$R$304,0))&amp;"","?"))</f>
        <v/>
      </c>
      <c r="N5666" s="2">
        <f>IF(E5666="","",IF(ISNUMBER(SEARCH("SUBSOLO",E5666)),IFERROR(-VALUE(LEFT(E5666,FIND("º",SUBSTITUTE(E5666,"°","º"))-1)),-1),IF(LEFT(E5666,6)="TÉRREO",0,IFERROR(VALUE(LEFT(E5666,FIND("º",SUBSTITUTE(E5666,"°","º"))-1)),""))))</f>
        <v/>
      </c>
      <c r="O5666" s="2">
        <f>IF(OR(F5666="",G5666=""),"",IF(G5666&lt;='RETRATO 2027'!$K$5,"CONCLUÍDA",IF(F5666&lt;='RETRATO 2027'!$K$5,"EM ANDAMENTO","A INICIAR")))</f>
        <v/>
      </c>
    </row>
    <row r="5667">
      <c r="M5667" s="2">
        <f>IF(C5667="","",IFERROR(INDEX($S$5:$S$304,MATCH(C5667,$R$5:$R$304,0))&amp;"","?"))</f>
        <v/>
      </c>
      <c r="N5667" s="2">
        <f>IF(E5667="","",IF(ISNUMBER(SEARCH("SUBSOLO",E5667)),IFERROR(-VALUE(LEFT(E5667,FIND("º",SUBSTITUTE(E5667,"°","º"))-1)),-1),IF(LEFT(E5667,6)="TÉRREO",0,IFERROR(VALUE(LEFT(E5667,FIND("º",SUBSTITUTE(E5667,"°","º"))-1)),""))))</f>
        <v/>
      </c>
      <c r="O5667" s="2">
        <f>IF(OR(F5667="",G5667=""),"",IF(G5667&lt;='RETRATO 2027'!$K$5,"CONCLUÍDA",IF(F5667&lt;='RETRATO 2027'!$K$5,"EM ANDAMENTO","A INICIAR")))</f>
        <v/>
      </c>
    </row>
    <row r="5668">
      <c r="M5668" s="2">
        <f>IF(C5668="","",IFERROR(INDEX($S$5:$S$304,MATCH(C5668,$R$5:$R$304,0))&amp;"","?"))</f>
        <v/>
      </c>
      <c r="N5668" s="2">
        <f>IF(E5668="","",IF(ISNUMBER(SEARCH("SUBSOLO",E5668)),IFERROR(-VALUE(LEFT(E5668,FIND("º",SUBSTITUTE(E5668,"°","º"))-1)),-1),IF(LEFT(E5668,6)="TÉRREO",0,IFERROR(VALUE(LEFT(E5668,FIND("º",SUBSTITUTE(E5668,"°","º"))-1)),""))))</f>
        <v/>
      </c>
      <c r="O5668" s="2">
        <f>IF(OR(F5668="",G5668=""),"",IF(G5668&lt;='RETRATO 2027'!$K$5,"CONCLUÍDA",IF(F5668&lt;='RETRATO 2027'!$K$5,"EM ANDAMENTO","A INICIAR")))</f>
        <v/>
      </c>
    </row>
    <row r="5669">
      <c r="M5669" s="2">
        <f>IF(C5669="","",IFERROR(INDEX($S$5:$S$304,MATCH(C5669,$R$5:$R$304,0))&amp;"","?"))</f>
        <v/>
      </c>
      <c r="N5669" s="2">
        <f>IF(E5669="","",IF(ISNUMBER(SEARCH("SUBSOLO",E5669)),IFERROR(-VALUE(LEFT(E5669,FIND("º",SUBSTITUTE(E5669,"°","º"))-1)),-1),IF(LEFT(E5669,6)="TÉRREO",0,IFERROR(VALUE(LEFT(E5669,FIND("º",SUBSTITUTE(E5669,"°","º"))-1)),""))))</f>
        <v/>
      </c>
      <c r="O5669" s="2">
        <f>IF(OR(F5669="",G5669=""),"",IF(G5669&lt;='RETRATO 2027'!$K$5,"CONCLUÍDA",IF(F5669&lt;='RETRATO 2027'!$K$5,"EM ANDAMENTO","A INICIAR")))</f>
        <v/>
      </c>
    </row>
    <row r="5670">
      <c r="M5670" s="2">
        <f>IF(C5670="","",IFERROR(INDEX($S$5:$S$304,MATCH(C5670,$R$5:$R$304,0))&amp;"","?"))</f>
        <v/>
      </c>
      <c r="N5670" s="2">
        <f>IF(E5670="","",IF(ISNUMBER(SEARCH("SUBSOLO",E5670)),IFERROR(-VALUE(LEFT(E5670,FIND("º",SUBSTITUTE(E5670,"°","º"))-1)),-1),IF(LEFT(E5670,6)="TÉRREO",0,IFERROR(VALUE(LEFT(E5670,FIND("º",SUBSTITUTE(E5670,"°","º"))-1)),""))))</f>
        <v/>
      </c>
      <c r="O5670" s="2">
        <f>IF(OR(F5670="",G5670=""),"",IF(G5670&lt;='RETRATO 2027'!$K$5,"CONCLUÍDA",IF(F5670&lt;='RETRATO 2027'!$K$5,"EM ANDAMENTO","A INICIAR")))</f>
        <v/>
      </c>
    </row>
    <row r="5671">
      <c r="M5671" s="2">
        <f>IF(C5671="","",IFERROR(INDEX($S$5:$S$304,MATCH(C5671,$R$5:$R$304,0))&amp;"","?"))</f>
        <v/>
      </c>
      <c r="N5671" s="2">
        <f>IF(E5671="","",IF(ISNUMBER(SEARCH("SUBSOLO",E5671)),IFERROR(-VALUE(LEFT(E5671,FIND("º",SUBSTITUTE(E5671,"°","º"))-1)),-1),IF(LEFT(E5671,6)="TÉRREO",0,IFERROR(VALUE(LEFT(E5671,FIND("º",SUBSTITUTE(E5671,"°","º"))-1)),""))))</f>
        <v/>
      </c>
      <c r="O5671" s="2">
        <f>IF(OR(F5671="",G5671=""),"",IF(G5671&lt;='RETRATO 2027'!$K$5,"CONCLUÍDA",IF(F5671&lt;='RETRATO 2027'!$K$5,"EM ANDAMENTO","A INICIAR")))</f>
        <v/>
      </c>
    </row>
    <row r="5672">
      <c r="M5672" s="2">
        <f>IF(C5672="","",IFERROR(INDEX($S$5:$S$304,MATCH(C5672,$R$5:$R$304,0))&amp;"","?"))</f>
        <v/>
      </c>
      <c r="N5672" s="2">
        <f>IF(E5672="","",IF(ISNUMBER(SEARCH("SUBSOLO",E5672)),IFERROR(-VALUE(LEFT(E5672,FIND("º",SUBSTITUTE(E5672,"°","º"))-1)),-1),IF(LEFT(E5672,6)="TÉRREO",0,IFERROR(VALUE(LEFT(E5672,FIND("º",SUBSTITUTE(E5672,"°","º"))-1)),""))))</f>
        <v/>
      </c>
      <c r="O5672" s="2">
        <f>IF(OR(F5672="",G5672=""),"",IF(G5672&lt;='RETRATO 2027'!$K$5,"CONCLUÍDA",IF(F5672&lt;='RETRATO 2027'!$K$5,"EM ANDAMENTO","A INICIAR")))</f>
        <v/>
      </c>
    </row>
    <row r="5673">
      <c r="M5673" s="2">
        <f>IF(C5673="","",IFERROR(INDEX($S$5:$S$304,MATCH(C5673,$R$5:$R$304,0))&amp;"","?"))</f>
        <v/>
      </c>
      <c r="N5673" s="2">
        <f>IF(E5673="","",IF(ISNUMBER(SEARCH("SUBSOLO",E5673)),IFERROR(-VALUE(LEFT(E5673,FIND("º",SUBSTITUTE(E5673,"°","º"))-1)),-1),IF(LEFT(E5673,6)="TÉRREO",0,IFERROR(VALUE(LEFT(E5673,FIND("º",SUBSTITUTE(E5673,"°","º"))-1)),""))))</f>
        <v/>
      </c>
      <c r="O5673" s="2">
        <f>IF(OR(F5673="",G5673=""),"",IF(G5673&lt;='RETRATO 2027'!$K$5,"CONCLUÍDA",IF(F5673&lt;='RETRATO 2027'!$K$5,"EM ANDAMENTO","A INICIAR")))</f>
        <v/>
      </c>
    </row>
    <row r="5674">
      <c r="M5674" s="2">
        <f>IF(C5674="","",IFERROR(INDEX($S$5:$S$304,MATCH(C5674,$R$5:$R$304,0))&amp;"","?"))</f>
        <v/>
      </c>
      <c r="N5674" s="2">
        <f>IF(E5674="","",IF(ISNUMBER(SEARCH("SUBSOLO",E5674)),IFERROR(-VALUE(LEFT(E5674,FIND("º",SUBSTITUTE(E5674,"°","º"))-1)),-1),IF(LEFT(E5674,6)="TÉRREO",0,IFERROR(VALUE(LEFT(E5674,FIND("º",SUBSTITUTE(E5674,"°","º"))-1)),""))))</f>
        <v/>
      </c>
      <c r="O5674" s="2">
        <f>IF(OR(F5674="",G5674=""),"",IF(G5674&lt;='RETRATO 2027'!$K$5,"CONCLUÍDA",IF(F5674&lt;='RETRATO 2027'!$K$5,"EM ANDAMENTO","A INICIAR")))</f>
        <v/>
      </c>
    </row>
    <row r="5675">
      <c r="M5675" s="2">
        <f>IF(C5675="","",IFERROR(INDEX($S$5:$S$304,MATCH(C5675,$R$5:$R$304,0))&amp;"","?"))</f>
        <v/>
      </c>
      <c r="N5675" s="2">
        <f>IF(E5675="","",IF(ISNUMBER(SEARCH("SUBSOLO",E5675)),IFERROR(-VALUE(LEFT(E5675,FIND("º",SUBSTITUTE(E5675,"°","º"))-1)),-1),IF(LEFT(E5675,6)="TÉRREO",0,IFERROR(VALUE(LEFT(E5675,FIND("º",SUBSTITUTE(E5675,"°","º"))-1)),""))))</f>
        <v/>
      </c>
      <c r="O5675" s="2">
        <f>IF(OR(F5675="",G5675=""),"",IF(G5675&lt;='RETRATO 2027'!$K$5,"CONCLUÍDA",IF(F5675&lt;='RETRATO 2027'!$K$5,"EM ANDAMENTO","A INICIAR")))</f>
        <v/>
      </c>
    </row>
    <row r="5676">
      <c r="M5676" s="2">
        <f>IF(C5676="","",IFERROR(INDEX($S$5:$S$304,MATCH(C5676,$R$5:$R$304,0))&amp;"","?"))</f>
        <v/>
      </c>
      <c r="N5676" s="2">
        <f>IF(E5676="","",IF(ISNUMBER(SEARCH("SUBSOLO",E5676)),IFERROR(-VALUE(LEFT(E5676,FIND("º",SUBSTITUTE(E5676,"°","º"))-1)),-1),IF(LEFT(E5676,6)="TÉRREO",0,IFERROR(VALUE(LEFT(E5676,FIND("º",SUBSTITUTE(E5676,"°","º"))-1)),""))))</f>
        <v/>
      </c>
      <c r="O5676" s="2">
        <f>IF(OR(F5676="",G5676=""),"",IF(G5676&lt;='RETRATO 2027'!$K$5,"CONCLUÍDA",IF(F5676&lt;='RETRATO 2027'!$K$5,"EM ANDAMENTO","A INICIAR")))</f>
        <v/>
      </c>
    </row>
    <row r="5677">
      <c r="M5677" s="2">
        <f>IF(C5677="","",IFERROR(INDEX($S$5:$S$304,MATCH(C5677,$R$5:$R$304,0))&amp;"","?"))</f>
        <v/>
      </c>
      <c r="N5677" s="2">
        <f>IF(E5677="","",IF(ISNUMBER(SEARCH("SUBSOLO",E5677)),IFERROR(-VALUE(LEFT(E5677,FIND("º",SUBSTITUTE(E5677,"°","º"))-1)),-1),IF(LEFT(E5677,6)="TÉRREO",0,IFERROR(VALUE(LEFT(E5677,FIND("º",SUBSTITUTE(E5677,"°","º"))-1)),""))))</f>
        <v/>
      </c>
      <c r="O5677" s="2">
        <f>IF(OR(F5677="",G5677=""),"",IF(G5677&lt;='RETRATO 2027'!$K$5,"CONCLUÍDA",IF(F5677&lt;='RETRATO 2027'!$K$5,"EM ANDAMENTO","A INICIAR")))</f>
        <v/>
      </c>
    </row>
    <row r="5678">
      <c r="M5678" s="2">
        <f>IF(C5678="","",IFERROR(INDEX($S$5:$S$304,MATCH(C5678,$R$5:$R$304,0))&amp;"","?"))</f>
        <v/>
      </c>
      <c r="N5678" s="2">
        <f>IF(E5678="","",IF(ISNUMBER(SEARCH("SUBSOLO",E5678)),IFERROR(-VALUE(LEFT(E5678,FIND("º",SUBSTITUTE(E5678,"°","º"))-1)),-1),IF(LEFT(E5678,6)="TÉRREO",0,IFERROR(VALUE(LEFT(E5678,FIND("º",SUBSTITUTE(E5678,"°","º"))-1)),""))))</f>
        <v/>
      </c>
      <c r="O5678" s="2">
        <f>IF(OR(F5678="",G5678=""),"",IF(G5678&lt;='RETRATO 2027'!$K$5,"CONCLUÍDA",IF(F5678&lt;='RETRATO 2027'!$K$5,"EM ANDAMENTO","A INICIAR")))</f>
        <v/>
      </c>
    </row>
    <row r="5679">
      <c r="M5679" s="2">
        <f>IF(C5679="","",IFERROR(INDEX($S$5:$S$304,MATCH(C5679,$R$5:$R$304,0))&amp;"","?"))</f>
        <v/>
      </c>
      <c r="N5679" s="2">
        <f>IF(E5679="","",IF(ISNUMBER(SEARCH("SUBSOLO",E5679)),IFERROR(-VALUE(LEFT(E5679,FIND("º",SUBSTITUTE(E5679,"°","º"))-1)),-1),IF(LEFT(E5679,6)="TÉRREO",0,IFERROR(VALUE(LEFT(E5679,FIND("º",SUBSTITUTE(E5679,"°","º"))-1)),""))))</f>
        <v/>
      </c>
      <c r="O5679" s="2">
        <f>IF(OR(F5679="",G5679=""),"",IF(G5679&lt;='RETRATO 2027'!$K$5,"CONCLUÍDA",IF(F5679&lt;='RETRATO 2027'!$K$5,"EM ANDAMENTO","A INICIAR")))</f>
        <v/>
      </c>
    </row>
    <row r="5680">
      <c r="M5680" s="2">
        <f>IF(C5680="","",IFERROR(INDEX($S$5:$S$304,MATCH(C5680,$R$5:$R$304,0))&amp;"","?"))</f>
        <v/>
      </c>
      <c r="N5680" s="2">
        <f>IF(E5680="","",IF(ISNUMBER(SEARCH("SUBSOLO",E5680)),IFERROR(-VALUE(LEFT(E5680,FIND("º",SUBSTITUTE(E5680,"°","º"))-1)),-1),IF(LEFT(E5680,6)="TÉRREO",0,IFERROR(VALUE(LEFT(E5680,FIND("º",SUBSTITUTE(E5680,"°","º"))-1)),""))))</f>
        <v/>
      </c>
      <c r="O5680" s="2">
        <f>IF(OR(F5680="",G5680=""),"",IF(G5680&lt;='RETRATO 2027'!$K$5,"CONCLUÍDA",IF(F5680&lt;='RETRATO 2027'!$K$5,"EM ANDAMENTO","A INICIAR")))</f>
        <v/>
      </c>
    </row>
    <row r="5681">
      <c r="M5681" s="2">
        <f>IF(C5681="","",IFERROR(INDEX($S$5:$S$304,MATCH(C5681,$R$5:$R$304,0))&amp;"","?"))</f>
        <v/>
      </c>
      <c r="N5681" s="2">
        <f>IF(E5681="","",IF(ISNUMBER(SEARCH("SUBSOLO",E5681)),IFERROR(-VALUE(LEFT(E5681,FIND("º",SUBSTITUTE(E5681,"°","º"))-1)),-1),IF(LEFT(E5681,6)="TÉRREO",0,IFERROR(VALUE(LEFT(E5681,FIND("º",SUBSTITUTE(E5681,"°","º"))-1)),""))))</f>
        <v/>
      </c>
      <c r="O5681" s="2">
        <f>IF(OR(F5681="",G5681=""),"",IF(G5681&lt;='RETRATO 2027'!$K$5,"CONCLUÍDA",IF(F5681&lt;='RETRATO 2027'!$K$5,"EM ANDAMENTO","A INICIAR")))</f>
        <v/>
      </c>
    </row>
    <row r="5682">
      <c r="M5682" s="2">
        <f>IF(C5682="","",IFERROR(INDEX($S$5:$S$304,MATCH(C5682,$R$5:$R$304,0))&amp;"","?"))</f>
        <v/>
      </c>
      <c r="N5682" s="2">
        <f>IF(E5682="","",IF(ISNUMBER(SEARCH("SUBSOLO",E5682)),IFERROR(-VALUE(LEFT(E5682,FIND("º",SUBSTITUTE(E5682,"°","º"))-1)),-1),IF(LEFT(E5682,6)="TÉRREO",0,IFERROR(VALUE(LEFT(E5682,FIND("º",SUBSTITUTE(E5682,"°","º"))-1)),""))))</f>
        <v/>
      </c>
      <c r="O5682" s="2">
        <f>IF(OR(F5682="",G5682=""),"",IF(G5682&lt;='RETRATO 2027'!$K$5,"CONCLUÍDA",IF(F5682&lt;='RETRATO 2027'!$K$5,"EM ANDAMENTO","A INICIAR")))</f>
        <v/>
      </c>
    </row>
    <row r="5683">
      <c r="M5683" s="2">
        <f>IF(C5683="","",IFERROR(INDEX($S$5:$S$304,MATCH(C5683,$R$5:$R$304,0))&amp;"","?"))</f>
        <v/>
      </c>
      <c r="N5683" s="2">
        <f>IF(E5683="","",IF(ISNUMBER(SEARCH("SUBSOLO",E5683)),IFERROR(-VALUE(LEFT(E5683,FIND("º",SUBSTITUTE(E5683,"°","º"))-1)),-1),IF(LEFT(E5683,6)="TÉRREO",0,IFERROR(VALUE(LEFT(E5683,FIND("º",SUBSTITUTE(E5683,"°","º"))-1)),""))))</f>
        <v/>
      </c>
      <c r="O5683" s="2">
        <f>IF(OR(F5683="",G5683=""),"",IF(G5683&lt;='RETRATO 2027'!$K$5,"CONCLUÍDA",IF(F5683&lt;='RETRATO 2027'!$K$5,"EM ANDAMENTO","A INICIAR")))</f>
        <v/>
      </c>
    </row>
    <row r="5684">
      <c r="M5684" s="2">
        <f>IF(C5684="","",IFERROR(INDEX($S$5:$S$304,MATCH(C5684,$R$5:$R$304,0))&amp;"","?"))</f>
        <v/>
      </c>
      <c r="N5684" s="2">
        <f>IF(E5684="","",IF(ISNUMBER(SEARCH("SUBSOLO",E5684)),IFERROR(-VALUE(LEFT(E5684,FIND("º",SUBSTITUTE(E5684,"°","º"))-1)),-1),IF(LEFT(E5684,6)="TÉRREO",0,IFERROR(VALUE(LEFT(E5684,FIND("º",SUBSTITUTE(E5684,"°","º"))-1)),""))))</f>
        <v/>
      </c>
      <c r="O5684" s="2">
        <f>IF(OR(F5684="",G5684=""),"",IF(G5684&lt;='RETRATO 2027'!$K$5,"CONCLUÍDA",IF(F5684&lt;='RETRATO 2027'!$K$5,"EM ANDAMENTO","A INICIAR")))</f>
        <v/>
      </c>
    </row>
    <row r="5685">
      <c r="M5685" s="2">
        <f>IF(C5685="","",IFERROR(INDEX($S$5:$S$304,MATCH(C5685,$R$5:$R$304,0))&amp;"","?"))</f>
        <v/>
      </c>
      <c r="N5685" s="2">
        <f>IF(E5685="","",IF(ISNUMBER(SEARCH("SUBSOLO",E5685)),IFERROR(-VALUE(LEFT(E5685,FIND("º",SUBSTITUTE(E5685,"°","º"))-1)),-1),IF(LEFT(E5685,6)="TÉRREO",0,IFERROR(VALUE(LEFT(E5685,FIND("º",SUBSTITUTE(E5685,"°","º"))-1)),""))))</f>
        <v/>
      </c>
      <c r="O5685" s="2">
        <f>IF(OR(F5685="",G5685=""),"",IF(G5685&lt;='RETRATO 2027'!$K$5,"CONCLUÍDA",IF(F5685&lt;='RETRATO 2027'!$K$5,"EM ANDAMENTO","A INICIAR")))</f>
        <v/>
      </c>
    </row>
    <row r="5686">
      <c r="M5686" s="2">
        <f>IF(C5686="","",IFERROR(INDEX($S$5:$S$304,MATCH(C5686,$R$5:$R$304,0))&amp;"","?"))</f>
        <v/>
      </c>
      <c r="N5686" s="2">
        <f>IF(E5686="","",IF(ISNUMBER(SEARCH("SUBSOLO",E5686)),IFERROR(-VALUE(LEFT(E5686,FIND("º",SUBSTITUTE(E5686,"°","º"))-1)),-1),IF(LEFT(E5686,6)="TÉRREO",0,IFERROR(VALUE(LEFT(E5686,FIND("º",SUBSTITUTE(E5686,"°","º"))-1)),""))))</f>
        <v/>
      </c>
      <c r="O5686" s="2">
        <f>IF(OR(F5686="",G5686=""),"",IF(G5686&lt;='RETRATO 2027'!$K$5,"CONCLUÍDA",IF(F5686&lt;='RETRATO 2027'!$K$5,"EM ANDAMENTO","A INICIAR")))</f>
        <v/>
      </c>
    </row>
    <row r="5687">
      <c r="M5687" s="2">
        <f>IF(C5687="","",IFERROR(INDEX($S$5:$S$304,MATCH(C5687,$R$5:$R$304,0))&amp;"","?"))</f>
        <v/>
      </c>
      <c r="N5687" s="2">
        <f>IF(E5687="","",IF(ISNUMBER(SEARCH("SUBSOLO",E5687)),IFERROR(-VALUE(LEFT(E5687,FIND("º",SUBSTITUTE(E5687,"°","º"))-1)),-1),IF(LEFT(E5687,6)="TÉRREO",0,IFERROR(VALUE(LEFT(E5687,FIND("º",SUBSTITUTE(E5687,"°","º"))-1)),""))))</f>
        <v/>
      </c>
      <c r="O5687" s="2">
        <f>IF(OR(F5687="",G5687=""),"",IF(G5687&lt;='RETRATO 2027'!$K$5,"CONCLUÍDA",IF(F5687&lt;='RETRATO 2027'!$K$5,"EM ANDAMENTO","A INICIAR")))</f>
        <v/>
      </c>
    </row>
    <row r="5688">
      <c r="M5688" s="2">
        <f>IF(C5688="","",IFERROR(INDEX($S$5:$S$304,MATCH(C5688,$R$5:$R$304,0))&amp;"","?"))</f>
        <v/>
      </c>
      <c r="N5688" s="2">
        <f>IF(E5688="","",IF(ISNUMBER(SEARCH("SUBSOLO",E5688)),IFERROR(-VALUE(LEFT(E5688,FIND("º",SUBSTITUTE(E5688,"°","º"))-1)),-1),IF(LEFT(E5688,6)="TÉRREO",0,IFERROR(VALUE(LEFT(E5688,FIND("º",SUBSTITUTE(E5688,"°","º"))-1)),""))))</f>
        <v/>
      </c>
      <c r="O5688" s="2">
        <f>IF(OR(F5688="",G5688=""),"",IF(G5688&lt;='RETRATO 2027'!$K$5,"CONCLUÍDA",IF(F5688&lt;='RETRATO 2027'!$K$5,"EM ANDAMENTO","A INICIAR")))</f>
        <v/>
      </c>
    </row>
    <row r="5689">
      <c r="M5689" s="2">
        <f>IF(C5689="","",IFERROR(INDEX($S$5:$S$304,MATCH(C5689,$R$5:$R$304,0))&amp;"","?"))</f>
        <v/>
      </c>
      <c r="N5689" s="2">
        <f>IF(E5689="","",IF(ISNUMBER(SEARCH("SUBSOLO",E5689)),IFERROR(-VALUE(LEFT(E5689,FIND("º",SUBSTITUTE(E5689,"°","º"))-1)),-1),IF(LEFT(E5689,6)="TÉRREO",0,IFERROR(VALUE(LEFT(E5689,FIND("º",SUBSTITUTE(E5689,"°","º"))-1)),""))))</f>
        <v/>
      </c>
      <c r="O5689" s="2">
        <f>IF(OR(F5689="",G5689=""),"",IF(G5689&lt;='RETRATO 2027'!$K$5,"CONCLUÍDA",IF(F5689&lt;='RETRATO 2027'!$K$5,"EM ANDAMENTO","A INICIAR")))</f>
        <v/>
      </c>
    </row>
    <row r="5690">
      <c r="M5690" s="2">
        <f>IF(C5690="","",IFERROR(INDEX($S$5:$S$304,MATCH(C5690,$R$5:$R$304,0))&amp;"","?"))</f>
        <v/>
      </c>
      <c r="N5690" s="2">
        <f>IF(E5690="","",IF(ISNUMBER(SEARCH("SUBSOLO",E5690)),IFERROR(-VALUE(LEFT(E5690,FIND("º",SUBSTITUTE(E5690,"°","º"))-1)),-1),IF(LEFT(E5690,6)="TÉRREO",0,IFERROR(VALUE(LEFT(E5690,FIND("º",SUBSTITUTE(E5690,"°","º"))-1)),""))))</f>
        <v/>
      </c>
      <c r="O5690" s="2">
        <f>IF(OR(F5690="",G5690=""),"",IF(G5690&lt;='RETRATO 2027'!$K$5,"CONCLUÍDA",IF(F5690&lt;='RETRATO 2027'!$K$5,"EM ANDAMENTO","A INICIAR")))</f>
        <v/>
      </c>
    </row>
    <row r="5691">
      <c r="M5691" s="2">
        <f>IF(C5691="","",IFERROR(INDEX($S$5:$S$304,MATCH(C5691,$R$5:$R$304,0))&amp;"","?"))</f>
        <v/>
      </c>
      <c r="N5691" s="2">
        <f>IF(E5691="","",IF(ISNUMBER(SEARCH("SUBSOLO",E5691)),IFERROR(-VALUE(LEFT(E5691,FIND("º",SUBSTITUTE(E5691,"°","º"))-1)),-1),IF(LEFT(E5691,6)="TÉRREO",0,IFERROR(VALUE(LEFT(E5691,FIND("º",SUBSTITUTE(E5691,"°","º"))-1)),""))))</f>
        <v/>
      </c>
      <c r="O5691" s="2">
        <f>IF(OR(F5691="",G5691=""),"",IF(G5691&lt;='RETRATO 2027'!$K$5,"CONCLUÍDA",IF(F5691&lt;='RETRATO 2027'!$K$5,"EM ANDAMENTO","A INICIAR")))</f>
        <v/>
      </c>
    </row>
    <row r="5692">
      <c r="M5692" s="2">
        <f>IF(C5692="","",IFERROR(INDEX($S$5:$S$304,MATCH(C5692,$R$5:$R$304,0))&amp;"","?"))</f>
        <v/>
      </c>
      <c r="N5692" s="2">
        <f>IF(E5692="","",IF(ISNUMBER(SEARCH("SUBSOLO",E5692)),IFERROR(-VALUE(LEFT(E5692,FIND("º",SUBSTITUTE(E5692,"°","º"))-1)),-1),IF(LEFT(E5692,6)="TÉRREO",0,IFERROR(VALUE(LEFT(E5692,FIND("º",SUBSTITUTE(E5692,"°","º"))-1)),""))))</f>
        <v/>
      </c>
      <c r="O5692" s="2">
        <f>IF(OR(F5692="",G5692=""),"",IF(G5692&lt;='RETRATO 2027'!$K$5,"CONCLUÍDA",IF(F5692&lt;='RETRATO 2027'!$K$5,"EM ANDAMENTO","A INICIAR")))</f>
        <v/>
      </c>
    </row>
    <row r="5693">
      <c r="M5693" s="2">
        <f>IF(C5693="","",IFERROR(INDEX($S$5:$S$304,MATCH(C5693,$R$5:$R$304,0))&amp;"","?"))</f>
        <v/>
      </c>
      <c r="N5693" s="2">
        <f>IF(E5693="","",IF(ISNUMBER(SEARCH("SUBSOLO",E5693)),IFERROR(-VALUE(LEFT(E5693,FIND("º",SUBSTITUTE(E5693,"°","º"))-1)),-1),IF(LEFT(E5693,6)="TÉRREO",0,IFERROR(VALUE(LEFT(E5693,FIND("º",SUBSTITUTE(E5693,"°","º"))-1)),""))))</f>
        <v/>
      </c>
      <c r="O5693" s="2">
        <f>IF(OR(F5693="",G5693=""),"",IF(G5693&lt;='RETRATO 2027'!$K$5,"CONCLUÍDA",IF(F5693&lt;='RETRATO 2027'!$K$5,"EM ANDAMENTO","A INICIAR")))</f>
        <v/>
      </c>
    </row>
    <row r="5694">
      <c r="M5694" s="2">
        <f>IF(C5694="","",IFERROR(INDEX($S$5:$S$304,MATCH(C5694,$R$5:$R$304,0))&amp;"","?"))</f>
        <v/>
      </c>
      <c r="N5694" s="2">
        <f>IF(E5694="","",IF(ISNUMBER(SEARCH("SUBSOLO",E5694)),IFERROR(-VALUE(LEFT(E5694,FIND("º",SUBSTITUTE(E5694,"°","º"))-1)),-1),IF(LEFT(E5694,6)="TÉRREO",0,IFERROR(VALUE(LEFT(E5694,FIND("º",SUBSTITUTE(E5694,"°","º"))-1)),""))))</f>
        <v/>
      </c>
      <c r="O5694" s="2">
        <f>IF(OR(F5694="",G5694=""),"",IF(G5694&lt;='RETRATO 2027'!$K$5,"CONCLUÍDA",IF(F5694&lt;='RETRATO 2027'!$K$5,"EM ANDAMENTO","A INICIAR")))</f>
        <v/>
      </c>
    </row>
    <row r="5695">
      <c r="M5695" s="2">
        <f>IF(C5695="","",IFERROR(INDEX($S$5:$S$304,MATCH(C5695,$R$5:$R$304,0))&amp;"","?"))</f>
        <v/>
      </c>
      <c r="N5695" s="2">
        <f>IF(E5695="","",IF(ISNUMBER(SEARCH("SUBSOLO",E5695)),IFERROR(-VALUE(LEFT(E5695,FIND("º",SUBSTITUTE(E5695,"°","º"))-1)),-1),IF(LEFT(E5695,6)="TÉRREO",0,IFERROR(VALUE(LEFT(E5695,FIND("º",SUBSTITUTE(E5695,"°","º"))-1)),""))))</f>
        <v/>
      </c>
      <c r="O5695" s="2">
        <f>IF(OR(F5695="",G5695=""),"",IF(G5695&lt;='RETRATO 2027'!$K$5,"CONCLUÍDA",IF(F5695&lt;='RETRATO 2027'!$K$5,"EM ANDAMENTO","A INICIAR")))</f>
        <v/>
      </c>
    </row>
    <row r="5696">
      <c r="M5696" s="2">
        <f>IF(C5696="","",IFERROR(INDEX($S$5:$S$304,MATCH(C5696,$R$5:$R$304,0))&amp;"","?"))</f>
        <v/>
      </c>
      <c r="N5696" s="2">
        <f>IF(E5696="","",IF(ISNUMBER(SEARCH("SUBSOLO",E5696)),IFERROR(-VALUE(LEFT(E5696,FIND("º",SUBSTITUTE(E5696,"°","º"))-1)),-1),IF(LEFT(E5696,6)="TÉRREO",0,IFERROR(VALUE(LEFT(E5696,FIND("º",SUBSTITUTE(E5696,"°","º"))-1)),""))))</f>
        <v/>
      </c>
      <c r="O5696" s="2">
        <f>IF(OR(F5696="",G5696=""),"",IF(G5696&lt;='RETRATO 2027'!$K$5,"CONCLUÍDA",IF(F5696&lt;='RETRATO 2027'!$K$5,"EM ANDAMENTO","A INICIAR")))</f>
        <v/>
      </c>
    </row>
    <row r="5697">
      <c r="M5697" s="2">
        <f>IF(C5697="","",IFERROR(INDEX($S$5:$S$304,MATCH(C5697,$R$5:$R$304,0))&amp;"","?"))</f>
        <v/>
      </c>
      <c r="N5697" s="2">
        <f>IF(E5697="","",IF(ISNUMBER(SEARCH("SUBSOLO",E5697)),IFERROR(-VALUE(LEFT(E5697,FIND("º",SUBSTITUTE(E5697,"°","º"))-1)),-1),IF(LEFT(E5697,6)="TÉRREO",0,IFERROR(VALUE(LEFT(E5697,FIND("º",SUBSTITUTE(E5697,"°","º"))-1)),""))))</f>
        <v/>
      </c>
      <c r="O5697" s="2">
        <f>IF(OR(F5697="",G5697=""),"",IF(G5697&lt;='RETRATO 2027'!$K$5,"CONCLUÍDA",IF(F5697&lt;='RETRATO 2027'!$K$5,"EM ANDAMENTO","A INICIAR")))</f>
        <v/>
      </c>
    </row>
    <row r="5698">
      <c r="M5698" s="2">
        <f>IF(C5698="","",IFERROR(INDEX($S$5:$S$304,MATCH(C5698,$R$5:$R$304,0))&amp;"","?"))</f>
        <v/>
      </c>
      <c r="N5698" s="2">
        <f>IF(E5698="","",IF(ISNUMBER(SEARCH("SUBSOLO",E5698)),IFERROR(-VALUE(LEFT(E5698,FIND("º",SUBSTITUTE(E5698,"°","º"))-1)),-1),IF(LEFT(E5698,6)="TÉRREO",0,IFERROR(VALUE(LEFT(E5698,FIND("º",SUBSTITUTE(E5698,"°","º"))-1)),""))))</f>
        <v/>
      </c>
      <c r="O5698" s="2">
        <f>IF(OR(F5698="",G5698=""),"",IF(G5698&lt;='RETRATO 2027'!$K$5,"CONCLUÍDA",IF(F5698&lt;='RETRATO 2027'!$K$5,"EM ANDAMENTO","A INICIAR")))</f>
        <v/>
      </c>
    </row>
    <row r="5699">
      <c r="M5699" s="2">
        <f>IF(C5699="","",IFERROR(INDEX($S$5:$S$304,MATCH(C5699,$R$5:$R$304,0))&amp;"","?"))</f>
        <v/>
      </c>
      <c r="N5699" s="2">
        <f>IF(E5699="","",IF(ISNUMBER(SEARCH("SUBSOLO",E5699)),IFERROR(-VALUE(LEFT(E5699,FIND("º",SUBSTITUTE(E5699,"°","º"))-1)),-1),IF(LEFT(E5699,6)="TÉRREO",0,IFERROR(VALUE(LEFT(E5699,FIND("º",SUBSTITUTE(E5699,"°","º"))-1)),""))))</f>
        <v/>
      </c>
      <c r="O5699" s="2">
        <f>IF(OR(F5699="",G5699=""),"",IF(G5699&lt;='RETRATO 2027'!$K$5,"CONCLUÍDA",IF(F5699&lt;='RETRATO 2027'!$K$5,"EM ANDAMENTO","A INICIAR")))</f>
        <v/>
      </c>
    </row>
    <row r="5700">
      <c r="M5700" s="2">
        <f>IF(C5700="","",IFERROR(INDEX($S$5:$S$304,MATCH(C5700,$R$5:$R$304,0))&amp;"","?"))</f>
        <v/>
      </c>
      <c r="N5700" s="2">
        <f>IF(E5700="","",IF(ISNUMBER(SEARCH("SUBSOLO",E5700)),IFERROR(-VALUE(LEFT(E5700,FIND("º",SUBSTITUTE(E5700,"°","º"))-1)),-1),IF(LEFT(E5700,6)="TÉRREO",0,IFERROR(VALUE(LEFT(E5700,FIND("º",SUBSTITUTE(E5700,"°","º"))-1)),""))))</f>
        <v/>
      </c>
      <c r="O5700" s="2">
        <f>IF(OR(F5700="",G5700=""),"",IF(G5700&lt;='RETRATO 2027'!$K$5,"CONCLUÍDA",IF(F5700&lt;='RETRATO 2027'!$K$5,"EM ANDAMENTO","A INICIAR")))</f>
        <v/>
      </c>
    </row>
    <row r="5701">
      <c r="M5701" s="2">
        <f>IF(C5701="","",IFERROR(INDEX($S$5:$S$304,MATCH(C5701,$R$5:$R$304,0))&amp;"","?"))</f>
        <v/>
      </c>
      <c r="N5701" s="2">
        <f>IF(E5701="","",IF(ISNUMBER(SEARCH("SUBSOLO",E5701)),IFERROR(-VALUE(LEFT(E5701,FIND("º",SUBSTITUTE(E5701,"°","º"))-1)),-1),IF(LEFT(E5701,6)="TÉRREO",0,IFERROR(VALUE(LEFT(E5701,FIND("º",SUBSTITUTE(E5701,"°","º"))-1)),""))))</f>
        <v/>
      </c>
      <c r="O5701" s="2">
        <f>IF(OR(F5701="",G5701=""),"",IF(G5701&lt;='RETRATO 2027'!$K$5,"CONCLUÍDA",IF(F5701&lt;='RETRATO 2027'!$K$5,"EM ANDAMENTO","A INICIAR")))</f>
        <v/>
      </c>
    </row>
    <row r="5702">
      <c r="M5702" s="2">
        <f>IF(C5702="","",IFERROR(INDEX($S$5:$S$304,MATCH(C5702,$R$5:$R$304,0))&amp;"","?"))</f>
        <v/>
      </c>
      <c r="N5702" s="2">
        <f>IF(E5702="","",IF(ISNUMBER(SEARCH("SUBSOLO",E5702)),IFERROR(-VALUE(LEFT(E5702,FIND("º",SUBSTITUTE(E5702,"°","º"))-1)),-1),IF(LEFT(E5702,6)="TÉRREO",0,IFERROR(VALUE(LEFT(E5702,FIND("º",SUBSTITUTE(E5702,"°","º"))-1)),""))))</f>
        <v/>
      </c>
      <c r="O5702" s="2">
        <f>IF(OR(F5702="",G5702=""),"",IF(G5702&lt;='RETRATO 2027'!$K$5,"CONCLUÍDA",IF(F5702&lt;='RETRATO 2027'!$K$5,"EM ANDAMENTO","A INICIAR")))</f>
        <v/>
      </c>
    </row>
    <row r="5703">
      <c r="M5703" s="2">
        <f>IF(C5703="","",IFERROR(INDEX($S$5:$S$304,MATCH(C5703,$R$5:$R$304,0))&amp;"","?"))</f>
        <v/>
      </c>
      <c r="N5703" s="2">
        <f>IF(E5703="","",IF(ISNUMBER(SEARCH("SUBSOLO",E5703)),IFERROR(-VALUE(LEFT(E5703,FIND("º",SUBSTITUTE(E5703,"°","º"))-1)),-1),IF(LEFT(E5703,6)="TÉRREO",0,IFERROR(VALUE(LEFT(E5703,FIND("º",SUBSTITUTE(E5703,"°","º"))-1)),""))))</f>
        <v/>
      </c>
      <c r="O5703" s="2">
        <f>IF(OR(F5703="",G5703=""),"",IF(G5703&lt;='RETRATO 2027'!$K$5,"CONCLUÍDA",IF(F5703&lt;='RETRATO 2027'!$K$5,"EM ANDAMENTO","A INICIAR")))</f>
        <v/>
      </c>
    </row>
    <row r="5704">
      <c r="M5704" s="2">
        <f>IF(C5704="","",IFERROR(INDEX($S$5:$S$304,MATCH(C5704,$R$5:$R$304,0))&amp;"","?"))</f>
        <v/>
      </c>
      <c r="N5704" s="2">
        <f>IF(E5704="","",IF(ISNUMBER(SEARCH("SUBSOLO",E5704)),IFERROR(-VALUE(LEFT(E5704,FIND("º",SUBSTITUTE(E5704,"°","º"))-1)),-1),IF(LEFT(E5704,6)="TÉRREO",0,IFERROR(VALUE(LEFT(E5704,FIND("º",SUBSTITUTE(E5704,"°","º"))-1)),""))))</f>
        <v/>
      </c>
      <c r="O5704" s="2">
        <f>IF(OR(F5704="",G5704=""),"",IF(G5704&lt;='RETRATO 2027'!$K$5,"CONCLUÍDA",IF(F5704&lt;='RETRATO 2027'!$K$5,"EM ANDAMENTO","A INICIAR")))</f>
        <v/>
      </c>
    </row>
    <row r="5705">
      <c r="M5705" s="2">
        <f>IF(C5705="","",IFERROR(INDEX($S$5:$S$304,MATCH(C5705,$R$5:$R$304,0))&amp;"","?"))</f>
        <v/>
      </c>
      <c r="N5705" s="2">
        <f>IF(E5705="","",IF(ISNUMBER(SEARCH("SUBSOLO",E5705)),IFERROR(-VALUE(LEFT(E5705,FIND("º",SUBSTITUTE(E5705,"°","º"))-1)),-1),IF(LEFT(E5705,6)="TÉRREO",0,IFERROR(VALUE(LEFT(E5705,FIND("º",SUBSTITUTE(E5705,"°","º"))-1)),""))))</f>
        <v/>
      </c>
      <c r="O5705" s="2">
        <f>IF(OR(F5705="",G5705=""),"",IF(G5705&lt;='RETRATO 2027'!$K$5,"CONCLUÍDA",IF(F5705&lt;='RETRATO 2027'!$K$5,"EM ANDAMENTO","A INICIAR")))</f>
        <v/>
      </c>
    </row>
    <row r="5706">
      <c r="M5706" s="2">
        <f>IF(C5706="","",IFERROR(INDEX($S$5:$S$304,MATCH(C5706,$R$5:$R$304,0))&amp;"","?"))</f>
        <v/>
      </c>
      <c r="N5706" s="2">
        <f>IF(E5706="","",IF(ISNUMBER(SEARCH("SUBSOLO",E5706)),IFERROR(-VALUE(LEFT(E5706,FIND("º",SUBSTITUTE(E5706,"°","º"))-1)),-1),IF(LEFT(E5706,6)="TÉRREO",0,IFERROR(VALUE(LEFT(E5706,FIND("º",SUBSTITUTE(E5706,"°","º"))-1)),""))))</f>
        <v/>
      </c>
      <c r="O5706" s="2">
        <f>IF(OR(F5706="",G5706=""),"",IF(G5706&lt;='RETRATO 2027'!$K$5,"CONCLUÍDA",IF(F5706&lt;='RETRATO 2027'!$K$5,"EM ANDAMENTO","A INICIAR")))</f>
        <v/>
      </c>
    </row>
    <row r="5707">
      <c r="M5707" s="2">
        <f>IF(C5707="","",IFERROR(INDEX($S$5:$S$304,MATCH(C5707,$R$5:$R$304,0))&amp;"","?"))</f>
        <v/>
      </c>
      <c r="N5707" s="2">
        <f>IF(E5707="","",IF(ISNUMBER(SEARCH("SUBSOLO",E5707)),IFERROR(-VALUE(LEFT(E5707,FIND("º",SUBSTITUTE(E5707,"°","º"))-1)),-1),IF(LEFT(E5707,6)="TÉRREO",0,IFERROR(VALUE(LEFT(E5707,FIND("º",SUBSTITUTE(E5707,"°","º"))-1)),""))))</f>
        <v/>
      </c>
      <c r="O5707" s="2">
        <f>IF(OR(F5707="",G5707=""),"",IF(G5707&lt;='RETRATO 2027'!$K$5,"CONCLUÍDA",IF(F5707&lt;='RETRATO 2027'!$K$5,"EM ANDAMENTO","A INICIAR")))</f>
        <v/>
      </c>
    </row>
    <row r="5708">
      <c r="M5708" s="2">
        <f>IF(C5708="","",IFERROR(INDEX($S$5:$S$304,MATCH(C5708,$R$5:$R$304,0))&amp;"","?"))</f>
        <v/>
      </c>
      <c r="N5708" s="2">
        <f>IF(E5708="","",IF(ISNUMBER(SEARCH("SUBSOLO",E5708)),IFERROR(-VALUE(LEFT(E5708,FIND("º",SUBSTITUTE(E5708,"°","º"))-1)),-1),IF(LEFT(E5708,6)="TÉRREO",0,IFERROR(VALUE(LEFT(E5708,FIND("º",SUBSTITUTE(E5708,"°","º"))-1)),""))))</f>
        <v/>
      </c>
      <c r="O5708" s="2">
        <f>IF(OR(F5708="",G5708=""),"",IF(G5708&lt;='RETRATO 2027'!$K$5,"CONCLUÍDA",IF(F5708&lt;='RETRATO 2027'!$K$5,"EM ANDAMENTO","A INICIAR")))</f>
        <v/>
      </c>
    </row>
    <row r="5709">
      <c r="M5709" s="2">
        <f>IF(C5709="","",IFERROR(INDEX($S$5:$S$304,MATCH(C5709,$R$5:$R$304,0))&amp;"","?"))</f>
        <v/>
      </c>
      <c r="N5709" s="2">
        <f>IF(E5709="","",IF(ISNUMBER(SEARCH("SUBSOLO",E5709)),IFERROR(-VALUE(LEFT(E5709,FIND("º",SUBSTITUTE(E5709,"°","º"))-1)),-1),IF(LEFT(E5709,6)="TÉRREO",0,IFERROR(VALUE(LEFT(E5709,FIND("º",SUBSTITUTE(E5709,"°","º"))-1)),""))))</f>
        <v/>
      </c>
      <c r="O5709" s="2">
        <f>IF(OR(F5709="",G5709=""),"",IF(G5709&lt;='RETRATO 2027'!$K$5,"CONCLUÍDA",IF(F5709&lt;='RETRATO 2027'!$K$5,"EM ANDAMENTO","A INICIAR")))</f>
        <v/>
      </c>
    </row>
    <row r="5710">
      <c r="M5710" s="2">
        <f>IF(C5710="","",IFERROR(INDEX($S$5:$S$304,MATCH(C5710,$R$5:$R$304,0))&amp;"","?"))</f>
        <v/>
      </c>
      <c r="N5710" s="2">
        <f>IF(E5710="","",IF(ISNUMBER(SEARCH("SUBSOLO",E5710)),IFERROR(-VALUE(LEFT(E5710,FIND("º",SUBSTITUTE(E5710,"°","º"))-1)),-1),IF(LEFT(E5710,6)="TÉRREO",0,IFERROR(VALUE(LEFT(E5710,FIND("º",SUBSTITUTE(E5710,"°","º"))-1)),""))))</f>
        <v/>
      </c>
      <c r="O5710" s="2">
        <f>IF(OR(F5710="",G5710=""),"",IF(G5710&lt;='RETRATO 2027'!$K$5,"CONCLUÍDA",IF(F5710&lt;='RETRATO 2027'!$K$5,"EM ANDAMENTO","A INICIAR")))</f>
        <v/>
      </c>
    </row>
    <row r="5711">
      <c r="M5711" s="2">
        <f>IF(C5711="","",IFERROR(INDEX($S$5:$S$304,MATCH(C5711,$R$5:$R$304,0))&amp;"","?"))</f>
        <v/>
      </c>
      <c r="N5711" s="2">
        <f>IF(E5711="","",IF(ISNUMBER(SEARCH("SUBSOLO",E5711)),IFERROR(-VALUE(LEFT(E5711,FIND("º",SUBSTITUTE(E5711,"°","º"))-1)),-1),IF(LEFT(E5711,6)="TÉRREO",0,IFERROR(VALUE(LEFT(E5711,FIND("º",SUBSTITUTE(E5711,"°","º"))-1)),""))))</f>
        <v/>
      </c>
      <c r="O5711" s="2">
        <f>IF(OR(F5711="",G5711=""),"",IF(G5711&lt;='RETRATO 2027'!$K$5,"CONCLUÍDA",IF(F5711&lt;='RETRATO 2027'!$K$5,"EM ANDAMENTO","A INICIAR")))</f>
        <v/>
      </c>
    </row>
    <row r="5712">
      <c r="M5712" s="2">
        <f>IF(C5712="","",IFERROR(INDEX($S$5:$S$304,MATCH(C5712,$R$5:$R$304,0))&amp;"","?"))</f>
        <v/>
      </c>
      <c r="N5712" s="2">
        <f>IF(E5712="","",IF(ISNUMBER(SEARCH("SUBSOLO",E5712)),IFERROR(-VALUE(LEFT(E5712,FIND("º",SUBSTITUTE(E5712,"°","º"))-1)),-1),IF(LEFT(E5712,6)="TÉRREO",0,IFERROR(VALUE(LEFT(E5712,FIND("º",SUBSTITUTE(E5712,"°","º"))-1)),""))))</f>
        <v/>
      </c>
      <c r="O5712" s="2">
        <f>IF(OR(F5712="",G5712=""),"",IF(G5712&lt;='RETRATO 2027'!$K$5,"CONCLUÍDA",IF(F5712&lt;='RETRATO 2027'!$K$5,"EM ANDAMENTO","A INICIAR")))</f>
        <v/>
      </c>
    </row>
    <row r="5713">
      <c r="M5713" s="2">
        <f>IF(C5713="","",IFERROR(INDEX($S$5:$S$304,MATCH(C5713,$R$5:$R$304,0))&amp;"","?"))</f>
        <v/>
      </c>
      <c r="N5713" s="2">
        <f>IF(E5713="","",IF(ISNUMBER(SEARCH("SUBSOLO",E5713)),IFERROR(-VALUE(LEFT(E5713,FIND("º",SUBSTITUTE(E5713,"°","º"))-1)),-1),IF(LEFT(E5713,6)="TÉRREO",0,IFERROR(VALUE(LEFT(E5713,FIND("º",SUBSTITUTE(E5713,"°","º"))-1)),""))))</f>
        <v/>
      </c>
      <c r="O5713" s="2">
        <f>IF(OR(F5713="",G5713=""),"",IF(G5713&lt;='RETRATO 2027'!$K$5,"CONCLUÍDA",IF(F5713&lt;='RETRATO 2027'!$K$5,"EM ANDAMENTO","A INICIAR")))</f>
        <v/>
      </c>
    </row>
    <row r="5714">
      <c r="M5714" s="2">
        <f>IF(C5714="","",IFERROR(INDEX($S$5:$S$304,MATCH(C5714,$R$5:$R$304,0))&amp;"","?"))</f>
        <v/>
      </c>
      <c r="N5714" s="2">
        <f>IF(E5714="","",IF(ISNUMBER(SEARCH("SUBSOLO",E5714)),IFERROR(-VALUE(LEFT(E5714,FIND("º",SUBSTITUTE(E5714,"°","º"))-1)),-1),IF(LEFT(E5714,6)="TÉRREO",0,IFERROR(VALUE(LEFT(E5714,FIND("º",SUBSTITUTE(E5714,"°","º"))-1)),""))))</f>
        <v/>
      </c>
      <c r="O5714" s="2">
        <f>IF(OR(F5714="",G5714=""),"",IF(G5714&lt;='RETRATO 2027'!$K$5,"CONCLUÍDA",IF(F5714&lt;='RETRATO 2027'!$K$5,"EM ANDAMENTO","A INICIAR")))</f>
        <v/>
      </c>
    </row>
    <row r="5715">
      <c r="M5715" s="2">
        <f>IF(C5715="","",IFERROR(INDEX($S$5:$S$304,MATCH(C5715,$R$5:$R$304,0))&amp;"","?"))</f>
        <v/>
      </c>
      <c r="N5715" s="2">
        <f>IF(E5715="","",IF(ISNUMBER(SEARCH("SUBSOLO",E5715)),IFERROR(-VALUE(LEFT(E5715,FIND("º",SUBSTITUTE(E5715,"°","º"))-1)),-1),IF(LEFT(E5715,6)="TÉRREO",0,IFERROR(VALUE(LEFT(E5715,FIND("º",SUBSTITUTE(E5715,"°","º"))-1)),""))))</f>
        <v/>
      </c>
      <c r="O5715" s="2">
        <f>IF(OR(F5715="",G5715=""),"",IF(G5715&lt;='RETRATO 2027'!$K$5,"CONCLUÍDA",IF(F5715&lt;='RETRATO 2027'!$K$5,"EM ANDAMENTO","A INICIAR")))</f>
        <v/>
      </c>
    </row>
    <row r="5716">
      <c r="M5716" s="2">
        <f>IF(C5716="","",IFERROR(INDEX($S$5:$S$304,MATCH(C5716,$R$5:$R$304,0))&amp;"","?"))</f>
        <v/>
      </c>
      <c r="N5716" s="2">
        <f>IF(E5716="","",IF(ISNUMBER(SEARCH("SUBSOLO",E5716)),IFERROR(-VALUE(LEFT(E5716,FIND("º",SUBSTITUTE(E5716,"°","º"))-1)),-1),IF(LEFT(E5716,6)="TÉRREO",0,IFERROR(VALUE(LEFT(E5716,FIND("º",SUBSTITUTE(E5716,"°","º"))-1)),""))))</f>
        <v/>
      </c>
      <c r="O5716" s="2">
        <f>IF(OR(F5716="",G5716=""),"",IF(G5716&lt;='RETRATO 2027'!$K$5,"CONCLUÍDA",IF(F5716&lt;='RETRATO 2027'!$K$5,"EM ANDAMENTO","A INICIAR")))</f>
        <v/>
      </c>
    </row>
    <row r="5717">
      <c r="M5717" s="2">
        <f>IF(C5717="","",IFERROR(INDEX($S$5:$S$304,MATCH(C5717,$R$5:$R$304,0))&amp;"","?"))</f>
        <v/>
      </c>
      <c r="N5717" s="2">
        <f>IF(E5717="","",IF(ISNUMBER(SEARCH("SUBSOLO",E5717)),IFERROR(-VALUE(LEFT(E5717,FIND("º",SUBSTITUTE(E5717,"°","º"))-1)),-1),IF(LEFT(E5717,6)="TÉRREO",0,IFERROR(VALUE(LEFT(E5717,FIND("º",SUBSTITUTE(E5717,"°","º"))-1)),""))))</f>
        <v/>
      </c>
      <c r="O5717" s="2">
        <f>IF(OR(F5717="",G5717=""),"",IF(G5717&lt;='RETRATO 2027'!$K$5,"CONCLUÍDA",IF(F5717&lt;='RETRATO 2027'!$K$5,"EM ANDAMENTO","A INICIAR")))</f>
        <v/>
      </c>
    </row>
    <row r="5718">
      <c r="M5718" s="2">
        <f>IF(C5718="","",IFERROR(INDEX($S$5:$S$304,MATCH(C5718,$R$5:$R$304,0))&amp;"","?"))</f>
        <v/>
      </c>
      <c r="N5718" s="2">
        <f>IF(E5718="","",IF(ISNUMBER(SEARCH("SUBSOLO",E5718)),IFERROR(-VALUE(LEFT(E5718,FIND("º",SUBSTITUTE(E5718,"°","º"))-1)),-1),IF(LEFT(E5718,6)="TÉRREO",0,IFERROR(VALUE(LEFT(E5718,FIND("º",SUBSTITUTE(E5718,"°","º"))-1)),""))))</f>
        <v/>
      </c>
      <c r="O5718" s="2">
        <f>IF(OR(F5718="",G5718=""),"",IF(G5718&lt;='RETRATO 2027'!$K$5,"CONCLUÍDA",IF(F5718&lt;='RETRATO 2027'!$K$5,"EM ANDAMENTO","A INICIAR")))</f>
        <v/>
      </c>
    </row>
    <row r="5719">
      <c r="M5719" s="2">
        <f>IF(C5719="","",IFERROR(INDEX($S$5:$S$304,MATCH(C5719,$R$5:$R$304,0))&amp;"","?"))</f>
        <v/>
      </c>
      <c r="N5719" s="2">
        <f>IF(E5719="","",IF(ISNUMBER(SEARCH("SUBSOLO",E5719)),IFERROR(-VALUE(LEFT(E5719,FIND("º",SUBSTITUTE(E5719,"°","º"))-1)),-1),IF(LEFT(E5719,6)="TÉRREO",0,IFERROR(VALUE(LEFT(E5719,FIND("º",SUBSTITUTE(E5719,"°","º"))-1)),""))))</f>
        <v/>
      </c>
      <c r="O5719" s="2">
        <f>IF(OR(F5719="",G5719=""),"",IF(G5719&lt;='RETRATO 2027'!$K$5,"CONCLUÍDA",IF(F5719&lt;='RETRATO 2027'!$K$5,"EM ANDAMENTO","A INICIAR")))</f>
        <v/>
      </c>
    </row>
    <row r="5720">
      <c r="M5720" s="2">
        <f>IF(C5720="","",IFERROR(INDEX($S$5:$S$304,MATCH(C5720,$R$5:$R$304,0))&amp;"","?"))</f>
        <v/>
      </c>
      <c r="N5720" s="2">
        <f>IF(E5720="","",IF(ISNUMBER(SEARCH("SUBSOLO",E5720)),IFERROR(-VALUE(LEFT(E5720,FIND("º",SUBSTITUTE(E5720,"°","º"))-1)),-1),IF(LEFT(E5720,6)="TÉRREO",0,IFERROR(VALUE(LEFT(E5720,FIND("º",SUBSTITUTE(E5720,"°","º"))-1)),""))))</f>
        <v/>
      </c>
      <c r="O5720" s="2">
        <f>IF(OR(F5720="",G5720=""),"",IF(G5720&lt;='RETRATO 2027'!$K$5,"CONCLUÍDA",IF(F5720&lt;='RETRATO 2027'!$K$5,"EM ANDAMENTO","A INICIAR")))</f>
        <v/>
      </c>
    </row>
    <row r="5721">
      <c r="M5721" s="2">
        <f>IF(C5721="","",IFERROR(INDEX($S$5:$S$304,MATCH(C5721,$R$5:$R$304,0))&amp;"","?"))</f>
        <v/>
      </c>
      <c r="N5721" s="2">
        <f>IF(E5721="","",IF(ISNUMBER(SEARCH("SUBSOLO",E5721)),IFERROR(-VALUE(LEFT(E5721,FIND("º",SUBSTITUTE(E5721,"°","º"))-1)),-1),IF(LEFT(E5721,6)="TÉRREO",0,IFERROR(VALUE(LEFT(E5721,FIND("º",SUBSTITUTE(E5721,"°","º"))-1)),""))))</f>
        <v/>
      </c>
      <c r="O5721" s="2">
        <f>IF(OR(F5721="",G5721=""),"",IF(G5721&lt;='RETRATO 2027'!$K$5,"CONCLUÍDA",IF(F5721&lt;='RETRATO 2027'!$K$5,"EM ANDAMENTO","A INICIAR")))</f>
        <v/>
      </c>
    </row>
    <row r="5722">
      <c r="M5722" s="2">
        <f>IF(C5722="","",IFERROR(INDEX($S$5:$S$304,MATCH(C5722,$R$5:$R$304,0))&amp;"","?"))</f>
        <v/>
      </c>
      <c r="N5722" s="2">
        <f>IF(E5722="","",IF(ISNUMBER(SEARCH("SUBSOLO",E5722)),IFERROR(-VALUE(LEFT(E5722,FIND("º",SUBSTITUTE(E5722,"°","º"))-1)),-1),IF(LEFT(E5722,6)="TÉRREO",0,IFERROR(VALUE(LEFT(E5722,FIND("º",SUBSTITUTE(E5722,"°","º"))-1)),""))))</f>
        <v/>
      </c>
      <c r="O5722" s="2">
        <f>IF(OR(F5722="",G5722=""),"",IF(G5722&lt;='RETRATO 2027'!$K$5,"CONCLUÍDA",IF(F5722&lt;='RETRATO 2027'!$K$5,"EM ANDAMENTO","A INICIAR")))</f>
        <v/>
      </c>
    </row>
    <row r="5723">
      <c r="M5723" s="2">
        <f>IF(C5723="","",IFERROR(INDEX($S$5:$S$304,MATCH(C5723,$R$5:$R$304,0))&amp;"","?"))</f>
        <v/>
      </c>
      <c r="N5723" s="2">
        <f>IF(E5723="","",IF(ISNUMBER(SEARCH("SUBSOLO",E5723)),IFERROR(-VALUE(LEFT(E5723,FIND("º",SUBSTITUTE(E5723,"°","º"))-1)),-1),IF(LEFT(E5723,6)="TÉRREO",0,IFERROR(VALUE(LEFT(E5723,FIND("º",SUBSTITUTE(E5723,"°","º"))-1)),""))))</f>
        <v/>
      </c>
      <c r="O5723" s="2">
        <f>IF(OR(F5723="",G5723=""),"",IF(G5723&lt;='RETRATO 2027'!$K$5,"CONCLUÍDA",IF(F5723&lt;='RETRATO 2027'!$K$5,"EM ANDAMENTO","A INICIAR")))</f>
        <v/>
      </c>
    </row>
    <row r="5724">
      <c r="M5724" s="2">
        <f>IF(C5724="","",IFERROR(INDEX($S$5:$S$304,MATCH(C5724,$R$5:$R$304,0))&amp;"","?"))</f>
        <v/>
      </c>
      <c r="N5724" s="2">
        <f>IF(E5724="","",IF(ISNUMBER(SEARCH("SUBSOLO",E5724)),IFERROR(-VALUE(LEFT(E5724,FIND("º",SUBSTITUTE(E5724,"°","º"))-1)),-1),IF(LEFT(E5724,6)="TÉRREO",0,IFERROR(VALUE(LEFT(E5724,FIND("º",SUBSTITUTE(E5724,"°","º"))-1)),""))))</f>
        <v/>
      </c>
      <c r="O5724" s="2">
        <f>IF(OR(F5724="",G5724=""),"",IF(G5724&lt;='RETRATO 2027'!$K$5,"CONCLUÍDA",IF(F5724&lt;='RETRATO 2027'!$K$5,"EM ANDAMENTO","A INICIAR")))</f>
        <v/>
      </c>
    </row>
    <row r="5725">
      <c r="M5725" s="2">
        <f>IF(C5725="","",IFERROR(INDEX($S$5:$S$304,MATCH(C5725,$R$5:$R$304,0))&amp;"","?"))</f>
        <v/>
      </c>
      <c r="N5725" s="2">
        <f>IF(E5725="","",IF(ISNUMBER(SEARCH("SUBSOLO",E5725)),IFERROR(-VALUE(LEFT(E5725,FIND("º",SUBSTITUTE(E5725,"°","º"))-1)),-1),IF(LEFT(E5725,6)="TÉRREO",0,IFERROR(VALUE(LEFT(E5725,FIND("º",SUBSTITUTE(E5725,"°","º"))-1)),""))))</f>
        <v/>
      </c>
      <c r="O5725" s="2">
        <f>IF(OR(F5725="",G5725=""),"",IF(G5725&lt;='RETRATO 2027'!$K$5,"CONCLUÍDA",IF(F5725&lt;='RETRATO 2027'!$K$5,"EM ANDAMENTO","A INICIAR")))</f>
        <v/>
      </c>
    </row>
    <row r="5726">
      <c r="M5726" s="2">
        <f>IF(C5726="","",IFERROR(INDEX($S$5:$S$304,MATCH(C5726,$R$5:$R$304,0))&amp;"","?"))</f>
        <v/>
      </c>
      <c r="N5726" s="2">
        <f>IF(E5726="","",IF(ISNUMBER(SEARCH("SUBSOLO",E5726)),IFERROR(-VALUE(LEFT(E5726,FIND("º",SUBSTITUTE(E5726,"°","º"))-1)),-1),IF(LEFT(E5726,6)="TÉRREO",0,IFERROR(VALUE(LEFT(E5726,FIND("º",SUBSTITUTE(E5726,"°","º"))-1)),""))))</f>
        <v/>
      </c>
      <c r="O5726" s="2">
        <f>IF(OR(F5726="",G5726=""),"",IF(G5726&lt;='RETRATO 2027'!$K$5,"CONCLUÍDA",IF(F5726&lt;='RETRATO 2027'!$K$5,"EM ANDAMENTO","A INICIAR")))</f>
        <v/>
      </c>
    </row>
    <row r="5727">
      <c r="M5727" s="2">
        <f>IF(C5727="","",IFERROR(INDEX($S$5:$S$304,MATCH(C5727,$R$5:$R$304,0))&amp;"","?"))</f>
        <v/>
      </c>
      <c r="N5727" s="2">
        <f>IF(E5727="","",IF(ISNUMBER(SEARCH("SUBSOLO",E5727)),IFERROR(-VALUE(LEFT(E5727,FIND("º",SUBSTITUTE(E5727,"°","º"))-1)),-1),IF(LEFT(E5727,6)="TÉRREO",0,IFERROR(VALUE(LEFT(E5727,FIND("º",SUBSTITUTE(E5727,"°","º"))-1)),""))))</f>
        <v/>
      </c>
      <c r="O5727" s="2">
        <f>IF(OR(F5727="",G5727=""),"",IF(G5727&lt;='RETRATO 2027'!$K$5,"CONCLUÍDA",IF(F5727&lt;='RETRATO 2027'!$K$5,"EM ANDAMENTO","A INICIAR")))</f>
        <v/>
      </c>
    </row>
    <row r="5728">
      <c r="M5728" s="2">
        <f>IF(C5728="","",IFERROR(INDEX($S$5:$S$304,MATCH(C5728,$R$5:$R$304,0))&amp;"","?"))</f>
        <v/>
      </c>
      <c r="N5728" s="2">
        <f>IF(E5728="","",IF(ISNUMBER(SEARCH("SUBSOLO",E5728)),IFERROR(-VALUE(LEFT(E5728,FIND("º",SUBSTITUTE(E5728,"°","º"))-1)),-1),IF(LEFT(E5728,6)="TÉRREO",0,IFERROR(VALUE(LEFT(E5728,FIND("º",SUBSTITUTE(E5728,"°","º"))-1)),""))))</f>
        <v/>
      </c>
      <c r="O5728" s="2">
        <f>IF(OR(F5728="",G5728=""),"",IF(G5728&lt;='RETRATO 2027'!$K$5,"CONCLUÍDA",IF(F5728&lt;='RETRATO 2027'!$K$5,"EM ANDAMENTO","A INICIAR")))</f>
        <v/>
      </c>
    </row>
    <row r="5729">
      <c r="M5729" s="2">
        <f>IF(C5729="","",IFERROR(INDEX($S$5:$S$304,MATCH(C5729,$R$5:$R$304,0))&amp;"","?"))</f>
        <v/>
      </c>
      <c r="N5729" s="2">
        <f>IF(E5729="","",IF(ISNUMBER(SEARCH("SUBSOLO",E5729)),IFERROR(-VALUE(LEFT(E5729,FIND("º",SUBSTITUTE(E5729,"°","º"))-1)),-1),IF(LEFT(E5729,6)="TÉRREO",0,IFERROR(VALUE(LEFT(E5729,FIND("º",SUBSTITUTE(E5729,"°","º"))-1)),""))))</f>
        <v/>
      </c>
      <c r="O5729" s="2">
        <f>IF(OR(F5729="",G5729=""),"",IF(G5729&lt;='RETRATO 2027'!$K$5,"CONCLUÍDA",IF(F5729&lt;='RETRATO 2027'!$K$5,"EM ANDAMENTO","A INICIAR")))</f>
        <v/>
      </c>
    </row>
    <row r="5730">
      <c r="M5730" s="2">
        <f>IF(C5730="","",IFERROR(INDEX($S$5:$S$304,MATCH(C5730,$R$5:$R$304,0))&amp;"","?"))</f>
        <v/>
      </c>
      <c r="N5730" s="2">
        <f>IF(E5730="","",IF(ISNUMBER(SEARCH("SUBSOLO",E5730)),IFERROR(-VALUE(LEFT(E5730,FIND("º",SUBSTITUTE(E5730,"°","º"))-1)),-1),IF(LEFT(E5730,6)="TÉRREO",0,IFERROR(VALUE(LEFT(E5730,FIND("º",SUBSTITUTE(E5730,"°","º"))-1)),""))))</f>
        <v/>
      </c>
      <c r="O5730" s="2">
        <f>IF(OR(F5730="",G5730=""),"",IF(G5730&lt;='RETRATO 2027'!$K$5,"CONCLUÍDA",IF(F5730&lt;='RETRATO 2027'!$K$5,"EM ANDAMENTO","A INICIAR")))</f>
        <v/>
      </c>
    </row>
    <row r="5731">
      <c r="M5731" s="2">
        <f>IF(C5731="","",IFERROR(INDEX($S$5:$S$304,MATCH(C5731,$R$5:$R$304,0))&amp;"","?"))</f>
        <v/>
      </c>
      <c r="N5731" s="2">
        <f>IF(E5731="","",IF(ISNUMBER(SEARCH("SUBSOLO",E5731)),IFERROR(-VALUE(LEFT(E5731,FIND("º",SUBSTITUTE(E5731,"°","º"))-1)),-1),IF(LEFT(E5731,6)="TÉRREO",0,IFERROR(VALUE(LEFT(E5731,FIND("º",SUBSTITUTE(E5731,"°","º"))-1)),""))))</f>
        <v/>
      </c>
      <c r="O5731" s="2">
        <f>IF(OR(F5731="",G5731=""),"",IF(G5731&lt;='RETRATO 2027'!$K$5,"CONCLUÍDA",IF(F5731&lt;='RETRATO 2027'!$K$5,"EM ANDAMENTO","A INICIAR")))</f>
        <v/>
      </c>
    </row>
    <row r="5732">
      <c r="M5732" s="2">
        <f>IF(C5732="","",IFERROR(INDEX($S$5:$S$304,MATCH(C5732,$R$5:$R$304,0))&amp;"","?"))</f>
        <v/>
      </c>
      <c r="N5732" s="2">
        <f>IF(E5732="","",IF(ISNUMBER(SEARCH("SUBSOLO",E5732)),IFERROR(-VALUE(LEFT(E5732,FIND("º",SUBSTITUTE(E5732,"°","º"))-1)),-1),IF(LEFT(E5732,6)="TÉRREO",0,IFERROR(VALUE(LEFT(E5732,FIND("º",SUBSTITUTE(E5732,"°","º"))-1)),""))))</f>
        <v/>
      </c>
      <c r="O5732" s="2">
        <f>IF(OR(F5732="",G5732=""),"",IF(G5732&lt;='RETRATO 2027'!$K$5,"CONCLUÍDA",IF(F5732&lt;='RETRATO 2027'!$K$5,"EM ANDAMENTO","A INICIAR")))</f>
        <v/>
      </c>
    </row>
    <row r="5733">
      <c r="M5733" s="2">
        <f>IF(C5733="","",IFERROR(INDEX($S$5:$S$304,MATCH(C5733,$R$5:$R$304,0))&amp;"","?"))</f>
        <v/>
      </c>
      <c r="N5733" s="2">
        <f>IF(E5733="","",IF(ISNUMBER(SEARCH("SUBSOLO",E5733)),IFERROR(-VALUE(LEFT(E5733,FIND("º",SUBSTITUTE(E5733,"°","º"))-1)),-1),IF(LEFT(E5733,6)="TÉRREO",0,IFERROR(VALUE(LEFT(E5733,FIND("º",SUBSTITUTE(E5733,"°","º"))-1)),""))))</f>
        <v/>
      </c>
      <c r="O5733" s="2">
        <f>IF(OR(F5733="",G5733=""),"",IF(G5733&lt;='RETRATO 2027'!$K$5,"CONCLUÍDA",IF(F5733&lt;='RETRATO 2027'!$K$5,"EM ANDAMENTO","A INICIAR")))</f>
        <v/>
      </c>
    </row>
    <row r="5734">
      <c r="M5734" s="2">
        <f>IF(C5734="","",IFERROR(INDEX($S$5:$S$304,MATCH(C5734,$R$5:$R$304,0))&amp;"","?"))</f>
        <v/>
      </c>
      <c r="N5734" s="2">
        <f>IF(E5734="","",IF(ISNUMBER(SEARCH("SUBSOLO",E5734)),IFERROR(-VALUE(LEFT(E5734,FIND("º",SUBSTITUTE(E5734,"°","º"))-1)),-1),IF(LEFT(E5734,6)="TÉRREO",0,IFERROR(VALUE(LEFT(E5734,FIND("º",SUBSTITUTE(E5734,"°","º"))-1)),""))))</f>
        <v/>
      </c>
      <c r="O5734" s="2">
        <f>IF(OR(F5734="",G5734=""),"",IF(G5734&lt;='RETRATO 2027'!$K$5,"CONCLUÍDA",IF(F5734&lt;='RETRATO 2027'!$K$5,"EM ANDAMENTO","A INICIAR")))</f>
        <v/>
      </c>
    </row>
    <row r="5735">
      <c r="M5735" s="2">
        <f>IF(C5735="","",IFERROR(INDEX($S$5:$S$304,MATCH(C5735,$R$5:$R$304,0))&amp;"","?"))</f>
        <v/>
      </c>
      <c r="N5735" s="2">
        <f>IF(E5735="","",IF(ISNUMBER(SEARCH("SUBSOLO",E5735)),IFERROR(-VALUE(LEFT(E5735,FIND("º",SUBSTITUTE(E5735,"°","º"))-1)),-1),IF(LEFT(E5735,6)="TÉRREO",0,IFERROR(VALUE(LEFT(E5735,FIND("º",SUBSTITUTE(E5735,"°","º"))-1)),""))))</f>
        <v/>
      </c>
      <c r="O5735" s="2">
        <f>IF(OR(F5735="",G5735=""),"",IF(G5735&lt;='RETRATO 2027'!$K$5,"CONCLUÍDA",IF(F5735&lt;='RETRATO 2027'!$K$5,"EM ANDAMENTO","A INICIAR")))</f>
        <v/>
      </c>
    </row>
    <row r="5736">
      <c r="M5736" s="2">
        <f>IF(C5736="","",IFERROR(INDEX($S$5:$S$304,MATCH(C5736,$R$5:$R$304,0))&amp;"","?"))</f>
        <v/>
      </c>
      <c r="N5736" s="2">
        <f>IF(E5736="","",IF(ISNUMBER(SEARCH("SUBSOLO",E5736)),IFERROR(-VALUE(LEFT(E5736,FIND("º",SUBSTITUTE(E5736,"°","º"))-1)),-1),IF(LEFT(E5736,6)="TÉRREO",0,IFERROR(VALUE(LEFT(E5736,FIND("º",SUBSTITUTE(E5736,"°","º"))-1)),""))))</f>
        <v/>
      </c>
      <c r="O5736" s="2">
        <f>IF(OR(F5736="",G5736=""),"",IF(G5736&lt;='RETRATO 2027'!$K$5,"CONCLUÍDA",IF(F5736&lt;='RETRATO 2027'!$K$5,"EM ANDAMENTO","A INICIAR")))</f>
        <v/>
      </c>
    </row>
    <row r="5737">
      <c r="M5737" s="2">
        <f>IF(C5737="","",IFERROR(INDEX($S$5:$S$304,MATCH(C5737,$R$5:$R$304,0))&amp;"","?"))</f>
        <v/>
      </c>
      <c r="N5737" s="2">
        <f>IF(E5737="","",IF(ISNUMBER(SEARCH("SUBSOLO",E5737)),IFERROR(-VALUE(LEFT(E5737,FIND("º",SUBSTITUTE(E5737,"°","º"))-1)),-1),IF(LEFT(E5737,6)="TÉRREO",0,IFERROR(VALUE(LEFT(E5737,FIND("º",SUBSTITUTE(E5737,"°","º"))-1)),""))))</f>
        <v/>
      </c>
      <c r="O5737" s="2">
        <f>IF(OR(F5737="",G5737=""),"",IF(G5737&lt;='RETRATO 2027'!$K$5,"CONCLUÍDA",IF(F5737&lt;='RETRATO 2027'!$K$5,"EM ANDAMENTO","A INICIAR")))</f>
        <v/>
      </c>
    </row>
    <row r="5738">
      <c r="M5738" s="2">
        <f>IF(C5738="","",IFERROR(INDEX($S$5:$S$304,MATCH(C5738,$R$5:$R$304,0))&amp;"","?"))</f>
        <v/>
      </c>
      <c r="N5738" s="2">
        <f>IF(E5738="","",IF(ISNUMBER(SEARCH("SUBSOLO",E5738)),IFERROR(-VALUE(LEFT(E5738,FIND("º",SUBSTITUTE(E5738,"°","º"))-1)),-1),IF(LEFT(E5738,6)="TÉRREO",0,IFERROR(VALUE(LEFT(E5738,FIND("º",SUBSTITUTE(E5738,"°","º"))-1)),""))))</f>
        <v/>
      </c>
      <c r="O5738" s="2">
        <f>IF(OR(F5738="",G5738=""),"",IF(G5738&lt;='RETRATO 2027'!$K$5,"CONCLUÍDA",IF(F5738&lt;='RETRATO 2027'!$K$5,"EM ANDAMENTO","A INICIAR")))</f>
        <v/>
      </c>
    </row>
    <row r="5739">
      <c r="M5739" s="2">
        <f>IF(C5739="","",IFERROR(INDEX($S$5:$S$304,MATCH(C5739,$R$5:$R$304,0))&amp;"","?"))</f>
        <v/>
      </c>
      <c r="N5739" s="2">
        <f>IF(E5739="","",IF(ISNUMBER(SEARCH("SUBSOLO",E5739)),IFERROR(-VALUE(LEFT(E5739,FIND("º",SUBSTITUTE(E5739,"°","º"))-1)),-1),IF(LEFT(E5739,6)="TÉRREO",0,IFERROR(VALUE(LEFT(E5739,FIND("º",SUBSTITUTE(E5739,"°","º"))-1)),""))))</f>
        <v/>
      </c>
      <c r="O5739" s="2">
        <f>IF(OR(F5739="",G5739=""),"",IF(G5739&lt;='RETRATO 2027'!$K$5,"CONCLUÍDA",IF(F5739&lt;='RETRATO 2027'!$K$5,"EM ANDAMENTO","A INICIAR")))</f>
        <v/>
      </c>
    </row>
    <row r="5740">
      <c r="M5740" s="2">
        <f>IF(C5740="","",IFERROR(INDEX($S$5:$S$304,MATCH(C5740,$R$5:$R$304,0))&amp;"","?"))</f>
        <v/>
      </c>
      <c r="N5740" s="2">
        <f>IF(E5740="","",IF(ISNUMBER(SEARCH("SUBSOLO",E5740)),IFERROR(-VALUE(LEFT(E5740,FIND("º",SUBSTITUTE(E5740,"°","º"))-1)),-1),IF(LEFT(E5740,6)="TÉRREO",0,IFERROR(VALUE(LEFT(E5740,FIND("º",SUBSTITUTE(E5740,"°","º"))-1)),""))))</f>
        <v/>
      </c>
      <c r="O5740" s="2">
        <f>IF(OR(F5740="",G5740=""),"",IF(G5740&lt;='RETRATO 2027'!$K$5,"CONCLUÍDA",IF(F5740&lt;='RETRATO 2027'!$K$5,"EM ANDAMENTO","A INICIAR")))</f>
        <v/>
      </c>
    </row>
    <row r="5741">
      <c r="M5741" s="2">
        <f>IF(C5741="","",IFERROR(INDEX($S$5:$S$304,MATCH(C5741,$R$5:$R$304,0))&amp;"","?"))</f>
        <v/>
      </c>
      <c r="N5741" s="2">
        <f>IF(E5741="","",IF(ISNUMBER(SEARCH("SUBSOLO",E5741)),IFERROR(-VALUE(LEFT(E5741,FIND("º",SUBSTITUTE(E5741,"°","º"))-1)),-1),IF(LEFT(E5741,6)="TÉRREO",0,IFERROR(VALUE(LEFT(E5741,FIND("º",SUBSTITUTE(E5741,"°","º"))-1)),""))))</f>
        <v/>
      </c>
      <c r="O5741" s="2">
        <f>IF(OR(F5741="",G5741=""),"",IF(G5741&lt;='RETRATO 2027'!$K$5,"CONCLUÍDA",IF(F5741&lt;='RETRATO 2027'!$K$5,"EM ANDAMENTO","A INICIAR")))</f>
        <v/>
      </c>
    </row>
    <row r="5742">
      <c r="M5742" s="2">
        <f>IF(C5742="","",IFERROR(INDEX($S$5:$S$304,MATCH(C5742,$R$5:$R$304,0))&amp;"","?"))</f>
        <v/>
      </c>
      <c r="N5742" s="2">
        <f>IF(E5742="","",IF(ISNUMBER(SEARCH("SUBSOLO",E5742)),IFERROR(-VALUE(LEFT(E5742,FIND("º",SUBSTITUTE(E5742,"°","º"))-1)),-1),IF(LEFT(E5742,6)="TÉRREO",0,IFERROR(VALUE(LEFT(E5742,FIND("º",SUBSTITUTE(E5742,"°","º"))-1)),""))))</f>
        <v/>
      </c>
      <c r="O5742" s="2">
        <f>IF(OR(F5742="",G5742=""),"",IF(G5742&lt;='RETRATO 2027'!$K$5,"CONCLUÍDA",IF(F5742&lt;='RETRATO 2027'!$K$5,"EM ANDAMENTO","A INICIAR")))</f>
        <v/>
      </c>
    </row>
    <row r="5743">
      <c r="M5743" s="2">
        <f>IF(C5743="","",IFERROR(INDEX($S$5:$S$304,MATCH(C5743,$R$5:$R$304,0))&amp;"","?"))</f>
        <v/>
      </c>
      <c r="N5743" s="2">
        <f>IF(E5743="","",IF(ISNUMBER(SEARCH("SUBSOLO",E5743)),IFERROR(-VALUE(LEFT(E5743,FIND("º",SUBSTITUTE(E5743,"°","º"))-1)),-1),IF(LEFT(E5743,6)="TÉRREO",0,IFERROR(VALUE(LEFT(E5743,FIND("º",SUBSTITUTE(E5743,"°","º"))-1)),""))))</f>
        <v/>
      </c>
      <c r="O5743" s="2">
        <f>IF(OR(F5743="",G5743=""),"",IF(G5743&lt;='RETRATO 2027'!$K$5,"CONCLUÍDA",IF(F5743&lt;='RETRATO 2027'!$K$5,"EM ANDAMENTO","A INICIAR")))</f>
        <v/>
      </c>
    </row>
    <row r="5744">
      <c r="M5744" s="2">
        <f>IF(C5744="","",IFERROR(INDEX($S$5:$S$304,MATCH(C5744,$R$5:$R$304,0))&amp;"","?"))</f>
        <v/>
      </c>
      <c r="N5744" s="2">
        <f>IF(E5744="","",IF(ISNUMBER(SEARCH("SUBSOLO",E5744)),IFERROR(-VALUE(LEFT(E5744,FIND("º",SUBSTITUTE(E5744,"°","º"))-1)),-1),IF(LEFT(E5744,6)="TÉRREO",0,IFERROR(VALUE(LEFT(E5744,FIND("º",SUBSTITUTE(E5744,"°","º"))-1)),""))))</f>
        <v/>
      </c>
      <c r="O5744" s="2">
        <f>IF(OR(F5744="",G5744=""),"",IF(G5744&lt;='RETRATO 2027'!$K$5,"CONCLUÍDA",IF(F5744&lt;='RETRATO 2027'!$K$5,"EM ANDAMENTO","A INICIAR")))</f>
        <v/>
      </c>
    </row>
    <row r="5745">
      <c r="M5745" s="2">
        <f>IF(C5745="","",IFERROR(INDEX($S$5:$S$304,MATCH(C5745,$R$5:$R$304,0))&amp;"","?"))</f>
        <v/>
      </c>
      <c r="N5745" s="2">
        <f>IF(E5745="","",IF(ISNUMBER(SEARCH("SUBSOLO",E5745)),IFERROR(-VALUE(LEFT(E5745,FIND("º",SUBSTITUTE(E5745,"°","º"))-1)),-1),IF(LEFT(E5745,6)="TÉRREO",0,IFERROR(VALUE(LEFT(E5745,FIND("º",SUBSTITUTE(E5745,"°","º"))-1)),""))))</f>
        <v/>
      </c>
      <c r="O5745" s="2">
        <f>IF(OR(F5745="",G5745=""),"",IF(G5745&lt;='RETRATO 2027'!$K$5,"CONCLUÍDA",IF(F5745&lt;='RETRATO 2027'!$K$5,"EM ANDAMENTO","A INICIAR")))</f>
        <v/>
      </c>
    </row>
    <row r="5746">
      <c r="M5746" s="2">
        <f>IF(C5746="","",IFERROR(INDEX($S$5:$S$304,MATCH(C5746,$R$5:$R$304,0))&amp;"","?"))</f>
        <v/>
      </c>
      <c r="N5746" s="2">
        <f>IF(E5746="","",IF(ISNUMBER(SEARCH("SUBSOLO",E5746)),IFERROR(-VALUE(LEFT(E5746,FIND("º",SUBSTITUTE(E5746,"°","º"))-1)),-1),IF(LEFT(E5746,6)="TÉRREO",0,IFERROR(VALUE(LEFT(E5746,FIND("º",SUBSTITUTE(E5746,"°","º"))-1)),""))))</f>
        <v/>
      </c>
      <c r="O5746" s="2">
        <f>IF(OR(F5746="",G5746=""),"",IF(G5746&lt;='RETRATO 2027'!$K$5,"CONCLUÍDA",IF(F5746&lt;='RETRATO 2027'!$K$5,"EM ANDAMENTO","A INICIAR")))</f>
        <v/>
      </c>
    </row>
    <row r="5747">
      <c r="M5747" s="2">
        <f>IF(C5747="","",IFERROR(INDEX($S$5:$S$304,MATCH(C5747,$R$5:$R$304,0))&amp;"","?"))</f>
        <v/>
      </c>
      <c r="N5747" s="2">
        <f>IF(E5747="","",IF(ISNUMBER(SEARCH("SUBSOLO",E5747)),IFERROR(-VALUE(LEFT(E5747,FIND("º",SUBSTITUTE(E5747,"°","º"))-1)),-1),IF(LEFT(E5747,6)="TÉRREO",0,IFERROR(VALUE(LEFT(E5747,FIND("º",SUBSTITUTE(E5747,"°","º"))-1)),""))))</f>
        <v/>
      </c>
      <c r="O5747" s="2">
        <f>IF(OR(F5747="",G5747=""),"",IF(G5747&lt;='RETRATO 2027'!$K$5,"CONCLUÍDA",IF(F5747&lt;='RETRATO 2027'!$K$5,"EM ANDAMENTO","A INICIAR")))</f>
        <v/>
      </c>
    </row>
    <row r="5748">
      <c r="M5748" s="2">
        <f>IF(C5748="","",IFERROR(INDEX($S$5:$S$304,MATCH(C5748,$R$5:$R$304,0))&amp;"","?"))</f>
        <v/>
      </c>
      <c r="N5748" s="2">
        <f>IF(E5748="","",IF(ISNUMBER(SEARCH("SUBSOLO",E5748)),IFERROR(-VALUE(LEFT(E5748,FIND("º",SUBSTITUTE(E5748,"°","º"))-1)),-1),IF(LEFT(E5748,6)="TÉRREO",0,IFERROR(VALUE(LEFT(E5748,FIND("º",SUBSTITUTE(E5748,"°","º"))-1)),""))))</f>
        <v/>
      </c>
      <c r="O5748" s="2">
        <f>IF(OR(F5748="",G5748=""),"",IF(G5748&lt;='RETRATO 2027'!$K$5,"CONCLUÍDA",IF(F5748&lt;='RETRATO 2027'!$K$5,"EM ANDAMENTO","A INICIAR")))</f>
        <v/>
      </c>
    </row>
    <row r="5749">
      <c r="M5749" s="2">
        <f>IF(C5749="","",IFERROR(INDEX($S$5:$S$304,MATCH(C5749,$R$5:$R$304,0))&amp;"","?"))</f>
        <v/>
      </c>
      <c r="N5749" s="2">
        <f>IF(E5749="","",IF(ISNUMBER(SEARCH("SUBSOLO",E5749)),IFERROR(-VALUE(LEFT(E5749,FIND("º",SUBSTITUTE(E5749,"°","º"))-1)),-1),IF(LEFT(E5749,6)="TÉRREO",0,IFERROR(VALUE(LEFT(E5749,FIND("º",SUBSTITUTE(E5749,"°","º"))-1)),""))))</f>
        <v/>
      </c>
      <c r="O5749" s="2">
        <f>IF(OR(F5749="",G5749=""),"",IF(G5749&lt;='RETRATO 2027'!$K$5,"CONCLUÍDA",IF(F5749&lt;='RETRATO 2027'!$K$5,"EM ANDAMENTO","A INICIAR")))</f>
        <v/>
      </c>
    </row>
    <row r="5750">
      <c r="M5750" s="2">
        <f>IF(C5750="","",IFERROR(INDEX($S$5:$S$304,MATCH(C5750,$R$5:$R$304,0))&amp;"","?"))</f>
        <v/>
      </c>
      <c r="N5750" s="2">
        <f>IF(E5750="","",IF(ISNUMBER(SEARCH("SUBSOLO",E5750)),IFERROR(-VALUE(LEFT(E5750,FIND("º",SUBSTITUTE(E5750,"°","º"))-1)),-1),IF(LEFT(E5750,6)="TÉRREO",0,IFERROR(VALUE(LEFT(E5750,FIND("º",SUBSTITUTE(E5750,"°","º"))-1)),""))))</f>
        <v/>
      </c>
      <c r="O5750" s="2">
        <f>IF(OR(F5750="",G5750=""),"",IF(G5750&lt;='RETRATO 2027'!$K$5,"CONCLUÍDA",IF(F5750&lt;='RETRATO 2027'!$K$5,"EM ANDAMENTO","A INICIAR")))</f>
        <v/>
      </c>
    </row>
    <row r="5751">
      <c r="M5751" s="2">
        <f>IF(C5751="","",IFERROR(INDEX($S$5:$S$304,MATCH(C5751,$R$5:$R$304,0))&amp;"","?"))</f>
        <v/>
      </c>
      <c r="N5751" s="2">
        <f>IF(E5751="","",IF(ISNUMBER(SEARCH("SUBSOLO",E5751)),IFERROR(-VALUE(LEFT(E5751,FIND("º",SUBSTITUTE(E5751,"°","º"))-1)),-1),IF(LEFT(E5751,6)="TÉRREO",0,IFERROR(VALUE(LEFT(E5751,FIND("º",SUBSTITUTE(E5751,"°","º"))-1)),""))))</f>
        <v/>
      </c>
      <c r="O5751" s="2">
        <f>IF(OR(F5751="",G5751=""),"",IF(G5751&lt;='RETRATO 2027'!$K$5,"CONCLUÍDA",IF(F5751&lt;='RETRATO 2027'!$K$5,"EM ANDAMENTO","A INICIAR")))</f>
        <v/>
      </c>
    </row>
    <row r="5752">
      <c r="M5752" s="2">
        <f>IF(C5752="","",IFERROR(INDEX($S$5:$S$304,MATCH(C5752,$R$5:$R$304,0))&amp;"","?"))</f>
        <v/>
      </c>
      <c r="N5752" s="2">
        <f>IF(E5752="","",IF(ISNUMBER(SEARCH("SUBSOLO",E5752)),IFERROR(-VALUE(LEFT(E5752,FIND("º",SUBSTITUTE(E5752,"°","º"))-1)),-1),IF(LEFT(E5752,6)="TÉRREO",0,IFERROR(VALUE(LEFT(E5752,FIND("º",SUBSTITUTE(E5752,"°","º"))-1)),""))))</f>
        <v/>
      </c>
      <c r="O5752" s="2">
        <f>IF(OR(F5752="",G5752=""),"",IF(G5752&lt;='RETRATO 2027'!$K$5,"CONCLUÍDA",IF(F5752&lt;='RETRATO 2027'!$K$5,"EM ANDAMENTO","A INICIAR")))</f>
        <v/>
      </c>
    </row>
    <row r="5753">
      <c r="M5753" s="2">
        <f>IF(C5753="","",IFERROR(INDEX($S$5:$S$304,MATCH(C5753,$R$5:$R$304,0))&amp;"","?"))</f>
        <v/>
      </c>
      <c r="N5753" s="2">
        <f>IF(E5753="","",IF(ISNUMBER(SEARCH("SUBSOLO",E5753)),IFERROR(-VALUE(LEFT(E5753,FIND("º",SUBSTITUTE(E5753,"°","º"))-1)),-1),IF(LEFT(E5753,6)="TÉRREO",0,IFERROR(VALUE(LEFT(E5753,FIND("º",SUBSTITUTE(E5753,"°","º"))-1)),""))))</f>
        <v/>
      </c>
      <c r="O5753" s="2">
        <f>IF(OR(F5753="",G5753=""),"",IF(G5753&lt;='RETRATO 2027'!$K$5,"CONCLUÍDA",IF(F5753&lt;='RETRATO 2027'!$K$5,"EM ANDAMENTO","A INICIAR")))</f>
        <v/>
      </c>
    </row>
    <row r="5754">
      <c r="M5754" s="2">
        <f>IF(C5754="","",IFERROR(INDEX($S$5:$S$304,MATCH(C5754,$R$5:$R$304,0))&amp;"","?"))</f>
        <v/>
      </c>
      <c r="N5754" s="2">
        <f>IF(E5754="","",IF(ISNUMBER(SEARCH("SUBSOLO",E5754)),IFERROR(-VALUE(LEFT(E5754,FIND("º",SUBSTITUTE(E5754,"°","º"))-1)),-1),IF(LEFT(E5754,6)="TÉRREO",0,IFERROR(VALUE(LEFT(E5754,FIND("º",SUBSTITUTE(E5754,"°","º"))-1)),""))))</f>
        <v/>
      </c>
      <c r="O5754" s="2">
        <f>IF(OR(F5754="",G5754=""),"",IF(G5754&lt;='RETRATO 2027'!$K$5,"CONCLUÍDA",IF(F5754&lt;='RETRATO 2027'!$K$5,"EM ANDAMENTO","A INICIAR")))</f>
        <v/>
      </c>
    </row>
    <row r="5755">
      <c r="M5755" s="2">
        <f>IF(C5755="","",IFERROR(INDEX($S$5:$S$304,MATCH(C5755,$R$5:$R$304,0))&amp;"","?"))</f>
        <v/>
      </c>
      <c r="N5755" s="2">
        <f>IF(E5755="","",IF(ISNUMBER(SEARCH("SUBSOLO",E5755)),IFERROR(-VALUE(LEFT(E5755,FIND("º",SUBSTITUTE(E5755,"°","º"))-1)),-1),IF(LEFT(E5755,6)="TÉRREO",0,IFERROR(VALUE(LEFT(E5755,FIND("º",SUBSTITUTE(E5755,"°","º"))-1)),""))))</f>
        <v/>
      </c>
      <c r="O5755" s="2">
        <f>IF(OR(F5755="",G5755=""),"",IF(G5755&lt;='RETRATO 2027'!$K$5,"CONCLUÍDA",IF(F5755&lt;='RETRATO 2027'!$K$5,"EM ANDAMENTO","A INICIAR")))</f>
        <v/>
      </c>
    </row>
    <row r="5756">
      <c r="M5756" s="2">
        <f>IF(C5756="","",IFERROR(INDEX($S$5:$S$304,MATCH(C5756,$R$5:$R$304,0))&amp;"","?"))</f>
        <v/>
      </c>
      <c r="N5756" s="2">
        <f>IF(E5756="","",IF(ISNUMBER(SEARCH("SUBSOLO",E5756)),IFERROR(-VALUE(LEFT(E5756,FIND("º",SUBSTITUTE(E5756,"°","º"))-1)),-1),IF(LEFT(E5756,6)="TÉRREO",0,IFERROR(VALUE(LEFT(E5756,FIND("º",SUBSTITUTE(E5756,"°","º"))-1)),""))))</f>
        <v/>
      </c>
      <c r="O5756" s="2">
        <f>IF(OR(F5756="",G5756=""),"",IF(G5756&lt;='RETRATO 2027'!$K$5,"CONCLUÍDA",IF(F5756&lt;='RETRATO 2027'!$K$5,"EM ANDAMENTO","A INICIAR")))</f>
        <v/>
      </c>
    </row>
    <row r="5757">
      <c r="M5757" s="2">
        <f>IF(C5757="","",IFERROR(INDEX($S$5:$S$304,MATCH(C5757,$R$5:$R$304,0))&amp;"","?"))</f>
        <v/>
      </c>
      <c r="N5757" s="2">
        <f>IF(E5757="","",IF(ISNUMBER(SEARCH("SUBSOLO",E5757)),IFERROR(-VALUE(LEFT(E5757,FIND("º",SUBSTITUTE(E5757,"°","º"))-1)),-1),IF(LEFT(E5757,6)="TÉRREO",0,IFERROR(VALUE(LEFT(E5757,FIND("º",SUBSTITUTE(E5757,"°","º"))-1)),""))))</f>
        <v/>
      </c>
      <c r="O5757" s="2">
        <f>IF(OR(F5757="",G5757=""),"",IF(G5757&lt;='RETRATO 2027'!$K$5,"CONCLUÍDA",IF(F5757&lt;='RETRATO 2027'!$K$5,"EM ANDAMENTO","A INICIAR")))</f>
        <v/>
      </c>
    </row>
    <row r="5758">
      <c r="M5758" s="2">
        <f>IF(C5758="","",IFERROR(INDEX($S$5:$S$304,MATCH(C5758,$R$5:$R$304,0))&amp;"","?"))</f>
        <v/>
      </c>
      <c r="N5758" s="2">
        <f>IF(E5758="","",IF(ISNUMBER(SEARCH("SUBSOLO",E5758)),IFERROR(-VALUE(LEFT(E5758,FIND("º",SUBSTITUTE(E5758,"°","º"))-1)),-1),IF(LEFT(E5758,6)="TÉRREO",0,IFERROR(VALUE(LEFT(E5758,FIND("º",SUBSTITUTE(E5758,"°","º"))-1)),""))))</f>
        <v/>
      </c>
      <c r="O5758" s="2">
        <f>IF(OR(F5758="",G5758=""),"",IF(G5758&lt;='RETRATO 2027'!$K$5,"CONCLUÍDA",IF(F5758&lt;='RETRATO 2027'!$K$5,"EM ANDAMENTO","A INICIAR")))</f>
        <v/>
      </c>
    </row>
    <row r="5759">
      <c r="M5759" s="2">
        <f>IF(C5759="","",IFERROR(INDEX($S$5:$S$304,MATCH(C5759,$R$5:$R$304,0))&amp;"","?"))</f>
        <v/>
      </c>
      <c r="N5759" s="2">
        <f>IF(E5759="","",IF(ISNUMBER(SEARCH("SUBSOLO",E5759)),IFERROR(-VALUE(LEFT(E5759,FIND("º",SUBSTITUTE(E5759,"°","º"))-1)),-1),IF(LEFT(E5759,6)="TÉRREO",0,IFERROR(VALUE(LEFT(E5759,FIND("º",SUBSTITUTE(E5759,"°","º"))-1)),""))))</f>
        <v/>
      </c>
      <c r="O5759" s="2">
        <f>IF(OR(F5759="",G5759=""),"",IF(G5759&lt;='RETRATO 2027'!$K$5,"CONCLUÍDA",IF(F5759&lt;='RETRATO 2027'!$K$5,"EM ANDAMENTO","A INICIAR")))</f>
        <v/>
      </c>
    </row>
    <row r="5760">
      <c r="M5760" s="2">
        <f>IF(C5760="","",IFERROR(INDEX($S$5:$S$304,MATCH(C5760,$R$5:$R$304,0))&amp;"","?"))</f>
        <v/>
      </c>
      <c r="N5760" s="2">
        <f>IF(E5760="","",IF(ISNUMBER(SEARCH("SUBSOLO",E5760)),IFERROR(-VALUE(LEFT(E5760,FIND("º",SUBSTITUTE(E5760,"°","º"))-1)),-1),IF(LEFT(E5760,6)="TÉRREO",0,IFERROR(VALUE(LEFT(E5760,FIND("º",SUBSTITUTE(E5760,"°","º"))-1)),""))))</f>
        <v/>
      </c>
      <c r="O5760" s="2">
        <f>IF(OR(F5760="",G5760=""),"",IF(G5760&lt;='RETRATO 2027'!$K$5,"CONCLUÍDA",IF(F5760&lt;='RETRATO 2027'!$K$5,"EM ANDAMENTO","A INICIAR")))</f>
        <v/>
      </c>
    </row>
    <row r="5761">
      <c r="M5761" s="2">
        <f>IF(C5761="","",IFERROR(INDEX($S$5:$S$304,MATCH(C5761,$R$5:$R$304,0))&amp;"","?"))</f>
        <v/>
      </c>
      <c r="N5761" s="2">
        <f>IF(E5761="","",IF(ISNUMBER(SEARCH("SUBSOLO",E5761)),IFERROR(-VALUE(LEFT(E5761,FIND("º",SUBSTITUTE(E5761,"°","º"))-1)),-1),IF(LEFT(E5761,6)="TÉRREO",0,IFERROR(VALUE(LEFT(E5761,FIND("º",SUBSTITUTE(E5761,"°","º"))-1)),""))))</f>
        <v/>
      </c>
      <c r="O5761" s="2">
        <f>IF(OR(F5761="",G5761=""),"",IF(G5761&lt;='RETRATO 2027'!$K$5,"CONCLUÍDA",IF(F5761&lt;='RETRATO 2027'!$K$5,"EM ANDAMENTO","A INICIAR")))</f>
        <v/>
      </c>
    </row>
    <row r="5762">
      <c r="M5762" s="2">
        <f>IF(C5762="","",IFERROR(INDEX($S$5:$S$304,MATCH(C5762,$R$5:$R$304,0))&amp;"","?"))</f>
        <v/>
      </c>
      <c r="N5762" s="2">
        <f>IF(E5762="","",IF(ISNUMBER(SEARCH("SUBSOLO",E5762)),IFERROR(-VALUE(LEFT(E5762,FIND("º",SUBSTITUTE(E5762,"°","º"))-1)),-1),IF(LEFT(E5762,6)="TÉRREO",0,IFERROR(VALUE(LEFT(E5762,FIND("º",SUBSTITUTE(E5762,"°","º"))-1)),""))))</f>
        <v/>
      </c>
      <c r="O5762" s="2">
        <f>IF(OR(F5762="",G5762=""),"",IF(G5762&lt;='RETRATO 2027'!$K$5,"CONCLUÍDA",IF(F5762&lt;='RETRATO 2027'!$K$5,"EM ANDAMENTO","A INICIAR")))</f>
        <v/>
      </c>
    </row>
    <row r="5763">
      <c r="M5763" s="2">
        <f>IF(C5763="","",IFERROR(INDEX($S$5:$S$304,MATCH(C5763,$R$5:$R$304,0))&amp;"","?"))</f>
        <v/>
      </c>
      <c r="N5763" s="2">
        <f>IF(E5763="","",IF(ISNUMBER(SEARCH("SUBSOLO",E5763)),IFERROR(-VALUE(LEFT(E5763,FIND("º",SUBSTITUTE(E5763,"°","º"))-1)),-1),IF(LEFT(E5763,6)="TÉRREO",0,IFERROR(VALUE(LEFT(E5763,FIND("º",SUBSTITUTE(E5763,"°","º"))-1)),""))))</f>
        <v/>
      </c>
      <c r="O5763" s="2">
        <f>IF(OR(F5763="",G5763=""),"",IF(G5763&lt;='RETRATO 2027'!$K$5,"CONCLUÍDA",IF(F5763&lt;='RETRATO 2027'!$K$5,"EM ANDAMENTO","A INICIAR")))</f>
        <v/>
      </c>
    </row>
    <row r="5764">
      <c r="M5764" s="2">
        <f>IF(C5764="","",IFERROR(INDEX($S$5:$S$304,MATCH(C5764,$R$5:$R$304,0))&amp;"","?"))</f>
        <v/>
      </c>
      <c r="N5764" s="2">
        <f>IF(E5764="","",IF(ISNUMBER(SEARCH("SUBSOLO",E5764)),IFERROR(-VALUE(LEFT(E5764,FIND("º",SUBSTITUTE(E5764,"°","º"))-1)),-1),IF(LEFT(E5764,6)="TÉRREO",0,IFERROR(VALUE(LEFT(E5764,FIND("º",SUBSTITUTE(E5764,"°","º"))-1)),""))))</f>
        <v/>
      </c>
      <c r="O5764" s="2">
        <f>IF(OR(F5764="",G5764=""),"",IF(G5764&lt;='RETRATO 2027'!$K$5,"CONCLUÍDA",IF(F5764&lt;='RETRATO 2027'!$K$5,"EM ANDAMENTO","A INICIAR")))</f>
        <v/>
      </c>
    </row>
    <row r="5765">
      <c r="M5765" s="2">
        <f>IF(C5765="","",IFERROR(INDEX($S$5:$S$304,MATCH(C5765,$R$5:$R$304,0))&amp;"","?"))</f>
        <v/>
      </c>
      <c r="N5765" s="2">
        <f>IF(E5765="","",IF(ISNUMBER(SEARCH("SUBSOLO",E5765)),IFERROR(-VALUE(LEFT(E5765,FIND("º",SUBSTITUTE(E5765,"°","º"))-1)),-1),IF(LEFT(E5765,6)="TÉRREO",0,IFERROR(VALUE(LEFT(E5765,FIND("º",SUBSTITUTE(E5765,"°","º"))-1)),""))))</f>
        <v/>
      </c>
      <c r="O5765" s="2">
        <f>IF(OR(F5765="",G5765=""),"",IF(G5765&lt;='RETRATO 2027'!$K$5,"CONCLUÍDA",IF(F5765&lt;='RETRATO 2027'!$K$5,"EM ANDAMENTO","A INICIAR")))</f>
        <v/>
      </c>
    </row>
    <row r="5766">
      <c r="M5766" s="2">
        <f>IF(C5766="","",IFERROR(INDEX($S$5:$S$304,MATCH(C5766,$R$5:$R$304,0))&amp;"","?"))</f>
        <v/>
      </c>
      <c r="N5766" s="2">
        <f>IF(E5766="","",IF(ISNUMBER(SEARCH("SUBSOLO",E5766)),IFERROR(-VALUE(LEFT(E5766,FIND("º",SUBSTITUTE(E5766,"°","º"))-1)),-1),IF(LEFT(E5766,6)="TÉRREO",0,IFERROR(VALUE(LEFT(E5766,FIND("º",SUBSTITUTE(E5766,"°","º"))-1)),""))))</f>
        <v/>
      </c>
      <c r="O5766" s="2">
        <f>IF(OR(F5766="",G5766=""),"",IF(G5766&lt;='RETRATO 2027'!$K$5,"CONCLUÍDA",IF(F5766&lt;='RETRATO 2027'!$K$5,"EM ANDAMENTO","A INICIAR")))</f>
        <v/>
      </c>
    </row>
    <row r="5767">
      <c r="M5767" s="2">
        <f>IF(C5767="","",IFERROR(INDEX($S$5:$S$304,MATCH(C5767,$R$5:$R$304,0))&amp;"","?"))</f>
        <v/>
      </c>
      <c r="N5767" s="2">
        <f>IF(E5767="","",IF(ISNUMBER(SEARCH("SUBSOLO",E5767)),IFERROR(-VALUE(LEFT(E5767,FIND("º",SUBSTITUTE(E5767,"°","º"))-1)),-1),IF(LEFT(E5767,6)="TÉRREO",0,IFERROR(VALUE(LEFT(E5767,FIND("º",SUBSTITUTE(E5767,"°","º"))-1)),""))))</f>
        <v/>
      </c>
      <c r="O5767" s="2">
        <f>IF(OR(F5767="",G5767=""),"",IF(G5767&lt;='RETRATO 2027'!$K$5,"CONCLUÍDA",IF(F5767&lt;='RETRATO 2027'!$K$5,"EM ANDAMENTO","A INICIAR")))</f>
        <v/>
      </c>
    </row>
    <row r="5768">
      <c r="M5768" s="2">
        <f>IF(C5768="","",IFERROR(INDEX($S$5:$S$304,MATCH(C5768,$R$5:$R$304,0))&amp;"","?"))</f>
        <v/>
      </c>
      <c r="N5768" s="2">
        <f>IF(E5768="","",IF(ISNUMBER(SEARCH("SUBSOLO",E5768)),IFERROR(-VALUE(LEFT(E5768,FIND("º",SUBSTITUTE(E5768,"°","º"))-1)),-1),IF(LEFT(E5768,6)="TÉRREO",0,IFERROR(VALUE(LEFT(E5768,FIND("º",SUBSTITUTE(E5768,"°","º"))-1)),""))))</f>
        <v/>
      </c>
      <c r="O5768" s="2">
        <f>IF(OR(F5768="",G5768=""),"",IF(G5768&lt;='RETRATO 2027'!$K$5,"CONCLUÍDA",IF(F5768&lt;='RETRATO 2027'!$K$5,"EM ANDAMENTO","A INICIAR")))</f>
        <v/>
      </c>
    </row>
    <row r="5769">
      <c r="M5769" s="2">
        <f>IF(C5769="","",IFERROR(INDEX($S$5:$S$304,MATCH(C5769,$R$5:$R$304,0))&amp;"","?"))</f>
        <v/>
      </c>
      <c r="N5769" s="2">
        <f>IF(E5769="","",IF(ISNUMBER(SEARCH("SUBSOLO",E5769)),IFERROR(-VALUE(LEFT(E5769,FIND("º",SUBSTITUTE(E5769,"°","º"))-1)),-1),IF(LEFT(E5769,6)="TÉRREO",0,IFERROR(VALUE(LEFT(E5769,FIND("º",SUBSTITUTE(E5769,"°","º"))-1)),""))))</f>
        <v/>
      </c>
      <c r="O5769" s="2">
        <f>IF(OR(F5769="",G5769=""),"",IF(G5769&lt;='RETRATO 2027'!$K$5,"CONCLUÍDA",IF(F5769&lt;='RETRATO 2027'!$K$5,"EM ANDAMENTO","A INICIAR")))</f>
        <v/>
      </c>
    </row>
    <row r="5770">
      <c r="M5770" s="2">
        <f>IF(C5770="","",IFERROR(INDEX($S$5:$S$304,MATCH(C5770,$R$5:$R$304,0))&amp;"","?"))</f>
        <v/>
      </c>
      <c r="N5770" s="2">
        <f>IF(E5770="","",IF(ISNUMBER(SEARCH("SUBSOLO",E5770)),IFERROR(-VALUE(LEFT(E5770,FIND("º",SUBSTITUTE(E5770,"°","º"))-1)),-1),IF(LEFT(E5770,6)="TÉRREO",0,IFERROR(VALUE(LEFT(E5770,FIND("º",SUBSTITUTE(E5770,"°","º"))-1)),""))))</f>
        <v/>
      </c>
      <c r="O5770" s="2">
        <f>IF(OR(F5770="",G5770=""),"",IF(G5770&lt;='RETRATO 2027'!$K$5,"CONCLUÍDA",IF(F5770&lt;='RETRATO 2027'!$K$5,"EM ANDAMENTO","A INICIAR")))</f>
        <v/>
      </c>
    </row>
    <row r="5771">
      <c r="M5771" s="2">
        <f>IF(C5771="","",IFERROR(INDEX($S$5:$S$304,MATCH(C5771,$R$5:$R$304,0))&amp;"","?"))</f>
        <v/>
      </c>
      <c r="N5771" s="2">
        <f>IF(E5771="","",IF(ISNUMBER(SEARCH("SUBSOLO",E5771)),IFERROR(-VALUE(LEFT(E5771,FIND("º",SUBSTITUTE(E5771,"°","º"))-1)),-1),IF(LEFT(E5771,6)="TÉRREO",0,IFERROR(VALUE(LEFT(E5771,FIND("º",SUBSTITUTE(E5771,"°","º"))-1)),""))))</f>
        <v/>
      </c>
      <c r="O5771" s="2">
        <f>IF(OR(F5771="",G5771=""),"",IF(G5771&lt;='RETRATO 2027'!$K$5,"CONCLUÍDA",IF(F5771&lt;='RETRATO 2027'!$K$5,"EM ANDAMENTO","A INICIAR")))</f>
        <v/>
      </c>
    </row>
    <row r="5772">
      <c r="M5772" s="2">
        <f>IF(C5772="","",IFERROR(INDEX($S$5:$S$304,MATCH(C5772,$R$5:$R$304,0))&amp;"","?"))</f>
        <v/>
      </c>
      <c r="N5772" s="2">
        <f>IF(E5772="","",IF(ISNUMBER(SEARCH("SUBSOLO",E5772)),IFERROR(-VALUE(LEFT(E5772,FIND("º",SUBSTITUTE(E5772,"°","º"))-1)),-1),IF(LEFT(E5772,6)="TÉRREO",0,IFERROR(VALUE(LEFT(E5772,FIND("º",SUBSTITUTE(E5772,"°","º"))-1)),""))))</f>
        <v/>
      </c>
      <c r="O5772" s="2">
        <f>IF(OR(F5772="",G5772=""),"",IF(G5772&lt;='RETRATO 2027'!$K$5,"CONCLUÍDA",IF(F5772&lt;='RETRATO 2027'!$K$5,"EM ANDAMENTO","A INICIAR")))</f>
        <v/>
      </c>
    </row>
    <row r="5773">
      <c r="M5773" s="2">
        <f>IF(C5773="","",IFERROR(INDEX($S$5:$S$304,MATCH(C5773,$R$5:$R$304,0))&amp;"","?"))</f>
        <v/>
      </c>
      <c r="N5773" s="2">
        <f>IF(E5773="","",IF(ISNUMBER(SEARCH("SUBSOLO",E5773)),IFERROR(-VALUE(LEFT(E5773,FIND("º",SUBSTITUTE(E5773,"°","º"))-1)),-1),IF(LEFT(E5773,6)="TÉRREO",0,IFERROR(VALUE(LEFT(E5773,FIND("º",SUBSTITUTE(E5773,"°","º"))-1)),""))))</f>
        <v/>
      </c>
      <c r="O5773" s="2">
        <f>IF(OR(F5773="",G5773=""),"",IF(G5773&lt;='RETRATO 2027'!$K$5,"CONCLUÍDA",IF(F5773&lt;='RETRATO 2027'!$K$5,"EM ANDAMENTO","A INICIAR")))</f>
        <v/>
      </c>
    </row>
    <row r="5774">
      <c r="M5774" s="2">
        <f>IF(C5774="","",IFERROR(INDEX($S$5:$S$304,MATCH(C5774,$R$5:$R$304,0))&amp;"","?"))</f>
        <v/>
      </c>
      <c r="N5774" s="2">
        <f>IF(E5774="","",IF(ISNUMBER(SEARCH("SUBSOLO",E5774)),IFERROR(-VALUE(LEFT(E5774,FIND("º",SUBSTITUTE(E5774,"°","º"))-1)),-1),IF(LEFT(E5774,6)="TÉRREO",0,IFERROR(VALUE(LEFT(E5774,FIND("º",SUBSTITUTE(E5774,"°","º"))-1)),""))))</f>
        <v/>
      </c>
      <c r="O5774" s="2">
        <f>IF(OR(F5774="",G5774=""),"",IF(G5774&lt;='RETRATO 2027'!$K$5,"CONCLUÍDA",IF(F5774&lt;='RETRATO 2027'!$K$5,"EM ANDAMENTO","A INICIAR")))</f>
        <v/>
      </c>
    </row>
    <row r="5775">
      <c r="M5775" s="2">
        <f>IF(C5775="","",IFERROR(INDEX($S$5:$S$304,MATCH(C5775,$R$5:$R$304,0))&amp;"","?"))</f>
        <v/>
      </c>
      <c r="N5775" s="2">
        <f>IF(E5775="","",IF(ISNUMBER(SEARCH("SUBSOLO",E5775)),IFERROR(-VALUE(LEFT(E5775,FIND("º",SUBSTITUTE(E5775,"°","º"))-1)),-1),IF(LEFT(E5775,6)="TÉRREO",0,IFERROR(VALUE(LEFT(E5775,FIND("º",SUBSTITUTE(E5775,"°","º"))-1)),""))))</f>
        <v/>
      </c>
      <c r="O5775" s="2">
        <f>IF(OR(F5775="",G5775=""),"",IF(G5775&lt;='RETRATO 2027'!$K$5,"CONCLUÍDA",IF(F5775&lt;='RETRATO 2027'!$K$5,"EM ANDAMENTO","A INICIAR")))</f>
        <v/>
      </c>
    </row>
    <row r="5776">
      <c r="M5776" s="2">
        <f>IF(C5776="","",IFERROR(INDEX($S$5:$S$304,MATCH(C5776,$R$5:$R$304,0))&amp;"","?"))</f>
        <v/>
      </c>
      <c r="N5776" s="2">
        <f>IF(E5776="","",IF(ISNUMBER(SEARCH("SUBSOLO",E5776)),IFERROR(-VALUE(LEFT(E5776,FIND("º",SUBSTITUTE(E5776,"°","º"))-1)),-1),IF(LEFT(E5776,6)="TÉRREO",0,IFERROR(VALUE(LEFT(E5776,FIND("º",SUBSTITUTE(E5776,"°","º"))-1)),""))))</f>
        <v/>
      </c>
      <c r="O5776" s="2">
        <f>IF(OR(F5776="",G5776=""),"",IF(G5776&lt;='RETRATO 2027'!$K$5,"CONCLUÍDA",IF(F5776&lt;='RETRATO 2027'!$K$5,"EM ANDAMENTO","A INICIAR")))</f>
        <v/>
      </c>
    </row>
    <row r="5777">
      <c r="M5777" s="2">
        <f>IF(C5777="","",IFERROR(INDEX($S$5:$S$304,MATCH(C5777,$R$5:$R$304,0))&amp;"","?"))</f>
        <v/>
      </c>
      <c r="N5777" s="2">
        <f>IF(E5777="","",IF(ISNUMBER(SEARCH("SUBSOLO",E5777)),IFERROR(-VALUE(LEFT(E5777,FIND("º",SUBSTITUTE(E5777,"°","º"))-1)),-1),IF(LEFT(E5777,6)="TÉRREO",0,IFERROR(VALUE(LEFT(E5777,FIND("º",SUBSTITUTE(E5777,"°","º"))-1)),""))))</f>
        <v/>
      </c>
      <c r="O5777" s="2">
        <f>IF(OR(F5777="",G5777=""),"",IF(G5777&lt;='RETRATO 2027'!$K$5,"CONCLUÍDA",IF(F5777&lt;='RETRATO 2027'!$K$5,"EM ANDAMENTO","A INICIAR")))</f>
        <v/>
      </c>
    </row>
    <row r="5778">
      <c r="M5778" s="2">
        <f>IF(C5778="","",IFERROR(INDEX($S$5:$S$304,MATCH(C5778,$R$5:$R$304,0))&amp;"","?"))</f>
        <v/>
      </c>
      <c r="N5778" s="2">
        <f>IF(E5778="","",IF(ISNUMBER(SEARCH("SUBSOLO",E5778)),IFERROR(-VALUE(LEFT(E5778,FIND("º",SUBSTITUTE(E5778,"°","º"))-1)),-1),IF(LEFT(E5778,6)="TÉRREO",0,IFERROR(VALUE(LEFT(E5778,FIND("º",SUBSTITUTE(E5778,"°","º"))-1)),""))))</f>
        <v/>
      </c>
      <c r="O5778" s="2">
        <f>IF(OR(F5778="",G5778=""),"",IF(G5778&lt;='RETRATO 2027'!$K$5,"CONCLUÍDA",IF(F5778&lt;='RETRATO 2027'!$K$5,"EM ANDAMENTO","A INICIAR")))</f>
        <v/>
      </c>
    </row>
    <row r="5779">
      <c r="M5779" s="2">
        <f>IF(C5779="","",IFERROR(INDEX($S$5:$S$304,MATCH(C5779,$R$5:$R$304,0))&amp;"","?"))</f>
        <v/>
      </c>
      <c r="N5779" s="2">
        <f>IF(E5779="","",IF(ISNUMBER(SEARCH("SUBSOLO",E5779)),IFERROR(-VALUE(LEFT(E5779,FIND("º",SUBSTITUTE(E5779,"°","º"))-1)),-1),IF(LEFT(E5779,6)="TÉRREO",0,IFERROR(VALUE(LEFT(E5779,FIND("º",SUBSTITUTE(E5779,"°","º"))-1)),""))))</f>
        <v/>
      </c>
      <c r="O5779" s="2">
        <f>IF(OR(F5779="",G5779=""),"",IF(G5779&lt;='RETRATO 2027'!$K$5,"CONCLUÍDA",IF(F5779&lt;='RETRATO 2027'!$K$5,"EM ANDAMENTO","A INICIAR")))</f>
        <v/>
      </c>
    </row>
    <row r="5780">
      <c r="M5780" s="2">
        <f>IF(C5780="","",IFERROR(INDEX($S$5:$S$304,MATCH(C5780,$R$5:$R$304,0))&amp;"","?"))</f>
        <v/>
      </c>
      <c r="N5780" s="2">
        <f>IF(E5780="","",IF(ISNUMBER(SEARCH("SUBSOLO",E5780)),IFERROR(-VALUE(LEFT(E5780,FIND("º",SUBSTITUTE(E5780,"°","º"))-1)),-1),IF(LEFT(E5780,6)="TÉRREO",0,IFERROR(VALUE(LEFT(E5780,FIND("º",SUBSTITUTE(E5780,"°","º"))-1)),""))))</f>
        <v/>
      </c>
      <c r="O5780" s="2">
        <f>IF(OR(F5780="",G5780=""),"",IF(G5780&lt;='RETRATO 2027'!$K$5,"CONCLUÍDA",IF(F5780&lt;='RETRATO 2027'!$K$5,"EM ANDAMENTO","A INICIAR")))</f>
        <v/>
      </c>
    </row>
    <row r="5781">
      <c r="M5781" s="2">
        <f>IF(C5781="","",IFERROR(INDEX($S$5:$S$304,MATCH(C5781,$R$5:$R$304,0))&amp;"","?"))</f>
        <v/>
      </c>
      <c r="N5781" s="2">
        <f>IF(E5781="","",IF(ISNUMBER(SEARCH("SUBSOLO",E5781)),IFERROR(-VALUE(LEFT(E5781,FIND("º",SUBSTITUTE(E5781,"°","º"))-1)),-1),IF(LEFT(E5781,6)="TÉRREO",0,IFERROR(VALUE(LEFT(E5781,FIND("º",SUBSTITUTE(E5781,"°","º"))-1)),""))))</f>
        <v/>
      </c>
      <c r="O5781" s="2">
        <f>IF(OR(F5781="",G5781=""),"",IF(G5781&lt;='RETRATO 2027'!$K$5,"CONCLUÍDA",IF(F5781&lt;='RETRATO 2027'!$K$5,"EM ANDAMENTO","A INICIAR")))</f>
        <v/>
      </c>
    </row>
    <row r="5782">
      <c r="M5782" s="2">
        <f>IF(C5782="","",IFERROR(INDEX($S$5:$S$304,MATCH(C5782,$R$5:$R$304,0))&amp;"","?"))</f>
        <v/>
      </c>
      <c r="N5782" s="2">
        <f>IF(E5782="","",IF(ISNUMBER(SEARCH("SUBSOLO",E5782)),IFERROR(-VALUE(LEFT(E5782,FIND("º",SUBSTITUTE(E5782,"°","º"))-1)),-1),IF(LEFT(E5782,6)="TÉRREO",0,IFERROR(VALUE(LEFT(E5782,FIND("º",SUBSTITUTE(E5782,"°","º"))-1)),""))))</f>
        <v/>
      </c>
      <c r="O5782" s="2">
        <f>IF(OR(F5782="",G5782=""),"",IF(G5782&lt;='RETRATO 2027'!$K$5,"CONCLUÍDA",IF(F5782&lt;='RETRATO 2027'!$K$5,"EM ANDAMENTO","A INICIAR")))</f>
        <v/>
      </c>
    </row>
    <row r="5783">
      <c r="M5783" s="2">
        <f>IF(C5783="","",IFERROR(INDEX($S$5:$S$304,MATCH(C5783,$R$5:$R$304,0))&amp;"","?"))</f>
        <v/>
      </c>
      <c r="N5783" s="2">
        <f>IF(E5783="","",IF(ISNUMBER(SEARCH("SUBSOLO",E5783)),IFERROR(-VALUE(LEFT(E5783,FIND("º",SUBSTITUTE(E5783,"°","º"))-1)),-1),IF(LEFT(E5783,6)="TÉRREO",0,IFERROR(VALUE(LEFT(E5783,FIND("º",SUBSTITUTE(E5783,"°","º"))-1)),""))))</f>
        <v/>
      </c>
      <c r="O5783" s="2">
        <f>IF(OR(F5783="",G5783=""),"",IF(G5783&lt;='RETRATO 2027'!$K$5,"CONCLUÍDA",IF(F5783&lt;='RETRATO 2027'!$K$5,"EM ANDAMENTO","A INICIAR")))</f>
        <v/>
      </c>
    </row>
    <row r="5784">
      <c r="M5784" s="2">
        <f>IF(C5784="","",IFERROR(INDEX($S$5:$S$304,MATCH(C5784,$R$5:$R$304,0))&amp;"","?"))</f>
        <v/>
      </c>
      <c r="N5784" s="2">
        <f>IF(E5784="","",IF(ISNUMBER(SEARCH("SUBSOLO",E5784)),IFERROR(-VALUE(LEFT(E5784,FIND("º",SUBSTITUTE(E5784,"°","º"))-1)),-1),IF(LEFT(E5784,6)="TÉRREO",0,IFERROR(VALUE(LEFT(E5784,FIND("º",SUBSTITUTE(E5784,"°","º"))-1)),""))))</f>
        <v/>
      </c>
      <c r="O5784" s="2">
        <f>IF(OR(F5784="",G5784=""),"",IF(G5784&lt;='RETRATO 2027'!$K$5,"CONCLUÍDA",IF(F5784&lt;='RETRATO 2027'!$K$5,"EM ANDAMENTO","A INICIAR")))</f>
        <v/>
      </c>
    </row>
    <row r="5785">
      <c r="M5785" s="2">
        <f>IF(C5785="","",IFERROR(INDEX($S$5:$S$304,MATCH(C5785,$R$5:$R$304,0))&amp;"","?"))</f>
        <v/>
      </c>
      <c r="N5785" s="2">
        <f>IF(E5785="","",IF(ISNUMBER(SEARCH("SUBSOLO",E5785)),IFERROR(-VALUE(LEFT(E5785,FIND("º",SUBSTITUTE(E5785,"°","º"))-1)),-1),IF(LEFT(E5785,6)="TÉRREO",0,IFERROR(VALUE(LEFT(E5785,FIND("º",SUBSTITUTE(E5785,"°","º"))-1)),""))))</f>
        <v/>
      </c>
      <c r="O5785" s="2">
        <f>IF(OR(F5785="",G5785=""),"",IF(G5785&lt;='RETRATO 2027'!$K$5,"CONCLUÍDA",IF(F5785&lt;='RETRATO 2027'!$K$5,"EM ANDAMENTO","A INICIAR")))</f>
        <v/>
      </c>
    </row>
    <row r="5786">
      <c r="M5786" s="2">
        <f>IF(C5786="","",IFERROR(INDEX($S$5:$S$304,MATCH(C5786,$R$5:$R$304,0))&amp;"","?"))</f>
        <v/>
      </c>
      <c r="N5786" s="2">
        <f>IF(E5786="","",IF(ISNUMBER(SEARCH("SUBSOLO",E5786)),IFERROR(-VALUE(LEFT(E5786,FIND("º",SUBSTITUTE(E5786,"°","º"))-1)),-1),IF(LEFT(E5786,6)="TÉRREO",0,IFERROR(VALUE(LEFT(E5786,FIND("º",SUBSTITUTE(E5786,"°","º"))-1)),""))))</f>
        <v/>
      </c>
      <c r="O5786" s="2">
        <f>IF(OR(F5786="",G5786=""),"",IF(G5786&lt;='RETRATO 2027'!$K$5,"CONCLUÍDA",IF(F5786&lt;='RETRATO 2027'!$K$5,"EM ANDAMENTO","A INICIAR")))</f>
        <v/>
      </c>
    </row>
    <row r="5787">
      <c r="M5787" s="2">
        <f>IF(C5787="","",IFERROR(INDEX($S$5:$S$304,MATCH(C5787,$R$5:$R$304,0))&amp;"","?"))</f>
        <v/>
      </c>
      <c r="N5787" s="2">
        <f>IF(E5787="","",IF(ISNUMBER(SEARCH("SUBSOLO",E5787)),IFERROR(-VALUE(LEFT(E5787,FIND("º",SUBSTITUTE(E5787,"°","º"))-1)),-1),IF(LEFT(E5787,6)="TÉRREO",0,IFERROR(VALUE(LEFT(E5787,FIND("º",SUBSTITUTE(E5787,"°","º"))-1)),""))))</f>
        <v/>
      </c>
      <c r="O5787" s="2">
        <f>IF(OR(F5787="",G5787=""),"",IF(G5787&lt;='RETRATO 2027'!$K$5,"CONCLUÍDA",IF(F5787&lt;='RETRATO 2027'!$K$5,"EM ANDAMENTO","A INICIAR")))</f>
        <v/>
      </c>
    </row>
    <row r="5788">
      <c r="M5788" s="2">
        <f>IF(C5788="","",IFERROR(INDEX($S$5:$S$304,MATCH(C5788,$R$5:$R$304,0))&amp;"","?"))</f>
        <v/>
      </c>
      <c r="N5788" s="2">
        <f>IF(E5788="","",IF(ISNUMBER(SEARCH("SUBSOLO",E5788)),IFERROR(-VALUE(LEFT(E5788,FIND("º",SUBSTITUTE(E5788,"°","º"))-1)),-1),IF(LEFT(E5788,6)="TÉRREO",0,IFERROR(VALUE(LEFT(E5788,FIND("º",SUBSTITUTE(E5788,"°","º"))-1)),""))))</f>
        <v/>
      </c>
      <c r="O5788" s="2">
        <f>IF(OR(F5788="",G5788=""),"",IF(G5788&lt;='RETRATO 2027'!$K$5,"CONCLUÍDA",IF(F5788&lt;='RETRATO 2027'!$K$5,"EM ANDAMENTO","A INICIAR")))</f>
        <v/>
      </c>
    </row>
    <row r="5789">
      <c r="M5789" s="2">
        <f>IF(C5789="","",IFERROR(INDEX($S$5:$S$304,MATCH(C5789,$R$5:$R$304,0))&amp;"","?"))</f>
        <v/>
      </c>
      <c r="N5789" s="2">
        <f>IF(E5789="","",IF(ISNUMBER(SEARCH("SUBSOLO",E5789)),IFERROR(-VALUE(LEFT(E5789,FIND("º",SUBSTITUTE(E5789,"°","º"))-1)),-1),IF(LEFT(E5789,6)="TÉRREO",0,IFERROR(VALUE(LEFT(E5789,FIND("º",SUBSTITUTE(E5789,"°","º"))-1)),""))))</f>
        <v/>
      </c>
      <c r="O5789" s="2">
        <f>IF(OR(F5789="",G5789=""),"",IF(G5789&lt;='RETRATO 2027'!$K$5,"CONCLUÍDA",IF(F5789&lt;='RETRATO 2027'!$K$5,"EM ANDAMENTO","A INICIAR")))</f>
        <v/>
      </c>
    </row>
    <row r="5790">
      <c r="M5790" s="2">
        <f>IF(C5790="","",IFERROR(INDEX($S$5:$S$304,MATCH(C5790,$R$5:$R$304,0))&amp;"","?"))</f>
        <v/>
      </c>
      <c r="N5790" s="2">
        <f>IF(E5790="","",IF(ISNUMBER(SEARCH("SUBSOLO",E5790)),IFERROR(-VALUE(LEFT(E5790,FIND("º",SUBSTITUTE(E5790,"°","º"))-1)),-1),IF(LEFT(E5790,6)="TÉRREO",0,IFERROR(VALUE(LEFT(E5790,FIND("º",SUBSTITUTE(E5790,"°","º"))-1)),""))))</f>
        <v/>
      </c>
      <c r="O5790" s="2">
        <f>IF(OR(F5790="",G5790=""),"",IF(G5790&lt;='RETRATO 2027'!$K$5,"CONCLUÍDA",IF(F5790&lt;='RETRATO 2027'!$K$5,"EM ANDAMENTO","A INICIAR")))</f>
        <v/>
      </c>
    </row>
    <row r="5791">
      <c r="M5791" s="2">
        <f>IF(C5791="","",IFERROR(INDEX($S$5:$S$304,MATCH(C5791,$R$5:$R$304,0))&amp;"","?"))</f>
        <v/>
      </c>
      <c r="N5791" s="2">
        <f>IF(E5791="","",IF(ISNUMBER(SEARCH("SUBSOLO",E5791)),IFERROR(-VALUE(LEFT(E5791,FIND("º",SUBSTITUTE(E5791,"°","º"))-1)),-1),IF(LEFT(E5791,6)="TÉRREO",0,IFERROR(VALUE(LEFT(E5791,FIND("º",SUBSTITUTE(E5791,"°","º"))-1)),""))))</f>
        <v/>
      </c>
      <c r="O5791" s="2">
        <f>IF(OR(F5791="",G5791=""),"",IF(G5791&lt;='RETRATO 2027'!$K$5,"CONCLUÍDA",IF(F5791&lt;='RETRATO 2027'!$K$5,"EM ANDAMENTO","A INICIAR")))</f>
        <v/>
      </c>
    </row>
    <row r="5792">
      <c r="M5792" s="2">
        <f>IF(C5792="","",IFERROR(INDEX($S$5:$S$304,MATCH(C5792,$R$5:$R$304,0))&amp;"","?"))</f>
        <v/>
      </c>
      <c r="N5792" s="2">
        <f>IF(E5792="","",IF(ISNUMBER(SEARCH("SUBSOLO",E5792)),IFERROR(-VALUE(LEFT(E5792,FIND("º",SUBSTITUTE(E5792,"°","º"))-1)),-1),IF(LEFT(E5792,6)="TÉRREO",0,IFERROR(VALUE(LEFT(E5792,FIND("º",SUBSTITUTE(E5792,"°","º"))-1)),""))))</f>
        <v/>
      </c>
      <c r="O5792" s="2">
        <f>IF(OR(F5792="",G5792=""),"",IF(G5792&lt;='RETRATO 2027'!$K$5,"CONCLUÍDA",IF(F5792&lt;='RETRATO 2027'!$K$5,"EM ANDAMENTO","A INICIAR")))</f>
        <v/>
      </c>
    </row>
    <row r="5793">
      <c r="M5793" s="2">
        <f>IF(C5793="","",IFERROR(INDEX($S$5:$S$304,MATCH(C5793,$R$5:$R$304,0))&amp;"","?"))</f>
        <v/>
      </c>
      <c r="N5793" s="2">
        <f>IF(E5793="","",IF(ISNUMBER(SEARCH("SUBSOLO",E5793)),IFERROR(-VALUE(LEFT(E5793,FIND("º",SUBSTITUTE(E5793,"°","º"))-1)),-1),IF(LEFT(E5793,6)="TÉRREO",0,IFERROR(VALUE(LEFT(E5793,FIND("º",SUBSTITUTE(E5793,"°","º"))-1)),""))))</f>
        <v/>
      </c>
      <c r="O5793" s="2">
        <f>IF(OR(F5793="",G5793=""),"",IF(G5793&lt;='RETRATO 2027'!$K$5,"CONCLUÍDA",IF(F5793&lt;='RETRATO 2027'!$K$5,"EM ANDAMENTO","A INICIAR")))</f>
        <v/>
      </c>
    </row>
    <row r="5794">
      <c r="M5794" s="2">
        <f>IF(C5794="","",IFERROR(INDEX($S$5:$S$304,MATCH(C5794,$R$5:$R$304,0))&amp;"","?"))</f>
        <v/>
      </c>
      <c r="N5794" s="2">
        <f>IF(E5794="","",IF(ISNUMBER(SEARCH("SUBSOLO",E5794)),IFERROR(-VALUE(LEFT(E5794,FIND("º",SUBSTITUTE(E5794,"°","º"))-1)),-1),IF(LEFT(E5794,6)="TÉRREO",0,IFERROR(VALUE(LEFT(E5794,FIND("º",SUBSTITUTE(E5794,"°","º"))-1)),""))))</f>
        <v/>
      </c>
      <c r="O5794" s="2">
        <f>IF(OR(F5794="",G5794=""),"",IF(G5794&lt;='RETRATO 2027'!$K$5,"CONCLUÍDA",IF(F5794&lt;='RETRATO 2027'!$K$5,"EM ANDAMENTO","A INICIAR")))</f>
        <v/>
      </c>
    </row>
    <row r="5795">
      <c r="M5795" s="2">
        <f>IF(C5795="","",IFERROR(INDEX($S$5:$S$304,MATCH(C5795,$R$5:$R$304,0))&amp;"","?"))</f>
        <v/>
      </c>
      <c r="N5795" s="2">
        <f>IF(E5795="","",IF(ISNUMBER(SEARCH("SUBSOLO",E5795)),IFERROR(-VALUE(LEFT(E5795,FIND("º",SUBSTITUTE(E5795,"°","º"))-1)),-1),IF(LEFT(E5795,6)="TÉRREO",0,IFERROR(VALUE(LEFT(E5795,FIND("º",SUBSTITUTE(E5795,"°","º"))-1)),""))))</f>
        <v/>
      </c>
      <c r="O5795" s="2">
        <f>IF(OR(F5795="",G5795=""),"",IF(G5795&lt;='RETRATO 2027'!$K$5,"CONCLUÍDA",IF(F5795&lt;='RETRATO 2027'!$K$5,"EM ANDAMENTO","A INICIAR")))</f>
        <v/>
      </c>
    </row>
    <row r="5796">
      <c r="M5796" s="2">
        <f>IF(C5796="","",IFERROR(INDEX($S$5:$S$304,MATCH(C5796,$R$5:$R$304,0))&amp;"","?"))</f>
        <v/>
      </c>
      <c r="N5796" s="2">
        <f>IF(E5796="","",IF(ISNUMBER(SEARCH("SUBSOLO",E5796)),IFERROR(-VALUE(LEFT(E5796,FIND("º",SUBSTITUTE(E5796,"°","º"))-1)),-1),IF(LEFT(E5796,6)="TÉRREO",0,IFERROR(VALUE(LEFT(E5796,FIND("º",SUBSTITUTE(E5796,"°","º"))-1)),""))))</f>
        <v/>
      </c>
      <c r="O5796" s="2">
        <f>IF(OR(F5796="",G5796=""),"",IF(G5796&lt;='RETRATO 2027'!$K$5,"CONCLUÍDA",IF(F5796&lt;='RETRATO 2027'!$K$5,"EM ANDAMENTO","A INICIAR")))</f>
        <v/>
      </c>
    </row>
    <row r="5797">
      <c r="M5797" s="2">
        <f>IF(C5797="","",IFERROR(INDEX($S$5:$S$304,MATCH(C5797,$R$5:$R$304,0))&amp;"","?"))</f>
        <v/>
      </c>
      <c r="N5797" s="2">
        <f>IF(E5797="","",IF(ISNUMBER(SEARCH("SUBSOLO",E5797)),IFERROR(-VALUE(LEFT(E5797,FIND("º",SUBSTITUTE(E5797,"°","º"))-1)),-1),IF(LEFT(E5797,6)="TÉRREO",0,IFERROR(VALUE(LEFT(E5797,FIND("º",SUBSTITUTE(E5797,"°","º"))-1)),""))))</f>
        <v/>
      </c>
      <c r="O5797" s="2">
        <f>IF(OR(F5797="",G5797=""),"",IF(G5797&lt;='RETRATO 2027'!$K$5,"CONCLUÍDA",IF(F5797&lt;='RETRATO 2027'!$K$5,"EM ANDAMENTO","A INICIAR")))</f>
        <v/>
      </c>
    </row>
    <row r="5798">
      <c r="M5798" s="2">
        <f>IF(C5798="","",IFERROR(INDEX($S$5:$S$304,MATCH(C5798,$R$5:$R$304,0))&amp;"","?"))</f>
        <v/>
      </c>
      <c r="N5798" s="2">
        <f>IF(E5798="","",IF(ISNUMBER(SEARCH("SUBSOLO",E5798)),IFERROR(-VALUE(LEFT(E5798,FIND("º",SUBSTITUTE(E5798,"°","º"))-1)),-1),IF(LEFT(E5798,6)="TÉRREO",0,IFERROR(VALUE(LEFT(E5798,FIND("º",SUBSTITUTE(E5798,"°","º"))-1)),""))))</f>
        <v/>
      </c>
      <c r="O5798" s="2">
        <f>IF(OR(F5798="",G5798=""),"",IF(G5798&lt;='RETRATO 2027'!$K$5,"CONCLUÍDA",IF(F5798&lt;='RETRATO 2027'!$K$5,"EM ANDAMENTO","A INICIAR")))</f>
        <v/>
      </c>
    </row>
    <row r="5799">
      <c r="M5799" s="2">
        <f>IF(C5799="","",IFERROR(INDEX($S$5:$S$304,MATCH(C5799,$R$5:$R$304,0))&amp;"","?"))</f>
        <v/>
      </c>
      <c r="N5799" s="2">
        <f>IF(E5799="","",IF(ISNUMBER(SEARCH("SUBSOLO",E5799)),IFERROR(-VALUE(LEFT(E5799,FIND("º",SUBSTITUTE(E5799,"°","º"))-1)),-1),IF(LEFT(E5799,6)="TÉRREO",0,IFERROR(VALUE(LEFT(E5799,FIND("º",SUBSTITUTE(E5799,"°","º"))-1)),""))))</f>
        <v/>
      </c>
      <c r="O5799" s="2">
        <f>IF(OR(F5799="",G5799=""),"",IF(G5799&lt;='RETRATO 2027'!$K$5,"CONCLUÍDA",IF(F5799&lt;='RETRATO 2027'!$K$5,"EM ANDAMENTO","A INICIAR")))</f>
        <v/>
      </c>
    </row>
    <row r="5800">
      <c r="M5800" s="2">
        <f>IF(C5800="","",IFERROR(INDEX($S$5:$S$304,MATCH(C5800,$R$5:$R$304,0))&amp;"","?"))</f>
        <v/>
      </c>
      <c r="N5800" s="2">
        <f>IF(E5800="","",IF(ISNUMBER(SEARCH("SUBSOLO",E5800)),IFERROR(-VALUE(LEFT(E5800,FIND("º",SUBSTITUTE(E5800,"°","º"))-1)),-1),IF(LEFT(E5800,6)="TÉRREO",0,IFERROR(VALUE(LEFT(E5800,FIND("º",SUBSTITUTE(E5800,"°","º"))-1)),""))))</f>
        <v/>
      </c>
      <c r="O5800" s="2">
        <f>IF(OR(F5800="",G5800=""),"",IF(G5800&lt;='RETRATO 2027'!$K$5,"CONCLUÍDA",IF(F5800&lt;='RETRATO 2027'!$K$5,"EM ANDAMENTO","A INICIAR")))</f>
        <v/>
      </c>
    </row>
    <row r="5801">
      <c r="M5801" s="2">
        <f>IF(C5801="","",IFERROR(INDEX($S$5:$S$304,MATCH(C5801,$R$5:$R$304,0))&amp;"","?"))</f>
        <v/>
      </c>
      <c r="N5801" s="2">
        <f>IF(E5801="","",IF(ISNUMBER(SEARCH("SUBSOLO",E5801)),IFERROR(-VALUE(LEFT(E5801,FIND("º",SUBSTITUTE(E5801,"°","º"))-1)),-1),IF(LEFT(E5801,6)="TÉRREO",0,IFERROR(VALUE(LEFT(E5801,FIND("º",SUBSTITUTE(E5801,"°","º"))-1)),""))))</f>
        <v/>
      </c>
      <c r="O5801" s="2">
        <f>IF(OR(F5801="",G5801=""),"",IF(G5801&lt;='RETRATO 2027'!$K$5,"CONCLUÍDA",IF(F5801&lt;='RETRATO 2027'!$K$5,"EM ANDAMENTO","A INICIAR")))</f>
        <v/>
      </c>
    </row>
    <row r="5802">
      <c r="M5802" s="2">
        <f>IF(C5802="","",IFERROR(INDEX($S$5:$S$304,MATCH(C5802,$R$5:$R$304,0))&amp;"","?"))</f>
        <v/>
      </c>
      <c r="N5802" s="2">
        <f>IF(E5802="","",IF(ISNUMBER(SEARCH("SUBSOLO",E5802)),IFERROR(-VALUE(LEFT(E5802,FIND("º",SUBSTITUTE(E5802,"°","º"))-1)),-1),IF(LEFT(E5802,6)="TÉRREO",0,IFERROR(VALUE(LEFT(E5802,FIND("º",SUBSTITUTE(E5802,"°","º"))-1)),""))))</f>
        <v/>
      </c>
      <c r="O5802" s="2">
        <f>IF(OR(F5802="",G5802=""),"",IF(G5802&lt;='RETRATO 2027'!$K$5,"CONCLUÍDA",IF(F5802&lt;='RETRATO 2027'!$K$5,"EM ANDAMENTO","A INICIAR")))</f>
        <v/>
      </c>
    </row>
    <row r="5803">
      <c r="M5803" s="2">
        <f>IF(C5803="","",IFERROR(INDEX($S$5:$S$304,MATCH(C5803,$R$5:$R$304,0))&amp;"","?"))</f>
        <v/>
      </c>
      <c r="N5803" s="2">
        <f>IF(E5803="","",IF(ISNUMBER(SEARCH("SUBSOLO",E5803)),IFERROR(-VALUE(LEFT(E5803,FIND("º",SUBSTITUTE(E5803,"°","º"))-1)),-1),IF(LEFT(E5803,6)="TÉRREO",0,IFERROR(VALUE(LEFT(E5803,FIND("º",SUBSTITUTE(E5803,"°","º"))-1)),""))))</f>
        <v/>
      </c>
      <c r="O5803" s="2">
        <f>IF(OR(F5803="",G5803=""),"",IF(G5803&lt;='RETRATO 2027'!$K$5,"CONCLUÍDA",IF(F5803&lt;='RETRATO 2027'!$K$5,"EM ANDAMENTO","A INICIAR")))</f>
        <v/>
      </c>
    </row>
    <row r="5804">
      <c r="M5804" s="2">
        <f>IF(C5804="","",IFERROR(INDEX($S$5:$S$304,MATCH(C5804,$R$5:$R$304,0))&amp;"","?"))</f>
        <v/>
      </c>
      <c r="N5804" s="2">
        <f>IF(E5804="","",IF(ISNUMBER(SEARCH("SUBSOLO",E5804)),IFERROR(-VALUE(LEFT(E5804,FIND("º",SUBSTITUTE(E5804,"°","º"))-1)),-1),IF(LEFT(E5804,6)="TÉRREO",0,IFERROR(VALUE(LEFT(E5804,FIND("º",SUBSTITUTE(E5804,"°","º"))-1)),""))))</f>
        <v/>
      </c>
      <c r="O5804" s="2">
        <f>IF(OR(F5804="",G5804=""),"",IF(G5804&lt;='RETRATO 2027'!$K$5,"CONCLUÍDA",IF(F5804&lt;='RETRATO 2027'!$K$5,"EM ANDAMENTO","A INICIAR")))</f>
        <v/>
      </c>
    </row>
    <row r="5805">
      <c r="M5805" s="2">
        <f>IF(C5805="","",IFERROR(INDEX($S$5:$S$304,MATCH(C5805,$R$5:$R$304,0))&amp;"","?"))</f>
        <v/>
      </c>
      <c r="N5805" s="2">
        <f>IF(E5805="","",IF(ISNUMBER(SEARCH("SUBSOLO",E5805)),IFERROR(-VALUE(LEFT(E5805,FIND("º",SUBSTITUTE(E5805,"°","º"))-1)),-1),IF(LEFT(E5805,6)="TÉRREO",0,IFERROR(VALUE(LEFT(E5805,FIND("º",SUBSTITUTE(E5805,"°","º"))-1)),""))))</f>
        <v/>
      </c>
      <c r="O5805" s="2">
        <f>IF(OR(F5805="",G5805=""),"",IF(G5805&lt;='RETRATO 2027'!$K$5,"CONCLUÍDA",IF(F5805&lt;='RETRATO 2027'!$K$5,"EM ANDAMENTO","A INICIAR")))</f>
        <v/>
      </c>
    </row>
    <row r="5806">
      <c r="M5806" s="2">
        <f>IF(C5806="","",IFERROR(INDEX($S$5:$S$304,MATCH(C5806,$R$5:$R$304,0))&amp;"","?"))</f>
        <v/>
      </c>
      <c r="N5806" s="2">
        <f>IF(E5806="","",IF(ISNUMBER(SEARCH("SUBSOLO",E5806)),IFERROR(-VALUE(LEFT(E5806,FIND("º",SUBSTITUTE(E5806,"°","º"))-1)),-1),IF(LEFT(E5806,6)="TÉRREO",0,IFERROR(VALUE(LEFT(E5806,FIND("º",SUBSTITUTE(E5806,"°","º"))-1)),""))))</f>
        <v/>
      </c>
      <c r="O5806" s="2">
        <f>IF(OR(F5806="",G5806=""),"",IF(G5806&lt;='RETRATO 2027'!$K$5,"CONCLUÍDA",IF(F5806&lt;='RETRATO 2027'!$K$5,"EM ANDAMENTO","A INICIAR")))</f>
        <v/>
      </c>
    </row>
    <row r="5807">
      <c r="M5807" s="2">
        <f>IF(C5807="","",IFERROR(INDEX($S$5:$S$304,MATCH(C5807,$R$5:$R$304,0))&amp;"","?"))</f>
        <v/>
      </c>
      <c r="N5807" s="2">
        <f>IF(E5807="","",IF(ISNUMBER(SEARCH("SUBSOLO",E5807)),IFERROR(-VALUE(LEFT(E5807,FIND("º",SUBSTITUTE(E5807,"°","º"))-1)),-1),IF(LEFT(E5807,6)="TÉRREO",0,IFERROR(VALUE(LEFT(E5807,FIND("º",SUBSTITUTE(E5807,"°","º"))-1)),""))))</f>
        <v/>
      </c>
      <c r="O5807" s="2">
        <f>IF(OR(F5807="",G5807=""),"",IF(G5807&lt;='RETRATO 2027'!$K$5,"CONCLUÍDA",IF(F5807&lt;='RETRATO 2027'!$K$5,"EM ANDAMENTO","A INICIAR")))</f>
        <v/>
      </c>
    </row>
    <row r="5808">
      <c r="M5808" s="2">
        <f>IF(C5808="","",IFERROR(INDEX($S$5:$S$304,MATCH(C5808,$R$5:$R$304,0))&amp;"","?"))</f>
        <v/>
      </c>
      <c r="N5808" s="2">
        <f>IF(E5808="","",IF(ISNUMBER(SEARCH("SUBSOLO",E5808)),IFERROR(-VALUE(LEFT(E5808,FIND("º",SUBSTITUTE(E5808,"°","º"))-1)),-1),IF(LEFT(E5808,6)="TÉRREO",0,IFERROR(VALUE(LEFT(E5808,FIND("º",SUBSTITUTE(E5808,"°","º"))-1)),""))))</f>
        <v/>
      </c>
      <c r="O5808" s="2">
        <f>IF(OR(F5808="",G5808=""),"",IF(G5808&lt;='RETRATO 2027'!$K$5,"CONCLUÍDA",IF(F5808&lt;='RETRATO 2027'!$K$5,"EM ANDAMENTO","A INICIAR")))</f>
        <v/>
      </c>
    </row>
    <row r="5809">
      <c r="M5809" s="2">
        <f>IF(C5809="","",IFERROR(INDEX($S$5:$S$304,MATCH(C5809,$R$5:$R$304,0))&amp;"","?"))</f>
        <v/>
      </c>
      <c r="N5809" s="2">
        <f>IF(E5809="","",IF(ISNUMBER(SEARCH("SUBSOLO",E5809)),IFERROR(-VALUE(LEFT(E5809,FIND("º",SUBSTITUTE(E5809,"°","º"))-1)),-1),IF(LEFT(E5809,6)="TÉRREO",0,IFERROR(VALUE(LEFT(E5809,FIND("º",SUBSTITUTE(E5809,"°","º"))-1)),""))))</f>
        <v/>
      </c>
      <c r="O5809" s="2">
        <f>IF(OR(F5809="",G5809=""),"",IF(G5809&lt;='RETRATO 2027'!$K$5,"CONCLUÍDA",IF(F5809&lt;='RETRATO 2027'!$K$5,"EM ANDAMENTO","A INICIAR")))</f>
        <v/>
      </c>
    </row>
    <row r="5810">
      <c r="M5810" s="2">
        <f>IF(C5810="","",IFERROR(INDEX($S$5:$S$304,MATCH(C5810,$R$5:$R$304,0))&amp;"","?"))</f>
        <v/>
      </c>
      <c r="N5810" s="2">
        <f>IF(E5810="","",IF(ISNUMBER(SEARCH("SUBSOLO",E5810)),IFERROR(-VALUE(LEFT(E5810,FIND("º",SUBSTITUTE(E5810,"°","º"))-1)),-1),IF(LEFT(E5810,6)="TÉRREO",0,IFERROR(VALUE(LEFT(E5810,FIND("º",SUBSTITUTE(E5810,"°","º"))-1)),""))))</f>
        <v/>
      </c>
      <c r="O5810" s="2">
        <f>IF(OR(F5810="",G5810=""),"",IF(G5810&lt;='RETRATO 2027'!$K$5,"CONCLUÍDA",IF(F5810&lt;='RETRATO 2027'!$K$5,"EM ANDAMENTO","A INICIAR")))</f>
        <v/>
      </c>
    </row>
    <row r="5811">
      <c r="M5811" s="2">
        <f>IF(C5811="","",IFERROR(INDEX($S$5:$S$304,MATCH(C5811,$R$5:$R$304,0))&amp;"","?"))</f>
        <v/>
      </c>
      <c r="N5811" s="2">
        <f>IF(E5811="","",IF(ISNUMBER(SEARCH("SUBSOLO",E5811)),IFERROR(-VALUE(LEFT(E5811,FIND("º",SUBSTITUTE(E5811,"°","º"))-1)),-1),IF(LEFT(E5811,6)="TÉRREO",0,IFERROR(VALUE(LEFT(E5811,FIND("º",SUBSTITUTE(E5811,"°","º"))-1)),""))))</f>
        <v/>
      </c>
      <c r="O5811" s="2">
        <f>IF(OR(F5811="",G5811=""),"",IF(G5811&lt;='RETRATO 2027'!$K$5,"CONCLUÍDA",IF(F5811&lt;='RETRATO 2027'!$K$5,"EM ANDAMENTO","A INICIAR")))</f>
        <v/>
      </c>
    </row>
    <row r="5812">
      <c r="M5812" s="2">
        <f>IF(C5812="","",IFERROR(INDEX($S$5:$S$304,MATCH(C5812,$R$5:$R$304,0))&amp;"","?"))</f>
        <v/>
      </c>
      <c r="N5812" s="2">
        <f>IF(E5812="","",IF(ISNUMBER(SEARCH("SUBSOLO",E5812)),IFERROR(-VALUE(LEFT(E5812,FIND("º",SUBSTITUTE(E5812,"°","º"))-1)),-1),IF(LEFT(E5812,6)="TÉRREO",0,IFERROR(VALUE(LEFT(E5812,FIND("º",SUBSTITUTE(E5812,"°","º"))-1)),""))))</f>
        <v/>
      </c>
      <c r="O5812" s="2">
        <f>IF(OR(F5812="",G5812=""),"",IF(G5812&lt;='RETRATO 2027'!$K$5,"CONCLUÍDA",IF(F5812&lt;='RETRATO 2027'!$K$5,"EM ANDAMENTO","A INICIAR")))</f>
        <v/>
      </c>
    </row>
    <row r="5813">
      <c r="M5813" s="2">
        <f>IF(C5813="","",IFERROR(INDEX($S$5:$S$304,MATCH(C5813,$R$5:$R$304,0))&amp;"","?"))</f>
        <v/>
      </c>
      <c r="N5813" s="2">
        <f>IF(E5813="","",IF(ISNUMBER(SEARCH("SUBSOLO",E5813)),IFERROR(-VALUE(LEFT(E5813,FIND("º",SUBSTITUTE(E5813,"°","º"))-1)),-1),IF(LEFT(E5813,6)="TÉRREO",0,IFERROR(VALUE(LEFT(E5813,FIND("º",SUBSTITUTE(E5813,"°","º"))-1)),""))))</f>
        <v/>
      </c>
      <c r="O5813" s="2">
        <f>IF(OR(F5813="",G5813=""),"",IF(G5813&lt;='RETRATO 2027'!$K$5,"CONCLUÍDA",IF(F5813&lt;='RETRATO 2027'!$K$5,"EM ANDAMENTO","A INICIAR")))</f>
        <v/>
      </c>
    </row>
    <row r="5814">
      <c r="M5814" s="2">
        <f>IF(C5814="","",IFERROR(INDEX($S$5:$S$304,MATCH(C5814,$R$5:$R$304,0))&amp;"","?"))</f>
        <v/>
      </c>
      <c r="N5814" s="2">
        <f>IF(E5814="","",IF(ISNUMBER(SEARCH("SUBSOLO",E5814)),IFERROR(-VALUE(LEFT(E5814,FIND("º",SUBSTITUTE(E5814,"°","º"))-1)),-1),IF(LEFT(E5814,6)="TÉRREO",0,IFERROR(VALUE(LEFT(E5814,FIND("º",SUBSTITUTE(E5814,"°","º"))-1)),""))))</f>
        <v/>
      </c>
      <c r="O5814" s="2">
        <f>IF(OR(F5814="",G5814=""),"",IF(G5814&lt;='RETRATO 2027'!$K$5,"CONCLUÍDA",IF(F5814&lt;='RETRATO 2027'!$K$5,"EM ANDAMENTO","A INICIAR")))</f>
        <v/>
      </c>
    </row>
    <row r="5815">
      <c r="M5815" s="2">
        <f>IF(C5815="","",IFERROR(INDEX($S$5:$S$304,MATCH(C5815,$R$5:$R$304,0))&amp;"","?"))</f>
        <v/>
      </c>
      <c r="N5815" s="2">
        <f>IF(E5815="","",IF(ISNUMBER(SEARCH("SUBSOLO",E5815)),IFERROR(-VALUE(LEFT(E5815,FIND("º",SUBSTITUTE(E5815,"°","º"))-1)),-1),IF(LEFT(E5815,6)="TÉRREO",0,IFERROR(VALUE(LEFT(E5815,FIND("º",SUBSTITUTE(E5815,"°","º"))-1)),""))))</f>
        <v/>
      </c>
      <c r="O5815" s="2">
        <f>IF(OR(F5815="",G5815=""),"",IF(G5815&lt;='RETRATO 2027'!$K$5,"CONCLUÍDA",IF(F5815&lt;='RETRATO 2027'!$K$5,"EM ANDAMENTO","A INICIAR")))</f>
        <v/>
      </c>
    </row>
    <row r="5816">
      <c r="M5816" s="2">
        <f>IF(C5816="","",IFERROR(INDEX($S$5:$S$304,MATCH(C5816,$R$5:$R$304,0))&amp;"","?"))</f>
        <v/>
      </c>
      <c r="N5816" s="2">
        <f>IF(E5816="","",IF(ISNUMBER(SEARCH("SUBSOLO",E5816)),IFERROR(-VALUE(LEFT(E5816,FIND("º",SUBSTITUTE(E5816,"°","º"))-1)),-1),IF(LEFT(E5816,6)="TÉRREO",0,IFERROR(VALUE(LEFT(E5816,FIND("º",SUBSTITUTE(E5816,"°","º"))-1)),""))))</f>
        <v/>
      </c>
      <c r="O5816" s="2">
        <f>IF(OR(F5816="",G5816=""),"",IF(G5816&lt;='RETRATO 2027'!$K$5,"CONCLUÍDA",IF(F5816&lt;='RETRATO 2027'!$K$5,"EM ANDAMENTO","A INICIAR")))</f>
        <v/>
      </c>
    </row>
    <row r="5817">
      <c r="M5817" s="2">
        <f>IF(C5817="","",IFERROR(INDEX($S$5:$S$304,MATCH(C5817,$R$5:$R$304,0))&amp;"","?"))</f>
        <v/>
      </c>
      <c r="N5817" s="2">
        <f>IF(E5817="","",IF(ISNUMBER(SEARCH("SUBSOLO",E5817)),IFERROR(-VALUE(LEFT(E5817,FIND("º",SUBSTITUTE(E5817,"°","º"))-1)),-1),IF(LEFT(E5817,6)="TÉRREO",0,IFERROR(VALUE(LEFT(E5817,FIND("º",SUBSTITUTE(E5817,"°","º"))-1)),""))))</f>
        <v/>
      </c>
      <c r="O5817" s="2">
        <f>IF(OR(F5817="",G5817=""),"",IF(G5817&lt;='RETRATO 2027'!$K$5,"CONCLUÍDA",IF(F5817&lt;='RETRATO 2027'!$K$5,"EM ANDAMENTO","A INICIAR")))</f>
        <v/>
      </c>
    </row>
    <row r="5818">
      <c r="M5818" s="2">
        <f>IF(C5818="","",IFERROR(INDEX($S$5:$S$304,MATCH(C5818,$R$5:$R$304,0))&amp;"","?"))</f>
        <v/>
      </c>
      <c r="N5818" s="2">
        <f>IF(E5818="","",IF(ISNUMBER(SEARCH("SUBSOLO",E5818)),IFERROR(-VALUE(LEFT(E5818,FIND("º",SUBSTITUTE(E5818,"°","º"))-1)),-1),IF(LEFT(E5818,6)="TÉRREO",0,IFERROR(VALUE(LEFT(E5818,FIND("º",SUBSTITUTE(E5818,"°","º"))-1)),""))))</f>
        <v/>
      </c>
      <c r="O5818" s="2">
        <f>IF(OR(F5818="",G5818=""),"",IF(G5818&lt;='RETRATO 2027'!$K$5,"CONCLUÍDA",IF(F5818&lt;='RETRATO 2027'!$K$5,"EM ANDAMENTO","A INICIAR")))</f>
        <v/>
      </c>
    </row>
    <row r="5819">
      <c r="M5819" s="2">
        <f>IF(C5819="","",IFERROR(INDEX($S$5:$S$304,MATCH(C5819,$R$5:$R$304,0))&amp;"","?"))</f>
        <v/>
      </c>
      <c r="N5819" s="2">
        <f>IF(E5819="","",IF(ISNUMBER(SEARCH("SUBSOLO",E5819)),IFERROR(-VALUE(LEFT(E5819,FIND("º",SUBSTITUTE(E5819,"°","º"))-1)),-1),IF(LEFT(E5819,6)="TÉRREO",0,IFERROR(VALUE(LEFT(E5819,FIND("º",SUBSTITUTE(E5819,"°","º"))-1)),""))))</f>
        <v/>
      </c>
      <c r="O5819" s="2">
        <f>IF(OR(F5819="",G5819=""),"",IF(G5819&lt;='RETRATO 2027'!$K$5,"CONCLUÍDA",IF(F5819&lt;='RETRATO 2027'!$K$5,"EM ANDAMENTO","A INICIAR")))</f>
        <v/>
      </c>
    </row>
    <row r="5820">
      <c r="M5820" s="2">
        <f>IF(C5820="","",IFERROR(INDEX($S$5:$S$304,MATCH(C5820,$R$5:$R$304,0))&amp;"","?"))</f>
        <v/>
      </c>
      <c r="N5820" s="2">
        <f>IF(E5820="","",IF(ISNUMBER(SEARCH("SUBSOLO",E5820)),IFERROR(-VALUE(LEFT(E5820,FIND("º",SUBSTITUTE(E5820,"°","º"))-1)),-1),IF(LEFT(E5820,6)="TÉRREO",0,IFERROR(VALUE(LEFT(E5820,FIND("º",SUBSTITUTE(E5820,"°","º"))-1)),""))))</f>
        <v/>
      </c>
      <c r="O5820" s="2">
        <f>IF(OR(F5820="",G5820=""),"",IF(G5820&lt;='RETRATO 2027'!$K$5,"CONCLUÍDA",IF(F5820&lt;='RETRATO 2027'!$K$5,"EM ANDAMENTO","A INICIAR")))</f>
        <v/>
      </c>
    </row>
    <row r="5821">
      <c r="M5821" s="2">
        <f>IF(C5821="","",IFERROR(INDEX($S$5:$S$304,MATCH(C5821,$R$5:$R$304,0))&amp;"","?"))</f>
        <v/>
      </c>
      <c r="N5821" s="2">
        <f>IF(E5821="","",IF(ISNUMBER(SEARCH("SUBSOLO",E5821)),IFERROR(-VALUE(LEFT(E5821,FIND("º",SUBSTITUTE(E5821,"°","º"))-1)),-1),IF(LEFT(E5821,6)="TÉRREO",0,IFERROR(VALUE(LEFT(E5821,FIND("º",SUBSTITUTE(E5821,"°","º"))-1)),""))))</f>
        <v/>
      </c>
      <c r="O5821" s="2">
        <f>IF(OR(F5821="",G5821=""),"",IF(G5821&lt;='RETRATO 2027'!$K$5,"CONCLUÍDA",IF(F5821&lt;='RETRATO 2027'!$K$5,"EM ANDAMENTO","A INICIAR")))</f>
        <v/>
      </c>
    </row>
    <row r="5822">
      <c r="M5822" s="2">
        <f>IF(C5822="","",IFERROR(INDEX($S$5:$S$304,MATCH(C5822,$R$5:$R$304,0))&amp;"","?"))</f>
        <v/>
      </c>
      <c r="N5822" s="2">
        <f>IF(E5822="","",IF(ISNUMBER(SEARCH("SUBSOLO",E5822)),IFERROR(-VALUE(LEFT(E5822,FIND("º",SUBSTITUTE(E5822,"°","º"))-1)),-1),IF(LEFT(E5822,6)="TÉRREO",0,IFERROR(VALUE(LEFT(E5822,FIND("º",SUBSTITUTE(E5822,"°","º"))-1)),""))))</f>
        <v/>
      </c>
      <c r="O5822" s="2">
        <f>IF(OR(F5822="",G5822=""),"",IF(G5822&lt;='RETRATO 2027'!$K$5,"CONCLUÍDA",IF(F5822&lt;='RETRATO 2027'!$K$5,"EM ANDAMENTO","A INICIAR")))</f>
        <v/>
      </c>
    </row>
    <row r="5823">
      <c r="M5823" s="2">
        <f>IF(C5823="","",IFERROR(INDEX($S$5:$S$304,MATCH(C5823,$R$5:$R$304,0))&amp;"","?"))</f>
        <v/>
      </c>
      <c r="N5823" s="2">
        <f>IF(E5823="","",IF(ISNUMBER(SEARCH("SUBSOLO",E5823)),IFERROR(-VALUE(LEFT(E5823,FIND("º",SUBSTITUTE(E5823,"°","º"))-1)),-1),IF(LEFT(E5823,6)="TÉRREO",0,IFERROR(VALUE(LEFT(E5823,FIND("º",SUBSTITUTE(E5823,"°","º"))-1)),""))))</f>
        <v/>
      </c>
      <c r="O5823" s="2">
        <f>IF(OR(F5823="",G5823=""),"",IF(G5823&lt;='RETRATO 2027'!$K$5,"CONCLUÍDA",IF(F5823&lt;='RETRATO 2027'!$K$5,"EM ANDAMENTO","A INICIAR")))</f>
        <v/>
      </c>
    </row>
    <row r="5824">
      <c r="M5824" s="2">
        <f>IF(C5824="","",IFERROR(INDEX($S$5:$S$304,MATCH(C5824,$R$5:$R$304,0))&amp;"","?"))</f>
        <v/>
      </c>
      <c r="N5824" s="2">
        <f>IF(E5824="","",IF(ISNUMBER(SEARCH("SUBSOLO",E5824)),IFERROR(-VALUE(LEFT(E5824,FIND("º",SUBSTITUTE(E5824,"°","º"))-1)),-1),IF(LEFT(E5824,6)="TÉRREO",0,IFERROR(VALUE(LEFT(E5824,FIND("º",SUBSTITUTE(E5824,"°","º"))-1)),""))))</f>
        <v/>
      </c>
      <c r="O5824" s="2">
        <f>IF(OR(F5824="",G5824=""),"",IF(G5824&lt;='RETRATO 2027'!$K$5,"CONCLUÍDA",IF(F5824&lt;='RETRATO 2027'!$K$5,"EM ANDAMENTO","A INICIAR")))</f>
        <v/>
      </c>
    </row>
    <row r="5825">
      <c r="M5825" s="2">
        <f>IF(C5825="","",IFERROR(INDEX($S$5:$S$304,MATCH(C5825,$R$5:$R$304,0))&amp;"","?"))</f>
        <v/>
      </c>
      <c r="N5825" s="2">
        <f>IF(E5825="","",IF(ISNUMBER(SEARCH("SUBSOLO",E5825)),IFERROR(-VALUE(LEFT(E5825,FIND("º",SUBSTITUTE(E5825,"°","º"))-1)),-1),IF(LEFT(E5825,6)="TÉRREO",0,IFERROR(VALUE(LEFT(E5825,FIND("º",SUBSTITUTE(E5825,"°","º"))-1)),""))))</f>
        <v/>
      </c>
      <c r="O5825" s="2">
        <f>IF(OR(F5825="",G5825=""),"",IF(G5825&lt;='RETRATO 2027'!$K$5,"CONCLUÍDA",IF(F5825&lt;='RETRATO 2027'!$K$5,"EM ANDAMENTO","A INICIAR")))</f>
        <v/>
      </c>
    </row>
    <row r="5826">
      <c r="M5826" s="2">
        <f>IF(C5826="","",IFERROR(INDEX($S$5:$S$304,MATCH(C5826,$R$5:$R$304,0))&amp;"","?"))</f>
        <v/>
      </c>
      <c r="N5826" s="2">
        <f>IF(E5826="","",IF(ISNUMBER(SEARCH("SUBSOLO",E5826)),IFERROR(-VALUE(LEFT(E5826,FIND("º",SUBSTITUTE(E5826,"°","º"))-1)),-1),IF(LEFT(E5826,6)="TÉRREO",0,IFERROR(VALUE(LEFT(E5826,FIND("º",SUBSTITUTE(E5826,"°","º"))-1)),""))))</f>
        <v/>
      </c>
      <c r="O5826" s="2">
        <f>IF(OR(F5826="",G5826=""),"",IF(G5826&lt;='RETRATO 2027'!$K$5,"CONCLUÍDA",IF(F5826&lt;='RETRATO 2027'!$K$5,"EM ANDAMENTO","A INICIAR")))</f>
        <v/>
      </c>
    </row>
    <row r="5827">
      <c r="M5827" s="2">
        <f>IF(C5827="","",IFERROR(INDEX($S$5:$S$304,MATCH(C5827,$R$5:$R$304,0))&amp;"","?"))</f>
        <v/>
      </c>
      <c r="N5827" s="2">
        <f>IF(E5827="","",IF(ISNUMBER(SEARCH("SUBSOLO",E5827)),IFERROR(-VALUE(LEFT(E5827,FIND("º",SUBSTITUTE(E5827,"°","º"))-1)),-1),IF(LEFT(E5827,6)="TÉRREO",0,IFERROR(VALUE(LEFT(E5827,FIND("º",SUBSTITUTE(E5827,"°","º"))-1)),""))))</f>
        <v/>
      </c>
      <c r="O5827" s="2">
        <f>IF(OR(F5827="",G5827=""),"",IF(G5827&lt;='RETRATO 2027'!$K$5,"CONCLUÍDA",IF(F5827&lt;='RETRATO 2027'!$K$5,"EM ANDAMENTO","A INICIAR")))</f>
        <v/>
      </c>
    </row>
    <row r="5828">
      <c r="M5828" s="2">
        <f>IF(C5828="","",IFERROR(INDEX($S$5:$S$304,MATCH(C5828,$R$5:$R$304,0))&amp;"","?"))</f>
        <v/>
      </c>
      <c r="N5828" s="2">
        <f>IF(E5828="","",IF(ISNUMBER(SEARCH("SUBSOLO",E5828)),IFERROR(-VALUE(LEFT(E5828,FIND("º",SUBSTITUTE(E5828,"°","º"))-1)),-1),IF(LEFT(E5828,6)="TÉRREO",0,IFERROR(VALUE(LEFT(E5828,FIND("º",SUBSTITUTE(E5828,"°","º"))-1)),""))))</f>
        <v/>
      </c>
      <c r="O5828" s="2">
        <f>IF(OR(F5828="",G5828=""),"",IF(G5828&lt;='RETRATO 2027'!$K$5,"CONCLUÍDA",IF(F5828&lt;='RETRATO 2027'!$K$5,"EM ANDAMENTO","A INICIAR")))</f>
        <v/>
      </c>
    </row>
    <row r="5829">
      <c r="M5829" s="2">
        <f>IF(C5829="","",IFERROR(INDEX($S$5:$S$304,MATCH(C5829,$R$5:$R$304,0))&amp;"","?"))</f>
        <v/>
      </c>
      <c r="N5829" s="2">
        <f>IF(E5829="","",IF(ISNUMBER(SEARCH("SUBSOLO",E5829)),IFERROR(-VALUE(LEFT(E5829,FIND("º",SUBSTITUTE(E5829,"°","º"))-1)),-1),IF(LEFT(E5829,6)="TÉRREO",0,IFERROR(VALUE(LEFT(E5829,FIND("º",SUBSTITUTE(E5829,"°","º"))-1)),""))))</f>
        <v/>
      </c>
      <c r="O5829" s="2">
        <f>IF(OR(F5829="",G5829=""),"",IF(G5829&lt;='RETRATO 2027'!$K$5,"CONCLUÍDA",IF(F5829&lt;='RETRATO 2027'!$K$5,"EM ANDAMENTO","A INICIAR")))</f>
        <v/>
      </c>
    </row>
    <row r="5830">
      <c r="M5830" s="2">
        <f>IF(C5830="","",IFERROR(INDEX($S$5:$S$304,MATCH(C5830,$R$5:$R$304,0))&amp;"","?"))</f>
        <v/>
      </c>
      <c r="N5830" s="2">
        <f>IF(E5830="","",IF(ISNUMBER(SEARCH("SUBSOLO",E5830)),IFERROR(-VALUE(LEFT(E5830,FIND("º",SUBSTITUTE(E5830,"°","º"))-1)),-1),IF(LEFT(E5830,6)="TÉRREO",0,IFERROR(VALUE(LEFT(E5830,FIND("º",SUBSTITUTE(E5830,"°","º"))-1)),""))))</f>
        <v/>
      </c>
      <c r="O5830" s="2">
        <f>IF(OR(F5830="",G5830=""),"",IF(G5830&lt;='RETRATO 2027'!$K$5,"CONCLUÍDA",IF(F5830&lt;='RETRATO 2027'!$K$5,"EM ANDAMENTO","A INICIAR")))</f>
        <v/>
      </c>
    </row>
    <row r="5831">
      <c r="M5831" s="2">
        <f>IF(C5831="","",IFERROR(INDEX($S$5:$S$304,MATCH(C5831,$R$5:$R$304,0))&amp;"","?"))</f>
        <v/>
      </c>
      <c r="N5831" s="2">
        <f>IF(E5831="","",IF(ISNUMBER(SEARCH("SUBSOLO",E5831)),IFERROR(-VALUE(LEFT(E5831,FIND("º",SUBSTITUTE(E5831,"°","º"))-1)),-1),IF(LEFT(E5831,6)="TÉRREO",0,IFERROR(VALUE(LEFT(E5831,FIND("º",SUBSTITUTE(E5831,"°","º"))-1)),""))))</f>
        <v/>
      </c>
      <c r="O5831" s="2">
        <f>IF(OR(F5831="",G5831=""),"",IF(G5831&lt;='RETRATO 2027'!$K$5,"CONCLUÍDA",IF(F5831&lt;='RETRATO 2027'!$K$5,"EM ANDAMENTO","A INICIAR")))</f>
        <v/>
      </c>
    </row>
    <row r="5832">
      <c r="M5832" s="2">
        <f>IF(C5832="","",IFERROR(INDEX($S$5:$S$304,MATCH(C5832,$R$5:$R$304,0))&amp;"","?"))</f>
        <v/>
      </c>
      <c r="N5832" s="2">
        <f>IF(E5832="","",IF(ISNUMBER(SEARCH("SUBSOLO",E5832)),IFERROR(-VALUE(LEFT(E5832,FIND("º",SUBSTITUTE(E5832,"°","º"))-1)),-1),IF(LEFT(E5832,6)="TÉRREO",0,IFERROR(VALUE(LEFT(E5832,FIND("º",SUBSTITUTE(E5832,"°","º"))-1)),""))))</f>
        <v/>
      </c>
      <c r="O5832" s="2">
        <f>IF(OR(F5832="",G5832=""),"",IF(G5832&lt;='RETRATO 2027'!$K$5,"CONCLUÍDA",IF(F5832&lt;='RETRATO 2027'!$K$5,"EM ANDAMENTO","A INICIAR")))</f>
        <v/>
      </c>
    </row>
    <row r="5833">
      <c r="M5833" s="2">
        <f>IF(C5833="","",IFERROR(INDEX($S$5:$S$304,MATCH(C5833,$R$5:$R$304,0))&amp;"","?"))</f>
        <v/>
      </c>
      <c r="N5833" s="2">
        <f>IF(E5833="","",IF(ISNUMBER(SEARCH("SUBSOLO",E5833)),IFERROR(-VALUE(LEFT(E5833,FIND("º",SUBSTITUTE(E5833,"°","º"))-1)),-1),IF(LEFT(E5833,6)="TÉRREO",0,IFERROR(VALUE(LEFT(E5833,FIND("º",SUBSTITUTE(E5833,"°","º"))-1)),""))))</f>
        <v/>
      </c>
      <c r="O5833" s="2">
        <f>IF(OR(F5833="",G5833=""),"",IF(G5833&lt;='RETRATO 2027'!$K$5,"CONCLUÍDA",IF(F5833&lt;='RETRATO 2027'!$K$5,"EM ANDAMENTO","A INICIAR")))</f>
        <v/>
      </c>
    </row>
    <row r="5834">
      <c r="M5834" s="2">
        <f>IF(C5834="","",IFERROR(INDEX($S$5:$S$304,MATCH(C5834,$R$5:$R$304,0))&amp;"","?"))</f>
        <v/>
      </c>
      <c r="N5834" s="2">
        <f>IF(E5834="","",IF(ISNUMBER(SEARCH("SUBSOLO",E5834)),IFERROR(-VALUE(LEFT(E5834,FIND("º",SUBSTITUTE(E5834,"°","º"))-1)),-1),IF(LEFT(E5834,6)="TÉRREO",0,IFERROR(VALUE(LEFT(E5834,FIND("º",SUBSTITUTE(E5834,"°","º"))-1)),""))))</f>
        <v/>
      </c>
      <c r="O5834" s="2">
        <f>IF(OR(F5834="",G5834=""),"",IF(G5834&lt;='RETRATO 2027'!$K$5,"CONCLUÍDA",IF(F5834&lt;='RETRATO 2027'!$K$5,"EM ANDAMENTO","A INICIAR")))</f>
        <v/>
      </c>
    </row>
    <row r="5835">
      <c r="M5835" s="2">
        <f>IF(C5835="","",IFERROR(INDEX($S$5:$S$304,MATCH(C5835,$R$5:$R$304,0))&amp;"","?"))</f>
        <v/>
      </c>
      <c r="N5835" s="2">
        <f>IF(E5835="","",IF(ISNUMBER(SEARCH("SUBSOLO",E5835)),IFERROR(-VALUE(LEFT(E5835,FIND("º",SUBSTITUTE(E5835,"°","º"))-1)),-1),IF(LEFT(E5835,6)="TÉRREO",0,IFERROR(VALUE(LEFT(E5835,FIND("º",SUBSTITUTE(E5835,"°","º"))-1)),""))))</f>
        <v/>
      </c>
      <c r="O5835" s="2">
        <f>IF(OR(F5835="",G5835=""),"",IF(G5835&lt;='RETRATO 2027'!$K$5,"CONCLUÍDA",IF(F5835&lt;='RETRATO 2027'!$K$5,"EM ANDAMENTO","A INICIAR")))</f>
        <v/>
      </c>
    </row>
    <row r="5836">
      <c r="M5836" s="2">
        <f>IF(C5836="","",IFERROR(INDEX($S$5:$S$304,MATCH(C5836,$R$5:$R$304,0))&amp;"","?"))</f>
        <v/>
      </c>
      <c r="N5836" s="2">
        <f>IF(E5836="","",IF(ISNUMBER(SEARCH("SUBSOLO",E5836)),IFERROR(-VALUE(LEFT(E5836,FIND("º",SUBSTITUTE(E5836,"°","º"))-1)),-1),IF(LEFT(E5836,6)="TÉRREO",0,IFERROR(VALUE(LEFT(E5836,FIND("º",SUBSTITUTE(E5836,"°","º"))-1)),""))))</f>
        <v/>
      </c>
      <c r="O5836" s="2">
        <f>IF(OR(F5836="",G5836=""),"",IF(G5836&lt;='RETRATO 2027'!$K$5,"CONCLUÍDA",IF(F5836&lt;='RETRATO 2027'!$K$5,"EM ANDAMENTO","A INICIAR")))</f>
        <v/>
      </c>
    </row>
    <row r="5837">
      <c r="M5837" s="2">
        <f>IF(C5837="","",IFERROR(INDEX($S$5:$S$304,MATCH(C5837,$R$5:$R$304,0))&amp;"","?"))</f>
        <v/>
      </c>
      <c r="N5837" s="2">
        <f>IF(E5837="","",IF(ISNUMBER(SEARCH("SUBSOLO",E5837)),IFERROR(-VALUE(LEFT(E5837,FIND("º",SUBSTITUTE(E5837,"°","º"))-1)),-1),IF(LEFT(E5837,6)="TÉRREO",0,IFERROR(VALUE(LEFT(E5837,FIND("º",SUBSTITUTE(E5837,"°","º"))-1)),""))))</f>
        <v/>
      </c>
      <c r="O5837" s="2">
        <f>IF(OR(F5837="",G5837=""),"",IF(G5837&lt;='RETRATO 2027'!$K$5,"CONCLUÍDA",IF(F5837&lt;='RETRATO 2027'!$K$5,"EM ANDAMENTO","A INICIAR")))</f>
        <v/>
      </c>
    </row>
    <row r="5838">
      <c r="M5838" s="2">
        <f>IF(C5838="","",IFERROR(INDEX($S$5:$S$304,MATCH(C5838,$R$5:$R$304,0))&amp;"","?"))</f>
        <v/>
      </c>
      <c r="N5838" s="2">
        <f>IF(E5838="","",IF(ISNUMBER(SEARCH("SUBSOLO",E5838)),IFERROR(-VALUE(LEFT(E5838,FIND("º",SUBSTITUTE(E5838,"°","º"))-1)),-1),IF(LEFT(E5838,6)="TÉRREO",0,IFERROR(VALUE(LEFT(E5838,FIND("º",SUBSTITUTE(E5838,"°","º"))-1)),""))))</f>
        <v/>
      </c>
      <c r="O5838" s="2">
        <f>IF(OR(F5838="",G5838=""),"",IF(G5838&lt;='RETRATO 2027'!$K$5,"CONCLUÍDA",IF(F5838&lt;='RETRATO 2027'!$K$5,"EM ANDAMENTO","A INICIAR")))</f>
        <v/>
      </c>
    </row>
    <row r="5839">
      <c r="M5839" s="2">
        <f>IF(C5839="","",IFERROR(INDEX($S$5:$S$304,MATCH(C5839,$R$5:$R$304,0))&amp;"","?"))</f>
        <v/>
      </c>
      <c r="N5839" s="2">
        <f>IF(E5839="","",IF(ISNUMBER(SEARCH("SUBSOLO",E5839)),IFERROR(-VALUE(LEFT(E5839,FIND("º",SUBSTITUTE(E5839,"°","º"))-1)),-1),IF(LEFT(E5839,6)="TÉRREO",0,IFERROR(VALUE(LEFT(E5839,FIND("º",SUBSTITUTE(E5839,"°","º"))-1)),""))))</f>
        <v/>
      </c>
      <c r="O5839" s="2">
        <f>IF(OR(F5839="",G5839=""),"",IF(G5839&lt;='RETRATO 2027'!$K$5,"CONCLUÍDA",IF(F5839&lt;='RETRATO 2027'!$K$5,"EM ANDAMENTO","A INICIAR")))</f>
        <v/>
      </c>
    </row>
    <row r="5840">
      <c r="M5840" s="2">
        <f>IF(C5840="","",IFERROR(INDEX($S$5:$S$304,MATCH(C5840,$R$5:$R$304,0))&amp;"","?"))</f>
        <v/>
      </c>
      <c r="N5840" s="2">
        <f>IF(E5840="","",IF(ISNUMBER(SEARCH("SUBSOLO",E5840)),IFERROR(-VALUE(LEFT(E5840,FIND("º",SUBSTITUTE(E5840,"°","º"))-1)),-1),IF(LEFT(E5840,6)="TÉRREO",0,IFERROR(VALUE(LEFT(E5840,FIND("º",SUBSTITUTE(E5840,"°","º"))-1)),""))))</f>
        <v/>
      </c>
      <c r="O5840" s="2">
        <f>IF(OR(F5840="",G5840=""),"",IF(G5840&lt;='RETRATO 2027'!$K$5,"CONCLUÍDA",IF(F5840&lt;='RETRATO 2027'!$K$5,"EM ANDAMENTO","A INICIAR")))</f>
        <v/>
      </c>
    </row>
    <row r="5841">
      <c r="M5841" s="2">
        <f>IF(C5841="","",IFERROR(INDEX($S$5:$S$304,MATCH(C5841,$R$5:$R$304,0))&amp;"","?"))</f>
        <v/>
      </c>
      <c r="N5841" s="2">
        <f>IF(E5841="","",IF(ISNUMBER(SEARCH("SUBSOLO",E5841)),IFERROR(-VALUE(LEFT(E5841,FIND("º",SUBSTITUTE(E5841,"°","º"))-1)),-1),IF(LEFT(E5841,6)="TÉRREO",0,IFERROR(VALUE(LEFT(E5841,FIND("º",SUBSTITUTE(E5841,"°","º"))-1)),""))))</f>
        <v/>
      </c>
      <c r="O5841" s="2">
        <f>IF(OR(F5841="",G5841=""),"",IF(G5841&lt;='RETRATO 2027'!$K$5,"CONCLUÍDA",IF(F5841&lt;='RETRATO 2027'!$K$5,"EM ANDAMENTO","A INICIAR")))</f>
        <v/>
      </c>
    </row>
    <row r="5842">
      <c r="M5842" s="2">
        <f>IF(C5842="","",IFERROR(INDEX($S$5:$S$304,MATCH(C5842,$R$5:$R$304,0))&amp;"","?"))</f>
        <v/>
      </c>
      <c r="N5842" s="2">
        <f>IF(E5842="","",IF(ISNUMBER(SEARCH("SUBSOLO",E5842)),IFERROR(-VALUE(LEFT(E5842,FIND("º",SUBSTITUTE(E5842,"°","º"))-1)),-1),IF(LEFT(E5842,6)="TÉRREO",0,IFERROR(VALUE(LEFT(E5842,FIND("º",SUBSTITUTE(E5842,"°","º"))-1)),""))))</f>
        <v/>
      </c>
      <c r="O5842" s="2">
        <f>IF(OR(F5842="",G5842=""),"",IF(G5842&lt;='RETRATO 2027'!$K$5,"CONCLUÍDA",IF(F5842&lt;='RETRATO 2027'!$K$5,"EM ANDAMENTO","A INICIAR")))</f>
        <v/>
      </c>
    </row>
    <row r="5843">
      <c r="M5843" s="2">
        <f>IF(C5843="","",IFERROR(INDEX($S$5:$S$304,MATCH(C5843,$R$5:$R$304,0))&amp;"","?"))</f>
        <v/>
      </c>
      <c r="N5843" s="2">
        <f>IF(E5843="","",IF(ISNUMBER(SEARCH("SUBSOLO",E5843)),IFERROR(-VALUE(LEFT(E5843,FIND("º",SUBSTITUTE(E5843,"°","º"))-1)),-1),IF(LEFT(E5843,6)="TÉRREO",0,IFERROR(VALUE(LEFT(E5843,FIND("º",SUBSTITUTE(E5843,"°","º"))-1)),""))))</f>
        <v/>
      </c>
      <c r="O5843" s="2">
        <f>IF(OR(F5843="",G5843=""),"",IF(G5843&lt;='RETRATO 2027'!$K$5,"CONCLUÍDA",IF(F5843&lt;='RETRATO 2027'!$K$5,"EM ANDAMENTO","A INICIAR")))</f>
        <v/>
      </c>
    </row>
    <row r="5844">
      <c r="M5844" s="2">
        <f>IF(C5844="","",IFERROR(INDEX($S$5:$S$304,MATCH(C5844,$R$5:$R$304,0))&amp;"","?"))</f>
        <v/>
      </c>
      <c r="N5844" s="2">
        <f>IF(E5844="","",IF(ISNUMBER(SEARCH("SUBSOLO",E5844)),IFERROR(-VALUE(LEFT(E5844,FIND("º",SUBSTITUTE(E5844,"°","º"))-1)),-1),IF(LEFT(E5844,6)="TÉRREO",0,IFERROR(VALUE(LEFT(E5844,FIND("º",SUBSTITUTE(E5844,"°","º"))-1)),""))))</f>
        <v/>
      </c>
      <c r="O5844" s="2">
        <f>IF(OR(F5844="",G5844=""),"",IF(G5844&lt;='RETRATO 2027'!$K$5,"CONCLUÍDA",IF(F5844&lt;='RETRATO 2027'!$K$5,"EM ANDAMENTO","A INICIAR")))</f>
        <v/>
      </c>
    </row>
    <row r="5845">
      <c r="M5845" s="2">
        <f>IF(C5845="","",IFERROR(INDEX($S$5:$S$304,MATCH(C5845,$R$5:$R$304,0))&amp;"","?"))</f>
        <v/>
      </c>
      <c r="N5845" s="2">
        <f>IF(E5845="","",IF(ISNUMBER(SEARCH("SUBSOLO",E5845)),IFERROR(-VALUE(LEFT(E5845,FIND("º",SUBSTITUTE(E5845,"°","º"))-1)),-1),IF(LEFT(E5845,6)="TÉRREO",0,IFERROR(VALUE(LEFT(E5845,FIND("º",SUBSTITUTE(E5845,"°","º"))-1)),""))))</f>
        <v/>
      </c>
      <c r="O5845" s="2">
        <f>IF(OR(F5845="",G5845=""),"",IF(G5845&lt;='RETRATO 2027'!$K$5,"CONCLUÍDA",IF(F5845&lt;='RETRATO 2027'!$K$5,"EM ANDAMENTO","A INICIAR")))</f>
        <v/>
      </c>
    </row>
    <row r="5846">
      <c r="M5846" s="2">
        <f>IF(C5846="","",IFERROR(INDEX($S$5:$S$304,MATCH(C5846,$R$5:$R$304,0))&amp;"","?"))</f>
        <v/>
      </c>
      <c r="N5846" s="2">
        <f>IF(E5846="","",IF(ISNUMBER(SEARCH("SUBSOLO",E5846)),IFERROR(-VALUE(LEFT(E5846,FIND("º",SUBSTITUTE(E5846,"°","º"))-1)),-1),IF(LEFT(E5846,6)="TÉRREO",0,IFERROR(VALUE(LEFT(E5846,FIND("º",SUBSTITUTE(E5846,"°","º"))-1)),""))))</f>
        <v/>
      </c>
      <c r="O5846" s="2">
        <f>IF(OR(F5846="",G5846=""),"",IF(G5846&lt;='RETRATO 2027'!$K$5,"CONCLUÍDA",IF(F5846&lt;='RETRATO 2027'!$K$5,"EM ANDAMENTO","A INICIAR")))</f>
        <v/>
      </c>
    </row>
    <row r="5847">
      <c r="M5847" s="2">
        <f>IF(C5847="","",IFERROR(INDEX($S$5:$S$304,MATCH(C5847,$R$5:$R$304,0))&amp;"","?"))</f>
        <v/>
      </c>
      <c r="N5847" s="2">
        <f>IF(E5847="","",IF(ISNUMBER(SEARCH("SUBSOLO",E5847)),IFERROR(-VALUE(LEFT(E5847,FIND("º",SUBSTITUTE(E5847,"°","º"))-1)),-1),IF(LEFT(E5847,6)="TÉRREO",0,IFERROR(VALUE(LEFT(E5847,FIND("º",SUBSTITUTE(E5847,"°","º"))-1)),""))))</f>
        <v/>
      </c>
      <c r="O5847" s="2">
        <f>IF(OR(F5847="",G5847=""),"",IF(G5847&lt;='RETRATO 2027'!$K$5,"CONCLUÍDA",IF(F5847&lt;='RETRATO 2027'!$K$5,"EM ANDAMENTO","A INICIAR")))</f>
        <v/>
      </c>
    </row>
    <row r="5848">
      <c r="M5848" s="2">
        <f>IF(C5848="","",IFERROR(INDEX($S$5:$S$304,MATCH(C5848,$R$5:$R$304,0))&amp;"","?"))</f>
        <v/>
      </c>
      <c r="N5848" s="2">
        <f>IF(E5848="","",IF(ISNUMBER(SEARCH("SUBSOLO",E5848)),IFERROR(-VALUE(LEFT(E5848,FIND("º",SUBSTITUTE(E5848,"°","º"))-1)),-1),IF(LEFT(E5848,6)="TÉRREO",0,IFERROR(VALUE(LEFT(E5848,FIND("º",SUBSTITUTE(E5848,"°","º"))-1)),""))))</f>
        <v/>
      </c>
      <c r="O5848" s="2">
        <f>IF(OR(F5848="",G5848=""),"",IF(G5848&lt;='RETRATO 2027'!$K$5,"CONCLUÍDA",IF(F5848&lt;='RETRATO 2027'!$K$5,"EM ANDAMENTO","A INICIAR")))</f>
        <v/>
      </c>
    </row>
    <row r="5849">
      <c r="M5849" s="2">
        <f>IF(C5849="","",IFERROR(INDEX($S$5:$S$304,MATCH(C5849,$R$5:$R$304,0))&amp;"","?"))</f>
        <v/>
      </c>
      <c r="N5849" s="2">
        <f>IF(E5849="","",IF(ISNUMBER(SEARCH("SUBSOLO",E5849)),IFERROR(-VALUE(LEFT(E5849,FIND("º",SUBSTITUTE(E5849,"°","º"))-1)),-1),IF(LEFT(E5849,6)="TÉRREO",0,IFERROR(VALUE(LEFT(E5849,FIND("º",SUBSTITUTE(E5849,"°","º"))-1)),""))))</f>
        <v/>
      </c>
      <c r="O5849" s="2">
        <f>IF(OR(F5849="",G5849=""),"",IF(G5849&lt;='RETRATO 2027'!$K$5,"CONCLUÍDA",IF(F5849&lt;='RETRATO 2027'!$K$5,"EM ANDAMENTO","A INICIAR")))</f>
        <v/>
      </c>
    </row>
    <row r="5850">
      <c r="M5850" s="2">
        <f>IF(C5850="","",IFERROR(INDEX($S$5:$S$304,MATCH(C5850,$R$5:$R$304,0))&amp;"","?"))</f>
        <v/>
      </c>
      <c r="N5850" s="2">
        <f>IF(E5850="","",IF(ISNUMBER(SEARCH("SUBSOLO",E5850)),IFERROR(-VALUE(LEFT(E5850,FIND("º",SUBSTITUTE(E5850,"°","º"))-1)),-1),IF(LEFT(E5850,6)="TÉRREO",0,IFERROR(VALUE(LEFT(E5850,FIND("º",SUBSTITUTE(E5850,"°","º"))-1)),""))))</f>
        <v/>
      </c>
      <c r="O5850" s="2">
        <f>IF(OR(F5850="",G5850=""),"",IF(G5850&lt;='RETRATO 2027'!$K$5,"CONCLUÍDA",IF(F5850&lt;='RETRATO 2027'!$K$5,"EM ANDAMENTO","A INICIAR")))</f>
        <v/>
      </c>
    </row>
    <row r="5851">
      <c r="M5851" s="2">
        <f>IF(C5851="","",IFERROR(INDEX($S$5:$S$304,MATCH(C5851,$R$5:$R$304,0))&amp;"","?"))</f>
        <v/>
      </c>
      <c r="N5851" s="2">
        <f>IF(E5851="","",IF(ISNUMBER(SEARCH("SUBSOLO",E5851)),IFERROR(-VALUE(LEFT(E5851,FIND("º",SUBSTITUTE(E5851,"°","º"))-1)),-1),IF(LEFT(E5851,6)="TÉRREO",0,IFERROR(VALUE(LEFT(E5851,FIND("º",SUBSTITUTE(E5851,"°","º"))-1)),""))))</f>
        <v/>
      </c>
      <c r="O5851" s="2">
        <f>IF(OR(F5851="",G5851=""),"",IF(G5851&lt;='RETRATO 2027'!$K$5,"CONCLUÍDA",IF(F5851&lt;='RETRATO 2027'!$K$5,"EM ANDAMENTO","A INICIAR")))</f>
        <v/>
      </c>
    </row>
    <row r="5852">
      <c r="M5852" s="2">
        <f>IF(C5852="","",IFERROR(INDEX($S$5:$S$304,MATCH(C5852,$R$5:$R$304,0))&amp;"","?"))</f>
        <v/>
      </c>
      <c r="N5852" s="2">
        <f>IF(E5852="","",IF(ISNUMBER(SEARCH("SUBSOLO",E5852)),IFERROR(-VALUE(LEFT(E5852,FIND("º",SUBSTITUTE(E5852,"°","º"))-1)),-1),IF(LEFT(E5852,6)="TÉRREO",0,IFERROR(VALUE(LEFT(E5852,FIND("º",SUBSTITUTE(E5852,"°","º"))-1)),""))))</f>
        <v/>
      </c>
      <c r="O5852" s="2">
        <f>IF(OR(F5852="",G5852=""),"",IF(G5852&lt;='RETRATO 2027'!$K$5,"CONCLUÍDA",IF(F5852&lt;='RETRATO 2027'!$K$5,"EM ANDAMENTO","A INICIAR")))</f>
        <v/>
      </c>
    </row>
    <row r="5853">
      <c r="M5853" s="2">
        <f>IF(C5853="","",IFERROR(INDEX($S$5:$S$304,MATCH(C5853,$R$5:$R$304,0))&amp;"","?"))</f>
        <v/>
      </c>
      <c r="N5853" s="2">
        <f>IF(E5853="","",IF(ISNUMBER(SEARCH("SUBSOLO",E5853)),IFERROR(-VALUE(LEFT(E5853,FIND("º",SUBSTITUTE(E5853,"°","º"))-1)),-1),IF(LEFT(E5853,6)="TÉRREO",0,IFERROR(VALUE(LEFT(E5853,FIND("º",SUBSTITUTE(E5853,"°","º"))-1)),""))))</f>
        <v/>
      </c>
      <c r="O5853" s="2">
        <f>IF(OR(F5853="",G5853=""),"",IF(G5853&lt;='RETRATO 2027'!$K$5,"CONCLUÍDA",IF(F5853&lt;='RETRATO 2027'!$K$5,"EM ANDAMENTO","A INICIAR")))</f>
        <v/>
      </c>
    </row>
    <row r="5854">
      <c r="M5854" s="2">
        <f>IF(C5854="","",IFERROR(INDEX($S$5:$S$304,MATCH(C5854,$R$5:$R$304,0))&amp;"","?"))</f>
        <v/>
      </c>
      <c r="N5854" s="2">
        <f>IF(E5854="","",IF(ISNUMBER(SEARCH("SUBSOLO",E5854)),IFERROR(-VALUE(LEFT(E5854,FIND("º",SUBSTITUTE(E5854,"°","º"))-1)),-1),IF(LEFT(E5854,6)="TÉRREO",0,IFERROR(VALUE(LEFT(E5854,FIND("º",SUBSTITUTE(E5854,"°","º"))-1)),""))))</f>
        <v/>
      </c>
      <c r="O5854" s="2">
        <f>IF(OR(F5854="",G5854=""),"",IF(G5854&lt;='RETRATO 2027'!$K$5,"CONCLUÍDA",IF(F5854&lt;='RETRATO 2027'!$K$5,"EM ANDAMENTO","A INICIAR")))</f>
        <v/>
      </c>
    </row>
    <row r="5855">
      <c r="M5855" s="2">
        <f>IF(C5855="","",IFERROR(INDEX($S$5:$S$304,MATCH(C5855,$R$5:$R$304,0))&amp;"","?"))</f>
        <v/>
      </c>
      <c r="N5855" s="2">
        <f>IF(E5855="","",IF(ISNUMBER(SEARCH("SUBSOLO",E5855)),IFERROR(-VALUE(LEFT(E5855,FIND("º",SUBSTITUTE(E5855,"°","º"))-1)),-1),IF(LEFT(E5855,6)="TÉRREO",0,IFERROR(VALUE(LEFT(E5855,FIND("º",SUBSTITUTE(E5855,"°","º"))-1)),""))))</f>
        <v/>
      </c>
      <c r="O5855" s="2">
        <f>IF(OR(F5855="",G5855=""),"",IF(G5855&lt;='RETRATO 2027'!$K$5,"CONCLUÍDA",IF(F5855&lt;='RETRATO 2027'!$K$5,"EM ANDAMENTO","A INICIAR")))</f>
        <v/>
      </c>
    </row>
    <row r="5856">
      <c r="M5856" s="2">
        <f>IF(C5856="","",IFERROR(INDEX($S$5:$S$304,MATCH(C5856,$R$5:$R$304,0))&amp;"","?"))</f>
        <v/>
      </c>
      <c r="N5856" s="2">
        <f>IF(E5856="","",IF(ISNUMBER(SEARCH("SUBSOLO",E5856)),IFERROR(-VALUE(LEFT(E5856,FIND("º",SUBSTITUTE(E5856,"°","º"))-1)),-1),IF(LEFT(E5856,6)="TÉRREO",0,IFERROR(VALUE(LEFT(E5856,FIND("º",SUBSTITUTE(E5856,"°","º"))-1)),""))))</f>
        <v/>
      </c>
      <c r="O5856" s="2">
        <f>IF(OR(F5856="",G5856=""),"",IF(G5856&lt;='RETRATO 2027'!$K$5,"CONCLUÍDA",IF(F5856&lt;='RETRATO 2027'!$K$5,"EM ANDAMENTO","A INICIAR")))</f>
        <v/>
      </c>
    </row>
    <row r="5857">
      <c r="M5857" s="2">
        <f>IF(C5857="","",IFERROR(INDEX($S$5:$S$304,MATCH(C5857,$R$5:$R$304,0))&amp;"","?"))</f>
        <v/>
      </c>
      <c r="N5857" s="2">
        <f>IF(E5857="","",IF(ISNUMBER(SEARCH("SUBSOLO",E5857)),IFERROR(-VALUE(LEFT(E5857,FIND("º",SUBSTITUTE(E5857,"°","º"))-1)),-1),IF(LEFT(E5857,6)="TÉRREO",0,IFERROR(VALUE(LEFT(E5857,FIND("º",SUBSTITUTE(E5857,"°","º"))-1)),""))))</f>
        <v/>
      </c>
      <c r="O5857" s="2">
        <f>IF(OR(F5857="",G5857=""),"",IF(G5857&lt;='RETRATO 2027'!$K$5,"CONCLUÍDA",IF(F5857&lt;='RETRATO 2027'!$K$5,"EM ANDAMENTO","A INICIAR")))</f>
        <v/>
      </c>
    </row>
    <row r="5858">
      <c r="M5858" s="2">
        <f>IF(C5858="","",IFERROR(INDEX($S$5:$S$304,MATCH(C5858,$R$5:$R$304,0))&amp;"","?"))</f>
        <v/>
      </c>
      <c r="N5858" s="2">
        <f>IF(E5858="","",IF(ISNUMBER(SEARCH("SUBSOLO",E5858)),IFERROR(-VALUE(LEFT(E5858,FIND("º",SUBSTITUTE(E5858,"°","º"))-1)),-1),IF(LEFT(E5858,6)="TÉRREO",0,IFERROR(VALUE(LEFT(E5858,FIND("º",SUBSTITUTE(E5858,"°","º"))-1)),""))))</f>
        <v/>
      </c>
      <c r="O5858" s="2">
        <f>IF(OR(F5858="",G5858=""),"",IF(G5858&lt;='RETRATO 2027'!$K$5,"CONCLUÍDA",IF(F5858&lt;='RETRATO 2027'!$K$5,"EM ANDAMENTO","A INICIAR")))</f>
        <v/>
      </c>
    </row>
    <row r="5859">
      <c r="M5859" s="2">
        <f>IF(C5859="","",IFERROR(INDEX($S$5:$S$304,MATCH(C5859,$R$5:$R$304,0))&amp;"","?"))</f>
        <v/>
      </c>
      <c r="N5859" s="2">
        <f>IF(E5859="","",IF(ISNUMBER(SEARCH("SUBSOLO",E5859)),IFERROR(-VALUE(LEFT(E5859,FIND("º",SUBSTITUTE(E5859,"°","º"))-1)),-1),IF(LEFT(E5859,6)="TÉRREO",0,IFERROR(VALUE(LEFT(E5859,FIND("º",SUBSTITUTE(E5859,"°","º"))-1)),""))))</f>
        <v/>
      </c>
      <c r="O5859" s="2">
        <f>IF(OR(F5859="",G5859=""),"",IF(G5859&lt;='RETRATO 2027'!$K$5,"CONCLUÍDA",IF(F5859&lt;='RETRATO 2027'!$K$5,"EM ANDAMENTO","A INICIAR")))</f>
        <v/>
      </c>
    </row>
    <row r="5860">
      <c r="M5860" s="2">
        <f>IF(C5860="","",IFERROR(INDEX($S$5:$S$304,MATCH(C5860,$R$5:$R$304,0))&amp;"","?"))</f>
        <v/>
      </c>
      <c r="N5860" s="2">
        <f>IF(E5860="","",IF(ISNUMBER(SEARCH("SUBSOLO",E5860)),IFERROR(-VALUE(LEFT(E5860,FIND("º",SUBSTITUTE(E5860,"°","º"))-1)),-1),IF(LEFT(E5860,6)="TÉRREO",0,IFERROR(VALUE(LEFT(E5860,FIND("º",SUBSTITUTE(E5860,"°","º"))-1)),""))))</f>
        <v/>
      </c>
      <c r="O5860" s="2">
        <f>IF(OR(F5860="",G5860=""),"",IF(G5860&lt;='RETRATO 2027'!$K$5,"CONCLUÍDA",IF(F5860&lt;='RETRATO 2027'!$K$5,"EM ANDAMENTO","A INICIAR")))</f>
        <v/>
      </c>
    </row>
    <row r="5861">
      <c r="M5861" s="2">
        <f>IF(C5861="","",IFERROR(INDEX($S$5:$S$304,MATCH(C5861,$R$5:$R$304,0))&amp;"","?"))</f>
        <v/>
      </c>
      <c r="N5861" s="2">
        <f>IF(E5861="","",IF(ISNUMBER(SEARCH("SUBSOLO",E5861)),IFERROR(-VALUE(LEFT(E5861,FIND("º",SUBSTITUTE(E5861,"°","º"))-1)),-1),IF(LEFT(E5861,6)="TÉRREO",0,IFERROR(VALUE(LEFT(E5861,FIND("º",SUBSTITUTE(E5861,"°","º"))-1)),""))))</f>
        <v/>
      </c>
      <c r="O5861" s="2">
        <f>IF(OR(F5861="",G5861=""),"",IF(G5861&lt;='RETRATO 2027'!$K$5,"CONCLUÍDA",IF(F5861&lt;='RETRATO 2027'!$K$5,"EM ANDAMENTO","A INICIAR")))</f>
        <v/>
      </c>
    </row>
    <row r="5862">
      <c r="M5862" s="2">
        <f>IF(C5862="","",IFERROR(INDEX($S$5:$S$304,MATCH(C5862,$R$5:$R$304,0))&amp;"","?"))</f>
        <v/>
      </c>
      <c r="N5862" s="2">
        <f>IF(E5862="","",IF(ISNUMBER(SEARCH("SUBSOLO",E5862)),IFERROR(-VALUE(LEFT(E5862,FIND("º",SUBSTITUTE(E5862,"°","º"))-1)),-1),IF(LEFT(E5862,6)="TÉRREO",0,IFERROR(VALUE(LEFT(E5862,FIND("º",SUBSTITUTE(E5862,"°","º"))-1)),""))))</f>
        <v/>
      </c>
      <c r="O5862" s="2">
        <f>IF(OR(F5862="",G5862=""),"",IF(G5862&lt;='RETRATO 2027'!$K$5,"CONCLUÍDA",IF(F5862&lt;='RETRATO 2027'!$K$5,"EM ANDAMENTO","A INICIAR")))</f>
        <v/>
      </c>
    </row>
    <row r="5863">
      <c r="M5863" s="2">
        <f>IF(C5863="","",IFERROR(INDEX($S$5:$S$304,MATCH(C5863,$R$5:$R$304,0))&amp;"","?"))</f>
        <v/>
      </c>
      <c r="N5863" s="2">
        <f>IF(E5863="","",IF(ISNUMBER(SEARCH("SUBSOLO",E5863)),IFERROR(-VALUE(LEFT(E5863,FIND("º",SUBSTITUTE(E5863,"°","º"))-1)),-1),IF(LEFT(E5863,6)="TÉRREO",0,IFERROR(VALUE(LEFT(E5863,FIND("º",SUBSTITUTE(E5863,"°","º"))-1)),""))))</f>
        <v/>
      </c>
      <c r="O5863" s="2">
        <f>IF(OR(F5863="",G5863=""),"",IF(G5863&lt;='RETRATO 2027'!$K$5,"CONCLUÍDA",IF(F5863&lt;='RETRATO 2027'!$K$5,"EM ANDAMENTO","A INICIAR")))</f>
        <v/>
      </c>
    </row>
    <row r="5864">
      <c r="M5864" s="2">
        <f>IF(C5864="","",IFERROR(INDEX($S$5:$S$304,MATCH(C5864,$R$5:$R$304,0))&amp;"","?"))</f>
        <v/>
      </c>
      <c r="N5864" s="2">
        <f>IF(E5864="","",IF(ISNUMBER(SEARCH("SUBSOLO",E5864)),IFERROR(-VALUE(LEFT(E5864,FIND("º",SUBSTITUTE(E5864,"°","º"))-1)),-1),IF(LEFT(E5864,6)="TÉRREO",0,IFERROR(VALUE(LEFT(E5864,FIND("º",SUBSTITUTE(E5864,"°","º"))-1)),""))))</f>
        <v/>
      </c>
      <c r="O5864" s="2">
        <f>IF(OR(F5864="",G5864=""),"",IF(G5864&lt;='RETRATO 2027'!$K$5,"CONCLUÍDA",IF(F5864&lt;='RETRATO 2027'!$K$5,"EM ANDAMENTO","A INICIAR")))</f>
        <v/>
      </c>
    </row>
    <row r="5865">
      <c r="M5865" s="2">
        <f>IF(C5865="","",IFERROR(INDEX($S$5:$S$304,MATCH(C5865,$R$5:$R$304,0))&amp;"","?"))</f>
        <v/>
      </c>
      <c r="N5865" s="2">
        <f>IF(E5865="","",IF(ISNUMBER(SEARCH("SUBSOLO",E5865)),IFERROR(-VALUE(LEFT(E5865,FIND("º",SUBSTITUTE(E5865,"°","º"))-1)),-1),IF(LEFT(E5865,6)="TÉRREO",0,IFERROR(VALUE(LEFT(E5865,FIND("º",SUBSTITUTE(E5865,"°","º"))-1)),""))))</f>
        <v/>
      </c>
      <c r="O5865" s="2">
        <f>IF(OR(F5865="",G5865=""),"",IF(G5865&lt;='RETRATO 2027'!$K$5,"CONCLUÍDA",IF(F5865&lt;='RETRATO 2027'!$K$5,"EM ANDAMENTO","A INICIAR")))</f>
        <v/>
      </c>
    </row>
    <row r="5866">
      <c r="M5866" s="2">
        <f>IF(C5866="","",IFERROR(INDEX($S$5:$S$304,MATCH(C5866,$R$5:$R$304,0))&amp;"","?"))</f>
        <v/>
      </c>
      <c r="N5866" s="2">
        <f>IF(E5866="","",IF(ISNUMBER(SEARCH("SUBSOLO",E5866)),IFERROR(-VALUE(LEFT(E5866,FIND("º",SUBSTITUTE(E5866,"°","º"))-1)),-1),IF(LEFT(E5866,6)="TÉRREO",0,IFERROR(VALUE(LEFT(E5866,FIND("º",SUBSTITUTE(E5866,"°","º"))-1)),""))))</f>
        <v/>
      </c>
      <c r="O5866" s="2">
        <f>IF(OR(F5866="",G5866=""),"",IF(G5866&lt;='RETRATO 2027'!$K$5,"CONCLUÍDA",IF(F5866&lt;='RETRATO 2027'!$K$5,"EM ANDAMENTO","A INICIAR")))</f>
        <v/>
      </c>
    </row>
    <row r="5867">
      <c r="M5867" s="2">
        <f>IF(C5867="","",IFERROR(INDEX($S$5:$S$304,MATCH(C5867,$R$5:$R$304,0))&amp;"","?"))</f>
        <v/>
      </c>
      <c r="N5867" s="2">
        <f>IF(E5867="","",IF(ISNUMBER(SEARCH("SUBSOLO",E5867)),IFERROR(-VALUE(LEFT(E5867,FIND("º",SUBSTITUTE(E5867,"°","º"))-1)),-1),IF(LEFT(E5867,6)="TÉRREO",0,IFERROR(VALUE(LEFT(E5867,FIND("º",SUBSTITUTE(E5867,"°","º"))-1)),""))))</f>
        <v/>
      </c>
      <c r="O5867" s="2">
        <f>IF(OR(F5867="",G5867=""),"",IF(G5867&lt;='RETRATO 2027'!$K$5,"CONCLUÍDA",IF(F5867&lt;='RETRATO 2027'!$K$5,"EM ANDAMENTO","A INICIAR")))</f>
        <v/>
      </c>
    </row>
    <row r="5868">
      <c r="M5868" s="2">
        <f>IF(C5868="","",IFERROR(INDEX($S$5:$S$304,MATCH(C5868,$R$5:$R$304,0))&amp;"","?"))</f>
        <v/>
      </c>
      <c r="N5868" s="2">
        <f>IF(E5868="","",IF(ISNUMBER(SEARCH("SUBSOLO",E5868)),IFERROR(-VALUE(LEFT(E5868,FIND("º",SUBSTITUTE(E5868,"°","º"))-1)),-1),IF(LEFT(E5868,6)="TÉRREO",0,IFERROR(VALUE(LEFT(E5868,FIND("º",SUBSTITUTE(E5868,"°","º"))-1)),""))))</f>
        <v/>
      </c>
      <c r="O5868" s="2">
        <f>IF(OR(F5868="",G5868=""),"",IF(G5868&lt;='RETRATO 2027'!$K$5,"CONCLUÍDA",IF(F5868&lt;='RETRATO 2027'!$K$5,"EM ANDAMENTO","A INICIAR")))</f>
        <v/>
      </c>
    </row>
    <row r="5869">
      <c r="M5869" s="2">
        <f>IF(C5869="","",IFERROR(INDEX($S$5:$S$304,MATCH(C5869,$R$5:$R$304,0))&amp;"","?"))</f>
        <v/>
      </c>
      <c r="N5869" s="2">
        <f>IF(E5869="","",IF(ISNUMBER(SEARCH("SUBSOLO",E5869)),IFERROR(-VALUE(LEFT(E5869,FIND("º",SUBSTITUTE(E5869,"°","º"))-1)),-1),IF(LEFT(E5869,6)="TÉRREO",0,IFERROR(VALUE(LEFT(E5869,FIND("º",SUBSTITUTE(E5869,"°","º"))-1)),""))))</f>
        <v/>
      </c>
      <c r="O5869" s="2">
        <f>IF(OR(F5869="",G5869=""),"",IF(G5869&lt;='RETRATO 2027'!$K$5,"CONCLUÍDA",IF(F5869&lt;='RETRATO 2027'!$K$5,"EM ANDAMENTO","A INICIAR")))</f>
        <v/>
      </c>
    </row>
    <row r="5870">
      <c r="M5870" s="2">
        <f>IF(C5870="","",IFERROR(INDEX($S$5:$S$304,MATCH(C5870,$R$5:$R$304,0))&amp;"","?"))</f>
        <v/>
      </c>
      <c r="N5870" s="2">
        <f>IF(E5870="","",IF(ISNUMBER(SEARCH("SUBSOLO",E5870)),IFERROR(-VALUE(LEFT(E5870,FIND("º",SUBSTITUTE(E5870,"°","º"))-1)),-1),IF(LEFT(E5870,6)="TÉRREO",0,IFERROR(VALUE(LEFT(E5870,FIND("º",SUBSTITUTE(E5870,"°","º"))-1)),""))))</f>
        <v/>
      </c>
      <c r="O5870" s="2">
        <f>IF(OR(F5870="",G5870=""),"",IF(G5870&lt;='RETRATO 2027'!$K$5,"CONCLUÍDA",IF(F5870&lt;='RETRATO 2027'!$K$5,"EM ANDAMENTO","A INICIAR")))</f>
        <v/>
      </c>
    </row>
    <row r="5871">
      <c r="M5871" s="2">
        <f>IF(C5871="","",IFERROR(INDEX($S$5:$S$304,MATCH(C5871,$R$5:$R$304,0))&amp;"","?"))</f>
        <v/>
      </c>
      <c r="N5871" s="2">
        <f>IF(E5871="","",IF(ISNUMBER(SEARCH("SUBSOLO",E5871)),IFERROR(-VALUE(LEFT(E5871,FIND("º",SUBSTITUTE(E5871,"°","º"))-1)),-1),IF(LEFT(E5871,6)="TÉRREO",0,IFERROR(VALUE(LEFT(E5871,FIND("º",SUBSTITUTE(E5871,"°","º"))-1)),""))))</f>
        <v/>
      </c>
      <c r="O5871" s="2">
        <f>IF(OR(F5871="",G5871=""),"",IF(G5871&lt;='RETRATO 2027'!$K$5,"CONCLUÍDA",IF(F5871&lt;='RETRATO 2027'!$K$5,"EM ANDAMENTO","A INICIAR")))</f>
        <v/>
      </c>
    </row>
    <row r="5872">
      <c r="M5872" s="2">
        <f>IF(C5872="","",IFERROR(INDEX($S$5:$S$304,MATCH(C5872,$R$5:$R$304,0))&amp;"","?"))</f>
        <v/>
      </c>
      <c r="N5872" s="2">
        <f>IF(E5872="","",IF(ISNUMBER(SEARCH("SUBSOLO",E5872)),IFERROR(-VALUE(LEFT(E5872,FIND("º",SUBSTITUTE(E5872,"°","º"))-1)),-1),IF(LEFT(E5872,6)="TÉRREO",0,IFERROR(VALUE(LEFT(E5872,FIND("º",SUBSTITUTE(E5872,"°","º"))-1)),""))))</f>
        <v/>
      </c>
      <c r="O5872" s="2">
        <f>IF(OR(F5872="",G5872=""),"",IF(G5872&lt;='RETRATO 2027'!$K$5,"CONCLUÍDA",IF(F5872&lt;='RETRATO 2027'!$K$5,"EM ANDAMENTO","A INICIAR")))</f>
        <v/>
      </c>
    </row>
    <row r="5873">
      <c r="M5873" s="2">
        <f>IF(C5873="","",IFERROR(INDEX($S$5:$S$304,MATCH(C5873,$R$5:$R$304,0))&amp;"","?"))</f>
        <v/>
      </c>
      <c r="N5873" s="2">
        <f>IF(E5873="","",IF(ISNUMBER(SEARCH("SUBSOLO",E5873)),IFERROR(-VALUE(LEFT(E5873,FIND("º",SUBSTITUTE(E5873,"°","º"))-1)),-1),IF(LEFT(E5873,6)="TÉRREO",0,IFERROR(VALUE(LEFT(E5873,FIND("º",SUBSTITUTE(E5873,"°","º"))-1)),""))))</f>
        <v/>
      </c>
      <c r="O5873" s="2">
        <f>IF(OR(F5873="",G5873=""),"",IF(G5873&lt;='RETRATO 2027'!$K$5,"CONCLUÍDA",IF(F5873&lt;='RETRATO 2027'!$K$5,"EM ANDAMENTO","A INICIAR")))</f>
        <v/>
      </c>
    </row>
    <row r="5874">
      <c r="M5874" s="2">
        <f>IF(C5874="","",IFERROR(INDEX($S$5:$S$304,MATCH(C5874,$R$5:$R$304,0))&amp;"","?"))</f>
        <v/>
      </c>
      <c r="N5874" s="2">
        <f>IF(E5874="","",IF(ISNUMBER(SEARCH("SUBSOLO",E5874)),IFERROR(-VALUE(LEFT(E5874,FIND("º",SUBSTITUTE(E5874,"°","º"))-1)),-1),IF(LEFT(E5874,6)="TÉRREO",0,IFERROR(VALUE(LEFT(E5874,FIND("º",SUBSTITUTE(E5874,"°","º"))-1)),""))))</f>
        <v/>
      </c>
      <c r="O5874" s="2">
        <f>IF(OR(F5874="",G5874=""),"",IF(G5874&lt;='RETRATO 2027'!$K$5,"CONCLUÍDA",IF(F5874&lt;='RETRATO 2027'!$K$5,"EM ANDAMENTO","A INICIAR")))</f>
        <v/>
      </c>
    </row>
    <row r="5875">
      <c r="M5875" s="2">
        <f>IF(C5875="","",IFERROR(INDEX($S$5:$S$304,MATCH(C5875,$R$5:$R$304,0))&amp;"","?"))</f>
        <v/>
      </c>
      <c r="N5875" s="2">
        <f>IF(E5875="","",IF(ISNUMBER(SEARCH("SUBSOLO",E5875)),IFERROR(-VALUE(LEFT(E5875,FIND("º",SUBSTITUTE(E5875,"°","º"))-1)),-1),IF(LEFT(E5875,6)="TÉRREO",0,IFERROR(VALUE(LEFT(E5875,FIND("º",SUBSTITUTE(E5875,"°","º"))-1)),""))))</f>
        <v/>
      </c>
      <c r="O5875" s="2">
        <f>IF(OR(F5875="",G5875=""),"",IF(G5875&lt;='RETRATO 2027'!$K$5,"CONCLUÍDA",IF(F5875&lt;='RETRATO 2027'!$K$5,"EM ANDAMENTO","A INICIAR")))</f>
        <v/>
      </c>
    </row>
    <row r="5876">
      <c r="M5876" s="2">
        <f>IF(C5876="","",IFERROR(INDEX($S$5:$S$304,MATCH(C5876,$R$5:$R$304,0))&amp;"","?"))</f>
        <v/>
      </c>
      <c r="N5876" s="2">
        <f>IF(E5876="","",IF(ISNUMBER(SEARCH("SUBSOLO",E5876)),IFERROR(-VALUE(LEFT(E5876,FIND("º",SUBSTITUTE(E5876,"°","º"))-1)),-1),IF(LEFT(E5876,6)="TÉRREO",0,IFERROR(VALUE(LEFT(E5876,FIND("º",SUBSTITUTE(E5876,"°","º"))-1)),""))))</f>
        <v/>
      </c>
      <c r="O5876" s="2">
        <f>IF(OR(F5876="",G5876=""),"",IF(G5876&lt;='RETRATO 2027'!$K$5,"CONCLUÍDA",IF(F5876&lt;='RETRATO 2027'!$K$5,"EM ANDAMENTO","A INICIAR")))</f>
        <v/>
      </c>
    </row>
    <row r="5877">
      <c r="M5877" s="2">
        <f>IF(C5877="","",IFERROR(INDEX($S$5:$S$304,MATCH(C5877,$R$5:$R$304,0))&amp;"","?"))</f>
        <v/>
      </c>
      <c r="N5877" s="2">
        <f>IF(E5877="","",IF(ISNUMBER(SEARCH("SUBSOLO",E5877)),IFERROR(-VALUE(LEFT(E5877,FIND("º",SUBSTITUTE(E5877,"°","º"))-1)),-1),IF(LEFT(E5877,6)="TÉRREO",0,IFERROR(VALUE(LEFT(E5877,FIND("º",SUBSTITUTE(E5877,"°","º"))-1)),""))))</f>
        <v/>
      </c>
      <c r="O5877" s="2">
        <f>IF(OR(F5877="",G5877=""),"",IF(G5877&lt;='RETRATO 2027'!$K$5,"CONCLUÍDA",IF(F5877&lt;='RETRATO 2027'!$K$5,"EM ANDAMENTO","A INICIAR")))</f>
        <v/>
      </c>
    </row>
    <row r="5878">
      <c r="M5878" s="2">
        <f>IF(C5878="","",IFERROR(INDEX($S$5:$S$304,MATCH(C5878,$R$5:$R$304,0))&amp;"","?"))</f>
        <v/>
      </c>
      <c r="N5878" s="2">
        <f>IF(E5878="","",IF(ISNUMBER(SEARCH("SUBSOLO",E5878)),IFERROR(-VALUE(LEFT(E5878,FIND("º",SUBSTITUTE(E5878,"°","º"))-1)),-1),IF(LEFT(E5878,6)="TÉRREO",0,IFERROR(VALUE(LEFT(E5878,FIND("º",SUBSTITUTE(E5878,"°","º"))-1)),""))))</f>
        <v/>
      </c>
      <c r="O5878" s="2">
        <f>IF(OR(F5878="",G5878=""),"",IF(G5878&lt;='RETRATO 2027'!$K$5,"CONCLUÍDA",IF(F5878&lt;='RETRATO 2027'!$K$5,"EM ANDAMENTO","A INICIAR")))</f>
        <v/>
      </c>
    </row>
    <row r="5879">
      <c r="M5879" s="2">
        <f>IF(C5879="","",IFERROR(INDEX($S$5:$S$304,MATCH(C5879,$R$5:$R$304,0))&amp;"","?"))</f>
        <v/>
      </c>
      <c r="N5879" s="2">
        <f>IF(E5879="","",IF(ISNUMBER(SEARCH("SUBSOLO",E5879)),IFERROR(-VALUE(LEFT(E5879,FIND("º",SUBSTITUTE(E5879,"°","º"))-1)),-1),IF(LEFT(E5879,6)="TÉRREO",0,IFERROR(VALUE(LEFT(E5879,FIND("º",SUBSTITUTE(E5879,"°","º"))-1)),""))))</f>
        <v/>
      </c>
      <c r="O5879" s="2">
        <f>IF(OR(F5879="",G5879=""),"",IF(G5879&lt;='RETRATO 2027'!$K$5,"CONCLUÍDA",IF(F5879&lt;='RETRATO 2027'!$K$5,"EM ANDAMENTO","A INICIAR")))</f>
        <v/>
      </c>
    </row>
    <row r="5880">
      <c r="M5880" s="2">
        <f>IF(C5880="","",IFERROR(INDEX($S$5:$S$304,MATCH(C5880,$R$5:$R$304,0))&amp;"","?"))</f>
        <v/>
      </c>
      <c r="N5880" s="2">
        <f>IF(E5880="","",IF(ISNUMBER(SEARCH("SUBSOLO",E5880)),IFERROR(-VALUE(LEFT(E5880,FIND("º",SUBSTITUTE(E5880,"°","º"))-1)),-1),IF(LEFT(E5880,6)="TÉRREO",0,IFERROR(VALUE(LEFT(E5880,FIND("º",SUBSTITUTE(E5880,"°","º"))-1)),""))))</f>
        <v/>
      </c>
      <c r="O5880" s="2">
        <f>IF(OR(F5880="",G5880=""),"",IF(G5880&lt;='RETRATO 2027'!$K$5,"CONCLUÍDA",IF(F5880&lt;='RETRATO 2027'!$K$5,"EM ANDAMENTO","A INICIAR")))</f>
        <v/>
      </c>
    </row>
    <row r="5881">
      <c r="M5881" s="2">
        <f>IF(C5881="","",IFERROR(INDEX($S$5:$S$304,MATCH(C5881,$R$5:$R$304,0))&amp;"","?"))</f>
        <v/>
      </c>
      <c r="N5881" s="2">
        <f>IF(E5881="","",IF(ISNUMBER(SEARCH("SUBSOLO",E5881)),IFERROR(-VALUE(LEFT(E5881,FIND("º",SUBSTITUTE(E5881,"°","º"))-1)),-1),IF(LEFT(E5881,6)="TÉRREO",0,IFERROR(VALUE(LEFT(E5881,FIND("º",SUBSTITUTE(E5881,"°","º"))-1)),""))))</f>
        <v/>
      </c>
      <c r="O5881" s="2">
        <f>IF(OR(F5881="",G5881=""),"",IF(G5881&lt;='RETRATO 2027'!$K$5,"CONCLUÍDA",IF(F5881&lt;='RETRATO 2027'!$K$5,"EM ANDAMENTO","A INICIAR")))</f>
        <v/>
      </c>
    </row>
    <row r="5882">
      <c r="M5882" s="2">
        <f>IF(C5882="","",IFERROR(INDEX($S$5:$S$304,MATCH(C5882,$R$5:$R$304,0))&amp;"","?"))</f>
        <v/>
      </c>
      <c r="N5882" s="2">
        <f>IF(E5882="","",IF(ISNUMBER(SEARCH("SUBSOLO",E5882)),IFERROR(-VALUE(LEFT(E5882,FIND("º",SUBSTITUTE(E5882,"°","º"))-1)),-1),IF(LEFT(E5882,6)="TÉRREO",0,IFERROR(VALUE(LEFT(E5882,FIND("º",SUBSTITUTE(E5882,"°","º"))-1)),""))))</f>
        <v/>
      </c>
      <c r="O5882" s="2">
        <f>IF(OR(F5882="",G5882=""),"",IF(G5882&lt;='RETRATO 2027'!$K$5,"CONCLUÍDA",IF(F5882&lt;='RETRATO 2027'!$K$5,"EM ANDAMENTO","A INICIAR")))</f>
        <v/>
      </c>
    </row>
    <row r="5883">
      <c r="M5883" s="2">
        <f>IF(C5883="","",IFERROR(INDEX($S$5:$S$304,MATCH(C5883,$R$5:$R$304,0))&amp;"","?"))</f>
        <v/>
      </c>
      <c r="N5883" s="2">
        <f>IF(E5883="","",IF(ISNUMBER(SEARCH("SUBSOLO",E5883)),IFERROR(-VALUE(LEFT(E5883,FIND("º",SUBSTITUTE(E5883,"°","º"))-1)),-1),IF(LEFT(E5883,6)="TÉRREO",0,IFERROR(VALUE(LEFT(E5883,FIND("º",SUBSTITUTE(E5883,"°","º"))-1)),""))))</f>
        <v/>
      </c>
      <c r="O5883" s="2">
        <f>IF(OR(F5883="",G5883=""),"",IF(G5883&lt;='RETRATO 2027'!$K$5,"CONCLUÍDA",IF(F5883&lt;='RETRATO 2027'!$K$5,"EM ANDAMENTO","A INICIAR")))</f>
        <v/>
      </c>
    </row>
    <row r="5884">
      <c r="M5884" s="2">
        <f>IF(C5884="","",IFERROR(INDEX($S$5:$S$304,MATCH(C5884,$R$5:$R$304,0))&amp;"","?"))</f>
        <v/>
      </c>
      <c r="N5884" s="2">
        <f>IF(E5884="","",IF(ISNUMBER(SEARCH("SUBSOLO",E5884)),IFERROR(-VALUE(LEFT(E5884,FIND("º",SUBSTITUTE(E5884,"°","º"))-1)),-1),IF(LEFT(E5884,6)="TÉRREO",0,IFERROR(VALUE(LEFT(E5884,FIND("º",SUBSTITUTE(E5884,"°","º"))-1)),""))))</f>
        <v/>
      </c>
      <c r="O5884" s="2">
        <f>IF(OR(F5884="",G5884=""),"",IF(G5884&lt;='RETRATO 2027'!$K$5,"CONCLUÍDA",IF(F5884&lt;='RETRATO 2027'!$K$5,"EM ANDAMENTO","A INICIAR")))</f>
        <v/>
      </c>
    </row>
    <row r="5885">
      <c r="M5885" s="2">
        <f>IF(C5885="","",IFERROR(INDEX($S$5:$S$304,MATCH(C5885,$R$5:$R$304,0))&amp;"","?"))</f>
        <v/>
      </c>
      <c r="N5885" s="2">
        <f>IF(E5885="","",IF(ISNUMBER(SEARCH("SUBSOLO",E5885)),IFERROR(-VALUE(LEFT(E5885,FIND("º",SUBSTITUTE(E5885,"°","º"))-1)),-1),IF(LEFT(E5885,6)="TÉRREO",0,IFERROR(VALUE(LEFT(E5885,FIND("º",SUBSTITUTE(E5885,"°","º"))-1)),""))))</f>
        <v/>
      </c>
      <c r="O5885" s="2">
        <f>IF(OR(F5885="",G5885=""),"",IF(G5885&lt;='RETRATO 2027'!$K$5,"CONCLUÍDA",IF(F5885&lt;='RETRATO 2027'!$K$5,"EM ANDAMENTO","A INICIAR")))</f>
        <v/>
      </c>
    </row>
    <row r="5886">
      <c r="M5886" s="2">
        <f>IF(C5886="","",IFERROR(INDEX($S$5:$S$304,MATCH(C5886,$R$5:$R$304,0))&amp;"","?"))</f>
        <v/>
      </c>
      <c r="N5886" s="2">
        <f>IF(E5886="","",IF(ISNUMBER(SEARCH("SUBSOLO",E5886)),IFERROR(-VALUE(LEFT(E5886,FIND("º",SUBSTITUTE(E5886,"°","º"))-1)),-1),IF(LEFT(E5886,6)="TÉRREO",0,IFERROR(VALUE(LEFT(E5886,FIND("º",SUBSTITUTE(E5886,"°","º"))-1)),""))))</f>
        <v/>
      </c>
      <c r="O5886" s="2">
        <f>IF(OR(F5886="",G5886=""),"",IF(G5886&lt;='RETRATO 2027'!$K$5,"CONCLUÍDA",IF(F5886&lt;='RETRATO 2027'!$K$5,"EM ANDAMENTO","A INICIAR")))</f>
        <v/>
      </c>
    </row>
    <row r="5887">
      <c r="M5887" s="2">
        <f>IF(C5887="","",IFERROR(INDEX($S$5:$S$304,MATCH(C5887,$R$5:$R$304,0))&amp;"","?"))</f>
        <v/>
      </c>
      <c r="N5887" s="2">
        <f>IF(E5887="","",IF(ISNUMBER(SEARCH("SUBSOLO",E5887)),IFERROR(-VALUE(LEFT(E5887,FIND("º",SUBSTITUTE(E5887,"°","º"))-1)),-1),IF(LEFT(E5887,6)="TÉRREO",0,IFERROR(VALUE(LEFT(E5887,FIND("º",SUBSTITUTE(E5887,"°","º"))-1)),""))))</f>
        <v/>
      </c>
      <c r="O5887" s="2">
        <f>IF(OR(F5887="",G5887=""),"",IF(G5887&lt;='RETRATO 2027'!$K$5,"CONCLUÍDA",IF(F5887&lt;='RETRATO 2027'!$K$5,"EM ANDAMENTO","A INICIAR")))</f>
        <v/>
      </c>
    </row>
    <row r="5888">
      <c r="M5888" s="2">
        <f>IF(C5888="","",IFERROR(INDEX($S$5:$S$304,MATCH(C5888,$R$5:$R$304,0))&amp;"","?"))</f>
        <v/>
      </c>
      <c r="N5888" s="2">
        <f>IF(E5888="","",IF(ISNUMBER(SEARCH("SUBSOLO",E5888)),IFERROR(-VALUE(LEFT(E5888,FIND("º",SUBSTITUTE(E5888,"°","º"))-1)),-1),IF(LEFT(E5888,6)="TÉRREO",0,IFERROR(VALUE(LEFT(E5888,FIND("º",SUBSTITUTE(E5888,"°","º"))-1)),""))))</f>
        <v/>
      </c>
      <c r="O5888" s="2">
        <f>IF(OR(F5888="",G5888=""),"",IF(G5888&lt;='RETRATO 2027'!$K$5,"CONCLUÍDA",IF(F5888&lt;='RETRATO 2027'!$K$5,"EM ANDAMENTO","A INICIAR")))</f>
        <v/>
      </c>
    </row>
    <row r="5889">
      <c r="M5889" s="2">
        <f>IF(C5889="","",IFERROR(INDEX($S$5:$S$304,MATCH(C5889,$R$5:$R$304,0))&amp;"","?"))</f>
        <v/>
      </c>
      <c r="N5889" s="2">
        <f>IF(E5889="","",IF(ISNUMBER(SEARCH("SUBSOLO",E5889)),IFERROR(-VALUE(LEFT(E5889,FIND("º",SUBSTITUTE(E5889,"°","º"))-1)),-1),IF(LEFT(E5889,6)="TÉRREO",0,IFERROR(VALUE(LEFT(E5889,FIND("º",SUBSTITUTE(E5889,"°","º"))-1)),""))))</f>
        <v/>
      </c>
      <c r="O5889" s="2">
        <f>IF(OR(F5889="",G5889=""),"",IF(G5889&lt;='RETRATO 2027'!$K$5,"CONCLUÍDA",IF(F5889&lt;='RETRATO 2027'!$K$5,"EM ANDAMENTO","A INICIAR")))</f>
        <v/>
      </c>
    </row>
    <row r="5890">
      <c r="M5890" s="2">
        <f>IF(C5890="","",IFERROR(INDEX($S$5:$S$304,MATCH(C5890,$R$5:$R$304,0))&amp;"","?"))</f>
        <v/>
      </c>
      <c r="N5890" s="2">
        <f>IF(E5890="","",IF(ISNUMBER(SEARCH("SUBSOLO",E5890)),IFERROR(-VALUE(LEFT(E5890,FIND("º",SUBSTITUTE(E5890,"°","º"))-1)),-1),IF(LEFT(E5890,6)="TÉRREO",0,IFERROR(VALUE(LEFT(E5890,FIND("º",SUBSTITUTE(E5890,"°","º"))-1)),""))))</f>
        <v/>
      </c>
      <c r="O5890" s="2">
        <f>IF(OR(F5890="",G5890=""),"",IF(G5890&lt;='RETRATO 2027'!$K$5,"CONCLUÍDA",IF(F5890&lt;='RETRATO 2027'!$K$5,"EM ANDAMENTO","A INICIAR")))</f>
        <v/>
      </c>
    </row>
    <row r="5891">
      <c r="M5891" s="2">
        <f>IF(C5891="","",IFERROR(INDEX($S$5:$S$304,MATCH(C5891,$R$5:$R$304,0))&amp;"","?"))</f>
        <v/>
      </c>
      <c r="N5891" s="2">
        <f>IF(E5891="","",IF(ISNUMBER(SEARCH("SUBSOLO",E5891)),IFERROR(-VALUE(LEFT(E5891,FIND("º",SUBSTITUTE(E5891,"°","º"))-1)),-1),IF(LEFT(E5891,6)="TÉRREO",0,IFERROR(VALUE(LEFT(E5891,FIND("º",SUBSTITUTE(E5891,"°","º"))-1)),""))))</f>
        <v/>
      </c>
      <c r="O5891" s="2">
        <f>IF(OR(F5891="",G5891=""),"",IF(G5891&lt;='RETRATO 2027'!$K$5,"CONCLUÍDA",IF(F5891&lt;='RETRATO 2027'!$K$5,"EM ANDAMENTO","A INICIAR")))</f>
        <v/>
      </c>
    </row>
    <row r="5892">
      <c r="M5892" s="2">
        <f>IF(C5892="","",IFERROR(INDEX($S$5:$S$304,MATCH(C5892,$R$5:$R$304,0))&amp;"","?"))</f>
        <v/>
      </c>
      <c r="N5892" s="2">
        <f>IF(E5892="","",IF(ISNUMBER(SEARCH("SUBSOLO",E5892)),IFERROR(-VALUE(LEFT(E5892,FIND("º",SUBSTITUTE(E5892,"°","º"))-1)),-1),IF(LEFT(E5892,6)="TÉRREO",0,IFERROR(VALUE(LEFT(E5892,FIND("º",SUBSTITUTE(E5892,"°","º"))-1)),""))))</f>
        <v/>
      </c>
      <c r="O5892" s="2">
        <f>IF(OR(F5892="",G5892=""),"",IF(G5892&lt;='RETRATO 2027'!$K$5,"CONCLUÍDA",IF(F5892&lt;='RETRATO 2027'!$K$5,"EM ANDAMENTO","A INICIAR")))</f>
        <v/>
      </c>
    </row>
    <row r="5893">
      <c r="M5893" s="2">
        <f>IF(C5893="","",IFERROR(INDEX($S$5:$S$304,MATCH(C5893,$R$5:$R$304,0))&amp;"","?"))</f>
        <v/>
      </c>
      <c r="N5893" s="2">
        <f>IF(E5893="","",IF(ISNUMBER(SEARCH("SUBSOLO",E5893)),IFERROR(-VALUE(LEFT(E5893,FIND("º",SUBSTITUTE(E5893,"°","º"))-1)),-1),IF(LEFT(E5893,6)="TÉRREO",0,IFERROR(VALUE(LEFT(E5893,FIND("º",SUBSTITUTE(E5893,"°","º"))-1)),""))))</f>
        <v/>
      </c>
      <c r="O5893" s="2">
        <f>IF(OR(F5893="",G5893=""),"",IF(G5893&lt;='RETRATO 2027'!$K$5,"CONCLUÍDA",IF(F5893&lt;='RETRATO 2027'!$K$5,"EM ANDAMENTO","A INICIAR")))</f>
        <v/>
      </c>
    </row>
    <row r="5894">
      <c r="M5894" s="2">
        <f>IF(C5894="","",IFERROR(INDEX($S$5:$S$304,MATCH(C5894,$R$5:$R$304,0))&amp;"","?"))</f>
        <v/>
      </c>
      <c r="N5894" s="2">
        <f>IF(E5894="","",IF(ISNUMBER(SEARCH("SUBSOLO",E5894)),IFERROR(-VALUE(LEFT(E5894,FIND("º",SUBSTITUTE(E5894,"°","º"))-1)),-1),IF(LEFT(E5894,6)="TÉRREO",0,IFERROR(VALUE(LEFT(E5894,FIND("º",SUBSTITUTE(E5894,"°","º"))-1)),""))))</f>
        <v/>
      </c>
      <c r="O5894" s="2">
        <f>IF(OR(F5894="",G5894=""),"",IF(G5894&lt;='RETRATO 2027'!$K$5,"CONCLUÍDA",IF(F5894&lt;='RETRATO 2027'!$K$5,"EM ANDAMENTO","A INICIAR")))</f>
        <v/>
      </c>
    </row>
    <row r="5895">
      <c r="M5895" s="2">
        <f>IF(C5895="","",IFERROR(INDEX($S$5:$S$304,MATCH(C5895,$R$5:$R$304,0))&amp;"","?"))</f>
        <v/>
      </c>
      <c r="N5895" s="2">
        <f>IF(E5895="","",IF(ISNUMBER(SEARCH("SUBSOLO",E5895)),IFERROR(-VALUE(LEFT(E5895,FIND("º",SUBSTITUTE(E5895,"°","º"))-1)),-1),IF(LEFT(E5895,6)="TÉRREO",0,IFERROR(VALUE(LEFT(E5895,FIND("º",SUBSTITUTE(E5895,"°","º"))-1)),""))))</f>
        <v/>
      </c>
      <c r="O5895" s="2">
        <f>IF(OR(F5895="",G5895=""),"",IF(G5895&lt;='RETRATO 2027'!$K$5,"CONCLUÍDA",IF(F5895&lt;='RETRATO 2027'!$K$5,"EM ANDAMENTO","A INICIAR")))</f>
        <v/>
      </c>
    </row>
    <row r="5896">
      <c r="M5896" s="2">
        <f>IF(C5896="","",IFERROR(INDEX($S$5:$S$304,MATCH(C5896,$R$5:$R$304,0))&amp;"","?"))</f>
        <v/>
      </c>
      <c r="N5896" s="2">
        <f>IF(E5896="","",IF(ISNUMBER(SEARCH("SUBSOLO",E5896)),IFERROR(-VALUE(LEFT(E5896,FIND("º",SUBSTITUTE(E5896,"°","º"))-1)),-1),IF(LEFT(E5896,6)="TÉRREO",0,IFERROR(VALUE(LEFT(E5896,FIND("º",SUBSTITUTE(E5896,"°","º"))-1)),""))))</f>
        <v/>
      </c>
      <c r="O5896" s="2">
        <f>IF(OR(F5896="",G5896=""),"",IF(G5896&lt;='RETRATO 2027'!$K$5,"CONCLUÍDA",IF(F5896&lt;='RETRATO 2027'!$K$5,"EM ANDAMENTO","A INICIAR")))</f>
        <v/>
      </c>
    </row>
    <row r="5897">
      <c r="M5897" s="2">
        <f>IF(C5897="","",IFERROR(INDEX($S$5:$S$304,MATCH(C5897,$R$5:$R$304,0))&amp;"","?"))</f>
        <v/>
      </c>
      <c r="N5897" s="2">
        <f>IF(E5897="","",IF(ISNUMBER(SEARCH("SUBSOLO",E5897)),IFERROR(-VALUE(LEFT(E5897,FIND("º",SUBSTITUTE(E5897,"°","º"))-1)),-1),IF(LEFT(E5897,6)="TÉRREO",0,IFERROR(VALUE(LEFT(E5897,FIND("º",SUBSTITUTE(E5897,"°","º"))-1)),""))))</f>
        <v/>
      </c>
      <c r="O5897" s="2">
        <f>IF(OR(F5897="",G5897=""),"",IF(G5897&lt;='RETRATO 2027'!$K$5,"CONCLUÍDA",IF(F5897&lt;='RETRATO 2027'!$K$5,"EM ANDAMENTO","A INICIAR")))</f>
        <v/>
      </c>
    </row>
    <row r="5898">
      <c r="M5898" s="2">
        <f>IF(C5898="","",IFERROR(INDEX($S$5:$S$304,MATCH(C5898,$R$5:$R$304,0))&amp;"","?"))</f>
        <v/>
      </c>
      <c r="N5898" s="2">
        <f>IF(E5898="","",IF(ISNUMBER(SEARCH("SUBSOLO",E5898)),IFERROR(-VALUE(LEFT(E5898,FIND("º",SUBSTITUTE(E5898,"°","º"))-1)),-1),IF(LEFT(E5898,6)="TÉRREO",0,IFERROR(VALUE(LEFT(E5898,FIND("º",SUBSTITUTE(E5898,"°","º"))-1)),""))))</f>
        <v/>
      </c>
      <c r="O5898" s="2">
        <f>IF(OR(F5898="",G5898=""),"",IF(G5898&lt;='RETRATO 2027'!$K$5,"CONCLUÍDA",IF(F5898&lt;='RETRATO 2027'!$K$5,"EM ANDAMENTO","A INICIAR")))</f>
        <v/>
      </c>
    </row>
    <row r="5899">
      <c r="M5899" s="2">
        <f>IF(C5899="","",IFERROR(INDEX($S$5:$S$304,MATCH(C5899,$R$5:$R$304,0))&amp;"","?"))</f>
        <v/>
      </c>
      <c r="N5899" s="2">
        <f>IF(E5899="","",IF(ISNUMBER(SEARCH("SUBSOLO",E5899)),IFERROR(-VALUE(LEFT(E5899,FIND("º",SUBSTITUTE(E5899,"°","º"))-1)),-1),IF(LEFT(E5899,6)="TÉRREO",0,IFERROR(VALUE(LEFT(E5899,FIND("º",SUBSTITUTE(E5899,"°","º"))-1)),""))))</f>
        <v/>
      </c>
      <c r="O5899" s="2">
        <f>IF(OR(F5899="",G5899=""),"",IF(G5899&lt;='RETRATO 2027'!$K$5,"CONCLUÍDA",IF(F5899&lt;='RETRATO 2027'!$K$5,"EM ANDAMENTO","A INICIAR")))</f>
        <v/>
      </c>
    </row>
    <row r="5900">
      <c r="M5900" s="2">
        <f>IF(C5900="","",IFERROR(INDEX($S$5:$S$304,MATCH(C5900,$R$5:$R$304,0))&amp;"","?"))</f>
        <v/>
      </c>
      <c r="N5900" s="2">
        <f>IF(E5900="","",IF(ISNUMBER(SEARCH("SUBSOLO",E5900)),IFERROR(-VALUE(LEFT(E5900,FIND("º",SUBSTITUTE(E5900,"°","º"))-1)),-1),IF(LEFT(E5900,6)="TÉRREO",0,IFERROR(VALUE(LEFT(E5900,FIND("º",SUBSTITUTE(E5900,"°","º"))-1)),""))))</f>
        <v/>
      </c>
      <c r="O5900" s="2">
        <f>IF(OR(F5900="",G5900=""),"",IF(G5900&lt;='RETRATO 2027'!$K$5,"CONCLUÍDA",IF(F5900&lt;='RETRATO 2027'!$K$5,"EM ANDAMENTO","A INICIAR")))</f>
        <v/>
      </c>
    </row>
    <row r="5901">
      <c r="M5901" s="2">
        <f>IF(C5901="","",IFERROR(INDEX($S$5:$S$304,MATCH(C5901,$R$5:$R$304,0))&amp;"","?"))</f>
        <v/>
      </c>
      <c r="N5901" s="2">
        <f>IF(E5901="","",IF(ISNUMBER(SEARCH("SUBSOLO",E5901)),IFERROR(-VALUE(LEFT(E5901,FIND("º",SUBSTITUTE(E5901,"°","º"))-1)),-1),IF(LEFT(E5901,6)="TÉRREO",0,IFERROR(VALUE(LEFT(E5901,FIND("º",SUBSTITUTE(E5901,"°","º"))-1)),""))))</f>
        <v/>
      </c>
      <c r="O5901" s="2">
        <f>IF(OR(F5901="",G5901=""),"",IF(G5901&lt;='RETRATO 2027'!$K$5,"CONCLUÍDA",IF(F5901&lt;='RETRATO 2027'!$K$5,"EM ANDAMENTO","A INICIAR")))</f>
        <v/>
      </c>
    </row>
    <row r="5902">
      <c r="M5902" s="2">
        <f>IF(C5902="","",IFERROR(INDEX($S$5:$S$304,MATCH(C5902,$R$5:$R$304,0))&amp;"","?"))</f>
        <v/>
      </c>
      <c r="N5902" s="2">
        <f>IF(E5902="","",IF(ISNUMBER(SEARCH("SUBSOLO",E5902)),IFERROR(-VALUE(LEFT(E5902,FIND("º",SUBSTITUTE(E5902,"°","º"))-1)),-1),IF(LEFT(E5902,6)="TÉRREO",0,IFERROR(VALUE(LEFT(E5902,FIND("º",SUBSTITUTE(E5902,"°","º"))-1)),""))))</f>
        <v/>
      </c>
      <c r="O5902" s="2">
        <f>IF(OR(F5902="",G5902=""),"",IF(G5902&lt;='RETRATO 2027'!$K$5,"CONCLUÍDA",IF(F5902&lt;='RETRATO 2027'!$K$5,"EM ANDAMENTO","A INICIAR")))</f>
        <v/>
      </c>
    </row>
    <row r="5903">
      <c r="M5903" s="2">
        <f>IF(C5903="","",IFERROR(INDEX($S$5:$S$304,MATCH(C5903,$R$5:$R$304,0))&amp;"","?"))</f>
        <v/>
      </c>
      <c r="N5903" s="2">
        <f>IF(E5903="","",IF(ISNUMBER(SEARCH("SUBSOLO",E5903)),IFERROR(-VALUE(LEFT(E5903,FIND("º",SUBSTITUTE(E5903,"°","º"))-1)),-1),IF(LEFT(E5903,6)="TÉRREO",0,IFERROR(VALUE(LEFT(E5903,FIND("º",SUBSTITUTE(E5903,"°","º"))-1)),""))))</f>
        <v/>
      </c>
      <c r="O5903" s="2">
        <f>IF(OR(F5903="",G5903=""),"",IF(G5903&lt;='RETRATO 2027'!$K$5,"CONCLUÍDA",IF(F5903&lt;='RETRATO 2027'!$K$5,"EM ANDAMENTO","A INICIAR")))</f>
        <v/>
      </c>
    </row>
    <row r="5904">
      <c r="M5904" s="2">
        <f>IF(C5904="","",IFERROR(INDEX($S$5:$S$304,MATCH(C5904,$R$5:$R$304,0))&amp;"","?"))</f>
        <v/>
      </c>
      <c r="N5904" s="2">
        <f>IF(E5904="","",IF(ISNUMBER(SEARCH("SUBSOLO",E5904)),IFERROR(-VALUE(LEFT(E5904,FIND("º",SUBSTITUTE(E5904,"°","º"))-1)),-1),IF(LEFT(E5904,6)="TÉRREO",0,IFERROR(VALUE(LEFT(E5904,FIND("º",SUBSTITUTE(E5904,"°","º"))-1)),""))))</f>
        <v/>
      </c>
      <c r="O5904" s="2">
        <f>IF(OR(F5904="",G5904=""),"",IF(G5904&lt;='RETRATO 2027'!$K$5,"CONCLUÍDA",IF(F5904&lt;='RETRATO 2027'!$K$5,"EM ANDAMENTO","A INICIAR")))</f>
        <v/>
      </c>
    </row>
    <row r="5905">
      <c r="M5905" s="2">
        <f>IF(C5905="","",IFERROR(INDEX($S$5:$S$304,MATCH(C5905,$R$5:$R$304,0))&amp;"","?"))</f>
        <v/>
      </c>
      <c r="N5905" s="2">
        <f>IF(E5905="","",IF(ISNUMBER(SEARCH("SUBSOLO",E5905)),IFERROR(-VALUE(LEFT(E5905,FIND("º",SUBSTITUTE(E5905,"°","º"))-1)),-1),IF(LEFT(E5905,6)="TÉRREO",0,IFERROR(VALUE(LEFT(E5905,FIND("º",SUBSTITUTE(E5905,"°","º"))-1)),""))))</f>
        <v/>
      </c>
      <c r="O5905" s="2">
        <f>IF(OR(F5905="",G5905=""),"",IF(G5905&lt;='RETRATO 2027'!$K$5,"CONCLUÍDA",IF(F5905&lt;='RETRATO 2027'!$K$5,"EM ANDAMENTO","A INICIAR")))</f>
        <v/>
      </c>
    </row>
    <row r="5906">
      <c r="M5906" s="2">
        <f>IF(C5906="","",IFERROR(INDEX($S$5:$S$304,MATCH(C5906,$R$5:$R$304,0))&amp;"","?"))</f>
        <v/>
      </c>
      <c r="N5906" s="2">
        <f>IF(E5906="","",IF(ISNUMBER(SEARCH("SUBSOLO",E5906)),IFERROR(-VALUE(LEFT(E5906,FIND("º",SUBSTITUTE(E5906,"°","º"))-1)),-1),IF(LEFT(E5906,6)="TÉRREO",0,IFERROR(VALUE(LEFT(E5906,FIND("º",SUBSTITUTE(E5906,"°","º"))-1)),""))))</f>
        <v/>
      </c>
      <c r="O5906" s="2">
        <f>IF(OR(F5906="",G5906=""),"",IF(G5906&lt;='RETRATO 2027'!$K$5,"CONCLUÍDA",IF(F5906&lt;='RETRATO 2027'!$K$5,"EM ANDAMENTO","A INICIAR")))</f>
        <v/>
      </c>
    </row>
    <row r="5907">
      <c r="M5907" s="2">
        <f>IF(C5907="","",IFERROR(INDEX($S$5:$S$304,MATCH(C5907,$R$5:$R$304,0))&amp;"","?"))</f>
        <v/>
      </c>
      <c r="N5907" s="2">
        <f>IF(E5907="","",IF(ISNUMBER(SEARCH("SUBSOLO",E5907)),IFERROR(-VALUE(LEFT(E5907,FIND("º",SUBSTITUTE(E5907,"°","º"))-1)),-1),IF(LEFT(E5907,6)="TÉRREO",0,IFERROR(VALUE(LEFT(E5907,FIND("º",SUBSTITUTE(E5907,"°","º"))-1)),""))))</f>
        <v/>
      </c>
      <c r="O5907" s="2">
        <f>IF(OR(F5907="",G5907=""),"",IF(G5907&lt;='RETRATO 2027'!$K$5,"CONCLUÍDA",IF(F5907&lt;='RETRATO 2027'!$K$5,"EM ANDAMENTO","A INICIAR")))</f>
        <v/>
      </c>
    </row>
    <row r="5908">
      <c r="M5908" s="2">
        <f>IF(C5908="","",IFERROR(INDEX($S$5:$S$304,MATCH(C5908,$R$5:$R$304,0))&amp;"","?"))</f>
        <v/>
      </c>
      <c r="N5908" s="2">
        <f>IF(E5908="","",IF(ISNUMBER(SEARCH("SUBSOLO",E5908)),IFERROR(-VALUE(LEFT(E5908,FIND("º",SUBSTITUTE(E5908,"°","º"))-1)),-1),IF(LEFT(E5908,6)="TÉRREO",0,IFERROR(VALUE(LEFT(E5908,FIND("º",SUBSTITUTE(E5908,"°","º"))-1)),""))))</f>
        <v/>
      </c>
      <c r="O5908" s="2">
        <f>IF(OR(F5908="",G5908=""),"",IF(G5908&lt;='RETRATO 2027'!$K$5,"CONCLUÍDA",IF(F5908&lt;='RETRATO 2027'!$K$5,"EM ANDAMENTO","A INICIAR")))</f>
        <v/>
      </c>
    </row>
    <row r="5909">
      <c r="M5909" s="2">
        <f>IF(C5909="","",IFERROR(INDEX($S$5:$S$304,MATCH(C5909,$R$5:$R$304,0))&amp;"","?"))</f>
        <v/>
      </c>
      <c r="N5909" s="2">
        <f>IF(E5909="","",IF(ISNUMBER(SEARCH("SUBSOLO",E5909)),IFERROR(-VALUE(LEFT(E5909,FIND("º",SUBSTITUTE(E5909,"°","º"))-1)),-1),IF(LEFT(E5909,6)="TÉRREO",0,IFERROR(VALUE(LEFT(E5909,FIND("º",SUBSTITUTE(E5909,"°","º"))-1)),""))))</f>
        <v/>
      </c>
      <c r="O5909" s="2">
        <f>IF(OR(F5909="",G5909=""),"",IF(G5909&lt;='RETRATO 2027'!$K$5,"CONCLUÍDA",IF(F5909&lt;='RETRATO 2027'!$K$5,"EM ANDAMENTO","A INICIAR")))</f>
        <v/>
      </c>
    </row>
    <row r="5910">
      <c r="M5910" s="2">
        <f>IF(C5910="","",IFERROR(INDEX($S$5:$S$304,MATCH(C5910,$R$5:$R$304,0))&amp;"","?"))</f>
        <v/>
      </c>
      <c r="N5910" s="2">
        <f>IF(E5910="","",IF(ISNUMBER(SEARCH("SUBSOLO",E5910)),IFERROR(-VALUE(LEFT(E5910,FIND("º",SUBSTITUTE(E5910,"°","º"))-1)),-1),IF(LEFT(E5910,6)="TÉRREO",0,IFERROR(VALUE(LEFT(E5910,FIND("º",SUBSTITUTE(E5910,"°","º"))-1)),""))))</f>
        <v/>
      </c>
      <c r="O5910" s="2">
        <f>IF(OR(F5910="",G5910=""),"",IF(G5910&lt;='RETRATO 2027'!$K$5,"CONCLUÍDA",IF(F5910&lt;='RETRATO 2027'!$K$5,"EM ANDAMENTO","A INICIAR")))</f>
        <v/>
      </c>
    </row>
    <row r="5911">
      <c r="M5911" s="2">
        <f>IF(C5911="","",IFERROR(INDEX($S$5:$S$304,MATCH(C5911,$R$5:$R$304,0))&amp;"","?"))</f>
        <v/>
      </c>
      <c r="N5911" s="2">
        <f>IF(E5911="","",IF(ISNUMBER(SEARCH("SUBSOLO",E5911)),IFERROR(-VALUE(LEFT(E5911,FIND("º",SUBSTITUTE(E5911,"°","º"))-1)),-1),IF(LEFT(E5911,6)="TÉRREO",0,IFERROR(VALUE(LEFT(E5911,FIND("º",SUBSTITUTE(E5911,"°","º"))-1)),""))))</f>
        <v/>
      </c>
      <c r="O5911" s="2">
        <f>IF(OR(F5911="",G5911=""),"",IF(G5911&lt;='RETRATO 2027'!$K$5,"CONCLUÍDA",IF(F5911&lt;='RETRATO 2027'!$K$5,"EM ANDAMENTO","A INICIAR")))</f>
        <v/>
      </c>
    </row>
    <row r="5912">
      <c r="M5912" s="2">
        <f>IF(C5912="","",IFERROR(INDEX($S$5:$S$304,MATCH(C5912,$R$5:$R$304,0))&amp;"","?"))</f>
        <v/>
      </c>
      <c r="N5912" s="2">
        <f>IF(E5912="","",IF(ISNUMBER(SEARCH("SUBSOLO",E5912)),IFERROR(-VALUE(LEFT(E5912,FIND("º",SUBSTITUTE(E5912,"°","º"))-1)),-1),IF(LEFT(E5912,6)="TÉRREO",0,IFERROR(VALUE(LEFT(E5912,FIND("º",SUBSTITUTE(E5912,"°","º"))-1)),""))))</f>
        <v/>
      </c>
      <c r="O5912" s="2">
        <f>IF(OR(F5912="",G5912=""),"",IF(G5912&lt;='RETRATO 2027'!$K$5,"CONCLUÍDA",IF(F5912&lt;='RETRATO 2027'!$K$5,"EM ANDAMENTO","A INICIAR")))</f>
        <v/>
      </c>
    </row>
    <row r="5913">
      <c r="M5913" s="2">
        <f>IF(C5913="","",IFERROR(INDEX($S$5:$S$304,MATCH(C5913,$R$5:$R$304,0))&amp;"","?"))</f>
        <v/>
      </c>
      <c r="N5913" s="2">
        <f>IF(E5913="","",IF(ISNUMBER(SEARCH("SUBSOLO",E5913)),IFERROR(-VALUE(LEFT(E5913,FIND("º",SUBSTITUTE(E5913,"°","º"))-1)),-1),IF(LEFT(E5913,6)="TÉRREO",0,IFERROR(VALUE(LEFT(E5913,FIND("º",SUBSTITUTE(E5913,"°","º"))-1)),""))))</f>
        <v/>
      </c>
      <c r="O5913" s="2">
        <f>IF(OR(F5913="",G5913=""),"",IF(G5913&lt;='RETRATO 2027'!$K$5,"CONCLUÍDA",IF(F5913&lt;='RETRATO 2027'!$K$5,"EM ANDAMENTO","A INICIAR")))</f>
        <v/>
      </c>
    </row>
    <row r="5914">
      <c r="M5914" s="2">
        <f>IF(C5914="","",IFERROR(INDEX($S$5:$S$304,MATCH(C5914,$R$5:$R$304,0))&amp;"","?"))</f>
        <v/>
      </c>
      <c r="N5914" s="2">
        <f>IF(E5914="","",IF(ISNUMBER(SEARCH("SUBSOLO",E5914)),IFERROR(-VALUE(LEFT(E5914,FIND("º",SUBSTITUTE(E5914,"°","º"))-1)),-1),IF(LEFT(E5914,6)="TÉRREO",0,IFERROR(VALUE(LEFT(E5914,FIND("º",SUBSTITUTE(E5914,"°","º"))-1)),""))))</f>
        <v/>
      </c>
      <c r="O5914" s="2">
        <f>IF(OR(F5914="",G5914=""),"",IF(G5914&lt;='RETRATO 2027'!$K$5,"CONCLUÍDA",IF(F5914&lt;='RETRATO 2027'!$K$5,"EM ANDAMENTO","A INICIAR")))</f>
        <v/>
      </c>
    </row>
    <row r="5915">
      <c r="M5915" s="2">
        <f>IF(C5915="","",IFERROR(INDEX($S$5:$S$304,MATCH(C5915,$R$5:$R$304,0))&amp;"","?"))</f>
        <v/>
      </c>
      <c r="N5915" s="2">
        <f>IF(E5915="","",IF(ISNUMBER(SEARCH("SUBSOLO",E5915)),IFERROR(-VALUE(LEFT(E5915,FIND("º",SUBSTITUTE(E5915,"°","º"))-1)),-1),IF(LEFT(E5915,6)="TÉRREO",0,IFERROR(VALUE(LEFT(E5915,FIND("º",SUBSTITUTE(E5915,"°","º"))-1)),""))))</f>
        <v/>
      </c>
      <c r="O5915" s="2">
        <f>IF(OR(F5915="",G5915=""),"",IF(G5915&lt;='RETRATO 2027'!$K$5,"CONCLUÍDA",IF(F5915&lt;='RETRATO 2027'!$K$5,"EM ANDAMENTO","A INICIAR")))</f>
        <v/>
      </c>
    </row>
    <row r="5916">
      <c r="M5916" s="2">
        <f>IF(C5916="","",IFERROR(INDEX($S$5:$S$304,MATCH(C5916,$R$5:$R$304,0))&amp;"","?"))</f>
        <v/>
      </c>
      <c r="N5916" s="2">
        <f>IF(E5916="","",IF(ISNUMBER(SEARCH("SUBSOLO",E5916)),IFERROR(-VALUE(LEFT(E5916,FIND("º",SUBSTITUTE(E5916,"°","º"))-1)),-1),IF(LEFT(E5916,6)="TÉRREO",0,IFERROR(VALUE(LEFT(E5916,FIND("º",SUBSTITUTE(E5916,"°","º"))-1)),""))))</f>
        <v/>
      </c>
      <c r="O5916" s="2">
        <f>IF(OR(F5916="",G5916=""),"",IF(G5916&lt;='RETRATO 2027'!$K$5,"CONCLUÍDA",IF(F5916&lt;='RETRATO 2027'!$K$5,"EM ANDAMENTO","A INICIAR")))</f>
        <v/>
      </c>
    </row>
    <row r="5917">
      <c r="M5917" s="2">
        <f>IF(C5917="","",IFERROR(INDEX($S$5:$S$304,MATCH(C5917,$R$5:$R$304,0))&amp;"","?"))</f>
        <v/>
      </c>
      <c r="N5917" s="2">
        <f>IF(E5917="","",IF(ISNUMBER(SEARCH("SUBSOLO",E5917)),IFERROR(-VALUE(LEFT(E5917,FIND("º",SUBSTITUTE(E5917,"°","º"))-1)),-1),IF(LEFT(E5917,6)="TÉRREO",0,IFERROR(VALUE(LEFT(E5917,FIND("º",SUBSTITUTE(E5917,"°","º"))-1)),""))))</f>
        <v/>
      </c>
      <c r="O5917" s="2">
        <f>IF(OR(F5917="",G5917=""),"",IF(G5917&lt;='RETRATO 2027'!$K$5,"CONCLUÍDA",IF(F5917&lt;='RETRATO 2027'!$K$5,"EM ANDAMENTO","A INICIAR")))</f>
        <v/>
      </c>
    </row>
    <row r="5918">
      <c r="M5918" s="2">
        <f>IF(C5918="","",IFERROR(INDEX($S$5:$S$304,MATCH(C5918,$R$5:$R$304,0))&amp;"","?"))</f>
        <v/>
      </c>
      <c r="N5918" s="2">
        <f>IF(E5918="","",IF(ISNUMBER(SEARCH("SUBSOLO",E5918)),IFERROR(-VALUE(LEFT(E5918,FIND("º",SUBSTITUTE(E5918,"°","º"))-1)),-1),IF(LEFT(E5918,6)="TÉRREO",0,IFERROR(VALUE(LEFT(E5918,FIND("º",SUBSTITUTE(E5918,"°","º"))-1)),""))))</f>
        <v/>
      </c>
      <c r="O5918" s="2">
        <f>IF(OR(F5918="",G5918=""),"",IF(G5918&lt;='RETRATO 2027'!$K$5,"CONCLUÍDA",IF(F5918&lt;='RETRATO 2027'!$K$5,"EM ANDAMENTO","A INICIAR")))</f>
        <v/>
      </c>
    </row>
    <row r="5919">
      <c r="M5919" s="2">
        <f>IF(C5919="","",IFERROR(INDEX($S$5:$S$304,MATCH(C5919,$R$5:$R$304,0))&amp;"","?"))</f>
        <v/>
      </c>
      <c r="N5919" s="2">
        <f>IF(E5919="","",IF(ISNUMBER(SEARCH("SUBSOLO",E5919)),IFERROR(-VALUE(LEFT(E5919,FIND("º",SUBSTITUTE(E5919,"°","º"))-1)),-1),IF(LEFT(E5919,6)="TÉRREO",0,IFERROR(VALUE(LEFT(E5919,FIND("º",SUBSTITUTE(E5919,"°","º"))-1)),""))))</f>
        <v/>
      </c>
      <c r="O5919" s="2">
        <f>IF(OR(F5919="",G5919=""),"",IF(G5919&lt;='RETRATO 2027'!$K$5,"CONCLUÍDA",IF(F5919&lt;='RETRATO 2027'!$K$5,"EM ANDAMENTO","A INICIAR")))</f>
        <v/>
      </c>
    </row>
    <row r="5920">
      <c r="M5920" s="2">
        <f>IF(C5920="","",IFERROR(INDEX($S$5:$S$304,MATCH(C5920,$R$5:$R$304,0))&amp;"","?"))</f>
        <v/>
      </c>
      <c r="N5920" s="2">
        <f>IF(E5920="","",IF(ISNUMBER(SEARCH("SUBSOLO",E5920)),IFERROR(-VALUE(LEFT(E5920,FIND("º",SUBSTITUTE(E5920,"°","º"))-1)),-1),IF(LEFT(E5920,6)="TÉRREO",0,IFERROR(VALUE(LEFT(E5920,FIND("º",SUBSTITUTE(E5920,"°","º"))-1)),""))))</f>
        <v/>
      </c>
      <c r="O5920" s="2">
        <f>IF(OR(F5920="",G5920=""),"",IF(G5920&lt;='RETRATO 2027'!$K$5,"CONCLUÍDA",IF(F5920&lt;='RETRATO 2027'!$K$5,"EM ANDAMENTO","A INICIAR")))</f>
        <v/>
      </c>
    </row>
    <row r="5921">
      <c r="M5921" s="2">
        <f>IF(C5921="","",IFERROR(INDEX($S$5:$S$304,MATCH(C5921,$R$5:$R$304,0))&amp;"","?"))</f>
        <v/>
      </c>
      <c r="N5921" s="2">
        <f>IF(E5921="","",IF(ISNUMBER(SEARCH("SUBSOLO",E5921)),IFERROR(-VALUE(LEFT(E5921,FIND("º",SUBSTITUTE(E5921,"°","º"))-1)),-1),IF(LEFT(E5921,6)="TÉRREO",0,IFERROR(VALUE(LEFT(E5921,FIND("º",SUBSTITUTE(E5921,"°","º"))-1)),""))))</f>
        <v/>
      </c>
      <c r="O5921" s="2">
        <f>IF(OR(F5921="",G5921=""),"",IF(G5921&lt;='RETRATO 2027'!$K$5,"CONCLUÍDA",IF(F5921&lt;='RETRATO 2027'!$K$5,"EM ANDAMENTO","A INICIAR")))</f>
        <v/>
      </c>
    </row>
    <row r="5922">
      <c r="M5922" s="2">
        <f>IF(C5922="","",IFERROR(INDEX($S$5:$S$304,MATCH(C5922,$R$5:$R$304,0))&amp;"","?"))</f>
        <v/>
      </c>
      <c r="N5922" s="2">
        <f>IF(E5922="","",IF(ISNUMBER(SEARCH("SUBSOLO",E5922)),IFERROR(-VALUE(LEFT(E5922,FIND("º",SUBSTITUTE(E5922,"°","º"))-1)),-1),IF(LEFT(E5922,6)="TÉRREO",0,IFERROR(VALUE(LEFT(E5922,FIND("º",SUBSTITUTE(E5922,"°","º"))-1)),""))))</f>
        <v/>
      </c>
      <c r="O5922" s="2">
        <f>IF(OR(F5922="",G5922=""),"",IF(G5922&lt;='RETRATO 2027'!$K$5,"CONCLUÍDA",IF(F5922&lt;='RETRATO 2027'!$K$5,"EM ANDAMENTO","A INICIAR")))</f>
        <v/>
      </c>
    </row>
    <row r="5923">
      <c r="M5923" s="2">
        <f>IF(C5923="","",IFERROR(INDEX($S$5:$S$304,MATCH(C5923,$R$5:$R$304,0))&amp;"","?"))</f>
        <v/>
      </c>
      <c r="N5923" s="2">
        <f>IF(E5923="","",IF(ISNUMBER(SEARCH("SUBSOLO",E5923)),IFERROR(-VALUE(LEFT(E5923,FIND("º",SUBSTITUTE(E5923,"°","º"))-1)),-1),IF(LEFT(E5923,6)="TÉRREO",0,IFERROR(VALUE(LEFT(E5923,FIND("º",SUBSTITUTE(E5923,"°","º"))-1)),""))))</f>
        <v/>
      </c>
      <c r="O5923" s="2">
        <f>IF(OR(F5923="",G5923=""),"",IF(G5923&lt;='RETRATO 2027'!$K$5,"CONCLUÍDA",IF(F5923&lt;='RETRATO 2027'!$K$5,"EM ANDAMENTO","A INICIAR")))</f>
        <v/>
      </c>
    </row>
    <row r="5924">
      <c r="M5924" s="2">
        <f>IF(C5924="","",IFERROR(INDEX($S$5:$S$304,MATCH(C5924,$R$5:$R$304,0))&amp;"","?"))</f>
        <v/>
      </c>
      <c r="N5924" s="2">
        <f>IF(E5924="","",IF(ISNUMBER(SEARCH("SUBSOLO",E5924)),IFERROR(-VALUE(LEFT(E5924,FIND("º",SUBSTITUTE(E5924,"°","º"))-1)),-1),IF(LEFT(E5924,6)="TÉRREO",0,IFERROR(VALUE(LEFT(E5924,FIND("º",SUBSTITUTE(E5924,"°","º"))-1)),""))))</f>
        <v/>
      </c>
      <c r="O5924" s="2">
        <f>IF(OR(F5924="",G5924=""),"",IF(G5924&lt;='RETRATO 2027'!$K$5,"CONCLUÍDA",IF(F5924&lt;='RETRATO 2027'!$K$5,"EM ANDAMENTO","A INICIAR")))</f>
        <v/>
      </c>
    </row>
    <row r="5925">
      <c r="M5925" s="2">
        <f>IF(C5925="","",IFERROR(INDEX($S$5:$S$304,MATCH(C5925,$R$5:$R$304,0))&amp;"","?"))</f>
        <v/>
      </c>
      <c r="N5925" s="2">
        <f>IF(E5925="","",IF(ISNUMBER(SEARCH("SUBSOLO",E5925)),IFERROR(-VALUE(LEFT(E5925,FIND("º",SUBSTITUTE(E5925,"°","º"))-1)),-1),IF(LEFT(E5925,6)="TÉRREO",0,IFERROR(VALUE(LEFT(E5925,FIND("º",SUBSTITUTE(E5925,"°","º"))-1)),""))))</f>
        <v/>
      </c>
      <c r="O5925" s="2">
        <f>IF(OR(F5925="",G5925=""),"",IF(G5925&lt;='RETRATO 2027'!$K$5,"CONCLUÍDA",IF(F5925&lt;='RETRATO 2027'!$K$5,"EM ANDAMENTO","A INICIAR")))</f>
        <v/>
      </c>
    </row>
    <row r="5926">
      <c r="M5926" s="2">
        <f>IF(C5926="","",IFERROR(INDEX($S$5:$S$304,MATCH(C5926,$R$5:$R$304,0))&amp;"","?"))</f>
        <v/>
      </c>
      <c r="N5926" s="2">
        <f>IF(E5926="","",IF(ISNUMBER(SEARCH("SUBSOLO",E5926)),IFERROR(-VALUE(LEFT(E5926,FIND("º",SUBSTITUTE(E5926,"°","º"))-1)),-1),IF(LEFT(E5926,6)="TÉRREO",0,IFERROR(VALUE(LEFT(E5926,FIND("º",SUBSTITUTE(E5926,"°","º"))-1)),""))))</f>
        <v/>
      </c>
      <c r="O5926" s="2">
        <f>IF(OR(F5926="",G5926=""),"",IF(G5926&lt;='RETRATO 2027'!$K$5,"CONCLUÍDA",IF(F5926&lt;='RETRATO 2027'!$K$5,"EM ANDAMENTO","A INICIAR")))</f>
        <v/>
      </c>
    </row>
    <row r="5927">
      <c r="M5927" s="2">
        <f>IF(C5927="","",IFERROR(INDEX($S$5:$S$304,MATCH(C5927,$R$5:$R$304,0))&amp;"","?"))</f>
        <v/>
      </c>
      <c r="N5927" s="2">
        <f>IF(E5927="","",IF(ISNUMBER(SEARCH("SUBSOLO",E5927)),IFERROR(-VALUE(LEFT(E5927,FIND("º",SUBSTITUTE(E5927,"°","º"))-1)),-1),IF(LEFT(E5927,6)="TÉRREO",0,IFERROR(VALUE(LEFT(E5927,FIND("º",SUBSTITUTE(E5927,"°","º"))-1)),""))))</f>
        <v/>
      </c>
      <c r="O5927" s="2">
        <f>IF(OR(F5927="",G5927=""),"",IF(G5927&lt;='RETRATO 2027'!$K$5,"CONCLUÍDA",IF(F5927&lt;='RETRATO 2027'!$K$5,"EM ANDAMENTO","A INICIAR")))</f>
        <v/>
      </c>
    </row>
    <row r="5928">
      <c r="M5928" s="2">
        <f>IF(C5928="","",IFERROR(INDEX($S$5:$S$304,MATCH(C5928,$R$5:$R$304,0))&amp;"","?"))</f>
        <v/>
      </c>
      <c r="N5928" s="2">
        <f>IF(E5928="","",IF(ISNUMBER(SEARCH("SUBSOLO",E5928)),IFERROR(-VALUE(LEFT(E5928,FIND("º",SUBSTITUTE(E5928,"°","º"))-1)),-1),IF(LEFT(E5928,6)="TÉRREO",0,IFERROR(VALUE(LEFT(E5928,FIND("º",SUBSTITUTE(E5928,"°","º"))-1)),""))))</f>
        <v/>
      </c>
      <c r="O5928" s="2">
        <f>IF(OR(F5928="",G5928=""),"",IF(G5928&lt;='RETRATO 2027'!$K$5,"CONCLUÍDA",IF(F5928&lt;='RETRATO 2027'!$K$5,"EM ANDAMENTO","A INICIAR")))</f>
        <v/>
      </c>
    </row>
    <row r="5929">
      <c r="M5929" s="2">
        <f>IF(C5929="","",IFERROR(INDEX($S$5:$S$304,MATCH(C5929,$R$5:$R$304,0))&amp;"","?"))</f>
        <v/>
      </c>
      <c r="N5929" s="2">
        <f>IF(E5929="","",IF(ISNUMBER(SEARCH("SUBSOLO",E5929)),IFERROR(-VALUE(LEFT(E5929,FIND("º",SUBSTITUTE(E5929,"°","º"))-1)),-1),IF(LEFT(E5929,6)="TÉRREO",0,IFERROR(VALUE(LEFT(E5929,FIND("º",SUBSTITUTE(E5929,"°","º"))-1)),""))))</f>
        <v/>
      </c>
      <c r="O5929" s="2">
        <f>IF(OR(F5929="",G5929=""),"",IF(G5929&lt;='RETRATO 2027'!$K$5,"CONCLUÍDA",IF(F5929&lt;='RETRATO 2027'!$K$5,"EM ANDAMENTO","A INICIAR")))</f>
        <v/>
      </c>
    </row>
    <row r="5930">
      <c r="M5930" s="2">
        <f>IF(C5930="","",IFERROR(INDEX($S$5:$S$304,MATCH(C5930,$R$5:$R$304,0))&amp;"","?"))</f>
        <v/>
      </c>
      <c r="N5930" s="2">
        <f>IF(E5930="","",IF(ISNUMBER(SEARCH("SUBSOLO",E5930)),IFERROR(-VALUE(LEFT(E5930,FIND("º",SUBSTITUTE(E5930,"°","º"))-1)),-1),IF(LEFT(E5930,6)="TÉRREO",0,IFERROR(VALUE(LEFT(E5930,FIND("º",SUBSTITUTE(E5930,"°","º"))-1)),""))))</f>
        <v/>
      </c>
      <c r="O5930" s="2">
        <f>IF(OR(F5930="",G5930=""),"",IF(G5930&lt;='RETRATO 2027'!$K$5,"CONCLUÍDA",IF(F5930&lt;='RETRATO 2027'!$K$5,"EM ANDAMENTO","A INICIAR")))</f>
        <v/>
      </c>
    </row>
    <row r="5931">
      <c r="M5931" s="2">
        <f>IF(C5931="","",IFERROR(INDEX($S$5:$S$304,MATCH(C5931,$R$5:$R$304,0))&amp;"","?"))</f>
        <v/>
      </c>
      <c r="N5931" s="2">
        <f>IF(E5931="","",IF(ISNUMBER(SEARCH("SUBSOLO",E5931)),IFERROR(-VALUE(LEFT(E5931,FIND("º",SUBSTITUTE(E5931,"°","º"))-1)),-1),IF(LEFT(E5931,6)="TÉRREO",0,IFERROR(VALUE(LEFT(E5931,FIND("º",SUBSTITUTE(E5931,"°","º"))-1)),""))))</f>
        <v/>
      </c>
      <c r="O5931" s="2">
        <f>IF(OR(F5931="",G5931=""),"",IF(G5931&lt;='RETRATO 2027'!$K$5,"CONCLUÍDA",IF(F5931&lt;='RETRATO 2027'!$K$5,"EM ANDAMENTO","A INICIAR")))</f>
        <v/>
      </c>
    </row>
    <row r="5932">
      <c r="M5932" s="2">
        <f>IF(C5932="","",IFERROR(INDEX($S$5:$S$304,MATCH(C5932,$R$5:$R$304,0))&amp;"","?"))</f>
        <v/>
      </c>
      <c r="N5932" s="2">
        <f>IF(E5932="","",IF(ISNUMBER(SEARCH("SUBSOLO",E5932)),IFERROR(-VALUE(LEFT(E5932,FIND("º",SUBSTITUTE(E5932,"°","º"))-1)),-1),IF(LEFT(E5932,6)="TÉRREO",0,IFERROR(VALUE(LEFT(E5932,FIND("º",SUBSTITUTE(E5932,"°","º"))-1)),""))))</f>
        <v/>
      </c>
      <c r="O5932" s="2">
        <f>IF(OR(F5932="",G5932=""),"",IF(G5932&lt;='RETRATO 2027'!$K$5,"CONCLUÍDA",IF(F5932&lt;='RETRATO 2027'!$K$5,"EM ANDAMENTO","A INICIAR")))</f>
        <v/>
      </c>
    </row>
    <row r="5933">
      <c r="M5933" s="2">
        <f>IF(C5933="","",IFERROR(INDEX($S$5:$S$304,MATCH(C5933,$R$5:$R$304,0))&amp;"","?"))</f>
        <v/>
      </c>
      <c r="N5933" s="2">
        <f>IF(E5933="","",IF(ISNUMBER(SEARCH("SUBSOLO",E5933)),IFERROR(-VALUE(LEFT(E5933,FIND("º",SUBSTITUTE(E5933,"°","º"))-1)),-1),IF(LEFT(E5933,6)="TÉRREO",0,IFERROR(VALUE(LEFT(E5933,FIND("º",SUBSTITUTE(E5933,"°","º"))-1)),""))))</f>
        <v/>
      </c>
      <c r="O5933" s="2">
        <f>IF(OR(F5933="",G5933=""),"",IF(G5933&lt;='RETRATO 2027'!$K$5,"CONCLUÍDA",IF(F5933&lt;='RETRATO 2027'!$K$5,"EM ANDAMENTO","A INICIAR")))</f>
        <v/>
      </c>
    </row>
    <row r="5934">
      <c r="M5934" s="2">
        <f>IF(C5934="","",IFERROR(INDEX($S$5:$S$304,MATCH(C5934,$R$5:$R$304,0))&amp;"","?"))</f>
        <v/>
      </c>
      <c r="N5934" s="2">
        <f>IF(E5934="","",IF(ISNUMBER(SEARCH("SUBSOLO",E5934)),IFERROR(-VALUE(LEFT(E5934,FIND("º",SUBSTITUTE(E5934,"°","º"))-1)),-1),IF(LEFT(E5934,6)="TÉRREO",0,IFERROR(VALUE(LEFT(E5934,FIND("º",SUBSTITUTE(E5934,"°","º"))-1)),""))))</f>
        <v/>
      </c>
      <c r="O5934" s="2">
        <f>IF(OR(F5934="",G5934=""),"",IF(G5934&lt;='RETRATO 2027'!$K$5,"CONCLUÍDA",IF(F5934&lt;='RETRATO 2027'!$K$5,"EM ANDAMENTO","A INICIAR")))</f>
        <v/>
      </c>
    </row>
    <row r="5935">
      <c r="M5935" s="2">
        <f>IF(C5935="","",IFERROR(INDEX($S$5:$S$304,MATCH(C5935,$R$5:$R$304,0))&amp;"","?"))</f>
        <v/>
      </c>
      <c r="N5935" s="2">
        <f>IF(E5935="","",IF(ISNUMBER(SEARCH("SUBSOLO",E5935)),IFERROR(-VALUE(LEFT(E5935,FIND("º",SUBSTITUTE(E5935,"°","º"))-1)),-1),IF(LEFT(E5935,6)="TÉRREO",0,IFERROR(VALUE(LEFT(E5935,FIND("º",SUBSTITUTE(E5935,"°","º"))-1)),""))))</f>
        <v/>
      </c>
      <c r="O5935" s="2">
        <f>IF(OR(F5935="",G5935=""),"",IF(G5935&lt;='RETRATO 2027'!$K$5,"CONCLUÍDA",IF(F5935&lt;='RETRATO 2027'!$K$5,"EM ANDAMENTO","A INICIAR")))</f>
        <v/>
      </c>
    </row>
    <row r="5936">
      <c r="M5936" s="2">
        <f>IF(C5936="","",IFERROR(INDEX($S$5:$S$304,MATCH(C5936,$R$5:$R$304,0))&amp;"","?"))</f>
        <v/>
      </c>
      <c r="N5936" s="2">
        <f>IF(E5936="","",IF(ISNUMBER(SEARCH("SUBSOLO",E5936)),IFERROR(-VALUE(LEFT(E5936,FIND("º",SUBSTITUTE(E5936,"°","º"))-1)),-1),IF(LEFT(E5936,6)="TÉRREO",0,IFERROR(VALUE(LEFT(E5936,FIND("º",SUBSTITUTE(E5936,"°","º"))-1)),""))))</f>
        <v/>
      </c>
      <c r="O5936" s="2">
        <f>IF(OR(F5936="",G5936=""),"",IF(G5936&lt;='RETRATO 2027'!$K$5,"CONCLUÍDA",IF(F5936&lt;='RETRATO 2027'!$K$5,"EM ANDAMENTO","A INICIAR")))</f>
        <v/>
      </c>
    </row>
    <row r="5937">
      <c r="M5937" s="2">
        <f>IF(C5937="","",IFERROR(INDEX($S$5:$S$304,MATCH(C5937,$R$5:$R$304,0))&amp;"","?"))</f>
        <v/>
      </c>
      <c r="N5937" s="2">
        <f>IF(E5937="","",IF(ISNUMBER(SEARCH("SUBSOLO",E5937)),IFERROR(-VALUE(LEFT(E5937,FIND("º",SUBSTITUTE(E5937,"°","º"))-1)),-1),IF(LEFT(E5937,6)="TÉRREO",0,IFERROR(VALUE(LEFT(E5937,FIND("º",SUBSTITUTE(E5937,"°","º"))-1)),""))))</f>
        <v/>
      </c>
      <c r="O5937" s="2">
        <f>IF(OR(F5937="",G5937=""),"",IF(G5937&lt;='RETRATO 2027'!$K$5,"CONCLUÍDA",IF(F5937&lt;='RETRATO 2027'!$K$5,"EM ANDAMENTO","A INICIAR")))</f>
        <v/>
      </c>
    </row>
    <row r="5938">
      <c r="M5938" s="2">
        <f>IF(C5938="","",IFERROR(INDEX($S$5:$S$304,MATCH(C5938,$R$5:$R$304,0))&amp;"","?"))</f>
        <v/>
      </c>
      <c r="N5938" s="2">
        <f>IF(E5938="","",IF(ISNUMBER(SEARCH("SUBSOLO",E5938)),IFERROR(-VALUE(LEFT(E5938,FIND("º",SUBSTITUTE(E5938,"°","º"))-1)),-1),IF(LEFT(E5938,6)="TÉRREO",0,IFERROR(VALUE(LEFT(E5938,FIND("º",SUBSTITUTE(E5938,"°","º"))-1)),""))))</f>
        <v/>
      </c>
      <c r="O5938" s="2">
        <f>IF(OR(F5938="",G5938=""),"",IF(G5938&lt;='RETRATO 2027'!$K$5,"CONCLUÍDA",IF(F5938&lt;='RETRATO 2027'!$K$5,"EM ANDAMENTO","A INICIAR")))</f>
        <v/>
      </c>
    </row>
    <row r="5939">
      <c r="M5939" s="2">
        <f>IF(C5939="","",IFERROR(INDEX($S$5:$S$304,MATCH(C5939,$R$5:$R$304,0))&amp;"","?"))</f>
        <v/>
      </c>
      <c r="N5939" s="2">
        <f>IF(E5939="","",IF(ISNUMBER(SEARCH("SUBSOLO",E5939)),IFERROR(-VALUE(LEFT(E5939,FIND("º",SUBSTITUTE(E5939,"°","º"))-1)),-1),IF(LEFT(E5939,6)="TÉRREO",0,IFERROR(VALUE(LEFT(E5939,FIND("º",SUBSTITUTE(E5939,"°","º"))-1)),""))))</f>
        <v/>
      </c>
      <c r="O5939" s="2">
        <f>IF(OR(F5939="",G5939=""),"",IF(G5939&lt;='RETRATO 2027'!$K$5,"CONCLUÍDA",IF(F5939&lt;='RETRATO 2027'!$K$5,"EM ANDAMENTO","A INICIAR")))</f>
        <v/>
      </c>
    </row>
    <row r="5940">
      <c r="M5940" s="2">
        <f>IF(C5940="","",IFERROR(INDEX($S$5:$S$304,MATCH(C5940,$R$5:$R$304,0))&amp;"","?"))</f>
        <v/>
      </c>
      <c r="N5940" s="2">
        <f>IF(E5940="","",IF(ISNUMBER(SEARCH("SUBSOLO",E5940)),IFERROR(-VALUE(LEFT(E5940,FIND("º",SUBSTITUTE(E5940,"°","º"))-1)),-1),IF(LEFT(E5940,6)="TÉRREO",0,IFERROR(VALUE(LEFT(E5940,FIND("º",SUBSTITUTE(E5940,"°","º"))-1)),""))))</f>
        <v/>
      </c>
      <c r="O5940" s="2">
        <f>IF(OR(F5940="",G5940=""),"",IF(G5940&lt;='RETRATO 2027'!$K$5,"CONCLUÍDA",IF(F5940&lt;='RETRATO 2027'!$K$5,"EM ANDAMENTO","A INICIAR")))</f>
        <v/>
      </c>
    </row>
    <row r="5941">
      <c r="M5941" s="2">
        <f>IF(C5941="","",IFERROR(INDEX($S$5:$S$304,MATCH(C5941,$R$5:$R$304,0))&amp;"","?"))</f>
        <v/>
      </c>
      <c r="N5941" s="2">
        <f>IF(E5941="","",IF(ISNUMBER(SEARCH("SUBSOLO",E5941)),IFERROR(-VALUE(LEFT(E5941,FIND("º",SUBSTITUTE(E5941,"°","º"))-1)),-1),IF(LEFT(E5941,6)="TÉRREO",0,IFERROR(VALUE(LEFT(E5941,FIND("º",SUBSTITUTE(E5941,"°","º"))-1)),""))))</f>
        <v/>
      </c>
      <c r="O5941" s="2">
        <f>IF(OR(F5941="",G5941=""),"",IF(G5941&lt;='RETRATO 2027'!$K$5,"CONCLUÍDA",IF(F5941&lt;='RETRATO 2027'!$K$5,"EM ANDAMENTO","A INICIAR")))</f>
        <v/>
      </c>
    </row>
    <row r="5942">
      <c r="M5942" s="2">
        <f>IF(C5942="","",IFERROR(INDEX($S$5:$S$304,MATCH(C5942,$R$5:$R$304,0))&amp;"","?"))</f>
        <v/>
      </c>
      <c r="N5942" s="2">
        <f>IF(E5942="","",IF(ISNUMBER(SEARCH("SUBSOLO",E5942)),IFERROR(-VALUE(LEFT(E5942,FIND("º",SUBSTITUTE(E5942,"°","º"))-1)),-1),IF(LEFT(E5942,6)="TÉRREO",0,IFERROR(VALUE(LEFT(E5942,FIND("º",SUBSTITUTE(E5942,"°","º"))-1)),""))))</f>
        <v/>
      </c>
      <c r="O5942" s="2">
        <f>IF(OR(F5942="",G5942=""),"",IF(G5942&lt;='RETRATO 2027'!$K$5,"CONCLUÍDA",IF(F5942&lt;='RETRATO 2027'!$K$5,"EM ANDAMENTO","A INICIAR")))</f>
        <v/>
      </c>
    </row>
    <row r="5943">
      <c r="M5943" s="2">
        <f>IF(C5943="","",IFERROR(INDEX($S$5:$S$304,MATCH(C5943,$R$5:$R$304,0))&amp;"","?"))</f>
        <v/>
      </c>
      <c r="N5943" s="2">
        <f>IF(E5943="","",IF(ISNUMBER(SEARCH("SUBSOLO",E5943)),IFERROR(-VALUE(LEFT(E5943,FIND("º",SUBSTITUTE(E5943,"°","º"))-1)),-1),IF(LEFT(E5943,6)="TÉRREO",0,IFERROR(VALUE(LEFT(E5943,FIND("º",SUBSTITUTE(E5943,"°","º"))-1)),""))))</f>
        <v/>
      </c>
      <c r="O5943" s="2">
        <f>IF(OR(F5943="",G5943=""),"",IF(G5943&lt;='RETRATO 2027'!$K$5,"CONCLUÍDA",IF(F5943&lt;='RETRATO 2027'!$K$5,"EM ANDAMENTO","A INICIAR")))</f>
        <v/>
      </c>
    </row>
    <row r="5944">
      <c r="M5944" s="2">
        <f>IF(C5944="","",IFERROR(INDEX($S$5:$S$304,MATCH(C5944,$R$5:$R$304,0))&amp;"","?"))</f>
        <v/>
      </c>
      <c r="N5944" s="2">
        <f>IF(E5944="","",IF(ISNUMBER(SEARCH("SUBSOLO",E5944)),IFERROR(-VALUE(LEFT(E5944,FIND("º",SUBSTITUTE(E5944,"°","º"))-1)),-1),IF(LEFT(E5944,6)="TÉRREO",0,IFERROR(VALUE(LEFT(E5944,FIND("º",SUBSTITUTE(E5944,"°","º"))-1)),""))))</f>
        <v/>
      </c>
      <c r="O5944" s="2">
        <f>IF(OR(F5944="",G5944=""),"",IF(G5944&lt;='RETRATO 2027'!$K$5,"CONCLUÍDA",IF(F5944&lt;='RETRATO 2027'!$K$5,"EM ANDAMENTO","A INICIAR")))</f>
        <v/>
      </c>
    </row>
    <row r="5945">
      <c r="M5945" s="2">
        <f>IF(C5945="","",IFERROR(INDEX($S$5:$S$304,MATCH(C5945,$R$5:$R$304,0))&amp;"","?"))</f>
        <v/>
      </c>
      <c r="N5945" s="2">
        <f>IF(E5945="","",IF(ISNUMBER(SEARCH("SUBSOLO",E5945)),IFERROR(-VALUE(LEFT(E5945,FIND("º",SUBSTITUTE(E5945,"°","º"))-1)),-1),IF(LEFT(E5945,6)="TÉRREO",0,IFERROR(VALUE(LEFT(E5945,FIND("º",SUBSTITUTE(E5945,"°","º"))-1)),""))))</f>
        <v/>
      </c>
      <c r="O5945" s="2">
        <f>IF(OR(F5945="",G5945=""),"",IF(G5945&lt;='RETRATO 2027'!$K$5,"CONCLUÍDA",IF(F5945&lt;='RETRATO 2027'!$K$5,"EM ANDAMENTO","A INICIAR")))</f>
        <v/>
      </c>
    </row>
    <row r="5946">
      <c r="M5946" s="2">
        <f>IF(C5946="","",IFERROR(INDEX($S$5:$S$304,MATCH(C5946,$R$5:$R$304,0))&amp;"","?"))</f>
        <v/>
      </c>
      <c r="N5946" s="2">
        <f>IF(E5946="","",IF(ISNUMBER(SEARCH("SUBSOLO",E5946)),IFERROR(-VALUE(LEFT(E5946,FIND("º",SUBSTITUTE(E5946,"°","º"))-1)),-1),IF(LEFT(E5946,6)="TÉRREO",0,IFERROR(VALUE(LEFT(E5946,FIND("º",SUBSTITUTE(E5946,"°","º"))-1)),""))))</f>
        <v/>
      </c>
      <c r="O5946" s="2">
        <f>IF(OR(F5946="",G5946=""),"",IF(G5946&lt;='RETRATO 2027'!$K$5,"CONCLUÍDA",IF(F5946&lt;='RETRATO 2027'!$K$5,"EM ANDAMENTO","A INICIAR")))</f>
        <v/>
      </c>
    </row>
    <row r="5947">
      <c r="M5947" s="2">
        <f>IF(C5947="","",IFERROR(INDEX($S$5:$S$304,MATCH(C5947,$R$5:$R$304,0))&amp;"","?"))</f>
        <v/>
      </c>
      <c r="N5947" s="2">
        <f>IF(E5947="","",IF(ISNUMBER(SEARCH("SUBSOLO",E5947)),IFERROR(-VALUE(LEFT(E5947,FIND("º",SUBSTITUTE(E5947,"°","º"))-1)),-1),IF(LEFT(E5947,6)="TÉRREO",0,IFERROR(VALUE(LEFT(E5947,FIND("º",SUBSTITUTE(E5947,"°","º"))-1)),""))))</f>
        <v/>
      </c>
      <c r="O5947" s="2">
        <f>IF(OR(F5947="",G5947=""),"",IF(G5947&lt;='RETRATO 2027'!$K$5,"CONCLUÍDA",IF(F5947&lt;='RETRATO 2027'!$K$5,"EM ANDAMENTO","A INICIAR")))</f>
        <v/>
      </c>
    </row>
    <row r="5948">
      <c r="M5948" s="2">
        <f>IF(C5948="","",IFERROR(INDEX($S$5:$S$304,MATCH(C5948,$R$5:$R$304,0))&amp;"","?"))</f>
        <v/>
      </c>
      <c r="N5948" s="2">
        <f>IF(E5948="","",IF(ISNUMBER(SEARCH("SUBSOLO",E5948)),IFERROR(-VALUE(LEFT(E5948,FIND("º",SUBSTITUTE(E5948,"°","º"))-1)),-1),IF(LEFT(E5948,6)="TÉRREO",0,IFERROR(VALUE(LEFT(E5948,FIND("º",SUBSTITUTE(E5948,"°","º"))-1)),""))))</f>
        <v/>
      </c>
      <c r="O5948" s="2">
        <f>IF(OR(F5948="",G5948=""),"",IF(G5948&lt;='RETRATO 2027'!$K$5,"CONCLUÍDA",IF(F5948&lt;='RETRATO 2027'!$K$5,"EM ANDAMENTO","A INICIAR")))</f>
        <v/>
      </c>
    </row>
    <row r="5949">
      <c r="M5949" s="2">
        <f>IF(C5949="","",IFERROR(INDEX($S$5:$S$304,MATCH(C5949,$R$5:$R$304,0))&amp;"","?"))</f>
        <v/>
      </c>
      <c r="N5949" s="2">
        <f>IF(E5949="","",IF(ISNUMBER(SEARCH("SUBSOLO",E5949)),IFERROR(-VALUE(LEFT(E5949,FIND("º",SUBSTITUTE(E5949,"°","º"))-1)),-1),IF(LEFT(E5949,6)="TÉRREO",0,IFERROR(VALUE(LEFT(E5949,FIND("º",SUBSTITUTE(E5949,"°","º"))-1)),""))))</f>
        <v/>
      </c>
      <c r="O5949" s="2">
        <f>IF(OR(F5949="",G5949=""),"",IF(G5949&lt;='RETRATO 2027'!$K$5,"CONCLUÍDA",IF(F5949&lt;='RETRATO 2027'!$K$5,"EM ANDAMENTO","A INICIAR")))</f>
        <v/>
      </c>
    </row>
    <row r="5950">
      <c r="M5950" s="2">
        <f>IF(C5950="","",IFERROR(INDEX($S$5:$S$304,MATCH(C5950,$R$5:$R$304,0))&amp;"","?"))</f>
        <v/>
      </c>
      <c r="N5950" s="2">
        <f>IF(E5950="","",IF(ISNUMBER(SEARCH("SUBSOLO",E5950)),IFERROR(-VALUE(LEFT(E5950,FIND("º",SUBSTITUTE(E5950,"°","º"))-1)),-1),IF(LEFT(E5950,6)="TÉRREO",0,IFERROR(VALUE(LEFT(E5950,FIND("º",SUBSTITUTE(E5950,"°","º"))-1)),""))))</f>
        <v/>
      </c>
      <c r="O5950" s="2">
        <f>IF(OR(F5950="",G5950=""),"",IF(G5950&lt;='RETRATO 2027'!$K$5,"CONCLUÍDA",IF(F5950&lt;='RETRATO 2027'!$K$5,"EM ANDAMENTO","A INICIAR")))</f>
        <v/>
      </c>
    </row>
    <row r="5951">
      <c r="M5951" s="2">
        <f>IF(C5951="","",IFERROR(INDEX($S$5:$S$304,MATCH(C5951,$R$5:$R$304,0))&amp;"","?"))</f>
        <v/>
      </c>
      <c r="N5951" s="2">
        <f>IF(E5951="","",IF(ISNUMBER(SEARCH("SUBSOLO",E5951)),IFERROR(-VALUE(LEFT(E5951,FIND("º",SUBSTITUTE(E5951,"°","º"))-1)),-1),IF(LEFT(E5951,6)="TÉRREO",0,IFERROR(VALUE(LEFT(E5951,FIND("º",SUBSTITUTE(E5951,"°","º"))-1)),""))))</f>
        <v/>
      </c>
      <c r="O5951" s="2">
        <f>IF(OR(F5951="",G5951=""),"",IF(G5951&lt;='RETRATO 2027'!$K$5,"CONCLUÍDA",IF(F5951&lt;='RETRATO 2027'!$K$5,"EM ANDAMENTO","A INICIAR")))</f>
        <v/>
      </c>
    </row>
    <row r="5952">
      <c r="M5952" s="2">
        <f>IF(C5952="","",IFERROR(INDEX($S$5:$S$304,MATCH(C5952,$R$5:$R$304,0))&amp;"","?"))</f>
        <v/>
      </c>
      <c r="N5952" s="2">
        <f>IF(E5952="","",IF(ISNUMBER(SEARCH("SUBSOLO",E5952)),IFERROR(-VALUE(LEFT(E5952,FIND("º",SUBSTITUTE(E5952,"°","º"))-1)),-1),IF(LEFT(E5952,6)="TÉRREO",0,IFERROR(VALUE(LEFT(E5952,FIND("º",SUBSTITUTE(E5952,"°","º"))-1)),""))))</f>
        <v/>
      </c>
      <c r="O5952" s="2">
        <f>IF(OR(F5952="",G5952=""),"",IF(G5952&lt;='RETRATO 2027'!$K$5,"CONCLUÍDA",IF(F5952&lt;='RETRATO 2027'!$K$5,"EM ANDAMENTO","A INICIAR")))</f>
        <v/>
      </c>
    </row>
    <row r="5953">
      <c r="M5953" s="2">
        <f>IF(C5953="","",IFERROR(INDEX($S$5:$S$304,MATCH(C5953,$R$5:$R$304,0))&amp;"","?"))</f>
        <v/>
      </c>
      <c r="N5953" s="2">
        <f>IF(E5953="","",IF(ISNUMBER(SEARCH("SUBSOLO",E5953)),IFERROR(-VALUE(LEFT(E5953,FIND("º",SUBSTITUTE(E5953,"°","º"))-1)),-1),IF(LEFT(E5953,6)="TÉRREO",0,IFERROR(VALUE(LEFT(E5953,FIND("º",SUBSTITUTE(E5953,"°","º"))-1)),""))))</f>
        <v/>
      </c>
      <c r="O5953" s="2">
        <f>IF(OR(F5953="",G5953=""),"",IF(G5953&lt;='RETRATO 2027'!$K$5,"CONCLUÍDA",IF(F5953&lt;='RETRATO 2027'!$K$5,"EM ANDAMENTO","A INICIAR")))</f>
        <v/>
      </c>
    </row>
    <row r="5954">
      <c r="M5954" s="2">
        <f>IF(C5954="","",IFERROR(INDEX($S$5:$S$304,MATCH(C5954,$R$5:$R$304,0))&amp;"","?"))</f>
        <v/>
      </c>
      <c r="N5954" s="2">
        <f>IF(E5954="","",IF(ISNUMBER(SEARCH("SUBSOLO",E5954)),IFERROR(-VALUE(LEFT(E5954,FIND("º",SUBSTITUTE(E5954,"°","º"))-1)),-1),IF(LEFT(E5954,6)="TÉRREO",0,IFERROR(VALUE(LEFT(E5954,FIND("º",SUBSTITUTE(E5954,"°","º"))-1)),""))))</f>
        <v/>
      </c>
      <c r="O5954" s="2">
        <f>IF(OR(F5954="",G5954=""),"",IF(G5954&lt;='RETRATO 2027'!$K$5,"CONCLUÍDA",IF(F5954&lt;='RETRATO 2027'!$K$5,"EM ANDAMENTO","A INICIAR")))</f>
        <v/>
      </c>
    </row>
    <row r="5955">
      <c r="M5955" s="2">
        <f>IF(C5955="","",IFERROR(INDEX($S$5:$S$304,MATCH(C5955,$R$5:$R$304,0))&amp;"","?"))</f>
        <v/>
      </c>
      <c r="N5955" s="2">
        <f>IF(E5955="","",IF(ISNUMBER(SEARCH("SUBSOLO",E5955)),IFERROR(-VALUE(LEFT(E5955,FIND("º",SUBSTITUTE(E5955,"°","º"))-1)),-1),IF(LEFT(E5955,6)="TÉRREO",0,IFERROR(VALUE(LEFT(E5955,FIND("º",SUBSTITUTE(E5955,"°","º"))-1)),""))))</f>
        <v/>
      </c>
      <c r="O5955" s="2">
        <f>IF(OR(F5955="",G5955=""),"",IF(G5955&lt;='RETRATO 2027'!$K$5,"CONCLUÍDA",IF(F5955&lt;='RETRATO 2027'!$K$5,"EM ANDAMENTO","A INICIAR")))</f>
        <v/>
      </c>
    </row>
    <row r="5956">
      <c r="M5956" s="2">
        <f>IF(C5956="","",IFERROR(INDEX($S$5:$S$304,MATCH(C5956,$R$5:$R$304,0))&amp;"","?"))</f>
        <v/>
      </c>
      <c r="N5956" s="2">
        <f>IF(E5956="","",IF(ISNUMBER(SEARCH("SUBSOLO",E5956)),IFERROR(-VALUE(LEFT(E5956,FIND("º",SUBSTITUTE(E5956,"°","º"))-1)),-1),IF(LEFT(E5956,6)="TÉRREO",0,IFERROR(VALUE(LEFT(E5956,FIND("º",SUBSTITUTE(E5956,"°","º"))-1)),""))))</f>
        <v/>
      </c>
      <c r="O5956" s="2">
        <f>IF(OR(F5956="",G5956=""),"",IF(G5956&lt;='RETRATO 2027'!$K$5,"CONCLUÍDA",IF(F5956&lt;='RETRATO 2027'!$K$5,"EM ANDAMENTO","A INICIAR")))</f>
        <v/>
      </c>
    </row>
    <row r="5957">
      <c r="M5957" s="2">
        <f>IF(C5957="","",IFERROR(INDEX($S$5:$S$304,MATCH(C5957,$R$5:$R$304,0))&amp;"","?"))</f>
        <v/>
      </c>
      <c r="N5957" s="2">
        <f>IF(E5957="","",IF(ISNUMBER(SEARCH("SUBSOLO",E5957)),IFERROR(-VALUE(LEFT(E5957,FIND("º",SUBSTITUTE(E5957,"°","º"))-1)),-1),IF(LEFT(E5957,6)="TÉRREO",0,IFERROR(VALUE(LEFT(E5957,FIND("º",SUBSTITUTE(E5957,"°","º"))-1)),""))))</f>
        <v/>
      </c>
      <c r="O5957" s="2">
        <f>IF(OR(F5957="",G5957=""),"",IF(G5957&lt;='RETRATO 2027'!$K$5,"CONCLUÍDA",IF(F5957&lt;='RETRATO 2027'!$K$5,"EM ANDAMENTO","A INICIAR")))</f>
        <v/>
      </c>
    </row>
    <row r="5958">
      <c r="M5958" s="2">
        <f>IF(C5958="","",IFERROR(INDEX($S$5:$S$304,MATCH(C5958,$R$5:$R$304,0))&amp;"","?"))</f>
        <v/>
      </c>
      <c r="N5958" s="2">
        <f>IF(E5958="","",IF(ISNUMBER(SEARCH("SUBSOLO",E5958)),IFERROR(-VALUE(LEFT(E5958,FIND("º",SUBSTITUTE(E5958,"°","º"))-1)),-1),IF(LEFT(E5958,6)="TÉRREO",0,IFERROR(VALUE(LEFT(E5958,FIND("º",SUBSTITUTE(E5958,"°","º"))-1)),""))))</f>
        <v/>
      </c>
      <c r="O5958" s="2">
        <f>IF(OR(F5958="",G5958=""),"",IF(G5958&lt;='RETRATO 2027'!$K$5,"CONCLUÍDA",IF(F5958&lt;='RETRATO 2027'!$K$5,"EM ANDAMENTO","A INICIAR")))</f>
        <v/>
      </c>
    </row>
    <row r="5959">
      <c r="M5959" s="2">
        <f>IF(C5959="","",IFERROR(INDEX($S$5:$S$304,MATCH(C5959,$R$5:$R$304,0))&amp;"","?"))</f>
        <v/>
      </c>
      <c r="N5959" s="2">
        <f>IF(E5959="","",IF(ISNUMBER(SEARCH("SUBSOLO",E5959)),IFERROR(-VALUE(LEFT(E5959,FIND("º",SUBSTITUTE(E5959,"°","º"))-1)),-1),IF(LEFT(E5959,6)="TÉRREO",0,IFERROR(VALUE(LEFT(E5959,FIND("º",SUBSTITUTE(E5959,"°","º"))-1)),""))))</f>
        <v/>
      </c>
      <c r="O5959" s="2">
        <f>IF(OR(F5959="",G5959=""),"",IF(G5959&lt;='RETRATO 2027'!$K$5,"CONCLUÍDA",IF(F5959&lt;='RETRATO 2027'!$K$5,"EM ANDAMENTO","A INICIAR")))</f>
        <v/>
      </c>
    </row>
    <row r="5960">
      <c r="M5960" s="2">
        <f>IF(C5960="","",IFERROR(INDEX($S$5:$S$304,MATCH(C5960,$R$5:$R$304,0))&amp;"","?"))</f>
        <v/>
      </c>
      <c r="N5960" s="2">
        <f>IF(E5960="","",IF(ISNUMBER(SEARCH("SUBSOLO",E5960)),IFERROR(-VALUE(LEFT(E5960,FIND("º",SUBSTITUTE(E5960,"°","º"))-1)),-1),IF(LEFT(E5960,6)="TÉRREO",0,IFERROR(VALUE(LEFT(E5960,FIND("º",SUBSTITUTE(E5960,"°","º"))-1)),""))))</f>
        <v/>
      </c>
      <c r="O5960" s="2">
        <f>IF(OR(F5960="",G5960=""),"",IF(G5960&lt;='RETRATO 2027'!$K$5,"CONCLUÍDA",IF(F5960&lt;='RETRATO 2027'!$K$5,"EM ANDAMENTO","A INICIAR")))</f>
        <v/>
      </c>
    </row>
    <row r="5961">
      <c r="M5961" s="2">
        <f>IF(C5961="","",IFERROR(INDEX($S$5:$S$304,MATCH(C5961,$R$5:$R$304,0))&amp;"","?"))</f>
        <v/>
      </c>
      <c r="N5961" s="2">
        <f>IF(E5961="","",IF(ISNUMBER(SEARCH("SUBSOLO",E5961)),IFERROR(-VALUE(LEFT(E5961,FIND("º",SUBSTITUTE(E5961,"°","º"))-1)),-1),IF(LEFT(E5961,6)="TÉRREO",0,IFERROR(VALUE(LEFT(E5961,FIND("º",SUBSTITUTE(E5961,"°","º"))-1)),""))))</f>
        <v/>
      </c>
      <c r="O5961" s="2">
        <f>IF(OR(F5961="",G5961=""),"",IF(G5961&lt;='RETRATO 2027'!$K$5,"CONCLUÍDA",IF(F5961&lt;='RETRATO 2027'!$K$5,"EM ANDAMENTO","A INICIAR")))</f>
        <v/>
      </c>
    </row>
    <row r="5962">
      <c r="M5962" s="2">
        <f>IF(C5962="","",IFERROR(INDEX($S$5:$S$304,MATCH(C5962,$R$5:$R$304,0))&amp;"","?"))</f>
        <v/>
      </c>
      <c r="N5962" s="2">
        <f>IF(E5962="","",IF(ISNUMBER(SEARCH("SUBSOLO",E5962)),IFERROR(-VALUE(LEFT(E5962,FIND("º",SUBSTITUTE(E5962,"°","º"))-1)),-1),IF(LEFT(E5962,6)="TÉRREO",0,IFERROR(VALUE(LEFT(E5962,FIND("º",SUBSTITUTE(E5962,"°","º"))-1)),""))))</f>
        <v/>
      </c>
      <c r="O5962" s="2">
        <f>IF(OR(F5962="",G5962=""),"",IF(G5962&lt;='RETRATO 2027'!$K$5,"CONCLUÍDA",IF(F5962&lt;='RETRATO 2027'!$K$5,"EM ANDAMENTO","A INICIAR")))</f>
        <v/>
      </c>
    </row>
    <row r="5963">
      <c r="M5963" s="2">
        <f>IF(C5963="","",IFERROR(INDEX($S$5:$S$304,MATCH(C5963,$R$5:$R$304,0))&amp;"","?"))</f>
        <v/>
      </c>
      <c r="N5963" s="2">
        <f>IF(E5963="","",IF(ISNUMBER(SEARCH("SUBSOLO",E5963)),IFERROR(-VALUE(LEFT(E5963,FIND("º",SUBSTITUTE(E5963,"°","º"))-1)),-1),IF(LEFT(E5963,6)="TÉRREO",0,IFERROR(VALUE(LEFT(E5963,FIND("º",SUBSTITUTE(E5963,"°","º"))-1)),""))))</f>
        <v/>
      </c>
      <c r="O5963" s="2">
        <f>IF(OR(F5963="",G5963=""),"",IF(G5963&lt;='RETRATO 2027'!$K$5,"CONCLUÍDA",IF(F5963&lt;='RETRATO 2027'!$K$5,"EM ANDAMENTO","A INICIAR")))</f>
        <v/>
      </c>
    </row>
    <row r="5964">
      <c r="M5964" s="2">
        <f>IF(C5964="","",IFERROR(INDEX($S$5:$S$304,MATCH(C5964,$R$5:$R$304,0))&amp;"","?"))</f>
        <v/>
      </c>
      <c r="N5964" s="2">
        <f>IF(E5964="","",IF(ISNUMBER(SEARCH("SUBSOLO",E5964)),IFERROR(-VALUE(LEFT(E5964,FIND("º",SUBSTITUTE(E5964,"°","º"))-1)),-1),IF(LEFT(E5964,6)="TÉRREO",0,IFERROR(VALUE(LEFT(E5964,FIND("º",SUBSTITUTE(E5964,"°","º"))-1)),""))))</f>
        <v/>
      </c>
      <c r="O5964" s="2">
        <f>IF(OR(F5964="",G5964=""),"",IF(G5964&lt;='RETRATO 2027'!$K$5,"CONCLUÍDA",IF(F5964&lt;='RETRATO 2027'!$K$5,"EM ANDAMENTO","A INICIAR")))</f>
        <v/>
      </c>
    </row>
    <row r="5965">
      <c r="M5965" s="2">
        <f>IF(C5965="","",IFERROR(INDEX($S$5:$S$304,MATCH(C5965,$R$5:$R$304,0))&amp;"","?"))</f>
        <v/>
      </c>
      <c r="N5965" s="2">
        <f>IF(E5965="","",IF(ISNUMBER(SEARCH("SUBSOLO",E5965)),IFERROR(-VALUE(LEFT(E5965,FIND("º",SUBSTITUTE(E5965,"°","º"))-1)),-1),IF(LEFT(E5965,6)="TÉRREO",0,IFERROR(VALUE(LEFT(E5965,FIND("º",SUBSTITUTE(E5965,"°","º"))-1)),""))))</f>
        <v/>
      </c>
      <c r="O5965" s="2">
        <f>IF(OR(F5965="",G5965=""),"",IF(G5965&lt;='RETRATO 2027'!$K$5,"CONCLUÍDA",IF(F5965&lt;='RETRATO 2027'!$K$5,"EM ANDAMENTO","A INICIAR")))</f>
        <v/>
      </c>
    </row>
    <row r="5966">
      <c r="M5966" s="2">
        <f>IF(C5966="","",IFERROR(INDEX($S$5:$S$304,MATCH(C5966,$R$5:$R$304,0))&amp;"","?"))</f>
        <v/>
      </c>
      <c r="N5966" s="2">
        <f>IF(E5966="","",IF(ISNUMBER(SEARCH("SUBSOLO",E5966)),IFERROR(-VALUE(LEFT(E5966,FIND("º",SUBSTITUTE(E5966,"°","º"))-1)),-1),IF(LEFT(E5966,6)="TÉRREO",0,IFERROR(VALUE(LEFT(E5966,FIND("º",SUBSTITUTE(E5966,"°","º"))-1)),""))))</f>
        <v/>
      </c>
      <c r="O5966" s="2">
        <f>IF(OR(F5966="",G5966=""),"",IF(G5966&lt;='RETRATO 2027'!$K$5,"CONCLUÍDA",IF(F5966&lt;='RETRATO 2027'!$K$5,"EM ANDAMENTO","A INICIAR")))</f>
        <v/>
      </c>
    </row>
    <row r="5967">
      <c r="M5967" s="2">
        <f>IF(C5967="","",IFERROR(INDEX($S$5:$S$304,MATCH(C5967,$R$5:$R$304,0))&amp;"","?"))</f>
        <v/>
      </c>
      <c r="N5967" s="2">
        <f>IF(E5967="","",IF(ISNUMBER(SEARCH("SUBSOLO",E5967)),IFERROR(-VALUE(LEFT(E5967,FIND("º",SUBSTITUTE(E5967,"°","º"))-1)),-1),IF(LEFT(E5967,6)="TÉRREO",0,IFERROR(VALUE(LEFT(E5967,FIND("º",SUBSTITUTE(E5967,"°","º"))-1)),""))))</f>
        <v/>
      </c>
      <c r="O5967" s="2">
        <f>IF(OR(F5967="",G5967=""),"",IF(G5967&lt;='RETRATO 2027'!$K$5,"CONCLUÍDA",IF(F5967&lt;='RETRATO 2027'!$K$5,"EM ANDAMENTO","A INICIAR")))</f>
        <v/>
      </c>
    </row>
    <row r="5968">
      <c r="M5968" s="2">
        <f>IF(C5968="","",IFERROR(INDEX($S$5:$S$304,MATCH(C5968,$R$5:$R$304,0))&amp;"","?"))</f>
        <v/>
      </c>
      <c r="N5968" s="2">
        <f>IF(E5968="","",IF(ISNUMBER(SEARCH("SUBSOLO",E5968)),IFERROR(-VALUE(LEFT(E5968,FIND("º",SUBSTITUTE(E5968,"°","º"))-1)),-1),IF(LEFT(E5968,6)="TÉRREO",0,IFERROR(VALUE(LEFT(E5968,FIND("º",SUBSTITUTE(E5968,"°","º"))-1)),""))))</f>
        <v/>
      </c>
      <c r="O5968" s="2">
        <f>IF(OR(F5968="",G5968=""),"",IF(G5968&lt;='RETRATO 2027'!$K$5,"CONCLUÍDA",IF(F5968&lt;='RETRATO 2027'!$K$5,"EM ANDAMENTO","A INICIAR")))</f>
        <v/>
      </c>
    </row>
    <row r="5969">
      <c r="M5969" s="2">
        <f>IF(C5969="","",IFERROR(INDEX($S$5:$S$304,MATCH(C5969,$R$5:$R$304,0))&amp;"","?"))</f>
        <v/>
      </c>
      <c r="N5969" s="2">
        <f>IF(E5969="","",IF(ISNUMBER(SEARCH("SUBSOLO",E5969)),IFERROR(-VALUE(LEFT(E5969,FIND("º",SUBSTITUTE(E5969,"°","º"))-1)),-1),IF(LEFT(E5969,6)="TÉRREO",0,IFERROR(VALUE(LEFT(E5969,FIND("º",SUBSTITUTE(E5969,"°","º"))-1)),""))))</f>
        <v/>
      </c>
      <c r="O5969" s="2">
        <f>IF(OR(F5969="",G5969=""),"",IF(G5969&lt;='RETRATO 2027'!$K$5,"CONCLUÍDA",IF(F5969&lt;='RETRATO 2027'!$K$5,"EM ANDAMENTO","A INICIAR")))</f>
        <v/>
      </c>
    </row>
    <row r="5970">
      <c r="M5970" s="2">
        <f>IF(C5970="","",IFERROR(INDEX($S$5:$S$304,MATCH(C5970,$R$5:$R$304,0))&amp;"","?"))</f>
        <v/>
      </c>
      <c r="N5970" s="2">
        <f>IF(E5970="","",IF(ISNUMBER(SEARCH("SUBSOLO",E5970)),IFERROR(-VALUE(LEFT(E5970,FIND("º",SUBSTITUTE(E5970,"°","º"))-1)),-1),IF(LEFT(E5970,6)="TÉRREO",0,IFERROR(VALUE(LEFT(E5970,FIND("º",SUBSTITUTE(E5970,"°","º"))-1)),""))))</f>
        <v/>
      </c>
      <c r="O5970" s="2">
        <f>IF(OR(F5970="",G5970=""),"",IF(G5970&lt;='RETRATO 2027'!$K$5,"CONCLUÍDA",IF(F5970&lt;='RETRATO 2027'!$K$5,"EM ANDAMENTO","A INICIAR")))</f>
        <v/>
      </c>
    </row>
    <row r="5971">
      <c r="M5971" s="2">
        <f>IF(C5971="","",IFERROR(INDEX($S$5:$S$304,MATCH(C5971,$R$5:$R$304,0))&amp;"","?"))</f>
        <v/>
      </c>
      <c r="N5971" s="2">
        <f>IF(E5971="","",IF(ISNUMBER(SEARCH("SUBSOLO",E5971)),IFERROR(-VALUE(LEFT(E5971,FIND("º",SUBSTITUTE(E5971,"°","º"))-1)),-1),IF(LEFT(E5971,6)="TÉRREO",0,IFERROR(VALUE(LEFT(E5971,FIND("º",SUBSTITUTE(E5971,"°","º"))-1)),""))))</f>
        <v/>
      </c>
      <c r="O5971" s="2">
        <f>IF(OR(F5971="",G5971=""),"",IF(G5971&lt;='RETRATO 2027'!$K$5,"CONCLUÍDA",IF(F5971&lt;='RETRATO 2027'!$K$5,"EM ANDAMENTO","A INICIAR")))</f>
        <v/>
      </c>
    </row>
    <row r="5972">
      <c r="M5972" s="2">
        <f>IF(C5972="","",IFERROR(INDEX($S$5:$S$304,MATCH(C5972,$R$5:$R$304,0))&amp;"","?"))</f>
        <v/>
      </c>
      <c r="N5972" s="2">
        <f>IF(E5972="","",IF(ISNUMBER(SEARCH("SUBSOLO",E5972)),IFERROR(-VALUE(LEFT(E5972,FIND("º",SUBSTITUTE(E5972,"°","º"))-1)),-1),IF(LEFT(E5972,6)="TÉRREO",0,IFERROR(VALUE(LEFT(E5972,FIND("º",SUBSTITUTE(E5972,"°","º"))-1)),""))))</f>
        <v/>
      </c>
      <c r="O5972" s="2">
        <f>IF(OR(F5972="",G5972=""),"",IF(G5972&lt;='RETRATO 2027'!$K$5,"CONCLUÍDA",IF(F5972&lt;='RETRATO 2027'!$K$5,"EM ANDAMENTO","A INICIAR")))</f>
        <v/>
      </c>
    </row>
    <row r="5973">
      <c r="M5973" s="2">
        <f>IF(C5973="","",IFERROR(INDEX($S$5:$S$304,MATCH(C5973,$R$5:$R$304,0))&amp;"","?"))</f>
        <v/>
      </c>
      <c r="N5973" s="2">
        <f>IF(E5973="","",IF(ISNUMBER(SEARCH("SUBSOLO",E5973)),IFERROR(-VALUE(LEFT(E5973,FIND("º",SUBSTITUTE(E5973,"°","º"))-1)),-1),IF(LEFT(E5973,6)="TÉRREO",0,IFERROR(VALUE(LEFT(E5973,FIND("º",SUBSTITUTE(E5973,"°","º"))-1)),""))))</f>
        <v/>
      </c>
      <c r="O5973" s="2">
        <f>IF(OR(F5973="",G5973=""),"",IF(G5973&lt;='RETRATO 2027'!$K$5,"CONCLUÍDA",IF(F5973&lt;='RETRATO 2027'!$K$5,"EM ANDAMENTO","A INICIAR")))</f>
        <v/>
      </c>
    </row>
    <row r="5974">
      <c r="M5974" s="2">
        <f>IF(C5974="","",IFERROR(INDEX($S$5:$S$304,MATCH(C5974,$R$5:$R$304,0))&amp;"","?"))</f>
        <v/>
      </c>
      <c r="N5974" s="2">
        <f>IF(E5974="","",IF(ISNUMBER(SEARCH("SUBSOLO",E5974)),IFERROR(-VALUE(LEFT(E5974,FIND("º",SUBSTITUTE(E5974,"°","º"))-1)),-1),IF(LEFT(E5974,6)="TÉRREO",0,IFERROR(VALUE(LEFT(E5974,FIND("º",SUBSTITUTE(E5974,"°","º"))-1)),""))))</f>
        <v/>
      </c>
      <c r="O5974" s="2">
        <f>IF(OR(F5974="",G5974=""),"",IF(G5974&lt;='RETRATO 2027'!$K$5,"CONCLUÍDA",IF(F5974&lt;='RETRATO 2027'!$K$5,"EM ANDAMENTO","A INICIAR")))</f>
        <v/>
      </c>
    </row>
    <row r="5975">
      <c r="M5975" s="2">
        <f>IF(C5975="","",IFERROR(INDEX($S$5:$S$304,MATCH(C5975,$R$5:$R$304,0))&amp;"","?"))</f>
        <v/>
      </c>
      <c r="N5975" s="2">
        <f>IF(E5975="","",IF(ISNUMBER(SEARCH("SUBSOLO",E5975)),IFERROR(-VALUE(LEFT(E5975,FIND("º",SUBSTITUTE(E5975,"°","º"))-1)),-1),IF(LEFT(E5975,6)="TÉRREO",0,IFERROR(VALUE(LEFT(E5975,FIND("º",SUBSTITUTE(E5975,"°","º"))-1)),""))))</f>
        <v/>
      </c>
      <c r="O5975" s="2">
        <f>IF(OR(F5975="",G5975=""),"",IF(G5975&lt;='RETRATO 2027'!$K$5,"CONCLUÍDA",IF(F5975&lt;='RETRATO 2027'!$K$5,"EM ANDAMENTO","A INICIAR")))</f>
        <v/>
      </c>
    </row>
    <row r="5976">
      <c r="M5976" s="2">
        <f>IF(C5976="","",IFERROR(INDEX($S$5:$S$304,MATCH(C5976,$R$5:$R$304,0))&amp;"","?"))</f>
        <v/>
      </c>
      <c r="N5976" s="2">
        <f>IF(E5976="","",IF(ISNUMBER(SEARCH("SUBSOLO",E5976)),IFERROR(-VALUE(LEFT(E5976,FIND("º",SUBSTITUTE(E5976,"°","º"))-1)),-1),IF(LEFT(E5976,6)="TÉRREO",0,IFERROR(VALUE(LEFT(E5976,FIND("º",SUBSTITUTE(E5976,"°","º"))-1)),""))))</f>
        <v/>
      </c>
      <c r="O5976" s="2">
        <f>IF(OR(F5976="",G5976=""),"",IF(G5976&lt;='RETRATO 2027'!$K$5,"CONCLUÍDA",IF(F5976&lt;='RETRATO 2027'!$K$5,"EM ANDAMENTO","A INICIAR")))</f>
        <v/>
      </c>
    </row>
    <row r="5977">
      <c r="M5977" s="2">
        <f>IF(C5977="","",IFERROR(INDEX($S$5:$S$304,MATCH(C5977,$R$5:$R$304,0))&amp;"","?"))</f>
        <v/>
      </c>
      <c r="N5977" s="2">
        <f>IF(E5977="","",IF(ISNUMBER(SEARCH("SUBSOLO",E5977)),IFERROR(-VALUE(LEFT(E5977,FIND("º",SUBSTITUTE(E5977,"°","º"))-1)),-1),IF(LEFT(E5977,6)="TÉRREO",0,IFERROR(VALUE(LEFT(E5977,FIND("º",SUBSTITUTE(E5977,"°","º"))-1)),""))))</f>
        <v/>
      </c>
      <c r="O5977" s="2">
        <f>IF(OR(F5977="",G5977=""),"",IF(G5977&lt;='RETRATO 2027'!$K$5,"CONCLUÍDA",IF(F5977&lt;='RETRATO 2027'!$K$5,"EM ANDAMENTO","A INICIAR")))</f>
        <v/>
      </c>
    </row>
    <row r="5978">
      <c r="M5978" s="2">
        <f>IF(C5978="","",IFERROR(INDEX($S$5:$S$304,MATCH(C5978,$R$5:$R$304,0))&amp;"","?"))</f>
        <v/>
      </c>
      <c r="N5978" s="2">
        <f>IF(E5978="","",IF(ISNUMBER(SEARCH("SUBSOLO",E5978)),IFERROR(-VALUE(LEFT(E5978,FIND("º",SUBSTITUTE(E5978,"°","º"))-1)),-1),IF(LEFT(E5978,6)="TÉRREO",0,IFERROR(VALUE(LEFT(E5978,FIND("º",SUBSTITUTE(E5978,"°","º"))-1)),""))))</f>
        <v/>
      </c>
      <c r="O5978" s="2">
        <f>IF(OR(F5978="",G5978=""),"",IF(G5978&lt;='RETRATO 2027'!$K$5,"CONCLUÍDA",IF(F5978&lt;='RETRATO 2027'!$K$5,"EM ANDAMENTO","A INICIAR")))</f>
        <v/>
      </c>
    </row>
    <row r="5979">
      <c r="M5979" s="2">
        <f>IF(C5979="","",IFERROR(INDEX($S$5:$S$304,MATCH(C5979,$R$5:$R$304,0))&amp;"","?"))</f>
        <v/>
      </c>
      <c r="N5979" s="2">
        <f>IF(E5979="","",IF(ISNUMBER(SEARCH("SUBSOLO",E5979)),IFERROR(-VALUE(LEFT(E5979,FIND("º",SUBSTITUTE(E5979,"°","º"))-1)),-1),IF(LEFT(E5979,6)="TÉRREO",0,IFERROR(VALUE(LEFT(E5979,FIND("º",SUBSTITUTE(E5979,"°","º"))-1)),""))))</f>
        <v/>
      </c>
      <c r="O5979" s="2">
        <f>IF(OR(F5979="",G5979=""),"",IF(G5979&lt;='RETRATO 2027'!$K$5,"CONCLUÍDA",IF(F5979&lt;='RETRATO 2027'!$K$5,"EM ANDAMENTO","A INICIAR")))</f>
        <v/>
      </c>
    </row>
    <row r="5980">
      <c r="M5980" s="2">
        <f>IF(C5980="","",IFERROR(INDEX($S$5:$S$304,MATCH(C5980,$R$5:$R$304,0))&amp;"","?"))</f>
        <v/>
      </c>
      <c r="N5980" s="2">
        <f>IF(E5980="","",IF(ISNUMBER(SEARCH("SUBSOLO",E5980)),IFERROR(-VALUE(LEFT(E5980,FIND("º",SUBSTITUTE(E5980,"°","º"))-1)),-1),IF(LEFT(E5980,6)="TÉRREO",0,IFERROR(VALUE(LEFT(E5980,FIND("º",SUBSTITUTE(E5980,"°","º"))-1)),""))))</f>
        <v/>
      </c>
      <c r="O5980" s="2">
        <f>IF(OR(F5980="",G5980=""),"",IF(G5980&lt;='RETRATO 2027'!$K$5,"CONCLUÍDA",IF(F5980&lt;='RETRATO 2027'!$K$5,"EM ANDAMENTO","A INICIAR")))</f>
        <v/>
      </c>
    </row>
    <row r="5981">
      <c r="M5981" s="2">
        <f>IF(C5981="","",IFERROR(INDEX($S$5:$S$304,MATCH(C5981,$R$5:$R$304,0))&amp;"","?"))</f>
        <v/>
      </c>
      <c r="N5981" s="2">
        <f>IF(E5981="","",IF(ISNUMBER(SEARCH("SUBSOLO",E5981)),IFERROR(-VALUE(LEFT(E5981,FIND("º",SUBSTITUTE(E5981,"°","º"))-1)),-1),IF(LEFT(E5981,6)="TÉRREO",0,IFERROR(VALUE(LEFT(E5981,FIND("º",SUBSTITUTE(E5981,"°","º"))-1)),""))))</f>
        <v/>
      </c>
      <c r="O5981" s="2">
        <f>IF(OR(F5981="",G5981=""),"",IF(G5981&lt;='RETRATO 2027'!$K$5,"CONCLUÍDA",IF(F5981&lt;='RETRATO 2027'!$K$5,"EM ANDAMENTO","A INICIAR")))</f>
        <v/>
      </c>
    </row>
    <row r="5982">
      <c r="M5982" s="2">
        <f>IF(C5982="","",IFERROR(INDEX($S$5:$S$304,MATCH(C5982,$R$5:$R$304,0))&amp;"","?"))</f>
        <v/>
      </c>
      <c r="N5982" s="2">
        <f>IF(E5982="","",IF(ISNUMBER(SEARCH("SUBSOLO",E5982)),IFERROR(-VALUE(LEFT(E5982,FIND("º",SUBSTITUTE(E5982,"°","º"))-1)),-1),IF(LEFT(E5982,6)="TÉRREO",0,IFERROR(VALUE(LEFT(E5982,FIND("º",SUBSTITUTE(E5982,"°","º"))-1)),""))))</f>
        <v/>
      </c>
      <c r="O5982" s="2">
        <f>IF(OR(F5982="",G5982=""),"",IF(G5982&lt;='RETRATO 2027'!$K$5,"CONCLUÍDA",IF(F5982&lt;='RETRATO 2027'!$K$5,"EM ANDAMENTO","A INICIAR")))</f>
        <v/>
      </c>
    </row>
    <row r="5983">
      <c r="M5983" s="2">
        <f>IF(C5983="","",IFERROR(INDEX($S$5:$S$304,MATCH(C5983,$R$5:$R$304,0))&amp;"","?"))</f>
        <v/>
      </c>
      <c r="N5983" s="2">
        <f>IF(E5983="","",IF(ISNUMBER(SEARCH("SUBSOLO",E5983)),IFERROR(-VALUE(LEFT(E5983,FIND("º",SUBSTITUTE(E5983,"°","º"))-1)),-1),IF(LEFT(E5983,6)="TÉRREO",0,IFERROR(VALUE(LEFT(E5983,FIND("º",SUBSTITUTE(E5983,"°","º"))-1)),""))))</f>
        <v/>
      </c>
      <c r="O5983" s="2">
        <f>IF(OR(F5983="",G5983=""),"",IF(G5983&lt;='RETRATO 2027'!$K$5,"CONCLUÍDA",IF(F5983&lt;='RETRATO 2027'!$K$5,"EM ANDAMENTO","A INICIAR")))</f>
        <v/>
      </c>
    </row>
    <row r="5984">
      <c r="M5984" s="2">
        <f>IF(C5984="","",IFERROR(INDEX($S$5:$S$304,MATCH(C5984,$R$5:$R$304,0))&amp;"","?"))</f>
        <v/>
      </c>
      <c r="N5984" s="2">
        <f>IF(E5984="","",IF(ISNUMBER(SEARCH("SUBSOLO",E5984)),IFERROR(-VALUE(LEFT(E5984,FIND("º",SUBSTITUTE(E5984,"°","º"))-1)),-1),IF(LEFT(E5984,6)="TÉRREO",0,IFERROR(VALUE(LEFT(E5984,FIND("º",SUBSTITUTE(E5984,"°","º"))-1)),""))))</f>
        <v/>
      </c>
      <c r="O5984" s="2">
        <f>IF(OR(F5984="",G5984=""),"",IF(G5984&lt;='RETRATO 2027'!$K$5,"CONCLUÍDA",IF(F5984&lt;='RETRATO 2027'!$K$5,"EM ANDAMENTO","A INICIAR")))</f>
        <v/>
      </c>
    </row>
    <row r="5985">
      <c r="M5985" s="2">
        <f>IF(C5985="","",IFERROR(INDEX($S$5:$S$304,MATCH(C5985,$R$5:$R$304,0))&amp;"","?"))</f>
        <v/>
      </c>
      <c r="N5985" s="2">
        <f>IF(E5985="","",IF(ISNUMBER(SEARCH("SUBSOLO",E5985)),IFERROR(-VALUE(LEFT(E5985,FIND("º",SUBSTITUTE(E5985,"°","º"))-1)),-1),IF(LEFT(E5985,6)="TÉRREO",0,IFERROR(VALUE(LEFT(E5985,FIND("º",SUBSTITUTE(E5985,"°","º"))-1)),""))))</f>
        <v/>
      </c>
      <c r="O5985" s="2">
        <f>IF(OR(F5985="",G5985=""),"",IF(G5985&lt;='RETRATO 2027'!$K$5,"CONCLUÍDA",IF(F5985&lt;='RETRATO 2027'!$K$5,"EM ANDAMENTO","A INICIAR")))</f>
        <v/>
      </c>
    </row>
    <row r="5986">
      <c r="M5986" s="2">
        <f>IF(C5986="","",IFERROR(INDEX($S$5:$S$304,MATCH(C5986,$R$5:$R$304,0))&amp;"","?"))</f>
        <v/>
      </c>
      <c r="N5986" s="2">
        <f>IF(E5986="","",IF(ISNUMBER(SEARCH("SUBSOLO",E5986)),IFERROR(-VALUE(LEFT(E5986,FIND("º",SUBSTITUTE(E5986,"°","º"))-1)),-1),IF(LEFT(E5986,6)="TÉRREO",0,IFERROR(VALUE(LEFT(E5986,FIND("º",SUBSTITUTE(E5986,"°","º"))-1)),""))))</f>
        <v/>
      </c>
      <c r="O5986" s="2">
        <f>IF(OR(F5986="",G5986=""),"",IF(G5986&lt;='RETRATO 2027'!$K$5,"CONCLUÍDA",IF(F5986&lt;='RETRATO 2027'!$K$5,"EM ANDAMENTO","A INICIAR")))</f>
        <v/>
      </c>
    </row>
    <row r="5987">
      <c r="M5987" s="2">
        <f>IF(C5987="","",IFERROR(INDEX($S$5:$S$304,MATCH(C5987,$R$5:$R$304,0))&amp;"","?"))</f>
        <v/>
      </c>
      <c r="N5987" s="2">
        <f>IF(E5987="","",IF(ISNUMBER(SEARCH("SUBSOLO",E5987)),IFERROR(-VALUE(LEFT(E5987,FIND("º",SUBSTITUTE(E5987,"°","º"))-1)),-1),IF(LEFT(E5987,6)="TÉRREO",0,IFERROR(VALUE(LEFT(E5987,FIND("º",SUBSTITUTE(E5987,"°","º"))-1)),""))))</f>
        <v/>
      </c>
      <c r="O5987" s="2">
        <f>IF(OR(F5987="",G5987=""),"",IF(G5987&lt;='RETRATO 2027'!$K$5,"CONCLUÍDA",IF(F5987&lt;='RETRATO 2027'!$K$5,"EM ANDAMENTO","A INICIAR")))</f>
        <v/>
      </c>
    </row>
    <row r="5988">
      <c r="M5988" s="2">
        <f>IF(C5988="","",IFERROR(INDEX($S$5:$S$304,MATCH(C5988,$R$5:$R$304,0))&amp;"","?"))</f>
        <v/>
      </c>
      <c r="N5988" s="2">
        <f>IF(E5988="","",IF(ISNUMBER(SEARCH("SUBSOLO",E5988)),IFERROR(-VALUE(LEFT(E5988,FIND("º",SUBSTITUTE(E5988,"°","º"))-1)),-1),IF(LEFT(E5988,6)="TÉRREO",0,IFERROR(VALUE(LEFT(E5988,FIND("º",SUBSTITUTE(E5988,"°","º"))-1)),""))))</f>
        <v/>
      </c>
      <c r="O5988" s="2">
        <f>IF(OR(F5988="",G5988=""),"",IF(G5988&lt;='RETRATO 2027'!$K$5,"CONCLUÍDA",IF(F5988&lt;='RETRATO 2027'!$K$5,"EM ANDAMENTO","A INICIAR")))</f>
        <v/>
      </c>
    </row>
    <row r="5989">
      <c r="M5989" s="2">
        <f>IF(C5989="","",IFERROR(INDEX($S$5:$S$304,MATCH(C5989,$R$5:$R$304,0))&amp;"","?"))</f>
        <v/>
      </c>
      <c r="N5989" s="2">
        <f>IF(E5989="","",IF(ISNUMBER(SEARCH("SUBSOLO",E5989)),IFERROR(-VALUE(LEFT(E5989,FIND("º",SUBSTITUTE(E5989,"°","º"))-1)),-1),IF(LEFT(E5989,6)="TÉRREO",0,IFERROR(VALUE(LEFT(E5989,FIND("º",SUBSTITUTE(E5989,"°","º"))-1)),""))))</f>
        <v/>
      </c>
      <c r="O5989" s="2">
        <f>IF(OR(F5989="",G5989=""),"",IF(G5989&lt;='RETRATO 2027'!$K$5,"CONCLUÍDA",IF(F5989&lt;='RETRATO 2027'!$K$5,"EM ANDAMENTO","A INICIAR")))</f>
        <v/>
      </c>
    </row>
    <row r="5990">
      <c r="M5990" s="2">
        <f>IF(C5990="","",IFERROR(INDEX($S$5:$S$304,MATCH(C5990,$R$5:$R$304,0))&amp;"","?"))</f>
        <v/>
      </c>
      <c r="N5990" s="2">
        <f>IF(E5990="","",IF(ISNUMBER(SEARCH("SUBSOLO",E5990)),IFERROR(-VALUE(LEFT(E5990,FIND("º",SUBSTITUTE(E5990,"°","º"))-1)),-1),IF(LEFT(E5990,6)="TÉRREO",0,IFERROR(VALUE(LEFT(E5990,FIND("º",SUBSTITUTE(E5990,"°","º"))-1)),""))))</f>
        <v/>
      </c>
      <c r="O5990" s="2">
        <f>IF(OR(F5990="",G5990=""),"",IF(G5990&lt;='RETRATO 2027'!$K$5,"CONCLUÍDA",IF(F5990&lt;='RETRATO 2027'!$K$5,"EM ANDAMENTO","A INICIAR")))</f>
        <v/>
      </c>
    </row>
    <row r="5991">
      <c r="M5991" s="2">
        <f>IF(C5991="","",IFERROR(INDEX($S$5:$S$304,MATCH(C5991,$R$5:$R$304,0))&amp;"","?"))</f>
        <v/>
      </c>
      <c r="N5991" s="2">
        <f>IF(E5991="","",IF(ISNUMBER(SEARCH("SUBSOLO",E5991)),IFERROR(-VALUE(LEFT(E5991,FIND("º",SUBSTITUTE(E5991,"°","º"))-1)),-1),IF(LEFT(E5991,6)="TÉRREO",0,IFERROR(VALUE(LEFT(E5991,FIND("º",SUBSTITUTE(E5991,"°","º"))-1)),""))))</f>
        <v/>
      </c>
      <c r="O5991" s="2">
        <f>IF(OR(F5991="",G5991=""),"",IF(G5991&lt;='RETRATO 2027'!$K$5,"CONCLUÍDA",IF(F5991&lt;='RETRATO 2027'!$K$5,"EM ANDAMENTO","A INICIAR")))</f>
        <v/>
      </c>
    </row>
    <row r="5992">
      <c r="M5992" s="2">
        <f>IF(C5992="","",IFERROR(INDEX($S$5:$S$304,MATCH(C5992,$R$5:$R$304,0))&amp;"","?"))</f>
        <v/>
      </c>
      <c r="N5992" s="2">
        <f>IF(E5992="","",IF(ISNUMBER(SEARCH("SUBSOLO",E5992)),IFERROR(-VALUE(LEFT(E5992,FIND("º",SUBSTITUTE(E5992,"°","º"))-1)),-1),IF(LEFT(E5992,6)="TÉRREO",0,IFERROR(VALUE(LEFT(E5992,FIND("º",SUBSTITUTE(E5992,"°","º"))-1)),""))))</f>
        <v/>
      </c>
      <c r="O5992" s="2">
        <f>IF(OR(F5992="",G5992=""),"",IF(G5992&lt;='RETRATO 2027'!$K$5,"CONCLUÍDA",IF(F5992&lt;='RETRATO 2027'!$K$5,"EM ANDAMENTO","A INICIAR")))</f>
        <v/>
      </c>
    </row>
    <row r="5993">
      <c r="M5993" s="2">
        <f>IF(C5993="","",IFERROR(INDEX($S$5:$S$304,MATCH(C5993,$R$5:$R$304,0))&amp;"","?"))</f>
        <v/>
      </c>
      <c r="N5993" s="2">
        <f>IF(E5993="","",IF(ISNUMBER(SEARCH("SUBSOLO",E5993)),IFERROR(-VALUE(LEFT(E5993,FIND("º",SUBSTITUTE(E5993,"°","º"))-1)),-1),IF(LEFT(E5993,6)="TÉRREO",0,IFERROR(VALUE(LEFT(E5993,FIND("º",SUBSTITUTE(E5993,"°","º"))-1)),""))))</f>
        <v/>
      </c>
      <c r="O5993" s="2">
        <f>IF(OR(F5993="",G5993=""),"",IF(G5993&lt;='RETRATO 2027'!$K$5,"CONCLUÍDA",IF(F5993&lt;='RETRATO 2027'!$K$5,"EM ANDAMENTO","A INICIAR")))</f>
        <v/>
      </c>
    </row>
    <row r="5994">
      <c r="M5994" s="2">
        <f>IF(C5994="","",IFERROR(INDEX($S$5:$S$304,MATCH(C5994,$R$5:$R$304,0))&amp;"","?"))</f>
        <v/>
      </c>
      <c r="N5994" s="2">
        <f>IF(E5994="","",IF(ISNUMBER(SEARCH("SUBSOLO",E5994)),IFERROR(-VALUE(LEFT(E5994,FIND("º",SUBSTITUTE(E5994,"°","º"))-1)),-1),IF(LEFT(E5994,6)="TÉRREO",0,IFERROR(VALUE(LEFT(E5994,FIND("º",SUBSTITUTE(E5994,"°","º"))-1)),""))))</f>
        <v/>
      </c>
      <c r="O5994" s="2">
        <f>IF(OR(F5994="",G5994=""),"",IF(G5994&lt;='RETRATO 2027'!$K$5,"CONCLUÍDA",IF(F5994&lt;='RETRATO 2027'!$K$5,"EM ANDAMENTO","A INICIAR")))</f>
        <v/>
      </c>
    </row>
    <row r="5995">
      <c r="M5995" s="2">
        <f>IF(C5995="","",IFERROR(INDEX($S$5:$S$304,MATCH(C5995,$R$5:$R$304,0))&amp;"","?"))</f>
        <v/>
      </c>
      <c r="N5995" s="2">
        <f>IF(E5995="","",IF(ISNUMBER(SEARCH("SUBSOLO",E5995)),IFERROR(-VALUE(LEFT(E5995,FIND("º",SUBSTITUTE(E5995,"°","º"))-1)),-1),IF(LEFT(E5995,6)="TÉRREO",0,IFERROR(VALUE(LEFT(E5995,FIND("º",SUBSTITUTE(E5995,"°","º"))-1)),""))))</f>
        <v/>
      </c>
      <c r="O5995" s="2">
        <f>IF(OR(F5995="",G5995=""),"",IF(G5995&lt;='RETRATO 2027'!$K$5,"CONCLUÍDA",IF(F5995&lt;='RETRATO 2027'!$K$5,"EM ANDAMENTO","A INICIAR")))</f>
        <v/>
      </c>
    </row>
    <row r="5996">
      <c r="M5996" s="2">
        <f>IF(C5996="","",IFERROR(INDEX($S$5:$S$304,MATCH(C5996,$R$5:$R$304,0))&amp;"","?"))</f>
        <v/>
      </c>
      <c r="N5996" s="2">
        <f>IF(E5996="","",IF(ISNUMBER(SEARCH("SUBSOLO",E5996)),IFERROR(-VALUE(LEFT(E5996,FIND("º",SUBSTITUTE(E5996,"°","º"))-1)),-1),IF(LEFT(E5996,6)="TÉRREO",0,IFERROR(VALUE(LEFT(E5996,FIND("º",SUBSTITUTE(E5996,"°","º"))-1)),""))))</f>
        <v/>
      </c>
      <c r="O5996" s="2">
        <f>IF(OR(F5996="",G5996=""),"",IF(G5996&lt;='RETRATO 2027'!$K$5,"CONCLUÍDA",IF(F5996&lt;='RETRATO 2027'!$K$5,"EM ANDAMENTO","A INICIAR")))</f>
        <v/>
      </c>
    </row>
    <row r="5997">
      <c r="M5997" s="2">
        <f>IF(C5997="","",IFERROR(INDEX($S$5:$S$304,MATCH(C5997,$R$5:$R$304,0))&amp;"","?"))</f>
        <v/>
      </c>
      <c r="N5997" s="2">
        <f>IF(E5997="","",IF(ISNUMBER(SEARCH("SUBSOLO",E5997)),IFERROR(-VALUE(LEFT(E5997,FIND("º",SUBSTITUTE(E5997,"°","º"))-1)),-1),IF(LEFT(E5997,6)="TÉRREO",0,IFERROR(VALUE(LEFT(E5997,FIND("º",SUBSTITUTE(E5997,"°","º"))-1)),""))))</f>
        <v/>
      </c>
      <c r="O5997" s="2">
        <f>IF(OR(F5997="",G5997=""),"",IF(G5997&lt;='RETRATO 2027'!$K$5,"CONCLUÍDA",IF(F5997&lt;='RETRATO 2027'!$K$5,"EM ANDAMENTO","A INICIAR")))</f>
        <v/>
      </c>
    </row>
    <row r="5998">
      <c r="M5998" s="2">
        <f>IF(C5998="","",IFERROR(INDEX($S$5:$S$304,MATCH(C5998,$R$5:$R$304,0))&amp;"","?"))</f>
        <v/>
      </c>
      <c r="N5998" s="2">
        <f>IF(E5998="","",IF(ISNUMBER(SEARCH("SUBSOLO",E5998)),IFERROR(-VALUE(LEFT(E5998,FIND("º",SUBSTITUTE(E5998,"°","º"))-1)),-1),IF(LEFT(E5998,6)="TÉRREO",0,IFERROR(VALUE(LEFT(E5998,FIND("º",SUBSTITUTE(E5998,"°","º"))-1)),""))))</f>
        <v/>
      </c>
      <c r="O5998" s="2">
        <f>IF(OR(F5998="",G5998=""),"",IF(G5998&lt;='RETRATO 2027'!$K$5,"CONCLUÍDA",IF(F5998&lt;='RETRATO 2027'!$K$5,"EM ANDAMENTO","A INICIAR")))</f>
        <v/>
      </c>
    </row>
    <row r="5999">
      <c r="M5999" s="2">
        <f>IF(C5999="","",IFERROR(INDEX($S$5:$S$304,MATCH(C5999,$R$5:$R$304,0))&amp;"","?"))</f>
        <v/>
      </c>
      <c r="N5999" s="2">
        <f>IF(E5999="","",IF(ISNUMBER(SEARCH("SUBSOLO",E5999)),IFERROR(-VALUE(LEFT(E5999,FIND("º",SUBSTITUTE(E5999,"°","º"))-1)),-1),IF(LEFT(E5999,6)="TÉRREO",0,IFERROR(VALUE(LEFT(E5999,FIND("º",SUBSTITUTE(E5999,"°","º"))-1)),""))))</f>
        <v/>
      </c>
      <c r="O5999" s="2">
        <f>IF(OR(F5999="",G5999=""),"",IF(G5999&lt;='RETRATO 2027'!$K$5,"CONCLUÍDA",IF(F5999&lt;='RETRATO 2027'!$K$5,"EM ANDAMENTO","A INICIAR")))</f>
        <v/>
      </c>
    </row>
    <row r="6000">
      <c r="M6000" s="2">
        <f>IF(C6000="","",IFERROR(INDEX($S$5:$S$304,MATCH(C6000,$R$5:$R$304,0))&amp;"","?"))</f>
        <v/>
      </c>
      <c r="N6000" s="2">
        <f>IF(E6000="","",IF(ISNUMBER(SEARCH("SUBSOLO",E6000)),IFERROR(-VALUE(LEFT(E6000,FIND("º",SUBSTITUTE(E6000,"°","º"))-1)),-1),IF(LEFT(E6000,6)="TÉRREO",0,IFERROR(VALUE(LEFT(E6000,FIND("º",SUBSTITUTE(E6000,"°","º"))-1)),""))))</f>
        <v/>
      </c>
      <c r="O6000" s="2">
        <f>IF(OR(F6000="",G6000=""),"",IF(G6000&lt;='RETRATO 2027'!$K$5,"CONCLUÍDA",IF(F6000&lt;='RETRATO 2027'!$K$5,"EM ANDAMENTO","A INICIAR")))</f>
        <v/>
      </c>
    </row>
    <row r="6001">
      <c r="M6001" s="2">
        <f>IF(C6001="","",IFERROR(INDEX($S$5:$S$304,MATCH(C6001,$R$5:$R$304,0))&amp;"","?"))</f>
        <v/>
      </c>
      <c r="N6001" s="2">
        <f>IF(E6001="","",IF(ISNUMBER(SEARCH("SUBSOLO",E6001)),IFERROR(-VALUE(LEFT(E6001,FIND("º",SUBSTITUTE(E6001,"°","º"))-1)),-1),IF(LEFT(E6001,6)="TÉRREO",0,IFERROR(VALUE(LEFT(E6001,FIND("º",SUBSTITUTE(E6001,"°","º"))-1)),""))))</f>
        <v/>
      </c>
      <c r="O6001" s="2">
        <f>IF(OR(F6001="",G6001=""),"",IF(G6001&lt;='RETRATO 2027'!$K$5,"CONCLUÍDA",IF(F6001&lt;='RETRATO 2027'!$K$5,"EM ANDAMENTO","A INICIAR")))</f>
        <v/>
      </c>
    </row>
    <row r="6002">
      <c r="M6002" s="2">
        <f>IF(C6002="","",IFERROR(INDEX($S$5:$S$304,MATCH(C6002,$R$5:$R$304,0))&amp;"","?"))</f>
        <v/>
      </c>
      <c r="N6002" s="2">
        <f>IF(E6002="","",IF(ISNUMBER(SEARCH("SUBSOLO",E6002)),IFERROR(-VALUE(LEFT(E6002,FIND("º",SUBSTITUTE(E6002,"°","º"))-1)),-1),IF(LEFT(E6002,6)="TÉRREO",0,IFERROR(VALUE(LEFT(E6002,FIND("º",SUBSTITUTE(E6002,"°","º"))-1)),""))))</f>
        <v/>
      </c>
      <c r="O6002" s="2">
        <f>IF(OR(F6002="",G6002=""),"",IF(G6002&lt;='RETRATO 2027'!$K$5,"CONCLUÍDA",IF(F6002&lt;='RETRATO 2027'!$K$5,"EM ANDAMENTO","A INICIAR")))</f>
        <v/>
      </c>
    </row>
    <row r="6003">
      <c r="M6003" s="2">
        <f>IF(C6003="","",IFERROR(INDEX($S$5:$S$304,MATCH(C6003,$R$5:$R$304,0))&amp;"","?"))</f>
        <v/>
      </c>
      <c r="N6003" s="2">
        <f>IF(E6003="","",IF(ISNUMBER(SEARCH("SUBSOLO",E6003)),IFERROR(-VALUE(LEFT(E6003,FIND("º",SUBSTITUTE(E6003,"°","º"))-1)),-1),IF(LEFT(E6003,6)="TÉRREO",0,IFERROR(VALUE(LEFT(E6003,FIND("º",SUBSTITUTE(E6003,"°","º"))-1)),""))))</f>
        <v/>
      </c>
      <c r="O6003" s="2">
        <f>IF(OR(F6003="",G6003=""),"",IF(G6003&lt;='RETRATO 2027'!$K$5,"CONCLUÍDA",IF(F6003&lt;='RETRATO 2027'!$K$5,"EM ANDAMENTO","A INICIAR")))</f>
        <v/>
      </c>
    </row>
    <row r="6004">
      <c r="M6004" s="2">
        <f>IF(C6004="","",IFERROR(INDEX($S$5:$S$304,MATCH(C6004,$R$5:$R$304,0))&amp;"","?"))</f>
        <v/>
      </c>
      <c r="N6004" s="2">
        <f>IF(E6004="","",IF(ISNUMBER(SEARCH("SUBSOLO",E6004)),IFERROR(-VALUE(LEFT(E6004,FIND("º",SUBSTITUTE(E6004,"°","º"))-1)),-1),IF(LEFT(E6004,6)="TÉRREO",0,IFERROR(VALUE(LEFT(E6004,FIND("º",SUBSTITUTE(E6004,"°","º"))-1)),""))))</f>
        <v/>
      </c>
      <c r="O6004" s="2">
        <f>IF(OR(F6004="",G6004=""),"",IF(G6004&lt;='RETRATO 2027'!$K$5,"CONCLUÍDA",IF(F6004&lt;='RETRATO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6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27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70">
        <f>COUNTIF('CURVA PREVISION'!$I$2:$KZ$2,"??/??/????")+COUNT('CURVA PREVISION'!$I$2:$KZ$2)</f>
        <v/>
      </c>
    </row>
    <row r="3">
      <c r="C3" s="123" t="inlineStr">
        <is>
          <t>índice do mês →</t>
        </is>
      </c>
      <c r="D3" s="128">
        <f>IF($B$2="","",(YEAR(D4)-YEAR($B$2))*12+MONTH(D4)-MONTH($B$2))</f>
        <v/>
      </c>
      <c r="E3" s="128">
        <f>IF($B$2="","",(YEAR(E4)-YEAR($B$2))*12+MONTH(E4)-MONTH($B$2))</f>
        <v/>
      </c>
      <c r="F3" s="128">
        <f>IF($B$2="","",(YEAR(F4)-YEAR($B$2))*12+MONTH(F4)-MONTH($B$2))</f>
        <v/>
      </c>
      <c r="G3" s="128">
        <f>IF($B$2="","",(YEAR(G4)-YEAR($B$2))*12+MONTH(G4)-MONTH($B$2))</f>
        <v/>
      </c>
      <c r="H3" s="128">
        <f>IF($B$2="","",(YEAR(H4)-YEAR($B$2))*12+MONTH(H4)-MONTH($B$2))</f>
        <v/>
      </c>
      <c r="I3" s="128">
        <f>IF($B$2="","",(YEAR(I4)-YEAR($B$2))*12+MONTH(I4)-MONTH($B$2))</f>
        <v/>
      </c>
      <c r="J3" s="128">
        <f>IF($B$2="","",(YEAR(J4)-YEAR($B$2))*12+MONTH(J4)-MONTH($B$2))</f>
        <v/>
      </c>
      <c r="K3" s="128">
        <f>IF($B$2="","",(YEAR(K4)-YEAR($B$2))*12+MONTH(K4)-MONTH($B$2))</f>
        <v/>
      </c>
      <c r="L3" s="128">
        <f>IF($B$2="","",(YEAR(L4)-YEAR($B$2))*12+MONTH(L4)-MONTH($B$2))</f>
        <v/>
      </c>
      <c r="M3" s="128">
        <f>IF($B$2="","",(YEAR(M4)-YEAR($B$2))*12+MONTH(M4)-MONTH($B$2))</f>
        <v/>
      </c>
      <c r="N3" s="128">
        <f>IF($B$2="","",(YEAR(N4)-YEAR($B$2))*12+MONTH(N4)-MONTH($B$2))</f>
        <v/>
      </c>
      <c r="O3" s="128">
        <f>IF($B$2="","",(YEAR(O4)-YEAR($B$2))*12+MONTH(O4)-MONTH($B$2))</f>
        <v/>
      </c>
      <c r="P3" s="128">
        <f>IF($B$2="","",(YEAR(P4)-YEAR($B$2))*12+MONTH(P4)-MONTH($B$2))</f>
        <v/>
      </c>
      <c r="Q3" s="128">
        <f>IF($B$2="","",(YEAR(Q4)-YEAR($B$2))*12+MONTH(Q4)-MONTH($B$2))</f>
        <v/>
      </c>
      <c r="R3" s="128">
        <f>IF($B$2="","",(YEAR(R4)-YEAR($B$2))*12+MONTH(R4)-MONTH($B$2))</f>
        <v/>
      </c>
      <c r="S3" s="128">
        <f>IF($B$2="","",(YEAR(S4)-YEAR($B$2))*12+MONTH(S4)-MONTH($B$2))</f>
        <v/>
      </c>
      <c r="T3" s="128">
        <f>IF($B$2="","",(YEAR(T4)-YEAR($B$2))*12+MONTH(T4)-MONTH($B$2))</f>
        <v/>
      </c>
      <c r="U3" s="128">
        <f>IF($B$2="","",(YEAR(U4)-YEAR($B$2))*12+MONTH(U4)-MONTH($B$2))</f>
        <v/>
      </c>
      <c r="V3" s="128">
        <f>IF($B$2="","",(YEAR(V4)-YEAR($B$2))*12+MONTH(V4)-MONTH($B$2))</f>
        <v/>
      </c>
      <c r="W3" s="128">
        <f>IF($B$2="","",(YEAR(W4)-YEAR($B$2))*12+MONTH(W4)-MONTH($B$2))</f>
        <v/>
      </c>
      <c r="X3" s="128">
        <f>IF($B$2="","",(YEAR(X4)-YEAR($B$2))*12+MONTH(X4)-MONTH($B$2))</f>
        <v/>
      </c>
      <c r="Y3" s="128">
        <f>IF($B$2="","",(YEAR(Y4)-YEAR($B$2))*12+MONTH(Y4)-MONTH($B$2))</f>
        <v/>
      </c>
      <c r="Z3" s="128">
        <f>IF($B$2="","",(YEAR(Z4)-YEAR($B$2))*12+MONTH(Z4)-MONTH($B$2))</f>
        <v/>
      </c>
      <c r="AA3" s="128">
        <f>IF($B$2="","",(YEAR(AA4)-YEAR($B$2))*12+MONTH(AA4)-MONTH($B$2))</f>
        <v/>
      </c>
      <c r="AB3" s="128">
        <f>IF($B$2="","",(YEAR(AB4)-YEAR($B$2))*12+MONTH(AB4)-MONTH($B$2))</f>
        <v/>
      </c>
      <c r="AC3" s="128">
        <f>IF($B$2="","",(YEAR(AC4)-YEAR($B$2))*12+MONTH(AC4)-MONTH($B$2))</f>
        <v/>
      </c>
      <c r="AD3" s="128">
        <f>IF($B$2="","",(YEAR(AD4)-YEAR($B$2))*12+MONTH(AD4)-MONTH($B$2))</f>
        <v/>
      </c>
      <c r="AE3" s="128">
        <f>IF($B$2="","",(YEAR(AE4)-YEAR($B$2))*12+MONTH(AE4)-MONTH($B$2))</f>
        <v/>
      </c>
      <c r="AF3" s="128">
        <f>IF($B$2="","",(YEAR(AF4)-YEAR($B$2))*12+MONTH(AF4)-MONTH($B$2))</f>
        <v/>
      </c>
      <c r="AG3" s="128">
        <f>IF($B$2="","",(YEAR(AG4)-YEAR($B$2))*12+MONTH(AG4)-MONTH($B$2))</f>
        <v/>
      </c>
      <c r="AH3" s="128">
        <f>IF($B$2="","",(YEAR(AH4)-YEAR($B$2))*12+MONTH(AH4)-MONTH($B$2))</f>
        <v/>
      </c>
      <c r="AI3" s="128">
        <f>IF($B$2="","",(YEAR(AI4)-YEAR($B$2))*12+MONTH(AI4)-MONTH($B$2))</f>
        <v/>
      </c>
      <c r="AJ3" s="128">
        <f>IF($B$2="","",(YEAR(AJ4)-YEAR($B$2))*12+MONTH(AJ4)-MONTH($B$2))</f>
        <v/>
      </c>
      <c r="AK3" s="128">
        <f>IF($B$2="","",(YEAR(AK4)-YEAR($B$2))*12+MONTH(AK4)-MONTH($B$2))</f>
        <v/>
      </c>
      <c r="AL3" s="128">
        <f>IF($B$2="","",(YEAR(AL4)-YEAR($B$2))*12+MONTH(AL4)-MONTH($B$2))</f>
        <v/>
      </c>
      <c r="AM3" s="128">
        <f>IF($B$2="","",(YEAR(AM4)-YEAR($B$2))*12+MONTH(AM4)-MONTH($B$2))</f>
        <v/>
      </c>
      <c r="AN3" s="128">
        <f>IF($B$2="","",(YEAR(AN4)-YEAR($B$2))*12+MONTH(AN4)-MONTH($B$2))</f>
        <v/>
      </c>
      <c r="AO3" s="128">
        <f>IF($B$2="","",(YEAR(AO4)-YEAR($B$2))*12+MONTH(AO4)-MONTH($B$2))</f>
        <v/>
      </c>
      <c r="AP3" s="128">
        <f>IF($B$2="","",(YEAR(AP4)-YEAR($B$2))*12+MONTH(AP4)-MONTH($B$2))</f>
        <v/>
      </c>
      <c r="AQ3" s="128">
        <f>IF($B$2="","",(YEAR(AQ4)-YEAR($B$2))*12+MONTH(AQ4)-MONTH($B$2))</f>
        <v/>
      </c>
      <c r="AR3" s="128">
        <f>IF($B$2="","",(YEAR(AR4)-YEAR($B$2))*12+MONTH(AR4)-MONTH($B$2))</f>
        <v/>
      </c>
      <c r="AS3" s="128">
        <f>IF($B$2="","",(YEAR(AS4)-YEAR($B$2))*12+MONTH(AS4)-MONTH($B$2))</f>
        <v/>
      </c>
      <c r="AT3" s="128">
        <f>IF($B$2="","",(YEAR(AT4)-YEAR($B$2))*12+MONTH(AT4)-MONTH($B$2))</f>
        <v/>
      </c>
      <c r="AU3" s="128">
        <f>IF($B$2="","",(YEAR(AU4)-YEAR($B$2))*12+MONTH(AU4)-MONTH($B$2))</f>
        <v/>
      </c>
      <c r="AV3" s="128">
        <f>IF($B$2="","",(YEAR(AV4)-YEAR($B$2))*12+MONTH(AV4)-MONTH($B$2))</f>
        <v/>
      </c>
      <c r="AW3" s="128">
        <f>IF($B$2="","",(YEAR(AW4)-YEAR($B$2))*12+MONTH(AW4)-MONTH($B$2))</f>
        <v/>
      </c>
      <c r="AX3" s="128">
        <f>IF($B$2="","",(YEAR(AX4)-YEAR($B$2))*12+MONTH(AX4)-MONTH($B$2))</f>
        <v/>
      </c>
      <c r="AY3" s="128">
        <f>IF($B$2="","",(YEAR(AY4)-YEAR($B$2))*12+MONTH(AY4)-MONTH($B$2))</f>
        <v/>
      </c>
      <c r="AZ3" s="128">
        <f>IF($B$2="","",(YEAR(AZ4)-YEAR($B$2))*12+MONTH(AZ4)-MONTH($B$2))</f>
        <v/>
      </c>
      <c r="BA3" s="128">
        <f>IF($B$2="","",(YEAR(BA4)-YEAR($B$2))*12+MONTH(BA4)-MONTH($B$2))</f>
        <v/>
      </c>
      <c r="BB3" s="128">
        <f>IF($B$2="","",(YEAR(BB4)-YEAR($B$2))*12+MONTH(BB4)-MONTH($B$2))</f>
        <v/>
      </c>
      <c r="BC3" s="128">
        <f>IF($B$2="","",(YEAR(BC4)-YEAR($B$2))*12+MONTH(BC4)-MONTH($B$2))</f>
        <v/>
      </c>
      <c r="BD3" s="128">
        <f>IF($B$2="","",(YEAR(BD4)-YEAR($B$2))*12+MONTH(BD4)-MONTH($B$2))</f>
        <v/>
      </c>
      <c r="BE3" s="128">
        <f>IF($B$2="","",(YEAR(BE4)-YEAR($B$2))*12+MONTH(BE4)-MONTH($B$2))</f>
        <v/>
      </c>
      <c r="BF3" s="128">
        <f>IF($B$2="","",(YEAR(BF4)-YEAR($B$2))*12+MONTH(BF4)-MONTH($B$2))</f>
        <v/>
      </c>
      <c r="BG3" s="128">
        <f>IF($B$2="","",(YEAR(BG4)-YEAR($B$2))*12+MONTH(BG4)-MONTH($B$2))</f>
        <v/>
      </c>
      <c r="BH3" s="128">
        <f>IF($B$2="","",(YEAR(BH4)-YEAR($B$2))*12+MONTH(BH4)-MONTH($B$2))</f>
        <v/>
      </c>
      <c r="BI3" s="128">
        <f>IF($B$2="","",(YEAR(BI4)-YEAR($B$2))*12+MONTH(BI4)-MONTH($B$2))</f>
        <v/>
      </c>
      <c r="BJ3" s="128">
        <f>IF($B$2="","",(YEAR(BJ4)-YEAR($B$2))*12+MONTH(BJ4)-MONTH($B$2))</f>
        <v/>
      </c>
      <c r="BK3" s="128">
        <f>IF($B$2="","",(YEAR(BK4)-YEAR($B$2))*12+MONTH(BK4)-MONTH($B$2))</f>
        <v/>
      </c>
      <c r="BL3" s="128">
        <f>IF($B$2="","",(YEAR(BL4)-YEAR($B$2))*12+MONTH(BL4)-MONTH($B$2))</f>
        <v/>
      </c>
      <c r="BM3" s="128">
        <f>IF($B$2="","",(YEAR(BM4)-YEAR($B$2))*12+MONTH(BM4)-MONTH($B$2))</f>
        <v/>
      </c>
      <c r="BN3" s="128">
        <f>IF($B$2="","",(YEAR(BN4)-YEAR($B$2))*12+MONTH(BN4)-MONTH($B$2))</f>
        <v/>
      </c>
      <c r="BO3" s="128">
        <f>IF($B$2="","",(YEAR(BO4)-YEAR($B$2))*12+MONTH(BO4)-MONTH($B$2))</f>
        <v/>
      </c>
      <c r="BP3" s="128">
        <f>IF($B$2="","",(YEAR(BP4)-YEAR($B$2))*12+MONTH(BP4)-MONTH($B$2))</f>
        <v/>
      </c>
      <c r="BQ3" s="128">
        <f>IF($B$2="","",(YEAR(BQ4)-YEAR($B$2))*12+MONTH(BQ4)-MONTH($B$2))</f>
        <v/>
      </c>
      <c r="BR3" s="128">
        <f>IF($B$2="","",(YEAR(BR4)-YEAR($B$2))*12+MONTH(BR4)-MONTH($B$2))</f>
        <v/>
      </c>
      <c r="BS3" s="128">
        <f>IF($B$2="","",(YEAR(BS4)-YEAR($B$2))*12+MONTH(BS4)-MONTH($B$2))</f>
        <v/>
      </c>
      <c r="BT3" s="128">
        <f>IF($B$2="","",(YEAR(BT4)-YEAR($B$2))*12+MONTH(BT4)-MONTH($B$2))</f>
        <v/>
      </c>
      <c r="BU3" s="128">
        <f>IF($B$2="","",(YEAR(BU4)-YEAR($B$2))*12+MONTH(BU4)-MONTH($B$2))</f>
        <v/>
      </c>
      <c r="BV3" s="128">
        <f>IF($B$2="","",(YEAR(BV4)-YEAR($B$2))*12+MONTH(BV4)-MONTH($B$2))</f>
        <v/>
      </c>
      <c r="BW3" s="128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</row>
    <row r="5">
      <c r="A5" s="61">
        <f>IF('VALOR POR PL'!R11&lt;&gt;"",'VALOR POR PL'!R11,IF('VALOR POR PL'!Q11="",'VALOR POR PL'!C11,'VALOR POR PL'!Q11))</f>
        <v/>
      </c>
      <c r="B5" s="61">
        <f>'VALOR POR PL'!D11</f>
        <v/>
      </c>
      <c r="C5" s="70">
        <f>IFERROR(MATCH(A5,'CURVA PREVISION'!$B$1:$B$3000,0),"")</f>
        <v/>
      </c>
      <c r="D5" s="130">
        <f>IF(OR($C5="",$B$2="",$D$2=0),0,IF(D$3&lt;0,0,N(INDEX('CURVA PREVISION'!$A$1:$KZ$3000,$C5,10+3*MIN(D$3,$D$2-1)))))</f>
        <v/>
      </c>
      <c r="E5" s="130">
        <f>IF(OR($C5="",$B$2="",$D$2=0),0,IF(E$3&lt;0,0,N(INDEX('CURVA PREVISION'!$A$1:$KZ$3000,$C5,10+3*MIN(E$3,$D$2-1)))))</f>
        <v/>
      </c>
      <c r="F5" s="130">
        <f>IF(OR($C5="",$B$2="",$D$2=0),0,IF(F$3&lt;0,0,N(INDEX('CURVA PREVISION'!$A$1:$KZ$3000,$C5,10+3*MIN(F$3,$D$2-1)))))</f>
        <v/>
      </c>
      <c r="G5" s="130">
        <f>IF(OR($C5="",$B$2="",$D$2=0),0,IF(G$3&lt;0,0,N(INDEX('CURVA PREVISION'!$A$1:$KZ$3000,$C5,10+3*MIN(G$3,$D$2-1)))))</f>
        <v/>
      </c>
      <c r="H5" s="130">
        <f>IF(OR($C5="",$B$2="",$D$2=0),0,IF(H$3&lt;0,0,N(INDEX('CURVA PREVISION'!$A$1:$KZ$3000,$C5,10+3*MIN(H$3,$D$2-1)))))</f>
        <v/>
      </c>
      <c r="I5" s="130">
        <f>IF(OR($C5="",$B$2="",$D$2=0),0,IF(I$3&lt;0,0,N(INDEX('CURVA PREVISION'!$A$1:$KZ$3000,$C5,10+3*MIN(I$3,$D$2-1)))))</f>
        <v/>
      </c>
      <c r="J5" s="130">
        <f>IF(OR($C5="",$B$2="",$D$2=0),0,IF(J$3&lt;0,0,N(INDEX('CURVA PREVISION'!$A$1:$KZ$3000,$C5,10+3*MIN(J$3,$D$2-1)))))</f>
        <v/>
      </c>
      <c r="K5" s="130">
        <f>IF(OR($C5="",$B$2="",$D$2=0),0,IF(K$3&lt;0,0,N(INDEX('CURVA PREVISION'!$A$1:$KZ$3000,$C5,10+3*MIN(K$3,$D$2-1)))))</f>
        <v/>
      </c>
      <c r="L5" s="130">
        <f>IF(OR($C5="",$B$2="",$D$2=0),0,IF(L$3&lt;0,0,N(INDEX('CURVA PREVISION'!$A$1:$KZ$3000,$C5,10+3*MIN(L$3,$D$2-1)))))</f>
        <v/>
      </c>
      <c r="M5" s="130">
        <f>IF(OR($C5="",$B$2="",$D$2=0),0,IF(M$3&lt;0,0,N(INDEX('CURVA PREVISION'!$A$1:$KZ$3000,$C5,10+3*MIN(M$3,$D$2-1)))))</f>
        <v/>
      </c>
      <c r="N5" s="130">
        <f>IF(OR($C5="",$B$2="",$D$2=0),0,IF(N$3&lt;0,0,N(INDEX('CURVA PREVISION'!$A$1:$KZ$3000,$C5,10+3*MIN(N$3,$D$2-1)))))</f>
        <v/>
      </c>
      <c r="O5" s="130">
        <f>IF(OR($C5="",$B$2="",$D$2=0),0,IF(O$3&lt;0,0,N(INDEX('CURVA PREVISION'!$A$1:$KZ$3000,$C5,10+3*MIN(O$3,$D$2-1)))))</f>
        <v/>
      </c>
      <c r="P5" s="130">
        <f>IF(OR($C5="",$B$2="",$D$2=0),0,IF(P$3&lt;0,0,N(INDEX('CURVA PREVISION'!$A$1:$KZ$3000,$C5,10+3*MIN(P$3,$D$2-1)))))</f>
        <v/>
      </c>
      <c r="Q5" s="130">
        <f>IF(OR($C5="",$B$2="",$D$2=0),0,IF(Q$3&lt;0,0,N(INDEX('CURVA PREVISION'!$A$1:$KZ$3000,$C5,10+3*MIN(Q$3,$D$2-1)))))</f>
        <v/>
      </c>
      <c r="R5" s="130">
        <f>IF(OR($C5="",$B$2="",$D$2=0),0,IF(R$3&lt;0,0,N(INDEX('CURVA PREVISION'!$A$1:$KZ$3000,$C5,10+3*MIN(R$3,$D$2-1)))))</f>
        <v/>
      </c>
      <c r="S5" s="130">
        <f>IF(OR($C5="",$B$2="",$D$2=0),0,IF(S$3&lt;0,0,N(INDEX('CURVA PREVISION'!$A$1:$KZ$3000,$C5,10+3*MIN(S$3,$D$2-1)))))</f>
        <v/>
      </c>
      <c r="T5" s="130">
        <f>IF(OR($C5="",$B$2="",$D$2=0),0,IF(T$3&lt;0,0,N(INDEX('CURVA PREVISION'!$A$1:$KZ$3000,$C5,10+3*MIN(T$3,$D$2-1)))))</f>
        <v/>
      </c>
      <c r="U5" s="130">
        <f>IF(OR($C5="",$B$2="",$D$2=0),0,IF(U$3&lt;0,0,N(INDEX('CURVA PREVISION'!$A$1:$KZ$3000,$C5,10+3*MIN(U$3,$D$2-1)))))</f>
        <v/>
      </c>
      <c r="V5" s="130">
        <f>IF(OR($C5="",$B$2="",$D$2=0),0,IF(V$3&lt;0,0,N(INDEX('CURVA PREVISION'!$A$1:$KZ$3000,$C5,10+3*MIN(V$3,$D$2-1)))))</f>
        <v/>
      </c>
      <c r="W5" s="130">
        <f>IF(OR($C5="",$B$2="",$D$2=0),0,IF(W$3&lt;0,0,N(INDEX('CURVA PREVISION'!$A$1:$KZ$3000,$C5,10+3*MIN(W$3,$D$2-1)))))</f>
        <v/>
      </c>
      <c r="X5" s="130">
        <f>IF(OR($C5="",$B$2="",$D$2=0),0,IF(X$3&lt;0,0,N(INDEX('CURVA PREVISION'!$A$1:$KZ$3000,$C5,10+3*MIN(X$3,$D$2-1)))))</f>
        <v/>
      </c>
      <c r="Y5" s="130">
        <f>IF(OR($C5="",$B$2="",$D$2=0),0,IF(Y$3&lt;0,0,N(INDEX('CURVA PREVISION'!$A$1:$KZ$3000,$C5,10+3*MIN(Y$3,$D$2-1)))))</f>
        <v/>
      </c>
      <c r="Z5" s="130">
        <f>IF(OR($C5="",$B$2="",$D$2=0),0,IF(Z$3&lt;0,0,N(INDEX('CURVA PREVISION'!$A$1:$KZ$3000,$C5,10+3*MIN(Z$3,$D$2-1)))))</f>
        <v/>
      </c>
      <c r="AA5" s="130">
        <f>IF(OR($C5="",$B$2="",$D$2=0),0,IF(AA$3&lt;0,0,N(INDEX('CURVA PREVISION'!$A$1:$KZ$3000,$C5,10+3*MIN(AA$3,$D$2-1)))))</f>
        <v/>
      </c>
      <c r="AB5" s="130">
        <f>IF(OR($C5="",$B$2="",$D$2=0),0,IF(AB$3&lt;0,0,N(INDEX('CURVA PREVISION'!$A$1:$KZ$3000,$C5,10+3*MIN(AB$3,$D$2-1)))))</f>
        <v/>
      </c>
      <c r="AC5" s="130">
        <f>IF(OR($C5="",$B$2="",$D$2=0),0,IF(AC$3&lt;0,0,N(INDEX('CURVA PREVISION'!$A$1:$KZ$3000,$C5,10+3*MIN(AC$3,$D$2-1)))))</f>
        <v/>
      </c>
      <c r="AD5" s="130">
        <f>IF(OR($C5="",$B$2="",$D$2=0),0,IF(AD$3&lt;0,0,N(INDEX('CURVA PREVISION'!$A$1:$KZ$3000,$C5,10+3*MIN(AD$3,$D$2-1)))))</f>
        <v/>
      </c>
      <c r="AE5" s="130">
        <f>IF(OR($C5="",$B$2="",$D$2=0),0,IF(AE$3&lt;0,0,N(INDEX('CURVA PREVISION'!$A$1:$KZ$3000,$C5,10+3*MIN(AE$3,$D$2-1)))))</f>
        <v/>
      </c>
      <c r="AF5" s="130">
        <f>IF(OR($C5="",$B$2="",$D$2=0),0,IF(AF$3&lt;0,0,N(INDEX('CURVA PREVISION'!$A$1:$KZ$3000,$C5,10+3*MIN(AF$3,$D$2-1)))))</f>
        <v/>
      </c>
      <c r="AG5" s="130">
        <f>IF(OR($C5="",$B$2="",$D$2=0),0,IF(AG$3&lt;0,0,N(INDEX('CURVA PREVISION'!$A$1:$KZ$3000,$C5,10+3*MIN(AG$3,$D$2-1)))))</f>
        <v/>
      </c>
      <c r="AH5" s="130">
        <f>IF(OR($C5="",$B$2="",$D$2=0),0,IF(AH$3&lt;0,0,N(INDEX('CURVA PREVISION'!$A$1:$KZ$3000,$C5,10+3*MIN(AH$3,$D$2-1)))))</f>
        <v/>
      </c>
      <c r="AI5" s="130">
        <f>IF(OR($C5="",$B$2="",$D$2=0),0,IF(AI$3&lt;0,0,N(INDEX('CURVA PREVISION'!$A$1:$KZ$3000,$C5,10+3*MIN(AI$3,$D$2-1)))))</f>
        <v/>
      </c>
      <c r="AJ5" s="130">
        <f>IF(OR($C5="",$B$2="",$D$2=0),0,IF(AJ$3&lt;0,0,N(INDEX('CURVA PREVISION'!$A$1:$KZ$3000,$C5,10+3*MIN(AJ$3,$D$2-1)))))</f>
        <v/>
      </c>
      <c r="AK5" s="130">
        <f>IF(OR($C5="",$B$2="",$D$2=0),0,IF(AK$3&lt;0,0,N(INDEX('CURVA PREVISION'!$A$1:$KZ$3000,$C5,10+3*MIN(AK$3,$D$2-1)))))</f>
        <v/>
      </c>
      <c r="AL5" s="130">
        <f>IF(OR($C5="",$B$2="",$D$2=0),0,IF(AL$3&lt;0,0,N(INDEX('CURVA PREVISION'!$A$1:$KZ$3000,$C5,10+3*MIN(AL$3,$D$2-1)))))</f>
        <v/>
      </c>
      <c r="AM5" s="130">
        <f>IF(OR($C5="",$B$2="",$D$2=0),0,IF(AM$3&lt;0,0,N(INDEX('CURVA PREVISION'!$A$1:$KZ$3000,$C5,10+3*MIN(AM$3,$D$2-1)))))</f>
        <v/>
      </c>
      <c r="AN5" s="130">
        <f>IF(OR($C5="",$B$2="",$D$2=0),0,IF(AN$3&lt;0,0,N(INDEX('CURVA PREVISION'!$A$1:$KZ$3000,$C5,10+3*MIN(AN$3,$D$2-1)))))</f>
        <v/>
      </c>
      <c r="AO5" s="130">
        <f>IF(OR($C5="",$B$2="",$D$2=0),0,IF(AO$3&lt;0,0,N(INDEX('CURVA PREVISION'!$A$1:$KZ$3000,$C5,10+3*MIN(AO$3,$D$2-1)))))</f>
        <v/>
      </c>
      <c r="AP5" s="130">
        <f>IF(OR($C5="",$B$2="",$D$2=0),0,IF(AP$3&lt;0,0,N(INDEX('CURVA PREVISION'!$A$1:$KZ$3000,$C5,10+3*MIN(AP$3,$D$2-1)))))</f>
        <v/>
      </c>
      <c r="AQ5" s="130">
        <f>IF(OR($C5="",$B$2="",$D$2=0),0,IF(AQ$3&lt;0,0,N(INDEX('CURVA PREVISION'!$A$1:$KZ$3000,$C5,10+3*MIN(AQ$3,$D$2-1)))))</f>
        <v/>
      </c>
      <c r="AR5" s="130">
        <f>IF(OR($C5="",$B$2="",$D$2=0),0,IF(AR$3&lt;0,0,N(INDEX('CURVA PREVISION'!$A$1:$KZ$3000,$C5,10+3*MIN(AR$3,$D$2-1)))))</f>
        <v/>
      </c>
      <c r="AS5" s="130">
        <f>IF(OR($C5="",$B$2="",$D$2=0),0,IF(AS$3&lt;0,0,N(INDEX('CURVA PREVISION'!$A$1:$KZ$3000,$C5,10+3*MIN(AS$3,$D$2-1)))))</f>
        <v/>
      </c>
      <c r="AT5" s="130">
        <f>IF(OR($C5="",$B$2="",$D$2=0),0,IF(AT$3&lt;0,0,N(INDEX('CURVA PREVISION'!$A$1:$KZ$3000,$C5,10+3*MIN(AT$3,$D$2-1)))))</f>
        <v/>
      </c>
      <c r="AU5" s="130">
        <f>IF(OR($C5="",$B$2="",$D$2=0),0,IF(AU$3&lt;0,0,N(INDEX('CURVA PREVISION'!$A$1:$KZ$3000,$C5,10+3*MIN(AU$3,$D$2-1)))))</f>
        <v/>
      </c>
      <c r="AV5" s="130">
        <f>IF(OR($C5="",$B$2="",$D$2=0),0,IF(AV$3&lt;0,0,N(INDEX('CURVA PREVISION'!$A$1:$KZ$3000,$C5,10+3*MIN(AV$3,$D$2-1)))))</f>
        <v/>
      </c>
      <c r="AW5" s="130">
        <f>IF(OR($C5="",$B$2="",$D$2=0),0,IF(AW$3&lt;0,0,N(INDEX('CURVA PREVISION'!$A$1:$KZ$3000,$C5,10+3*MIN(AW$3,$D$2-1)))))</f>
        <v/>
      </c>
      <c r="AX5" s="130">
        <f>IF(OR($C5="",$B$2="",$D$2=0),0,IF(AX$3&lt;0,0,N(INDEX('CURVA PREVISION'!$A$1:$KZ$3000,$C5,10+3*MIN(AX$3,$D$2-1)))))</f>
        <v/>
      </c>
      <c r="AY5" s="130">
        <f>IF(OR($C5="",$B$2="",$D$2=0),0,IF(AY$3&lt;0,0,N(INDEX('CURVA PREVISION'!$A$1:$KZ$3000,$C5,10+3*MIN(AY$3,$D$2-1)))))</f>
        <v/>
      </c>
      <c r="AZ5" s="130">
        <f>IF(OR($C5="",$B$2="",$D$2=0),0,IF(AZ$3&lt;0,0,N(INDEX('CURVA PREVISION'!$A$1:$KZ$3000,$C5,10+3*MIN(AZ$3,$D$2-1)))))</f>
        <v/>
      </c>
      <c r="BA5" s="130">
        <f>IF(OR($C5="",$B$2="",$D$2=0),0,IF(BA$3&lt;0,0,N(INDEX('CURVA PREVISION'!$A$1:$KZ$3000,$C5,10+3*MIN(BA$3,$D$2-1)))))</f>
        <v/>
      </c>
      <c r="BB5" s="130">
        <f>IF(OR($C5="",$B$2="",$D$2=0),0,IF(BB$3&lt;0,0,N(INDEX('CURVA PREVISION'!$A$1:$KZ$3000,$C5,10+3*MIN(BB$3,$D$2-1)))))</f>
        <v/>
      </c>
      <c r="BC5" s="130">
        <f>IF(OR($C5="",$B$2="",$D$2=0),0,IF(BC$3&lt;0,0,N(INDEX('CURVA PREVISION'!$A$1:$KZ$3000,$C5,10+3*MIN(BC$3,$D$2-1)))))</f>
        <v/>
      </c>
      <c r="BD5" s="130">
        <f>IF(OR($C5="",$B$2="",$D$2=0),0,IF(BD$3&lt;0,0,N(INDEX('CURVA PREVISION'!$A$1:$KZ$3000,$C5,10+3*MIN(BD$3,$D$2-1)))))</f>
        <v/>
      </c>
      <c r="BE5" s="130">
        <f>IF(OR($C5="",$B$2="",$D$2=0),0,IF(BE$3&lt;0,0,N(INDEX('CURVA PREVISION'!$A$1:$KZ$3000,$C5,10+3*MIN(BE$3,$D$2-1)))))</f>
        <v/>
      </c>
      <c r="BF5" s="130">
        <f>IF(OR($C5="",$B$2="",$D$2=0),0,IF(BF$3&lt;0,0,N(INDEX('CURVA PREVISION'!$A$1:$KZ$3000,$C5,10+3*MIN(BF$3,$D$2-1)))))</f>
        <v/>
      </c>
      <c r="BG5" s="130">
        <f>IF(OR($C5="",$B$2="",$D$2=0),0,IF(BG$3&lt;0,0,N(INDEX('CURVA PREVISION'!$A$1:$KZ$3000,$C5,10+3*MIN(BG$3,$D$2-1)))))</f>
        <v/>
      </c>
      <c r="BH5" s="130">
        <f>IF(OR($C5="",$B$2="",$D$2=0),0,IF(BH$3&lt;0,0,N(INDEX('CURVA PREVISION'!$A$1:$KZ$3000,$C5,10+3*MIN(BH$3,$D$2-1)))))</f>
        <v/>
      </c>
      <c r="BI5" s="130">
        <f>IF(OR($C5="",$B$2="",$D$2=0),0,IF(BI$3&lt;0,0,N(INDEX('CURVA PREVISION'!$A$1:$KZ$3000,$C5,10+3*MIN(BI$3,$D$2-1)))))</f>
        <v/>
      </c>
      <c r="BJ5" s="130">
        <f>IF(OR($C5="",$B$2="",$D$2=0),0,IF(BJ$3&lt;0,0,N(INDEX('CURVA PREVISION'!$A$1:$KZ$3000,$C5,10+3*MIN(BJ$3,$D$2-1)))))</f>
        <v/>
      </c>
      <c r="BK5" s="130">
        <f>IF(OR($C5="",$B$2="",$D$2=0),0,IF(BK$3&lt;0,0,N(INDEX('CURVA PREVISION'!$A$1:$KZ$3000,$C5,10+3*MIN(BK$3,$D$2-1)))))</f>
        <v/>
      </c>
      <c r="BL5" s="130">
        <f>IF(OR($C5="",$B$2="",$D$2=0),0,IF(BL$3&lt;0,0,N(INDEX('CURVA PREVISION'!$A$1:$KZ$3000,$C5,10+3*MIN(BL$3,$D$2-1)))))</f>
        <v/>
      </c>
      <c r="BM5" s="130">
        <f>IF(OR($C5="",$B$2="",$D$2=0),0,IF(BM$3&lt;0,0,N(INDEX('CURVA PREVISION'!$A$1:$KZ$3000,$C5,10+3*MIN(BM$3,$D$2-1)))))</f>
        <v/>
      </c>
      <c r="BN5" s="130">
        <f>IF(OR($C5="",$B$2="",$D$2=0),0,IF(BN$3&lt;0,0,N(INDEX('CURVA PREVISION'!$A$1:$KZ$3000,$C5,10+3*MIN(BN$3,$D$2-1)))))</f>
        <v/>
      </c>
      <c r="BO5" s="130">
        <f>IF(OR($C5="",$B$2="",$D$2=0),0,IF(BO$3&lt;0,0,N(INDEX('CURVA PREVISION'!$A$1:$KZ$3000,$C5,10+3*MIN(BO$3,$D$2-1)))))</f>
        <v/>
      </c>
      <c r="BP5" s="130">
        <f>IF(OR($C5="",$B$2="",$D$2=0),0,IF(BP$3&lt;0,0,N(INDEX('CURVA PREVISION'!$A$1:$KZ$3000,$C5,10+3*MIN(BP$3,$D$2-1)))))</f>
        <v/>
      </c>
      <c r="BQ5" s="130">
        <f>IF(OR($C5="",$B$2="",$D$2=0),0,IF(BQ$3&lt;0,0,N(INDEX('CURVA PREVISION'!$A$1:$KZ$3000,$C5,10+3*MIN(BQ$3,$D$2-1)))))</f>
        <v/>
      </c>
      <c r="BR5" s="130">
        <f>IF(OR($C5="",$B$2="",$D$2=0),0,IF(BR$3&lt;0,0,N(INDEX('CURVA PREVISION'!$A$1:$KZ$3000,$C5,10+3*MIN(BR$3,$D$2-1)))))</f>
        <v/>
      </c>
      <c r="BS5" s="130">
        <f>IF(OR($C5="",$B$2="",$D$2=0),0,IF(BS$3&lt;0,0,N(INDEX('CURVA PREVISION'!$A$1:$KZ$3000,$C5,10+3*MIN(BS$3,$D$2-1)))))</f>
        <v/>
      </c>
      <c r="BT5" s="130">
        <f>IF(OR($C5="",$B$2="",$D$2=0),0,IF(BT$3&lt;0,0,N(INDEX('CURVA PREVISION'!$A$1:$KZ$3000,$C5,10+3*MIN(BT$3,$D$2-1)))))</f>
        <v/>
      </c>
      <c r="BU5" s="130">
        <f>IF(OR($C5="",$B$2="",$D$2=0),0,IF(BU$3&lt;0,0,N(INDEX('CURVA PREVISION'!$A$1:$KZ$3000,$C5,10+3*MIN(BU$3,$D$2-1)))))</f>
        <v/>
      </c>
      <c r="BV5" s="130">
        <f>IF(OR($C5="",$B$2="",$D$2=0),0,IF(BV$3&lt;0,0,N(INDEX('CURVA PREVISION'!$A$1:$KZ$3000,$C5,10+3*MIN(BV$3,$D$2-1)))))</f>
        <v/>
      </c>
      <c r="BW5" s="130">
        <f>IF(OR($C5="",$B$2="",$D$2=0),0,IF(BW$3&lt;0,0,N(INDEX('CURVA PREVISION'!$A$1:$KZ$3000,$C5,10+3*MIN(BW$3,$D$2-1)))))</f>
        <v/>
      </c>
    </row>
    <row r="6">
      <c r="A6" s="61">
        <f>IF('VALOR POR PL'!R12&lt;&gt;"",'VALOR POR PL'!R12,IF('VALOR POR PL'!Q12="",'VALOR POR PL'!C12,'VALOR POR PL'!Q12))</f>
        <v/>
      </c>
      <c r="B6" s="61">
        <f>'VALOR POR PL'!D12</f>
        <v/>
      </c>
      <c r="C6" s="70">
        <f>IFERROR(MATCH(A6,'CURVA PREVISION'!$B$1:$B$3000,0),"")</f>
        <v/>
      </c>
      <c r="D6" s="130">
        <f>IF(OR($C6="",$B$2="",$D$2=0),0,IF(D$3&lt;0,0,N(INDEX('CURVA PREVISION'!$A$1:$KZ$3000,$C6,10+3*MIN(D$3,$D$2-1)))))</f>
        <v/>
      </c>
      <c r="E6" s="130">
        <f>IF(OR($C6="",$B$2="",$D$2=0),0,IF(E$3&lt;0,0,N(INDEX('CURVA PREVISION'!$A$1:$KZ$3000,$C6,10+3*MIN(E$3,$D$2-1)))))</f>
        <v/>
      </c>
      <c r="F6" s="130">
        <f>IF(OR($C6="",$B$2="",$D$2=0),0,IF(F$3&lt;0,0,N(INDEX('CURVA PREVISION'!$A$1:$KZ$3000,$C6,10+3*MIN(F$3,$D$2-1)))))</f>
        <v/>
      </c>
      <c r="G6" s="130">
        <f>IF(OR($C6="",$B$2="",$D$2=0),0,IF(G$3&lt;0,0,N(INDEX('CURVA PREVISION'!$A$1:$KZ$3000,$C6,10+3*MIN(G$3,$D$2-1)))))</f>
        <v/>
      </c>
      <c r="H6" s="130">
        <f>IF(OR($C6="",$B$2="",$D$2=0),0,IF(H$3&lt;0,0,N(INDEX('CURVA PREVISION'!$A$1:$KZ$3000,$C6,10+3*MIN(H$3,$D$2-1)))))</f>
        <v/>
      </c>
      <c r="I6" s="130">
        <f>IF(OR($C6="",$B$2="",$D$2=0),0,IF(I$3&lt;0,0,N(INDEX('CURVA PREVISION'!$A$1:$KZ$3000,$C6,10+3*MIN(I$3,$D$2-1)))))</f>
        <v/>
      </c>
      <c r="J6" s="130">
        <f>IF(OR($C6="",$B$2="",$D$2=0),0,IF(J$3&lt;0,0,N(INDEX('CURVA PREVISION'!$A$1:$KZ$3000,$C6,10+3*MIN(J$3,$D$2-1)))))</f>
        <v/>
      </c>
      <c r="K6" s="130">
        <f>IF(OR($C6="",$B$2="",$D$2=0),0,IF(K$3&lt;0,0,N(INDEX('CURVA PREVISION'!$A$1:$KZ$3000,$C6,10+3*MIN(K$3,$D$2-1)))))</f>
        <v/>
      </c>
      <c r="L6" s="130">
        <f>IF(OR($C6="",$B$2="",$D$2=0),0,IF(L$3&lt;0,0,N(INDEX('CURVA PREVISION'!$A$1:$KZ$3000,$C6,10+3*MIN(L$3,$D$2-1)))))</f>
        <v/>
      </c>
      <c r="M6" s="130">
        <f>IF(OR($C6="",$B$2="",$D$2=0),0,IF(M$3&lt;0,0,N(INDEX('CURVA PREVISION'!$A$1:$KZ$3000,$C6,10+3*MIN(M$3,$D$2-1)))))</f>
        <v/>
      </c>
      <c r="N6" s="130">
        <f>IF(OR($C6="",$B$2="",$D$2=0),0,IF(N$3&lt;0,0,N(INDEX('CURVA PREVISION'!$A$1:$KZ$3000,$C6,10+3*MIN(N$3,$D$2-1)))))</f>
        <v/>
      </c>
      <c r="O6" s="130">
        <f>IF(OR($C6="",$B$2="",$D$2=0),0,IF(O$3&lt;0,0,N(INDEX('CURVA PREVISION'!$A$1:$KZ$3000,$C6,10+3*MIN(O$3,$D$2-1)))))</f>
        <v/>
      </c>
      <c r="P6" s="130">
        <f>IF(OR($C6="",$B$2="",$D$2=0),0,IF(P$3&lt;0,0,N(INDEX('CURVA PREVISION'!$A$1:$KZ$3000,$C6,10+3*MIN(P$3,$D$2-1)))))</f>
        <v/>
      </c>
      <c r="Q6" s="130">
        <f>IF(OR($C6="",$B$2="",$D$2=0),0,IF(Q$3&lt;0,0,N(INDEX('CURVA PREVISION'!$A$1:$KZ$3000,$C6,10+3*MIN(Q$3,$D$2-1)))))</f>
        <v/>
      </c>
      <c r="R6" s="130">
        <f>IF(OR($C6="",$B$2="",$D$2=0),0,IF(R$3&lt;0,0,N(INDEX('CURVA PREVISION'!$A$1:$KZ$3000,$C6,10+3*MIN(R$3,$D$2-1)))))</f>
        <v/>
      </c>
      <c r="S6" s="130">
        <f>IF(OR($C6="",$B$2="",$D$2=0),0,IF(S$3&lt;0,0,N(INDEX('CURVA PREVISION'!$A$1:$KZ$3000,$C6,10+3*MIN(S$3,$D$2-1)))))</f>
        <v/>
      </c>
      <c r="T6" s="130">
        <f>IF(OR($C6="",$B$2="",$D$2=0),0,IF(T$3&lt;0,0,N(INDEX('CURVA PREVISION'!$A$1:$KZ$3000,$C6,10+3*MIN(T$3,$D$2-1)))))</f>
        <v/>
      </c>
      <c r="U6" s="130">
        <f>IF(OR($C6="",$B$2="",$D$2=0),0,IF(U$3&lt;0,0,N(INDEX('CURVA PREVISION'!$A$1:$KZ$3000,$C6,10+3*MIN(U$3,$D$2-1)))))</f>
        <v/>
      </c>
      <c r="V6" s="130">
        <f>IF(OR($C6="",$B$2="",$D$2=0),0,IF(V$3&lt;0,0,N(INDEX('CURVA PREVISION'!$A$1:$KZ$3000,$C6,10+3*MIN(V$3,$D$2-1)))))</f>
        <v/>
      </c>
      <c r="W6" s="130">
        <f>IF(OR($C6="",$B$2="",$D$2=0),0,IF(W$3&lt;0,0,N(INDEX('CURVA PREVISION'!$A$1:$KZ$3000,$C6,10+3*MIN(W$3,$D$2-1)))))</f>
        <v/>
      </c>
      <c r="X6" s="130">
        <f>IF(OR($C6="",$B$2="",$D$2=0),0,IF(X$3&lt;0,0,N(INDEX('CURVA PREVISION'!$A$1:$KZ$3000,$C6,10+3*MIN(X$3,$D$2-1)))))</f>
        <v/>
      </c>
      <c r="Y6" s="130">
        <f>IF(OR($C6="",$B$2="",$D$2=0),0,IF(Y$3&lt;0,0,N(INDEX('CURVA PREVISION'!$A$1:$KZ$3000,$C6,10+3*MIN(Y$3,$D$2-1)))))</f>
        <v/>
      </c>
      <c r="Z6" s="130">
        <f>IF(OR($C6="",$B$2="",$D$2=0),0,IF(Z$3&lt;0,0,N(INDEX('CURVA PREVISION'!$A$1:$KZ$3000,$C6,10+3*MIN(Z$3,$D$2-1)))))</f>
        <v/>
      </c>
      <c r="AA6" s="130">
        <f>IF(OR($C6="",$B$2="",$D$2=0),0,IF(AA$3&lt;0,0,N(INDEX('CURVA PREVISION'!$A$1:$KZ$3000,$C6,10+3*MIN(AA$3,$D$2-1)))))</f>
        <v/>
      </c>
      <c r="AB6" s="130">
        <f>IF(OR($C6="",$B$2="",$D$2=0),0,IF(AB$3&lt;0,0,N(INDEX('CURVA PREVISION'!$A$1:$KZ$3000,$C6,10+3*MIN(AB$3,$D$2-1)))))</f>
        <v/>
      </c>
      <c r="AC6" s="130">
        <f>IF(OR($C6="",$B$2="",$D$2=0),0,IF(AC$3&lt;0,0,N(INDEX('CURVA PREVISION'!$A$1:$KZ$3000,$C6,10+3*MIN(AC$3,$D$2-1)))))</f>
        <v/>
      </c>
      <c r="AD6" s="130">
        <f>IF(OR($C6="",$B$2="",$D$2=0),0,IF(AD$3&lt;0,0,N(INDEX('CURVA PREVISION'!$A$1:$KZ$3000,$C6,10+3*MIN(AD$3,$D$2-1)))))</f>
        <v/>
      </c>
      <c r="AE6" s="130">
        <f>IF(OR($C6="",$B$2="",$D$2=0),0,IF(AE$3&lt;0,0,N(INDEX('CURVA PREVISION'!$A$1:$KZ$3000,$C6,10+3*MIN(AE$3,$D$2-1)))))</f>
        <v/>
      </c>
      <c r="AF6" s="130">
        <f>IF(OR($C6="",$B$2="",$D$2=0),0,IF(AF$3&lt;0,0,N(INDEX('CURVA PREVISION'!$A$1:$KZ$3000,$C6,10+3*MIN(AF$3,$D$2-1)))))</f>
        <v/>
      </c>
      <c r="AG6" s="130">
        <f>IF(OR($C6="",$B$2="",$D$2=0),0,IF(AG$3&lt;0,0,N(INDEX('CURVA PREVISION'!$A$1:$KZ$3000,$C6,10+3*MIN(AG$3,$D$2-1)))))</f>
        <v/>
      </c>
      <c r="AH6" s="130">
        <f>IF(OR($C6="",$B$2="",$D$2=0),0,IF(AH$3&lt;0,0,N(INDEX('CURVA PREVISION'!$A$1:$KZ$3000,$C6,10+3*MIN(AH$3,$D$2-1)))))</f>
        <v/>
      </c>
      <c r="AI6" s="130">
        <f>IF(OR($C6="",$B$2="",$D$2=0),0,IF(AI$3&lt;0,0,N(INDEX('CURVA PREVISION'!$A$1:$KZ$3000,$C6,10+3*MIN(AI$3,$D$2-1)))))</f>
        <v/>
      </c>
      <c r="AJ6" s="130">
        <f>IF(OR($C6="",$B$2="",$D$2=0),0,IF(AJ$3&lt;0,0,N(INDEX('CURVA PREVISION'!$A$1:$KZ$3000,$C6,10+3*MIN(AJ$3,$D$2-1)))))</f>
        <v/>
      </c>
      <c r="AK6" s="130">
        <f>IF(OR($C6="",$B$2="",$D$2=0),0,IF(AK$3&lt;0,0,N(INDEX('CURVA PREVISION'!$A$1:$KZ$3000,$C6,10+3*MIN(AK$3,$D$2-1)))))</f>
        <v/>
      </c>
      <c r="AL6" s="130">
        <f>IF(OR($C6="",$B$2="",$D$2=0),0,IF(AL$3&lt;0,0,N(INDEX('CURVA PREVISION'!$A$1:$KZ$3000,$C6,10+3*MIN(AL$3,$D$2-1)))))</f>
        <v/>
      </c>
      <c r="AM6" s="130">
        <f>IF(OR($C6="",$B$2="",$D$2=0),0,IF(AM$3&lt;0,0,N(INDEX('CURVA PREVISION'!$A$1:$KZ$3000,$C6,10+3*MIN(AM$3,$D$2-1)))))</f>
        <v/>
      </c>
      <c r="AN6" s="130">
        <f>IF(OR($C6="",$B$2="",$D$2=0),0,IF(AN$3&lt;0,0,N(INDEX('CURVA PREVISION'!$A$1:$KZ$3000,$C6,10+3*MIN(AN$3,$D$2-1)))))</f>
        <v/>
      </c>
      <c r="AO6" s="130">
        <f>IF(OR($C6="",$B$2="",$D$2=0),0,IF(AO$3&lt;0,0,N(INDEX('CURVA PREVISION'!$A$1:$KZ$3000,$C6,10+3*MIN(AO$3,$D$2-1)))))</f>
        <v/>
      </c>
      <c r="AP6" s="130">
        <f>IF(OR($C6="",$B$2="",$D$2=0),0,IF(AP$3&lt;0,0,N(INDEX('CURVA PREVISION'!$A$1:$KZ$3000,$C6,10+3*MIN(AP$3,$D$2-1)))))</f>
        <v/>
      </c>
      <c r="AQ6" s="130">
        <f>IF(OR($C6="",$B$2="",$D$2=0),0,IF(AQ$3&lt;0,0,N(INDEX('CURVA PREVISION'!$A$1:$KZ$3000,$C6,10+3*MIN(AQ$3,$D$2-1)))))</f>
        <v/>
      </c>
      <c r="AR6" s="130">
        <f>IF(OR($C6="",$B$2="",$D$2=0),0,IF(AR$3&lt;0,0,N(INDEX('CURVA PREVISION'!$A$1:$KZ$3000,$C6,10+3*MIN(AR$3,$D$2-1)))))</f>
        <v/>
      </c>
      <c r="AS6" s="130">
        <f>IF(OR($C6="",$B$2="",$D$2=0),0,IF(AS$3&lt;0,0,N(INDEX('CURVA PREVISION'!$A$1:$KZ$3000,$C6,10+3*MIN(AS$3,$D$2-1)))))</f>
        <v/>
      </c>
      <c r="AT6" s="130">
        <f>IF(OR($C6="",$B$2="",$D$2=0),0,IF(AT$3&lt;0,0,N(INDEX('CURVA PREVISION'!$A$1:$KZ$3000,$C6,10+3*MIN(AT$3,$D$2-1)))))</f>
        <v/>
      </c>
      <c r="AU6" s="130">
        <f>IF(OR($C6="",$B$2="",$D$2=0),0,IF(AU$3&lt;0,0,N(INDEX('CURVA PREVISION'!$A$1:$KZ$3000,$C6,10+3*MIN(AU$3,$D$2-1)))))</f>
        <v/>
      </c>
      <c r="AV6" s="130">
        <f>IF(OR($C6="",$B$2="",$D$2=0),0,IF(AV$3&lt;0,0,N(INDEX('CURVA PREVISION'!$A$1:$KZ$3000,$C6,10+3*MIN(AV$3,$D$2-1)))))</f>
        <v/>
      </c>
      <c r="AW6" s="130">
        <f>IF(OR($C6="",$B$2="",$D$2=0),0,IF(AW$3&lt;0,0,N(INDEX('CURVA PREVISION'!$A$1:$KZ$3000,$C6,10+3*MIN(AW$3,$D$2-1)))))</f>
        <v/>
      </c>
      <c r="AX6" s="130">
        <f>IF(OR($C6="",$B$2="",$D$2=0),0,IF(AX$3&lt;0,0,N(INDEX('CURVA PREVISION'!$A$1:$KZ$3000,$C6,10+3*MIN(AX$3,$D$2-1)))))</f>
        <v/>
      </c>
      <c r="AY6" s="130">
        <f>IF(OR($C6="",$B$2="",$D$2=0),0,IF(AY$3&lt;0,0,N(INDEX('CURVA PREVISION'!$A$1:$KZ$3000,$C6,10+3*MIN(AY$3,$D$2-1)))))</f>
        <v/>
      </c>
      <c r="AZ6" s="130">
        <f>IF(OR($C6="",$B$2="",$D$2=0),0,IF(AZ$3&lt;0,0,N(INDEX('CURVA PREVISION'!$A$1:$KZ$3000,$C6,10+3*MIN(AZ$3,$D$2-1)))))</f>
        <v/>
      </c>
      <c r="BA6" s="130">
        <f>IF(OR($C6="",$B$2="",$D$2=0),0,IF(BA$3&lt;0,0,N(INDEX('CURVA PREVISION'!$A$1:$KZ$3000,$C6,10+3*MIN(BA$3,$D$2-1)))))</f>
        <v/>
      </c>
      <c r="BB6" s="130">
        <f>IF(OR($C6="",$B$2="",$D$2=0),0,IF(BB$3&lt;0,0,N(INDEX('CURVA PREVISION'!$A$1:$KZ$3000,$C6,10+3*MIN(BB$3,$D$2-1)))))</f>
        <v/>
      </c>
      <c r="BC6" s="130">
        <f>IF(OR($C6="",$B$2="",$D$2=0),0,IF(BC$3&lt;0,0,N(INDEX('CURVA PREVISION'!$A$1:$KZ$3000,$C6,10+3*MIN(BC$3,$D$2-1)))))</f>
        <v/>
      </c>
      <c r="BD6" s="130">
        <f>IF(OR($C6="",$B$2="",$D$2=0),0,IF(BD$3&lt;0,0,N(INDEX('CURVA PREVISION'!$A$1:$KZ$3000,$C6,10+3*MIN(BD$3,$D$2-1)))))</f>
        <v/>
      </c>
      <c r="BE6" s="130">
        <f>IF(OR($C6="",$B$2="",$D$2=0),0,IF(BE$3&lt;0,0,N(INDEX('CURVA PREVISION'!$A$1:$KZ$3000,$C6,10+3*MIN(BE$3,$D$2-1)))))</f>
        <v/>
      </c>
      <c r="BF6" s="130">
        <f>IF(OR($C6="",$B$2="",$D$2=0),0,IF(BF$3&lt;0,0,N(INDEX('CURVA PREVISION'!$A$1:$KZ$3000,$C6,10+3*MIN(BF$3,$D$2-1)))))</f>
        <v/>
      </c>
      <c r="BG6" s="130">
        <f>IF(OR($C6="",$B$2="",$D$2=0),0,IF(BG$3&lt;0,0,N(INDEX('CURVA PREVISION'!$A$1:$KZ$3000,$C6,10+3*MIN(BG$3,$D$2-1)))))</f>
        <v/>
      </c>
      <c r="BH6" s="130">
        <f>IF(OR($C6="",$B$2="",$D$2=0),0,IF(BH$3&lt;0,0,N(INDEX('CURVA PREVISION'!$A$1:$KZ$3000,$C6,10+3*MIN(BH$3,$D$2-1)))))</f>
        <v/>
      </c>
      <c r="BI6" s="130">
        <f>IF(OR($C6="",$B$2="",$D$2=0),0,IF(BI$3&lt;0,0,N(INDEX('CURVA PREVISION'!$A$1:$KZ$3000,$C6,10+3*MIN(BI$3,$D$2-1)))))</f>
        <v/>
      </c>
      <c r="BJ6" s="130">
        <f>IF(OR($C6="",$B$2="",$D$2=0),0,IF(BJ$3&lt;0,0,N(INDEX('CURVA PREVISION'!$A$1:$KZ$3000,$C6,10+3*MIN(BJ$3,$D$2-1)))))</f>
        <v/>
      </c>
      <c r="BK6" s="130">
        <f>IF(OR($C6="",$B$2="",$D$2=0),0,IF(BK$3&lt;0,0,N(INDEX('CURVA PREVISION'!$A$1:$KZ$3000,$C6,10+3*MIN(BK$3,$D$2-1)))))</f>
        <v/>
      </c>
      <c r="BL6" s="130">
        <f>IF(OR($C6="",$B$2="",$D$2=0),0,IF(BL$3&lt;0,0,N(INDEX('CURVA PREVISION'!$A$1:$KZ$3000,$C6,10+3*MIN(BL$3,$D$2-1)))))</f>
        <v/>
      </c>
      <c r="BM6" s="130">
        <f>IF(OR($C6="",$B$2="",$D$2=0),0,IF(BM$3&lt;0,0,N(INDEX('CURVA PREVISION'!$A$1:$KZ$3000,$C6,10+3*MIN(BM$3,$D$2-1)))))</f>
        <v/>
      </c>
      <c r="BN6" s="130">
        <f>IF(OR($C6="",$B$2="",$D$2=0),0,IF(BN$3&lt;0,0,N(INDEX('CURVA PREVISION'!$A$1:$KZ$3000,$C6,10+3*MIN(BN$3,$D$2-1)))))</f>
        <v/>
      </c>
      <c r="BO6" s="130">
        <f>IF(OR($C6="",$B$2="",$D$2=0),0,IF(BO$3&lt;0,0,N(INDEX('CURVA PREVISION'!$A$1:$KZ$3000,$C6,10+3*MIN(BO$3,$D$2-1)))))</f>
        <v/>
      </c>
      <c r="BP6" s="130">
        <f>IF(OR($C6="",$B$2="",$D$2=0),0,IF(BP$3&lt;0,0,N(INDEX('CURVA PREVISION'!$A$1:$KZ$3000,$C6,10+3*MIN(BP$3,$D$2-1)))))</f>
        <v/>
      </c>
      <c r="BQ6" s="130">
        <f>IF(OR($C6="",$B$2="",$D$2=0),0,IF(BQ$3&lt;0,0,N(INDEX('CURVA PREVISION'!$A$1:$KZ$3000,$C6,10+3*MIN(BQ$3,$D$2-1)))))</f>
        <v/>
      </c>
      <c r="BR6" s="130">
        <f>IF(OR($C6="",$B$2="",$D$2=0),0,IF(BR$3&lt;0,0,N(INDEX('CURVA PREVISION'!$A$1:$KZ$3000,$C6,10+3*MIN(BR$3,$D$2-1)))))</f>
        <v/>
      </c>
      <c r="BS6" s="130">
        <f>IF(OR($C6="",$B$2="",$D$2=0),0,IF(BS$3&lt;0,0,N(INDEX('CURVA PREVISION'!$A$1:$KZ$3000,$C6,10+3*MIN(BS$3,$D$2-1)))))</f>
        <v/>
      </c>
      <c r="BT6" s="130">
        <f>IF(OR($C6="",$B$2="",$D$2=0),0,IF(BT$3&lt;0,0,N(INDEX('CURVA PREVISION'!$A$1:$KZ$3000,$C6,10+3*MIN(BT$3,$D$2-1)))))</f>
        <v/>
      </c>
      <c r="BU6" s="130">
        <f>IF(OR($C6="",$B$2="",$D$2=0),0,IF(BU$3&lt;0,0,N(INDEX('CURVA PREVISION'!$A$1:$KZ$3000,$C6,10+3*MIN(BU$3,$D$2-1)))))</f>
        <v/>
      </c>
      <c r="BV6" s="130">
        <f>IF(OR($C6="",$B$2="",$D$2=0),0,IF(BV$3&lt;0,0,N(INDEX('CURVA PREVISION'!$A$1:$KZ$3000,$C6,10+3*MIN(BV$3,$D$2-1)))))</f>
        <v/>
      </c>
      <c r="BW6" s="130">
        <f>IF(OR($C6="",$B$2="",$D$2=0),0,IF(BW$3&lt;0,0,N(INDEX('CURVA PREVISION'!$A$1:$KZ$3000,$C6,10+3*MIN(BW$3,$D$2-1)))))</f>
        <v/>
      </c>
    </row>
    <row r="7">
      <c r="A7" s="61">
        <f>IF('VALOR POR PL'!R13&lt;&gt;"",'VALOR POR PL'!R13,IF('VALOR POR PL'!Q13="",'VALOR POR PL'!C13,'VALOR POR PL'!Q13))</f>
        <v/>
      </c>
      <c r="B7" s="61">
        <f>'VALOR POR PL'!D13</f>
        <v/>
      </c>
      <c r="C7" s="70">
        <f>IFERROR(MATCH(A7,'CURVA PREVISION'!$B$1:$B$3000,0),"")</f>
        <v/>
      </c>
      <c r="D7" s="130">
        <f>IF(OR($C7="",$B$2="",$D$2=0),0,IF(D$3&lt;0,0,N(INDEX('CURVA PREVISION'!$A$1:$KZ$3000,$C7,10+3*MIN(D$3,$D$2-1)))))</f>
        <v/>
      </c>
      <c r="E7" s="130">
        <f>IF(OR($C7="",$B$2="",$D$2=0),0,IF(E$3&lt;0,0,N(INDEX('CURVA PREVISION'!$A$1:$KZ$3000,$C7,10+3*MIN(E$3,$D$2-1)))))</f>
        <v/>
      </c>
      <c r="F7" s="130">
        <f>IF(OR($C7="",$B$2="",$D$2=0),0,IF(F$3&lt;0,0,N(INDEX('CURVA PREVISION'!$A$1:$KZ$3000,$C7,10+3*MIN(F$3,$D$2-1)))))</f>
        <v/>
      </c>
      <c r="G7" s="130">
        <f>IF(OR($C7="",$B$2="",$D$2=0),0,IF(G$3&lt;0,0,N(INDEX('CURVA PREVISION'!$A$1:$KZ$3000,$C7,10+3*MIN(G$3,$D$2-1)))))</f>
        <v/>
      </c>
      <c r="H7" s="130">
        <f>IF(OR($C7="",$B$2="",$D$2=0),0,IF(H$3&lt;0,0,N(INDEX('CURVA PREVISION'!$A$1:$KZ$3000,$C7,10+3*MIN(H$3,$D$2-1)))))</f>
        <v/>
      </c>
      <c r="I7" s="130">
        <f>IF(OR($C7="",$B$2="",$D$2=0),0,IF(I$3&lt;0,0,N(INDEX('CURVA PREVISION'!$A$1:$KZ$3000,$C7,10+3*MIN(I$3,$D$2-1)))))</f>
        <v/>
      </c>
      <c r="J7" s="130">
        <f>IF(OR($C7="",$B$2="",$D$2=0),0,IF(J$3&lt;0,0,N(INDEX('CURVA PREVISION'!$A$1:$KZ$3000,$C7,10+3*MIN(J$3,$D$2-1)))))</f>
        <v/>
      </c>
      <c r="K7" s="130">
        <f>IF(OR($C7="",$B$2="",$D$2=0),0,IF(K$3&lt;0,0,N(INDEX('CURVA PREVISION'!$A$1:$KZ$3000,$C7,10+3*MIN(K$3,$D$2-1)))))</f>
        <v/>
      </c>
      <c r="L7" s="130">
        <f>IF(OR($C7="",$B$2="",$D$2=0),0,IF(L$3&lt;0,0,N(INDEX('CURVA PREVISION'!$A$1:$KZ$3000,$C7,10+3*MIN(L$3,$D$2-1)))))</f>
        <v/>
      </c>
      <c r="M7" s="130">
        <f>IF(OR($C7="",$B$2="",$D$2=0),0,IF(M$3&lt;0,0,N(INDEX('CURVA PREVISION'!$A$1:$KZ$3000,$C7,10+3*MIN(M$3,$D$2-1)))))</f>
        <v/>
      </c>
      <c r="N7" s="130">
        <f>IF(OR($C7="",$B$2="",$D$2=0),0,IF(N$3&lt;0,0,N(INDEX('CURVA PREVISION'!$A$1:$KZ$3000,$C7,10+3*MIN(N$3,$D$2-1)))))</f>
        <v/>
      </c>
      <c r="O7" s="130">
        <f>IF(OR($C7="",$B$2="",$D$2=0),0,IF(O$3&lt;0,0,N(INDEX('CURVA PREVISION'!$A$1:$KZ$3000,$C7,10+3*MIN(O$3,$D$2-1)))))</f>
        <v/>
      </c>
      <c r="P7" s="130">
        <f>IF(OR($C7="",$B$2="",$D$2=0),0,IF(P$3&lt;0,0,N(INDEX('CURVA PREVISION'!$A$1:$KZ$3000,$C7,10+3*MIN(P$3,$D$2-1)))))</f>
        <v/>
      </c>
      <c r="Q7" s="130">
        <f>IF(OR($C7="",$B$2="",$D$2=0),0,IF(Q$3&lt;0,0,N(INDEX('CURVA PREVISION'!$A$1:$KZ$3000,$C7,10+3*MIN(Q$3,$D$2-1)))))</f>
        <v/>
      </c>
      <c r="R7" s="130">
        <f>IF(OR($C7="",$B$2="",$D$2=0),0,IF(R$3&lt;0,0,N(INDEX('CURVA PREVISION'!$A$1:$KZ$3000,$C7,10+3*MIN(R$3,$D$2-1)))))</f>
        <v/>
      </c>
      <c r="S7" s="130">
        <f>IF(OR($C7="",$B$2="",$D$2=0),0,IF(S$3&lt;0,0,N(INDEX('CURVA PREVISION'!$A$1:$KZ$3000,$C7,10+3*MIN(S$3,$D$2-1)))))</f>
        <v/>
      </c>
      <c r="T7" s="130">
        <f>IF(OR($C7="",$B$2="",$D$2=0),0,IF(T$3&lt;0,0,N(INDEX('CURVA PREVISION'!$A$1:$KZ$3000,$C7,10+3*MIN(T$3,$D$2-1)))))</f>
        <v/>
      </c>
      <c r="U7" s="130">
        <f>IF(OR($C7="",$B$2="",$D$2=0),0,IF(U$3&lt;0,0,N(INDEX('CURVA PREVISION'!$A$1:$KZ$3000,$C7,10+3*MIN(U$3,$D$2-1)))))</f>
        <v/>
      </c>
      <c r="V7" s="130">
        <f>IF(OR($C7="",$B$2="",$D$2=0),0,IF(V$3&lt;0,0,N(INDEX('CURVA PREVISION'!$A$1:$KZ$3000,$C7,10+3*MIN(V$3,$D$2-1)))))</f>
        <v/>
      </c>
      <c r="W7" s="130">
        <f>IF(OR($C7="",$B$2="",$D$2=0),0,IF(W$3&lt;0,0,N(INDEX('CURVA PREVISION'!$A$1:$KZ$3000,$C7,10+3*MIN(W$3,$D$2-1)))))</f>
        <v/>
      </c>
      <c r="X7" s="130">
        <f>IF(OR($C7="",$B$2="",$D$2=0),0,IF(X$3&lt;0,0,N(INDEX('CURVA PREVISION'!$A$1:$KZ$3000,$C7,10+3*MIN(X$3,$D$2-1)))))</f>
        <v/>
      </c>
      <c r="Y7" s="130">
        <f>IF(OR($C7="",$B$2="",$D$2=0),0,IF(Y$3&lt;0,0,N(INDEX('CURVA PREVISION'!$A$1:$KZ$3000,$C7,10+3*MIN(Y$3,$D$2-1)))))</f>
        <v/>
      </c>
      <c r="Z7" s="130">
        <f>IF(OR($C7="",$B$2="",$D$2=0),0,IF(Z$3&lt;0,0,N(INDEX('CURVA PREVISION'!$A$1:$KZ$3000,$C7,10+3*MIN(Z$3,$D$2-1)))))</f>
        <v/>
      </c>
      <c r="AA7" s="130">
        <f>IF(OR($C7="",$B$2="",$D$2=0),0,IF(AA$3&lt;0,0,N(INDEX('CURVA PREVISION'!$A$1:$KZ$3000,$C7,10+3*MIN(AA$3,$D$2-1)))))</f>
        <v/>
      </c>
      <c r="AB7" s="130">
        <f>IF(OR($C7="",$B$2="",$D$2=0),0,IF(AB$3&lt;0,0,N(INDEX('CURVA PREVISION'!$A$1:$KZ$3000,$C7,10+3*MIN(AB$3,$D$2-1)))))</f>
        <v/>
      </c>
      <c r="AC7" s="130">
        <f>IF(OR($C7="",$B$2="",$D$2=0),0,IF(AC$3&lt;0,0,N(INDEX('CURVA PREVISION'!$A$1:$KZ$3000,$C7,10+3*MIN(AC$3,$D$2-1)))))</f>
        <v/>
      </c>
      <c r="AD7" s="130">
        <f>IF(OR($C7="",$B$2="",$D$2=0),0,IF(AD$3&lt;0,0,N(INDEX('CURVA PREVISION'!$A$1:$KZ$3000,$C7,10+3*MIN(AD$3,$D$2-1)))))</f>
        <v/>
      </c>
      <c r="AE7" s="130">
        <f>IF(OR($C7="",$B$2="",$D$2=0),0,IF(AE$3&lt;0,0,N(INDEX('CURVA PREVISION'!$A$1:$KZ$3000,$C7,10+3*MIN(AE$3,$D$2-1)))))</f>
        <v/>
      </c>
      <c r="AF7" s="130">
        <f>IF(OR($C7="",$B$2="",$D$2=0),0,IF(AF$3&lt;0,0,N(INDEX('CURVA PREVISION'!$A$1:$KZ$3000,$C7,10+3*MIN(AF$3,$D$2-1)))))</f>
        <v/>
      </c>
      <c r="AG7" s="130">
        <f>IF(OR($C7="",$B$2="",$D$2=0),0,IF(AG$3&lt;0,0,N(INDEX('CURVA PREVISION'!$A$1:$KZ$3000,$C7,10+3*MIN(AG$3,$D$2-1)))))</f>
        <v/>
      </c>
      <c r="AH7" s="130">
        <f>IF(OR($C7="",$B$2="",$D$2=0),0,IF(AH$3&lt;0,0,N(INDEX('CURVA PREVISION'!$A$1:$KZ$3000,$C7,10+3*MIN(AH$3,$D$2-1)))))</f>
        <v/>
      </c>
      <c r="AI7" s="130">
        <f>IF(OR($C7="",$B$2="",$D$2=0),0,IF(AI$3&lt;0,0,N(INDEX('CURVA PREVISION'!$A$1:$KZ$3000,$C7,10+3*MIN(AI$3,$D$2-1)))))</f>
        <v/>
      </c>
      <c r="AJ7" s="130">
        <f>IF(OR($C7="",$B$2="",$D$2=0),0,IF(AJ$3&lt;0,0,N(INDEX('CURVA PREVISION'!$A$1:$KZ$3000,$C7,10+3*MIN(AJ$3,$D$2-1)))))</f>
        <v/>
      </c>
      <c r="AK7" s="130">
        <f>IF(OR($C7="",$B$2="",$D$2=0),0,IF(AK$3&lt;0,0,N(INDEX('CURVA PREVISION'!$A$1:$KZ$3000,$C7,10+3*MIN(AK$3,$D$2-1)))))</f>
        <v/>
      </c>
      <c r="AL7" s="130">
        <f>IF(OR($C7="",$B$2="",$D$2=0),0,IF(AL$3&lt;0,0,N(INDEX('CURVA PREVISION'!$A$1:$KZ$3000,$C7,10+3*MIN(AL$3,$D$2-1)))))</f>
        <v/>
      </c>
      <c r="AM7" s="130">
        <f>IF(OR($C7="",$B$2="",$D$2=0),0,IF(AM$3&lt;0,0,N(INDEX('CURVA PREVISION'!$A$1:$KZ$3000,$C7,10+3*MIN(AM$3,$D$2-1)))))</f>
        <v/>
      </c>
      <c r="AN7" s="130">
        <f>IF(OR($C7="",$B$2="",$D$2=0),0,IF(AN$3&lt;0,0,N(INDEX('CURVA PREVISION'!$A$1:$KZ$3000,$C7,10+3*MIN(AN$3,$D$2-1)))))</f>
        <v/>
      </c>
      <c r="AO7" s="130">
        <f>IF(OR($C7="",$B$2="",$D$2=0),0,IF(AO$3&lt;0,0,N(INDEX('CURVA PREVISION'!$A$1:$KZ$3000,$C7,10+3*MIN(AO$3,$D$2-1)))))</f>
        <v/>
      </c>
      <c r="AP7" s="130">
        <f>IF(OR($C7="",$B$2="",$D$2=0),0,IF(AP$3&lt;0,0,N(INDEX('CURVA PREVISION'!$A$1:$KZ$3000,$C7,10+3*MIN(AP$3,$D$2-1)))))</f>
        <v/>
      </c>
      <c r="AQ7" s="130">
        <f>IF(OR($C7="",$B$2="",$D$2=0),0,IF(AQ$3&lt;0,0,N(INDEX('CURVA PREVISION'!$A$1:$KZ$3000,$C7,10+3*MIN(AQ$3,$D$2-1)))))</f>
        <v/>
      </c>
      <c r="AR7" s="130">
        <f>IF(OR($C7="",$B$2="",$D$2=0),0,IF(AR$3&lt;0,0,N(INDEX('CURVA PREVISION'!$A$1:$KZ$3000,$C7,10+3*MIN(AR$3,$D$2-1)))))</f>
        <v/>
      </c>
      <c r="AS7" s="130">
        <f>IF(OR($C7="",$B$2="",$D$2=0),0,IF(AS$3&lt;0,0,N(INDEX('CURVA PREVISION'!$A$1:$KZ$3000,$C7,10+3*MIN(AS$3,$D$2-1)))))</f>
        <v/>
      </c>
      <c r="AT7" s="130">
        <f>IF(OR($C7="",$B$2="",$D$2=0),0,IF(AT$3&lt;0,0,N(INDEX('CURVA PREVISION'!$A$1:$KZ$3000,$C7,10+3*MIN(AT$3,$D$2-1)))))</f>
        <v/>
      </c>
      <c r="AU7" s="130">
        <f>IF(OR($C7="",$B$2="",$D$2=0),0,IF(AU$3&lt;0,0,N(INDEX('CURVA PREVISION'!$A$1:$KZ$3000,$C7,10+3*MIN(AU$3,$D$2-1)))))</f>
        <v/>
      </c>
      <c r="AV7" s="130">
        <f>IF(OR($C7="",$B$2="",$D$2=0),0,IF(AV$3&lt;0,0,N(INDEX('CURVA PREVISION'!$A$1:$KZ$3000,$C7,10+3*MIN(AV$3,$D$2-1)))))</f>
        <v/>
      </c>
      <c r="AW7" s="130">
        <f>IF(OR($C7="",$B$2="",$D$2=0),0,IF(AW$3&lt;0,0,N(INDEX('CURVA PREVISION'!$A$1:$KZ$3000,$C7,10+3*MIN(AW$3,$D$2-1)))))</f>
        <v/>
      </c>
      <c r="AX7" s="130">
        <f>IF(OR($C7="",$B$2="",$D$2=0),0,IF(AX$3&lt;0,0,N(INDEX('CURVA PREVISION'!$A$1:$KZ$3000,$C7,10+3*MIN(AX$3,$D$2-1)))))</f>
        <v/>
      </c>
      <c r="AY7" s="130">
        <f>IF(OR($C7="",$B$2="",$D$2=0),0,IF(AY$3&lt;0,0,N(INDEX('CURVA PREVISION'!$A$1:$KZ$3000,$C7,10+3*MIN(AY$3,$D$2-1)))))</f>
        <v/>
      </c>
      <c r="AZ7" s="130">
        <f>IF(OR($C7="",$B$2="",$D$2=0),0,IF(AZ$3&lt;0,0,N(INDEX('CURVA PREVISION'!$A$1:$KZ$3000,$C7,10+3*MIN(AZ$3,$D$2-1)))))</f>
        <v/>
      </c>
      <c r="BA7" s="130">
        <f>IF(OR($C7="",$B$2="",$D$2=0),0,IF(BA$3&lt;0,0,N(INDEX('CURVA PREVISION'!$A$1:$KZ$3000,$C7,10+3*MIN(BA$3,$D$2-1)))))</f>
        <v/>
      </c>
      <c r="BB7" s="130">
        <f>IF(OR($C7="",$B$2="",$D$2=0),0,IF(BB$3&lt;0,0,N(INDEX('CURVA PREVISION'!$A$1:$KZ$3000,$C7,10+3*MIN(BB$3,$D$2-1)))))</f>
        <v/>
      </c>
      <c r="BC7" s="130">
        <f>IF(OR($C7="",$B$2="",$D$2=0),0,IF(BC$3&lt;0,0,N(INDEX('CURVA PREVISION'!$A$1:$KZ$3000,$C7,10+3*MIN(BC$3,$D$2-1)))))</f>
        <v/>
      </c>
      <c r="BD7" s="130">
        <f>IF(OR($C7="",$B$2="",$D$2=0),0,IF(BD$3&lt;0,0,N(INDEX('CURVA PREVISION'!$A$1:$KZ$3000,$C7,10+3*MIN(BD$3,$D$2-1)))))</f>
        <v/>
      </c>
      <c r="BE7" s="130">
        <f>IF(OR($C7="",$B$2="",$D$2=0),0,IF(BE$3&lt;0,0,N(INDEX('CURVA PREVISION'!$A$1:$KZ$3000,$C7,10+3*MIN(BE$3,$D$2-1)))))</f>
        <v/>
      </c>
      <c r="BF7" s="130">
        <f>IF(OR($C7="",$B$2="",$D$2=0),0,IF(BF$3&lt;0,0,N(INDEX('CURVA PREVISION'!$A$1:$KZ$3000,$C7,10+3*MIN(BF$3,$D$2-1)))))</f>
        <v/>
      </c>
      <c r="BG7" s="130">
        <f>IF(OR($C7="",$B$2="",$D$2=0),0,IF(BG$3&lt;0,0,N(INDEX('CURVA PREVISION'!$A$1:$KZ$3000,$C7,10+3*MIN(BG$3,$D$2-1)))))</f>
        <v/>
      </c>
      <c r="BH7" s="130">
        <f>IF(OR($C7="",$B$2="",$D$2=0),0,IF(BH$3&lt;0,0,N(INDEX('CURVA PREVISION'!$A$1:$KZ$3000,$C7,10+3*MIN(BH$3,$D$2-1)))))</f>
        <v/>
      </c>
      <c r="BI7" s="130">
        <f>IF(OR($C7="",$B$2="",$D$2=0),0,IF(BI$3&lt;0,0,N(INDEX('CURVA PREVISION'!$A$1:$KZ$3000,$C7,10+3*MIN(BI$3,$D$2-1)))))</f>
        <v/>
      </c>
      <c r="BJ7" s="130">
        <f>IF(OR($C7="",$B$2="",$D$2=0),0,IF(BJ$3&lt;0,0,N(INDEX('CURVA PREVISION'!$A$1:$KZ$3000,$C7,10+3*MIN(BJ$3,$D$2-1)))))</f>
        <v/>
      </c>
      <c r="BK7" s="130">
        <f>IF(OR($C7="",$B$2="",$D$2=0),0,IF(BK$3&lt;0,0,N(INDEX('CURVA PREVISION'!$A$1:$KZ$3000,$C7,10+3*MIN(BK$3,$D$2-1)))))</f>
        <v/>
      </c>
      <c r="BL7" s="130">
        <f>IF(OR($C7="",$B$2="",$D$2=0),0,IF(BL$3&lt;0,0,N(INDEX('CURVA PREVISION'!$A$1:$KZ$3000,$C7,10+3*MIN(BL$3,$D$2-1)))))</f>
        <v/>
      </c>
      <c r="BM7" s="130">
        <f>IF(OR($C7="",$B$2="",$D$2=0),0,IF(BM$3&lt;0,0,N(INDEX('CURVA PREVISION'!$A$1:$KZ$3000,$C7,10+3*MIN(BM$3,$D$2-1)))))</f>
        <v/>
      </c>
      <c r="BN7" s="130">
        <f>IF(OR($C7="",$B$2="",$D$2=0),0,IF(BN$3&lt;0,0,N(INDEX('CURVA PREVISION'!$A$1:$KZ$3000,$C7,10+3*MIN(BN$3,$D$2-1)))))</f>
        <v/>
      </c>
      <c r="BO7" s="130">
        <f>IF(OR($C7="",$B$2="",$D$2=0),0,IF(BO$3&lt;0,0,N(INDEX('CURVA PREVISION'!$A$1:$KZ$3000,$C7,10+3*MIN(BO$3,$D$2-1)))))</f>
        <v/>
      </c>
      <c r="BP7" s="130">
        <f>IF(OR($C7="",$B$2="",$D$2=0),0,IF(BP$3&lt;0,0,N(INDEX('CURVA PREVISION'!$A$1:$KZ$3000,$C7,10+3*MIN(BP$3,$D$2-1)))))</f>
        <v/>
      </c>
      <c r="BQ7" s="130">
        <f>IF(OR($C7="",$B$2="",$D$2=0),0,IF(BQ$3&lt;0,0,N(INDEX('CURVA PREVISION'!$A$1:$KZ$3000,$C7,10+3*MIN(BQ$3,$D$2-1)))))</f>
        <v/>
      </c>
      <c r="BR7" s="130">
        <f>IF(OR($C7="",$B$2="",$D$2=0),0,IF(BR$3&lt;0,0,N(INDEX('CURVA PREVISION'!$A$1:$KZ$3000,$C7,10+3*MIN(BR$3,$D$2-1)))))</f>
        <v/>
      </c>
      <c r="BS7" s="130">
        <f>IF(OR($C7="",$B$2="",$D$2=0),0,IF(BS$3&lt;0,0,N(INDEX('CURVA PREVISION'!$A$1:$KZ$3000,$C7,10+3*MIN(BS$3,$D$2-1)))))</f>
        <v/>
      </c>
      <c r="BT7" s="130">
        <f>IF(OR($C7="",$B$2="",$D$2=0),0,IF(BT$3&lt;0,0,N(INDEX('CURVA PREVISION'!$A$1:$KZ$3000,$C7,10+3*MIN(BT$3,$D$2-1)))))</f>
        <v/>
      </c>
      <c r="BU7" s="130">
        <f>IF(OR($C7="",$B$2="",$D$2=0),0,IF(BU$3&lt;0,0,N(INDEX('CURVA PREVISION'!$A$1:$KZ$3000,$C7,10+3*MIN(BU$3,$D$2-1)))))</f>
        <v/>
      </c>
      <c r="BV7" s="130">
        <f>IF(OR($C7="",$B$2="",$D$2=0),0,IF(BV$3&lt;0,0,N(INDEX('CURVA PREVISION'!$A$1:$KZ$3000,$C7,10+3*MIN(BV$3,$D$2-1)))))</f>
        <v/>
      </c>
      <c r="BW7" s="130">
        <f>IF(OR($C7="",$B$2="",$D$2=0),0,IF(BW$3&lt;0,0,N(INDEX('CURVA PREVISION'!$A$1:$KZ$3000,$C7,10+3*MIN(BW$3,$D$2-1)))))</f>
        <v/>
      </c>
    </row>
    <row r="8">
      <c r="A8" s="61">
        <f>IF('VALOR POR PL'!R14&lt;&gt;"",'VALOR POR PL'!R14,IF('VALOR POR PL'!Q14="",'VALOR POR PL'!C14,'VALOR POR PL'!Q14))</f>
        <v/>
      </c>
      <c r="B8" s="61">
        <f>'VALOR POR PL'!D14</f>
        <v/>
      </c>
      <c r="C8" s="70">
        <f>IFERROR(MATCH(A8,'CURVA PREVISION'!$B$1:$B$3000,0),"")</f>
        <v/>
      </c>
      <c r="D8" s="130">
        <f>IF(OR($C8="",$B$2="",$D$2=0),0,IF(D$3&lt;0,0,N(INDEX('CURVA PREVISION'!$A$1:$KZ$3000,$C8,10+3*MIN(D$3,$D$2-1)))))</f>
        <v/>
      </c>
      <c r="E8" s="130">
        <f>IF(OR($C8="",$B$2="",$D$2=0),0,IF(E$3&lt;0,0,N(INDEX('CURVA PREVISION'!$A$1:$KZ$3000,$C8,10+3*MIN(E$3,$D$2-1)))))</f>
        <v/>
      </c>
      <c r="F8" s="130">
        <f>IF(OR($C8="",$B$2="",$D$2=0),0,IF(F$3&lt;0,0,N(INDEX('CURVA PREVISION'!$A$1:$KZ$3000,$C8,10+3*MIN(F$3,$D$2-1)))))</f>
        <v/>
      </c>
      <c r="G8" s="130">
        <f>IF(OR($C8="",$B$2="",$D$2=0),0,IF(G$3&lt;0,0,N(INDEX('CURVA PREVISION'!$A$1:$KZ$3000,$C8,10+3*MIN(G$3,$D$2-1)))))</f>
        <v/>
      </c>
      <c r="H8" s="130">
        <f>IF(OR($C8="",$B$2="",$D$2=0),0,IF(H$3&lt;0,0,N(INDEX('CURVA PREVISION'!$A$1:$KZ$3000,$C8,10+3*MIN(H$3,$D$2-1)))))</f>
        <v/>
      </c>
      <c r="I8" s="130">
        <f>IF(OR($C8="",$B$2="",$D$2=0),0,IF(I$3&lt;0,0,N(INDEX('CURVA PREVISION'!$A$1:$KZ$3000,$C8,10+3*MIN(I$3,$D$2-1)))))</f>
        <v/>
      </c>
      <c r="J8" s="130">
        <f>IF(OR($C8="",$B$2="",$D$2=0),0,IF(J$3&lt;0,0,N(INDEX('CURVA PREVISION'!$A$1:$KZ$3000,$C8,10+3*MIN(J$3,$D$2-1)))))</f>
        <v/>
      </c>
      <c r="K8" s="130">
        <f>IF(OR($C8="",$B$2="",$D$2=0),0,IF(K$3&lt;0,0,N(INDEX('CURVA PREVISION'!$A$1:$KZ$3000,$C8,10+3*MIN(K$3,$D$2-1)))))</f>
        <v/>
      </c>
      <c r="L8" s="130">
        <f>IF(OR($C8="",$B$2="",$D$2=0),0,IF(L$3&lt;0,0,N(INDEX('CURVA PREVISION'!$A$1:$KZ$3000,$C8,10+3*MIN(L$3,$D$2-1)))))</f>
        <v/>
      </c>
      <c r="M8" s="130">
        <f>IF(OR($C8="",$B$2="",$D$2=0),0,IF(M$3&lt;0,0,N(INDEX('CURVA PREVISION'!$A$1:$KZ$3000,$C8,10+3*MIN(M$3,$D$2-1)))))</f>
        <v/>
      </c>
      <c r="N8" s="130">
        <f>IF(OR($C8="",$B$2="",$D$2=0),0,IF(N$3&lt;0,0,N(INDEX('CURVA PREVISION'!$A$1:$KZ$3000,$C8,10+3*MIN(N$3,$D$2-1)))))</f>
        <v/>
      </c>
      <c r="O8" s="130">
        <f>IF(OR($C8="",$B$2="",$D$2=0),0,IF(O$3&lt;0,0,N(INDEX('CURVA PREVISION'!$A$1:$KZ$3000,$C8,10+3*MIN(O$3,$D$2-1)))))</f>
        <v/>
      </c>
      <c r="P8" s="130">
        <f>IF(OR($C8="",$B$2="",$D$2=0),0,IF(P$3&lt;0,0,N(INDEX('CURVA PREVISION'!$A$1:$KZ$3000,$C8,10+3*MIN(P$3,$D$2-1)))))</f>
        <v/>
      </c>
      <c r="Q8" s="130">
        <f>IF(OR($C8="",$B$2="",$D$2=0),0,IF(Q$3&lt;0,0,N(INDEX('CURVA PREVISION'!$A$1:$KZ$3000,$C8,10+3*MIN(Q$3,$D$2-1)))))</f>
        <v/>
      </c>
      <c r="R8" s="130">
        <f>IF(OR($C8="",$B$2="",$D$2=0),0,IF(R$3&lt;0,0,N(INDEX('CURVA PREVISION'!$A$1:$KZ$3000,$C8,10+3*MIN(R$3,$D$2-1)))))</f>
        <v/>
      </c>
      <c r="S8" s="130">
        <f>IF(OR($C8="",$B$2="",$D$2=0),0,IF(S$3&lt;0,0,N(INDEX('CURVA PREVISION'!$A$1:$KZ$3000,$C8,10+3*MIN(S$3,$D$2-1)))))</f>
        <v/>
      </c>
      <c r="T8" s="130">
        <f>IF(OR($C8="",$B$2="",$D$2=0),0,IF(T$3&lt;0,0,N(INDEX('CURVA PREVISION'!$A$1:$KZ$3000,$C8,10+3*MIN(T$3,$D$2-1)))))</f>
        <v/>
      </c>
      <c r="U8" s="130">
        <f>IF(OR($C8="",$B$2="",$D$2=0),0,IF(U$3&lt;0,0,N(INDEX('CURVA PREVISION'!$A$1:$KZ$3000,$C8,10+3*MIN(U$3,$D$2-1)))))</f>
        <v/>
      </c>
      <c r="V8" s="130">
        <f>IF(OR($C8="",$B$2="",$D$2=0),0,IF(V$3&lt;0,0,N(INDEX('CURVA PREVISION'!$A$1:$KZ$3000,$C8,10+3*MIN(V$3,$D$2-1)))))</f>
        <v/>
      </c>
      <c r="W8" s="130">
        <f>IF(OR($C8="",$B$2="",$D$2=0),0,IF(W$3&lt;0,0,N(INDEX('CURVA PREVISION'!$A$1:$KZ$3000,$C8,10+3*MIN(W$3,$D$2-1)))))</f>
        <v/>
      </c>
      <c r="X8" s="130">
        <f>IF(OR($C8="",$B$2="",$D$2=0),0,IF(X$3&lt;0,0,N(INDEX('CURVA PREVISION'!$A$1:$KZ$3000,$C8,10+3*MIN(X$3,$D$2-1)))))</f>
        <v/>
      </c>
      <c r="Y8" s="130">
        <f>IF(OR($C8="",$B$2="",$D$2=0),0,IF(Y$3&lt;0,0,N(INDEX('CURVA PREVISION'!$A$1:$KZ$3000,$C8,10+3*MIN(Y$3,$D$2-1)))))</f>
        <v/>
      </c>
      <c r="Z8" s="130">
        <f>IF(OR($C8="",$B$2="",$D$2=0),0,IF(Z$3&lt;0,0,N(INDEX('CURVA PREVISION'!$A$1:$KZ$3000,$C8,10+3*MIN(Z$3,$D$2-1)))))</f>
        <v/>
      </c>
      <c r="AA8" s="130">
        <f>IF(OR($C8="",$B$2="",$D$2=0),0,IF(AA$3&lt;0,0,N(INDEX('CURVA PREVISION'!$A$1:$KZ$3000,$C8,10+3*MIN(AA$3,$D$2-1)))))</f>
        <v/>
      </c>
      <c r="AB8" s="130">
        <f>IF(OR($C8="",$B$2="",$D$2=0),0,IF(AB$3&lt;0,0,N(INDEX('CURVA PREVISION'!$A$1:$KZ$3000,$C8,10+3*MIN(AB$3,$D$2-1)))))</f>
        <v/>
      </c>
      <c r="AC8" s="130">
        <f>IF(OR($C8="",$B$2="",$D$2=0),0,IF(AC$3&lt;0,0,N(INDEX('CURVA PREVISION'!$A$1:$KZ$3000,$C8,10+3*MIN(AC$3,$D$2-1)))))</f>
        <v/>
      </c>
      <c r="AD8" s="130">
        <f>IF(OR($C8="",$B$2="",$D$2=0),0,IF(AD$3&lt;0,0,N(INDEX('CURVA PREVISION'!$A$1:$KZ$3000,$C8,10+3*MIN(AD$3,$D$2-1)))))</f>
        <v/>
      </c>
      <c r="AE8" s="130">
        <f>IF(OR($C8="",$B$2="",$D$2=0),0,IF(AE$3&lt;0,0,N(INDEX('CURVA PREVISION'!$A$1:$KZ$3000,$C8,10+3*MIN(AE$3,$D$2-1)))))</f>
        <v/>
      </c>
      <c r="AF8" s="130">
        <f>IF(OR($C8="",$B$2="",$D$2=0),0,IF(AF$3&lt;0,0,N(INDEX('CURVA PREVISION'!$A$1:$KZ$3000,$C8,10+3*MIN(AF$3,$D$2-1)))))</f>
        <v/>
      </c>
      <c r="AG8" s="130">
        <f>IF(OR($C8="",$B$2="",$D$2=0),0,IF(AG$3&lt;0,0,N(INDEX('CURVA PREVISION'!$A$1:$KZ$3000,$C8,10+3*MIN(AG$3,$D$2-1)))))</f>
        <v/>
      </c>
      <c r="AH8" s="130">
        <f>IF(OR($C8="",$B$2="",$D$2=0),0,IF(AH$3&lt;0,0,N(INDEX('CURVA PREVISION'!$A$1:$KZ$3000,$C8,10+3*MIN(AH$3,$D$2-1)))))</f>
        <v/>
      </c>
      <c r="AI8" s="130">
        <f>IF(OR($C8="",$B$2="",$D$2=0),0,IF(AI$3&lt;0,0,N(INDEX('CURVA PREVISION'!$A$1:$KZ$3000,$C8,10+3*MIN(AI$3,$D$2-1)))))</f>
        <v/>
      </c>
      <c r="AJ8" s="130">
        <f>IF(OR($C8="",$B$2="",$D$2=0),0,IF(AJ$3&lt;0,0,N(INDEX('CURVA PREVISION'!$A$1:$KZ$3000,$C8,10+3*MIN(AJ$3,$D$2-1)))))</f>
        <v/>
      </c>
      <c r="AK8" s="130">
        <f>IF(OR($C8="",$B$2="",$D$2=0),0,IF(AK$3&lt;0,0,N(INDEX('CURVA PREVISION'!$A$1:$KZ$3000,$C8,10+3*MIN(AK$3,$D$2-1)))))</f>
        <v/>
      </c>
      <c r="AL8" s="130">
        <f>IF(OR($C8="",$B$2="",$D$2=0),0,IF(AL$3&lt;0,0,N(INDEX('CURVA PREVISION'!$A$1:$KZ$3000,$C8,10+3*MIN(AL$3,$D$2-1)))))</f>
        <v/>
      </c>
      <c r="AM8" s="130">
        <f>IF(OR($C8="",$B$2="",$D$2=0),0,IF(AM$3&lt;0,0,N(INDEX('CURVA PREVISION'!$A$1:$KZ$3000,$C8,10+3*MIN(AM$3,$D$2-1)))))</f>
        <v/>
      </c>
      <c r="AN8" s="130">
        <f>IF(OR($C8="",$B$2="",$D$2=0),0,IF(AN$3&lt;0,0,N(INDEX('CURVA PREVISION'!$A$1:$KZ$3000,$C8,10+3*MIN(AN$3,$D$2-1)))))</f>
        <v/>
      </c>
      <c r="AO8" s="130">
        <f>IF(OR($C8="",$B$2="",$D$2=0),0,IF(AO$3&lt;0,0,N(INDEX('CURVA PREVISION'!$A$1:$KZ$3000,$C8,10+3*MIN(AO$3,$D$2-1)))))</f>
        <v/>
      </c>
      <c r="AP8" s="130">
        <f>IF(OR($C8="",$B$2="",$D$2=0),0,IF(AP$3&lt;0,0,N(INDEX('CURVA PREVISION'!$A$1:$KZ$3000,$C8,10+3*MIN(AP$3,$D$2-1)))))</f>
        <v/>
      </c>
      <c r="AQ8" s="130">
        <f>IF(OR($C8="",$B$2="",$D$2=0),0,IF(AQ$3&lt;0,0,N(INDEX('CURVA PREVISION'!$A$1:$KZ$3000,$C8,10+3*MIN(AQ$3,$D$2-1)))))</f>
        <v/>
      </c>
      <c r="AR8" s="130">
        <f>IF(OR($C8="",$B$2="",$D$2=0),0,IF(AR$3&lt;0,0,N(INDEX('CURVA PREVISION'!$A$1:$KZ$3000,$C8,10+3*MIN(AR$3,$D$2-1)))))</f>
        <v/>
      </c>
      <c r="AS8" s="130">
        <f>IF(OR($C8="",$B$2="",$D$2=0),0,IF(AS$3&lt;0,0,N(INDEX('CURVA PREVISION'!$A$1:$KZ$3000,$C8,10+3*MIN(AS$3,$D$2-1)))))</f>
        <v/>
      </c>
      <c r="AT8" s="130">
        <f>IF(OR($C8="",$B$2="",$D$2=0),0,IF(AT$3&lt;0,0,N(INDEX('CURVA PREVISION'!$A$1:$KZ$3000,$C8,10+3*MIN(AT$3,$D$2-1)))))</f>
        <v/>
      </c>
      <c r="AU8" s="130">
        <f>IF(OR($C8="",$B$2="",$D$2=0),0,IF(AU$3&lt;0,0,N(INDEX('CURVA PREVISION'!$A$1:$KZ$3000,$C8,10+3*MIN(AU$3,$D$2-1)))))</f>
        <v/>
      </c>
      <c r="AV8" s="130">
        <f>IF(OR($C8="",$B$2="",$D$2=0),0,IF(AV$3&lt;0,0,N(INDEX('CURVA PREVISION'!$A$1:$KZ$3000,$C8,10+3*MIN(AV$3,$D$2-1)))))</f>
        <v/>
      </c>
      <c r="AW8" s="130">
        <f>IF(OR($C8="",$B$2="",$D$2=0),0,IF(AW$3&lt;0,0,N(INDEX('CURVA PREVISION'!$A$1:$KZ$3000,$C8,10+3*MIN(AW$3,$D$2-1)))))</f>
        <v/>
      </c>
      <c r="AX8" s="130">
        <f>IF(OR($C8="",$B$2="",$D$2=0),0,IF(AX$3&lt;0,0,N(INDEX('CURVA PREVISION'!$A$1:$KZ$3000,$C8,10+3*MIN(AX$3,$D$2-1)))))</f>
        <v/>
      </c>
      <c r="AY8" s="130">
        <f>IF(OR($C8="",$B$2="",$D$2=0),0,IF(AY$3&lt;0,0,N(INDEX('CURVA PREVISION'!$A$1:$KZ$3000,$C8,10+3*MIN(AY$3,$D$2-1)))))</f>
        <v/>
      </c>
      <c r="AZ8" s="130">
        <f>IF(OR($C8="",$B$2="",$D$2=0),0,IF(AZ$3&lt;0,0,N(INDEX('CURVA PREVISION'!$A$1:$KZ$3000,$C8,10+3*MIN(AZ$3,$D$2-1)))))</f>
        <v/>
      </c>
      <c r="BA8" s="130">
        <f>IF(OR($C8="",$B$2="",$D$2=0),0,IF(BA$3&lt;0,0,N(INDEX('CURVA PREVISION'!$A$1:$KZ$3000,$C8,10+3*MIN(BA$3,$D$2-1)))))</f>
        <v/>
      </c>
      <c r="BB8" s="130">
        <f>IF(OR($C8="",$B$2="",$D$2=0),0,IF(BB$3&lt;0,0,N(INDEX('CURVA PREVISION'!$A$1:$KZ$3000,$C8,10+3*MIN(BB$3,$D$2-1)))))</f>
        <v/>
      </c>
      <c r="BC8" s="130">
        <f>IF(OR($C8="",$B$2="",$D$2=0),0,IF(BC$3&lt;0,0,N(INDEX('CURVA PREVISION'!$A$1:$KZ$3000,$C8,10+3*MIN(BC$3,$D$2-1)))))</f>
        <v/>
      </c>
      <c r="BD8" s="130">
        <f>IF(OR($C8="",$B$2="",$D$2=0),0,IF(BD$3&lt;0,0,N(INDEX('CURVA PREVISION'!$A$1:$KZ$3000,$C8,10+3*MIN(BD$3,$D$2-1)))))</f>
        <v/>
      </c>
      <c r="BE8" s="130">
        <f>IF(OR($C8="",$B$2="",$D$2=0),0,IF(BE$3&lt;0,0,N(INDEX('CURVA PREVISION'!$A$1:$KZ$3000,$C8,10+3*MIN(BE$3,$D$2-1)))))</f>
        <v/>
      </c>
      <c r="BF8" s="130">
        <f>IF(OR($C8="",$B$2="",$D$2=0),0,IF(BF$3&lt;0,0,N(INDEX('CURVA PREVISION'!$A$1:$KZ$3000,$C8,10+3*MIN(BF$3,$D$2-1)))))</f>
        <v/>
      </c>
      <c r="BG8" s="130">
        <f>IF(OR($C8="",$B$2="",$D$2=0),0,IF(BG$3&lt;0,0,N(INDEX('CURVA PREVISION'!$A$1:$KZ$3000,$C8,10+3*MIN(BG$3,$D$2-1)))))</f>
        <v/>
      </c>
      <c r="BH8" s="130">
        <f>IF(OR($C8="",$B$2="",$D$2=0),0,IF(BH$3&lt;0,0,N(INDEX('CURVA PREVISION'!$A$1:$KZ$3000,$C8,10+3*MIN(BH$3,$D$2-1)))))</f>
        <v/>
      </c>
      <c r="BI8" s="130">
        <f>IF(OR($C8="",$B$2="",$D$2=0),0,IF(BI$3&lt;0,0,N(INDEX('CURVA PREVISION'!$A$1:$KZ$3000,$C8,10+3*MIN(BI$3,$D$2-1)))))</f>
        <v/>
      </c>
      <c r="BJ8" s="130">
        <f>IF(OR($C8="",$B$2="",$D$2=0),0,IF(BJ$3&lt;0,0,N(INDEX('CURVA PREVISION'!$A$1:$KZ$3000,$C8,10+3*MIN(BJ$3,$D$2-1)))))</f>
        <v/>
      </c>
      <c r="BK8" s="130">
        <f>IF(OR($C8="",$B$2="",$D$2=0),0,IF(BK$3&lt;0,0,N(INDEX('CURVA PREVISION'!$A$1:$KZ$3000,$C8,10+3*MIN(BK$3,$D$2-1)))))</f>
        <v/>
      </c>
      <c r="BL8" s="130">
        <f>IF(OR($C8="",$B$2="",$D$2=0),0,IF(BL$3&lt;0,0,N(INDEX('CURVA PREVISION'!$A$1:$KZ$3000,$C8,10+3*MIN(BL$3,$D$2-1)))))</f>
        <v/>
      </c>
      <c r="BM8" s="130">
        <f>IF(OR($C8="",$B$2="",$D$2=0),0,IF(BM$3&lt;0,0,N(INDEX('CURVA PREVISION'!$A$1:$KZ$3000,$C8,10+3*MIN(BM$3,$D$2-1)))))</f>
        <v/>
      </c>
      <c r="BN8" s="130">
        <f>IF(OR($C8="",$B$2="",$D$2=0),0,IF(BN$3&lt;0,0,N(INDEX('CURVA PREVISION'!$A$1:$KZ$3000,$C8,10+3*MIN(BN$3,$D$2-1)))))</f>
        <v/>
      </c>
      <c r="BO8" s="130">
        <f>IF(OR($C8="",$B$2="",$D$2=0),0,IF(BO$3&lt;0,0,N(INDEX('CURVA PREVISION'!$A$1:$KZ$3000,$C8,10+3*MIN(BO$3,$D$2-1)))))</f>
        <v/>
      </c>
      <c r="BP8" s="130">
        <f>IF(OR($C8="",$B$2="",$D$2=0),0,IF(BP$3&lt;0,0,N(INDEX('CURVA PREVISION'!$A$1:$KZ$3000,$C8,10+3*MIN(BP$3,$D$2-1)))))</f>
        <v/>
      </c>
      <c r="BQ8" s="130">
        <f>IF(OR($C8="",$B$2="",$D$2=0),0,IF(BQ$3&lt;0,0,N(INDEX('CURVA PREVISION'!$A$1:$KZ$3000,$C8,10+3*MIN(BQ$3,$D$2-1)))))</f>
        <v/>
      </c>
      <c r="BR8" s="130">
        <f>IF(OR($C8="",$B$2="",$D$2=0),0,IF(BR$3&lt;0,0,N(INDEX('CURVA PREVISION'!$A$1:$KZ$3000,$C8,10+3*MIN(BR$3,$D$2-1)))))</f>
        <v/>
      </c>
      <c r="BS8" s="130">
        <f>IF(OR($C8="",$B$2="",$D$2=0),0,IF(BS$3&lt;0,0,N(INDEX('CURVA PREVISION'!$A$1:$KZ$3000,$C8,10+3*MIN(BS$3,$D$2-1)))))</f>
        <v/>
      </c>
      <c r="BT8" s="130">
        <f>IF(OR($C8="",$B$2="",$D$2=0),0,IF(BT$3&lt;0,0,N(INDEX('CURVA PREVISION'!$A$1:$KZ$3000,$C8,10+3*MIN(BT$3,$D$2-1)))))</f>
        <v/>
      </c>
      <c r="BU8" s="130">
        <f>IF(OR($C8="",$B$2="",$D$2=0),0,IF(BU$3&lt;0,0,N(INDEX('CURVA PREVISION'!$A$1:$KZ$3000,$C8,10+3*MIN(BU$3,$D$2-1)))))</f>
        <v/>
      </c>
      <c r="BV8" s="130">
        <f>IF(OR($C8="",$B$2="",$D$2=0),0,IF(BV$3&lt;0,0,N(INDEX('CURVA PREVISION'!$A$1:$KZ$3000,$C8,10+3*MIN(BV$3,$D$2-1)))))</f>
        <v/>
      </c>
      <c r="BW8" s="130">
        <f>IF(OR($C8="",$B$2="",$D$2=0),0,IF(BW$3&lt;0,0,N(INDEX('CURVA PREVISION'!$A$1:$KZ$3000,$C8,10+3*MIN(BW$3,$D$2-1)))))</f>
        <v/>
      </c>
    </row>
    <row r="9">
      <c r="A9" s="61">
        <f>IF('VALOR POR PL'!R15&lt;&gt;"",'VALOR POR PL'!R15,IF('VALOR POR PL'!Q15="",'VALOR POR PL'!C15,'VALOR POR PL'!Q15))</f>
        <v/>
      </c>
      <c r="B9" s="61">
        <f>'VALOR POR PL'!D15</f>
        <v/>
      </c>
      <c r="C9" s="70">
        <f>IFERROR(MATCH(A9,'CURVA PREVISION'!$B$1:$B$3000,0),"")</f>
        <v/>
      </c>
      <c r="D9" s="130">
        <f>IF(OR($C9="",$B$2="",$D$2=0),0,IF(D$3&lt;0,0,N(INDEX('CURVA PREVISION'!$A$1:$KZ$3000,$C9,10+3*MIN(D$3,$D$2-1)))))</f>
        <v/>
      </c>
      <c r="E9" s="130">
        <f>IF(OR($C9="",$B$2="",$D$2=0),0,IF(E$3&lt;0,0,N(INDEX('CURVA PREVISION'!$A$1:$KZ$3000,$C9,10+3*MIN(E$3,$D$2-1)))))</f>
        <v/>
      </c>
      <c r="F9" s="130">
        <f>IF(OR($C9="",$B$2="",$D$2=0),0,IF(F$3&lt;0,0,N(INDEX('CURVA PREVISION'!$A$1:$KZ$3000,$C9,10+3*MIN(F$3,$D$2-1)))))</f>
        <v/>
      </c>
      <c r="G9" s="130">
        <f>IF(OR($C9="",$B$2="",$D$2=0),0,IF(G$3&lt;0,0,N(INDEX('CURVA PREVISION'!$A$1:$KZ$3000,$C9,10+3*MIN(G$3,$D$2-1)))))</f>
        <v/>
      </c>
      <c r="H9" s="130">
        <f>IF(OR($C9="",$B$2="",$D$2=0),0,IF(H$3&lt;0,0,N(INDEX('CURVA PREVISION'!$A$1:$KZ$3000,$C9,10+3*MIN(H$3,$D$2-1)))))</f>
        <v/>
      </c>
      <c r="I9" s="130">
        <f>IF(OR($C9="",$B$2="",$D$2=0),0,IF(I$3&lt;0,0,N(INDEX('CURVA PREVISION'!$A$1:$KZ$3000,$C9,10+3*MIN(I$3,$D$2-1)))))</f>
        <v/>
      </c>
      <c r="J9" s="130">
        <f>IF(OR($C9="",$B$2="",$D$2=0),0,IF(J$3&lt;0,0,N(INDEX('CURVA PREVISION'!$A$1:$KZ$3000,$C9,10+3*MIN(J$3,$D$2-1)))))</f>
        <v/>
      </c>
      <c r="K9" s="130">
        <f>IF(OR($C9="",$B$2="",$D$2=0),0,IF(K$3&lt;0,0,N(INDEX('CURVA PREVISION'!$A$1:$KZ$3000,$C9,10+3*MIN(K$3,$D$2-1)))))</f>
        <v/>
      </c>
      <c r="L9" s="130">
        <f>IF(OR($C9="",$B$2="",$D$2=0),0,IF(L$3&lt;0,0,N(INDEX('CURVA PREVISION'!$A$1:$KZ$3000,$C9,10+3*MIN(L$3,$D$2-1)))))</f>
        <v/>
      </c>
      <c r="M9" s="130">
        <f>IF(OR($C9="",$B$2="",$D$2=0),0,IF(M$3&lt;0,0,N(INDEX('CURVA PREVISION'!$A$1:$KZ$3000,$C9,10+3*MIN(M$3,$D$2-1)))))</f>
        <v/>
      </c>
      <c r="N9" s="130">
        <f>IF(OR($C9="",$B$2="",$D$2=0),0,IF(N$3&lt;0,0,N(INDEX('CURVA PREVISION'!$A$1:$KZ$3000,$C9,10+3*MIN(N$3,$D$2-1)))))</f>
        <v/>
      </c>
      <c r="O9" s="130">
        <f>IF(OR($C9="",$B$2="",$D$2=0),0,IF(O$3&lt;0,0,N(INDEX('CURVA PREVISION'!$A$1:$KZ$3000,$C9,10+3*MIN(O$3,$D$2-1)))))</f>
        <v/>
      </c>
      <c r="P9" s="130">
        <f>IF(OR($C9="",$B$2="",$D$2=0),0,IF(P$3&lt;0,0,N(INDEX('CURVA PREVISION'!$A$1:$KZ$3000,$C9,10+3*MIN(P$3,$D$2-1)))))</f>
        <v/>
      </c>
      <c r="Q9" s="130">
        <f>IF(OR($C9="",$B$2="",$D$2=0),0,IF(Q$3&lt;0,0,N(INDEX('CURVA PREVISION'!$A$1:$KZ$3000,$C9,10+3*MIN(Q$3,$D$2-1)))))</f>
        <v/>
      </c>
      <c r="R9" s="130">
        <f>IF(OR($C9="",$B$2="",$D$2=0),0,IF(R$3&lt;0,0,N(INDEX('CURVA PREVISION'!$A$1:$KZ$3000,$C9,10+3*MIN(R$3,$D$2-1)))))</f>
        <v/>
      </c>
      <c r="S9" s="130">
        <f>IF(OR($C9="",$B$2="",$D$2=0),0,IF(S$3&lt;0,0,N(INDEX('CURVA PREVISION'!$A$1:$KZ$3000,$C9,10+3*MIN(S$3,$D$2-1)))))</f>
        <v/>
      </c>
      <c r="T9" s="130">
        <f>IF(OR($C9="",$B$2="",$D$2=0),0,IF(T$3&lt;0,0,N(INDEX('CURVA PREVISION'!$A$1:$KZ$3000,$C9,10+3*MIN(T$3,$D$2-1)))))</f>
        <v/>
      </c>
      <c r="U9" s="130">
        <f>IF(OR($C9="",$B$2="",$D$2=0),0,IF(U$3&lt;0,0,N(INDEX('CURVA PREVISION'!$A$1:$KZ$3000,$C9,10+3*MIN(U$3,$D$2-1)))))</f>
        <v/>
      </c>
      <c r="V9" s="130">
        <f>IF(OR($C9="",$B$2="",$D$2=0),0,IF(V$3&lt;0,0,N(INDEX('CURVA PREVISION'!$A$1:$KZ$3000,$C9,10+3*MIN(V$3,$D$2-1)))))</f>
        <v/>
      </c>
      <c r="W9" s="130">
        <f>IF(OR($C9="",$B$2="",$D$2=0),0,IF(W$3&lt;0,0,N(INDEX('CURVA PREVISION'!$A$1:$KZ$3000,$C9,10+3*MIN(W$3,$D$2-1)))))</f>
        <v/>
      </c>
      <c r="X9" s="130">
        <f>IF(OR($C9="",$B$2="",$D$2=0),0,IF(X$3&lt;0,0,N(INDEX('CURVA PREVISION'!$A$1:$KZ$3000,$C9,10+3*MIN(X$3,$D$2-1)))))</f>
        <v/>
      </c>
      <c r="Y9" s="130">
        <f>IF(OR($C9="",$B$2="",$D$2=0),0,IF(Y$3&lt;0,0,N(INDEX('CURVA PREVISION'!$A$1:$KZ$3000,$C9,10+3*MIN(Y$3,$D$2-1)))))</f>
        <v/>
      </c>
      <c r="Z9" s="130">
        <f>IF(OR($C9="",$B$2="",$D$2=0),0,IF(Z$3&lt;0,0,N(INDEX('CURVA PREVISION'!$A$1:$KZ$3000,$C9,10+3*MIN(Z$3,$D$2-1)))))</f>
        <v/>
      </c>
      <c r="AA9" s="130">
        <f>IF(OR($C9="",$B$2="",$D$2=0),0,IF(AA$3&lt;0,0,N(INDEX('CURVA PREVISION'!$A$1:$KZ$3000,$C9,10+3*MIN(AA$3,$D$2-1)))))</f>
        <v/>
      </c>
      <c r="AB9" s="130">
        <f>IF(OR($C9="",$B$2="",$D$2=0),0,IF(AB$3&lt;0,0,N(INDEX('CURVA PREVISION'!$A$1:$KZ$3000,$C9,10+3*MIN(AB$3,$D$2-1)))))</f>
        <v/>
      </c>
      <c r="AC9" s="130">
        <f>IF(OR($C9="",$B$2="",$D$2=0),0,IF(AC$3&lt;0,0,N(INDEX('CURVA PREVISION'!$A$1:$KZ$3000,$C9,10+3*MIN(AC$3,$D$2-1)))))</f>
        <v/>
      </c>
      <c r="AD9" s="130">
        <f>IF(OR($C9="",$B$2="",$D$2=0),0,IF(AD$3&lt;0,0,N(INDEX('CURVA PREVISION'!$A$1:$KZ$3000,$C9,10+3*MIN(AD$3,$D$2-1)))))</f>
        <v/>
      </c>
      <c r="AE9" s="130">
        <f>IF(OR($C9="",$B$2="",$D$2=0),0,IF(AE$3&lt;0,0,N(INDEX('CURVA PREVISION'!$A$1:$KZ$3000,$C9,10+3*MIN(AE$3,$D$2-1)))))</f>
        <v/>
      </c>
      <c r="AF9" s="130">
        <f>IF(OR($C9="",$B$2="",$D$2=0),0,IF(AF$3&lt;0,0,N(INDEX('CURVA PREVISION'!$A$1:$KZ$3000,$C9,10+3*MIN(AF$3,$D$2-1)))))</f>
        <v/>
      </c>
      <c r="AG9" s="130">
        <f>IF(OR($C9="",$B$2="",$D$2=0),0,IF(AG$3&lt;0,0,N(INDEX('CURVA PREVISION'!$A$1:$KZ$3000,$C9,10+3*MIN(AG$3,$D$2-1)))))</f>
        <v/>
      </c>
      <c r="AH9" s="130">
        <f>IF(OR($C9="",$B$2="",$D$2=0),0,IF(AH$3&lt;0,0,N(INDEX('CURVA PREVISION'!$A$1:$KZ$3000,$C9,10+3*MIN(AH$3,$D$2-1)))))</f>
        <v/>
      </c>
      <c r="AI9" s="130">
        <f>IF(OR($C9="",$B$2="",$D$2=0),0,IF(AI$3&lt;0,0,N(INDEX('CURVA PREVISION'!$A$1:$KZ$3000,$C9,10+3*MIN(AI$3,$D$2-1)))))</f>
        <v/>
      </c>
      <c r="AJ9" s="130">
        <f>IF(OR($C9="",$B$2="",$D$2=0),0,IF(AJ$3&lt;0,0,N(INDEX('CURVA PREVISION'!$A$1:$KZ$3000,$C9,10+3*MIN(AJ$3,$D$2-1)))))</f>
        <v/>
      </c>
      <c r="AK9" s="130">
        <f>IF(OR($C9="",$B$2="",$D$2=0),0,IF(AK$3&lt;0,0,N(INDEX('CURVA PREVISION'!$A$1:$KZ$3000,$C9,10+3*MIN(AK$3,$D$2-1)))))</f>
        <v/>
      </c>
      <c r="AL9" s="130">
        <f>IF(OR($C9="",$B$2="",$D$2=0),0,IF(AL$3&lt;0,0,N(INDEX('CURVA PREVISION'!$A$1:$KZ$3000,$C9,10+3*MIN(AL$3,$D$2-1)))))</f>
        <v/>
      </c>
      <c r="AM9" s="130">
        <f>IF(OR($C9="",$B$2="",$D$2=0),0,IF(AM$3&lt;0,0,N(INDEX('CURVA PREVISION'!$A$1:$KZ$3000,$C9,10+3*MIN(AM$3,$D$2-1)))))</f>
        <v/>
      </c>
      <c r="AN9" s="130">
        <f>IF(OR($C9="",$B$2="",$D$2=0),0,IF(AN$3&lt;0,0,N(INDEX('CURVA PREVISION'!$A$1:$KZ$3000,$C9,10+3*MIN(AN$3,$D$2-1)))))</f>
        <v/>
      </c>
      <c r="AO9" s="130">
        <f>IF(OR($C9="",$B$2="",$D$2=0),0,IF(AO$3&lt;0,0,N(INDEX('CURVA PREVISION'!$A$1:$KZ$3000,$C9,10+3*MIN(AO$3,$D$2-1)))))</f>
        <v/>
      </c>
      <c r="AP9" s="130">
        <f>IF(OR($C9="",$B$2="",$D$2=0),0,IF(AP$3&lt;0,0,N(INDEX('CURVA PREVISION'!$A$1:$KZ$3000,$C9,10+3*MIN(AP$3,$D$2-1)))))</f>
        <v/>
      </c>
      <c r="AQ9" s="130">
        <f>IF(OR($C9="",$B$2="",$D$2=0),0,IF(AQ$3&lt;0,0,N(INDEX('CURVA PREVISION'!$A$1:$KZ$3000,$C9,10+3*MIN(AQ$3,$D$2-1)))))</f>
        <v/>
      </c>
      <c r="AR9" s="130">
        <f>IF(OR($C9="",$B$2="",$D$2=0),0,IF(AR$3&lt;0,0,N(INDEX('CURVA PREVISION'!$A$1:$KZ$3000,$C9,10+3*MIN(AR$3,$D$2-1)))))</f>
        <v/>
      </c>
      <c r="AS9" s="130">
        <f>IF(OR($C9="",$B$2="",$D$2=0),0,IF(AS$3&lt;0,0,N(INDEX('CURVA PREVISION'!$A$1:$KZ$3000,$C9,10+3*MIN(AS$3,$D$2-1)))))</f>
        <v/>
      </c>
      <c r="AT9" s="130">
        <f>IF(OR($C9="",$B$2="",$D$2=0),0,IF(AT$3&lt;0,0,N(INDEX('CURVA PREVISION'!$A$1:$KZ$3000,$C9,10+3*MIN(AT$3,$D$2-1)))))</f>
        <v/>
      </c>
      <c r="AU9" s="130">
        <f>IF(OR($C9="",$B$2="",$D$2=0),0,IF(AU$3&lt;0,0,N(INDEX('CURVA PREVISION'!$A$1:$KZ$3000,$C9,10+3*MIN(AU$3,$D$2-1)))))</f>
        <v/>
      </c>
      <c r="AV9" s="130">
        <f>IF(OR($C9="",$B$2="",$D$2=0),0,IF(AV$3&lt;0,0,N(INDEX('CURVA PREVISION'!$A$1:$KZ$3000,$C9,10+3*MIN(AV$3,$D$2-1)))))</f>
        <v/>
      </c>
      <c r="AW9" s="130">
        <f>IF(OR($C9="",$B$2="",$D$2=0),0,IF(AW$3&lt;0,0,N(INDEX('CURVA PREVISION'!$A$1:$KZ$3000,$C9,10+3*MIN(AW$3,$D$2-1)))))</f>
        <v/>
      </c>
      <c r="AX9" s="130">
        <f>IF(OR($C9="",$B$2="",$D$2=0),0,IF(AX$3&lt;0,0,N(INDEX('CURVA PREVISION'!$A$1:$KZ$3000,$C9,10+3*MIN(AX$3,$D$2-1)))))</f>
        <v/>
      </c>
      <c r="AY9" s="130">
        <f>IF(OR($C9="",$B$2="",$D$2=0),0,IF(AY$3&lt;0,0,N(INDEX('CURVA PREVISION'!$A$1:$KZ$3000,$C9,10+3*MIN(AY$3,$D$2-1)))))</f>
        <v/>
      </c>
      <c r="AZ9" s="130">
        <f>IF(OR($C9="",$B$2="",$D$2=0),0,IF(AZ$3&lt;0,0,N(INDEX('CURVA PREVISION'!$A$1:$KZ$3000,$C9,10+3*MIN(AZ$3,$D$2-1)))))</f>
        <v/>
      </c>
      <c r="BA9" s="130">
        <f>IF(OR($C9="",$B$2="",$D$2=0),0,IF(BA$3&lt;0,0,N(INDEX('CURVA PREVISION'!$A$1:$KZ$3000,$C9,10+3*MIN(BA$3,$D$2-1)))))</f>
        <v/>
      </c>
      <c r="BB9" s="130">
        <f>IF(OR($C9="",$B$2="",$D$2=0),0,IF(BB$3&lt;0,0,N(INDEX('CURVA PREVISION'!$A$1:$KZ$3000,$C9,10+3*MIN(BB$3,$D$2-1)))))</f>
        <v/>
      </c>
      <c r="BC9" s="130">
        <f>IF(OR($C9="",$B$2="",$D$2=0),0,IF(BC$3&lt;0,0,N(INDEX('CURVA PREVISION'!$A$1:$KZ$3000,$C9,10+3*MIN(BC$3,$D$2-1)))))</f>
        <v/>
      </c>
      <c r="BD9" s="130">
        <f>IF(OR($C9="",$B$2="",$D$2=0),0,IF(BD$3&lt;0,0,N(INDEX('CURVA PREVISION'!$A$1:$KZ$3000,$C9,10+3*MIN(BD$3,$D$2-1)))))</f>
        <v/>
      </c>
      <c r="BE9" s="130">
        <f>IF(OR($C9="",$B$2="",$D$2=0),0,IF(BE$3&lt;0,0,N(INDEX('CURVA PREVISION'!$A$1:$KZ$3000,$C9,10+3*MIN(BE$3,$D$2-1)))))</f>
        <v/>
      </c>
      <c r="BF9" s="130">
        <f>IF(OR($C9="",$B$2="",$D$2=0),0,IF(BF$3&lt;0,0,N(INDEX('CURVA PREVISION'!$A$1:$KZ$3000,$C9,10+3*MIN(BF$3,$D$2-1)))))</f>
        <v/>
      </c>
      <c r="BG9" s="130">
        <f>IF(OR($C9="",$B$2="",$D$2=0),0,IF(BG$3&lt;0,0,N(INDEX('CURVA PREVISION'!$A$1:$KZ$3000,$C9,10+3*MIN(BG$3,$D$2-1)))))</f>
        <v/>
      </c>
      <c r="BH9" s="130">
        <f>IF(OR($C9="",$B$2="",$D$2=0),0,IF(BH$3&lt;0,0,N(INDEX('CURVA PREVISION'!$A$1:$KZ$3000,$C9,10+3*MIN(BH$3,$D$2-1)))))</f>
        <v/>
      </c>
      <c r="BI9" s="130">
        <f>IF(OR($C9="",$B$2="",$D$2=0),0,IF(BI$3&lt;0,0,N(INDEX('CURVA PREVISION'!$A$1:$KZ$3000,$C9,10+3*MIN(BI$3,$D$2-1)))))</f>
        <v/>
      </c>
      <c r="BJ9" s="130">
        <f>IF(OR($C9="",$B$2="",$D$2=0),0,IF(BJ$3&lt;0,0,N(INDEX('CURVA PREVISION'!$A$1:$KZ$3000,$C9,10+3*MIN(BJ$3,$D$2-1)))))</f>
        <v/>
      </c>
      <c r="BK9" s="130">
        <f>IF(OR($C9="",$B$2="",$D$2=0),0,IF(BK$3&lt;0,0,N(INDEX('CURVA PREVISION'!$A$1:$KZ$3000,$C9,10+3*MIN(BK$3,$D$2-1)))))</f>
        <v/>
      </c>
      <c r="BL9" s="130">
        <f>IF(OR($C9="",$B$2="",$D$2=0),0,IF(BL$3&lt;0,0,N(INDEX('CURVA PREVISION'!$A$1:$KZ$3000,$C9,10+3*MIN(BL$3,$D$2-1)))))</f>
        <v/>
      </c>
      <c r="BM9" s="130">
        <f>IF(OR($C9="",$B$2="",$D$2=0),0,IF(BM$3&lt;0,0,N(INDEX('CURVA PREVISION'!$A$1:$KZ$3000,$C9,10+3*MIN(BM$3,$D$2-1)))))</f>
        <v/>
      </c>
      <c r="BN9" s="130">
        <f>IF(OR($C9="",$B$2="",$D$2=0),0,IF(BN$3&lt;0,0,N(INDEX('CURVA PREVISION'!$A$1:$KZ$3000,$C9,10+3*MIN(BN$3,$D$2-1)))))</f>
        <v/>
      </c>
      <c r="BO9" s="130">
        <f>IF(OR($C9="",$B$2="",$D$2=0),0,IF(BO$3&lt;0,0,N(INDEX('CURVA PREVISION'!$A$1:$KZ$3000,$C9,10+3*MIN(BO$3,$D$2-1)))))</f>
        <v/>
      </c>
      <c r="BP9" s="130">
        <f>IF(OR($C9="",$B$2="",$D$2=0),0,IF(BP$3&lt;0,0,N(INDEX('CURVA PREVISION'!$A$1:$KZ$3000,$C9,10+3*MIN(BP$3,$D$2-1)))))</f>
        <v/>
      </c>
      <c r="BQ9" s="130">
        <f>IF(OR($C9="",$B$2="",$D$2=0),0,IF(BQ$3&lt;0,0,N(INDEX('CURVA PREVISION'!$A$1:$KZ$3000,$C9,10+3*MIN(BQ$3,$D$2-1)))))</f>
        <v/>
      </c>
      <c r="BR9" s="130">
        <f>IF(OR($C9="",$B$2="",$D$2=0),0,IF(BR$3&lt;0,0,N(INDEX('CURVA PREVISION'!$A$1:$KZ$3000,$C9,10+3*MIN(BR$3,$D$2-1)))))</f>
        <v/>
      </c>
      <c r="BS9" s="130">
        <f>IF(OR($C9="",$B$2="",$D$2=0),0,IF(BS$3&lt;0,0,N(INDEX('CURVA PREVISION'!$A$1:$KZ$3000,$C9,10+3*MIN(BS$3,$D$2-1)))))</f>
        <v/>
      </c>
      <c r="BT9" s="130">
        <f>IF(OR($C9="",$B$2="",$D$2=0),0,IF(BT$3&lt;0,0,N(INDEX('CURVA PREVISION'!$A$1:$KZ$3000,$C9,10+3*MIN(BT$3,$D$2-1)))))</f>
        <v/>
      </c>
      <c r="BU9" s="130">
        <f>IF(OR($C9="",$B$2="",$D$2=0),0,IF(BU$3&lt;0,0,N(INDEX('CURVA PREVISION'!$A$1:$KZ$3000,$C9,10+3*MIN(BU$3,$D$2-1)))))</f>
        <v/>
      </c>
      <c r="BV9" s="130">
        <f>IF(OR($C9="",$B$2="",$D$2=0),0,IF(BV$3&lt;0,0,N(INDEX('CURVA PREVISION'!$A$1:$KZ$3000,$C9,10+3*MIN(BV$3,$D$2-1)))))</f>
        <v/>
      </c>
      <c r="BW9" s="130">
        <f>IF(OR($C9="",$B$2="",$D$2=0),0,IF(BW$3&lt;0,0,N(INDEX('CURVA PREVISION'!$A$1:$KZ$3000,$C9,10+3*MIN(BW$3,$D$2-1)))))</f>
        <v/>
      </c>
    </row>
    <row r="10">
      <c r="A10" s="61">
        <f>IF('VALOR POR PL'!R16&lt;&gt;"",'VALOR POR PL'!R16,IF('VALOR POR PL'!Q16="",'VALOR POR PL'!C16,'VALOR POR PL'!Q16))</f>
        <v/>
      </c>
      <c r="B10" s="61">
        <f>'VALOR POR PL'!D16</f>
        <v/>
      </c>
      <c r="C10" s="70">
        <f>IFERROR(MATCH(A10,'CURVA PREVISION'!$B$1:$B$3000,0),"")</f>
        <v/>
      </c>
      <c r="D10" s="130">
        <f>IF(OR($C10="",$B$2="",$D$2=0),0,IF(D$3&lt;0,0,N(INDEX('CURVA PREVISION'!$A$1:$KZ$3000,$C10,10+3*MIN(D$3,$D$2-1)))))</f>
        <v/>
      </c>
      <c r="E10" s="130">
        <f>IF(OR($C10="",$B$2="",$D$2=0),0,IF(E$3&lt;0,0,N(INDEX('CURVA PREVISION'!$A$1:$KZ$3000,$C10,10+3*MIN(E$3,$D$2-1)))))</f>
        <v/>
      </c>
      <c r="F10" s="130">
        <f>IF(OR($C10="",$B$2="",$D$2=0),0,IF(F$3&lt;0,0,N(INDEX('CURVA PREVISION'!$A$1:$KZ$3000,$C10,10+3*MIN(F$3,$D$2-1)))))</f>
        <v/>
      </c>
      <c r="G10" s="130">
        <f>IF(OR($C10="",$B$2="",$D$2=0),0,IF(G$3&lt;0,0,N(INDEX('CURVA PREVISION'!$A$1:$KZ$3000,$C10,10+3*MIN(G$3,$D$2-1)))))</f>
        <v/>
      </c>
      <c r="H10" s="130">
        <f>IF(OR($C10="",$B$2="",$D$2=0),0,IF(H$3&lt;0,0,N(INDEX('CURVA PREVISION'!$A$1:$KZ$3000,$C10,10+3*MIN(H$3,$D$2-1)))))</f>
        <v/>
      </c>
      <c r="I10" s="130">
        <f>IF(OR($C10="",$B$2="",$D$2=0),0,IF(I$3&lt;0,0,N(INDEX('CURVA PREVISION'!$A$1:$KZ$3000,$C10,10+3*MIN(I$3,$D$2-1)))))</f>
        <v/>
      </c>
      <c r="J10" s="130">
        <f>IF(OR($C10="",$B$2="",$D$2=0),0,IF(J$3&lt;0,0,N(INDEX('CURVA PREVISION'!$A$1:$KZ$3000,$C10,10+3*MIN(J$3,$D$2-1)))))</f>
        <v/>
      </c>
      <c r="K10" s="130">
        <f>IF(OR($C10="",$B$2="",$D$2=0),0,IF(K$3&lt;0,0,N(INDEX('CURVA PREVISION'!$A$1:$KZ$3000,$C10,10+3*MIN(K$3,$D$2-1)))))</f>
        <v/>
      </c>
      <c r="L10" s="130">
        <f>IF(OR($C10="",$B$2="",$D$2=0),0,IF(L$3&lt;0,0,N(INDEX('CURVA PREVISION'!$A$1:$KZ$3000,$C10,10+3*MIN(L$3,$D$2-1)))))</f>
        <v/>
      </c>
      <c r="M10" s="130">
        <f>IF(OR($C10="",$B$2="",$D$2=0),0,IF(M$3&lt;0,0,N(INDEX('CURVA PREVISION'!$A$1:$KZ$3000,$C10,10+3*MIN(M$3,$D$2-1)))))</f>
        <v/>
      </c>
      <c r="N10" s="130">
        <f>IF(OR($C10="",$B$2="",$D$2=0),0,IF(N$3&lt;0,0,N(INDEX('CURVA PREVISION'!$A$1:$KZ$3000,$C10,10+3*MIN(N$3,$D$2-1)))))</f>
        <v/>
      </c>
      <c r="O10" s="130">
        <f>IF(OR($C10="",$B$2="",$D$2=0),0,IF(O$3&lt;0,0,N(INDEX('CURVA PREVISION'!$A$1:$KZ$3000,$C10,10+3*MIN(O$3,$D$2-1)))))</f>
        <v/>
      </c>
      <c r="P10" s="130">
        <f>IF(OR($C10="",$B$2="",$D$2=0),0,IF(P$3&lt;0,0,N(INDEX('CURVA PREVISION'!$A$1:$KZ$3000,$C10,10+3*MIN(P$3,$D$2-1)))))</f>
        <v/>
      </c>
      <c r="Q10" s="130">
        <f>IF(OR($C10="",$B$2="",$D$2=0),0,IF(Q$3&lt;0,0,N(INDEX('CURVA PREVISION'!$A$1:$KZ$3000,$C10,10+3*MIN(Q$3,$D$2-1)))))</f>
        <v/>
      </c>
      <c r="R10" s="130">
        <f>IF(OR($C10="",$B$2="",$D$2=0),0,IF(R$3&lt;0,0,N(INDEX('CURVA PREVISION'!$A$1:$KZ$3000,$C10,10+3*MIN(R$3,$D$2-1)))))</f>
        <v/>
      </c>
      <c r="S10" s="130">
        <f>IF(OR($C10="",$B$2="",$D$2=0),0,IF(S$3&lt;0,0,N(INDEX('CURVA PREVISION'!$A$1:$KZ$3000,$C10,10+3*MIN(S$3,$D$2-1)))))</f>
        <v/>
      </c>
      <c r="T10" s="130">
        <f>IF(OR($C10="",$B$2="",$D$2=0),0,IF(T$3&lt;0,0,N(INDEX('CURVA PREVISION'!$A$1:$KZ$3000,$C10,10+3*MIN(T$3,$D$2-1)))))</f>
        <v/>
      </c>
      <c r="U10" s="130">
        <f>IF(OR($C10="",$B$2="",$D$2=0),0,IF(U$3&lt;0,0,N(INDEX('CURVA PREVISION'!$A$1:$KZ$3000,$C10,10+3*MIN(U$3,$D$2-1)))))</f>
        <v/>
      </c>
      <c r="V10" s="130">
        <f>IF(OR($C10="",$B$2="",$D$2=0),0,IF(V$3&lt;0,0,N(INDEX('CURVA PREVISION'!$A$1:$KZ$3000,$C10,10+3*MIN(V$3,$D$2-1)))))</f>
        <v/>
      </c>
      <c r="W10" s="130">
        <f>IF(OR($C10="",$B$2="",$D$2=0),0,IF(W$3&lt;0,0,N(INDEX('CURVA PREVISION'!$A$1:$KZ$3000,$C10,10+3*MIN(W$3,$D$2-1)))))</f>
        <v/>
      </c>
      <c r="X10" s="130">
        <f>IF(OR($C10="",$B$2="",$D$2=0),0,IF(X$3&lt;0,0,N(INDEX('CURVA PREVISION'!$A$1:$KZ$3000,$C10,10+3*MIN(X$3,$D$2-1)))))</f>
        <v/>
      </c>
      <c r="Y10" s="130">
        <f>IF(OR($C10="",$B$2="",$D$2=0),0,IF(Y$3&lt;0,0,N(INDEX('CURVA PREVISION'!$A$1:$KZ$3000,$C10,10+3*MIN(Y$3,$D$2-1)))))</f>
        <v/>
      </c>
      <c r="Z10" s="130">
        <f>IF(OR($C10="",$B$2="",$D$2=0),0,IF(Z$3&lt;0,0,N(INDEX('CURVA PREVISION'!$A$1:$KZ$3000,$C10,10+3*MIN(Z$3,$D$2-1)))))</f>
        <v/>
      </c>
      <c r="AA10" s="130">
        <f>IF(OR($C10="",$B$2="",$D$2=0),0,IF(AA$3&lt;0,0,N(INDEX('CURVA PREVISION'!$A$1:$KZ$3000,$C10,10+3*MIN(AA$3,$D$2-1)))))</f>
        <v/>
      </c>
      <c r="AB10" s="130">
        <f>IF(OR($C10="",$B$2="",$D$2=0),0,IF(AB$3&lt;0,0,N(INDEX('CURVA PREVISION'!$A$1:$KZ$3000,$C10,10+3*MIN(AB$3,$D$2-1)))))</f>
        <v/>
      </c>
      <c r="AC10" s="130">
        <f>IF(OR($C10="",$B$2="",$D$2=0),0,IF(AC$3&lt;0,0,N(INDEX('CURVA PREVISION'!$A$1:$KZ$3000,$C10,10+3*MIN(AC$3,$D$2-1)))))</f>
        <v/>
      </c>
      <c r="AD10" s="130">
        <f>IF(OR($C10="",$B$2="",$D$2=0),0,IF(AD$3&lt;0,0,N(INDEX('CURVA PREVISION'!$A$1:$KZ$3000,$C10,10+3*MIN(AD$3,$D$2-1)))))</f>
        <v/>
      </c>
      <c r="AE10" s="130">
        <f>IF(OR($C10="",$B$2="",$D$2=0),0,IF(AE$3&lt;0,0,N(INDEX('CURVA PREVISION'!$A$1:$KZ$3000,$C10,10+3*MIN(AE$3,$D$2-1)))))</f>
        <v/>
      </c>
      <c r="AF10" s="130">
        <f>IF(OR($C10="",$B$2="",$D$2=0),0,IF(AF$3&lt;0,0,N(INDEX('CURVA PREVISION'!$A$1:$KZ$3000,$C10,10+3*MIN(AF$3,$D$2-1)))))</f>
        <v/>
      </c>
      <c r="AG10" s="130">
        <f>IF(OR($C10="",$B$2="",$D$2=0),0,IF(AG$3&lt;0,0,N(INDEX('CURVA PREVISION'!$A$1:$KZ$3000,$C10,10+3*MIN(AG$3,$D$2-1)))))</f>
        <v/>
      </c>
      <c r="AH10" s="130">
        <f>IF(OR($C10="",$B$2="",$D$2=0),0,IF(AH$3&lt;0,0,N(INDEX('CURVA PREVISION'!$A$1:$KZ$3000,$C10,10+3*MIN(AH$3,$D$2-1)))))</f>
        <v/>
      </c>
      <c r="AI10" s="130">
        <f>IF(OR($C10="",$B$2="",$D$2=0),0,IF(AI$3&lt;0,0,N(INDEX('CURVA PREVISION'!$A$1:$KZ$3000,$C10,10+3*MIN(AI$3,$D$2-1)))))</f>
        <v/>
      </c>
      <c r="AJ10" s="130">
        <f>IF(OR($C10="",$B$2="",$D$2=0),0,IF(AJ$3&lt;0,0,N(INDEX('CURVA PREVISION'!$A$1:$KZ$3000,$C10,10+3*MIN(AJ$3,$D$2-1)))))</f>
        <v/>
      </c>
      <c r="AK10" s="130">
        <f>IF(OR($C10="",$B$2="",$D$2=0),0,IF(AK$3&lt;0,0,N(INDEX('CURVA PREVISION'!$A$1:$KZ$3000,$C10,10+3*MIN(AK$3,$D$2-1)))))</f>
        <v/>
      </c>
      <c r="AL10" s="130">
        <f>IF(OR($C10="",$B$2="",$D$2=0),0,IF(AL$3&lt;0,0,N(INDEX('CURVA PREVISION'!$A$1:$KZ$3000,$C10,10+3*MIN(AL$3,$D$2-1)))))</f>
        <v/>
      </c>
      <c r="AM10" s="130">
        <f>IF(OR($C10="",$B$2="",$D$2=0),0,IF(AM$3&lt;0,0,N(INDEX('CURVA PREVISION'!$A$1:$KZ$3000,$C10,10+3*MIN(AM$3,$D$2-1)))))</f>
        <v/>
      </c>
      <c r="AN10" s="130">
        <f>IF(OR($C10="",$B$2="",$D$2=0),0,IF(AN$3&lt;0,0,N(INDEX('CURVA PREVISION'!$A$1:$KZ$3000,$C10,10+3*MIN(AN$3,$D$2-1)))))</f>
        <v/>
      </c>
      <c r="AO10" s="130">
        <f>IF(OR($C10="",$B$2="",$D$2=0),0,IF(AO$3&lt;0,0,N(INDEX('CURVA PREVISION'!$A$1:$KZ$3000,$C10,10+3*MIN(AO$3,$D$2-1)))))</f>
        <v/>
      </c>
      <c r="AP10" s="130">
        <f>IF(OR($C10="",$B$2="",$D$2=0),0,IF(AP$3&lt;0,0,N(INDEX('CURVA PREVISION'!$A$1:$KZ$3000,$C10,10+3*MIN(AP$3,$D$2-1)))))</f>
        <v/>
      </c>
      <c r="AQ10" s="130">
        <f>IF(OR($C10="",$B$2="",$D$2=0),0,IF(AQ$3&lt;0,0,N(INDEX('CURVA PREVISION'!$A$1:$KZ$3000,$C10,10+3*MIN(AQ$3,$D$2-1)))))</f>
        <v/>
      </c>
      <c r="AR10" s="130">
        <f>IF(OR($C10="",$B$2="",$D$2=0),0,IF(AR$3&lt;0,0,N(INDEX('CURVA PREVISION'!$A$1:$KZ$3000,$C10,10+3*MIN(AR$3,$D$2-1)))))</f>
        <v/>
      </c>
      <c r="AS10" s="130">
        <f>IF(OR($C10="",$B$2="",$D$2=0),0,IF(AS$3&lt;0,0,N(INDEX('CURVA PREVISION'!$A$1:$KZ$3000,$C10,10+3*MIN(AS$3,$D$2-1)))))</f>
        <v/>
      </c>
      <c r="AT10" s="130">
        <f>IF(OR($C10="",$B$2="",$D$2=0),0,IF(AT$3&lt;0,0,N(INDEX('CURVA PREVISION'!$A$1:$KZ$3000,$C10,10+3*MIN(AT$3,$D$2-1)))))</f>
        <v/>
      </c>
      <c r="AU10" s="130">
        <f>IF(OR($C10="",$B$2="",$D$2=0),0,IF(AU$3&lt;0,0,N(INDEX('CURVA PREVISION'!$A$1:$KZ$3000,$C10,10+3*MIN(AU$3,$D$2-1)))))</f>
        <v/>
      </c>
      <c r="AV10" s="130">
        <f>IF(OR($C10="",$B$2="",$D$2=0),0,IF(AV$3&lt;0,0,N(INDEX('CURVA PREVISION'!$A$1:$KZ$3000,$C10,10+3*MIN(AV$3,$D$2-1)))))</f>
        <v/>
      </c>
      <c r="AW10" s="130">
        <f>IF(OR($C10="",$B$2="",$D$2=0),0,IF(AW$3&lt;0,0,N(INDEX('CURVA PREVISION'!$A$1:$KZ$3000,$C10,10+3*MIN(AW$3,$D$2-1)))))</f>
        <v/>
      </c>
      <c r="AX10" s="130">
        <f>IF(OR($C10="",$B$2="",$D$2=0),0,IF(AX$3&lt;0,0,N(INDEX('CURVA PREVISION'!$A$1:$KZ$3000,$C10,10+3*MIN(AX$3,$D$2-1)))))</f>
        <v/>
      </c>
      <c r="AY10" s="130">
        <f>IF(OR($C10="",$B$2="",$D$2=0),0,IF(AY$3&lt;0,0,N(INDEX('CURVA PREVISION'!$A$1:$KZ$3000,$C10,10+3*MIN(AY$3,$D$2-1)))))</f>
        <v/>
      </c>
      <c r="AZ10" s="130">
        <f>IF(OR($C10="",$B$2="",$D$2=0),0,IF(AZ$3&lt;0,0,N(INDEX('CURVA PREVISION'!$A$1:$KZ$3000,$C10,10+3*MIN(AZ$3,$D$2-1)))))</f>
        <v/>
      </c>
      <c r="BA10" s="130">
        <f>IF(OR($C10="",$B$2="",$D$2=0),0,IF(BA$3&lt;0,0,N(INDEX('CURVA PREVISION'!$A$1:$KZ$3000,$C10,10+3*MIN(BA$3,$D$2-1)))))</f>
        <v/>
      </c>
      <c r="BB10" s="130">
        <f>IF(OR($C10="",$B$2="",$D$2=0),0,IF(BB$3&lt;0,0,N(INDEX('CURVA PREVISION'!$A$1:$KZ$3000,$C10,10+3*MIN(BB$3,$D$2-1)))))</f>
        <v/>
      </c>
      <c r="BC10" s="130">
        <f>IF(OR($C10="",$B$2="",$D$2=0),0,IF(BC$3&lt;0,0,N(INDEX('CURVA PREVISION'!$A$1:$KZ$3000,$C10,10+3*MIN(BC$3,$D$2-1)))))</f>
        <v/>
      </c>
      <c r="BD10" s="130">
        <f>IF(OR($C10="",$B$2="",$D$2=0),0,IF(BD$3&lt;0,0,N(INDEX('CURVA PREVISION'!$A$1:$KZ$3000,$C10,10+3*MIN(BD$3,$D$2-1)))))</f>
        <v/>
      </c>
      <c r="BE10" s="130">
        <f>IF(OR($C10="",$B$2="",$D$2=0),0,IF(BE$3&lt;0,0,N(INDEX('CURVA PREVISION'!$A$1:$KZ$3000,$C10,10+3*MIN(BE$3,$D$2-1)))))</f>
        <v/>
      </c>
      <c r="BF10" s="130">
        <f>IF(OR($C10="",$B$2="",$D$2=0),0,IF(BF$3&lt;0,0,N(INDEX('CURVA PREVISION'!$A$1:$KZ$3000,$C10,10+3*MIN(BF$3,$D$2-1)))))</f>
        <v/>
      </c>
      <c r="BG10" s="130">
        <f>IF(OR($C10="",$B$2="",$D$2=0),0,IF(BG$3&lt;0,0,N(INDEX('CURVA PREVISION'!$A$1:$KZ$3000,$C10,10+3*MIN(BG$3,$D$2-1)))))</f>
        <v/>
      </c>
      <c r="BH10" s="130">
        <f>IF(OR($C10="",$B$2="",$D$2=0),0,IF(BH$3&lt;0,0,N(INDEX('CURVA PREVISION'!$A$1:$KZ$3000,$C10,10+3*MIN(BH$3,$D$2-1)))))</f>
        <v/>
      </c>
      <c r="BI10" s="130">
        <f>IF(OR($C10="",$B$2="",$D$2=0),0,IF(BI$3&lt;0,0,N(INDEX('CURVA PREVISION'!$A$1:$KZ$3000,$C10,10+3*MIN(BI$3,$D$2-1)))))</f>
        <v/>
      </c>
      <c r="BJ10" s="130">
        <f>IF(OR($C10="",$B$2="",$D$2=0),0,IF(BJ$3&lt;0,0,N(INDEX('CURVA PREVISION'!$A$1:$KZ$3000,$C10,10+3*MIN(BJ$3,$D$2-1)))))</f>
        <v/>
      </c>
      <c r="BK10" s="130">
        <f>IF(OR($C10="",$B$2="",$D$2=0),0,IF(BK$3&lt;0,0,N(INDEX('CURVA PREVISION'!$A$1:$KZ$3000,$C10,10+3*MIN(BK$3,$D$2-1)))))</f>
        <v/>
      </c>
      <c r="BL10" s="130">
        <f>IF(OR($C10="",$B$2="",$D$2=0),0,IF(BL$3&lt;0,0,N(INDEX('CURVA PREVISION'!$A$1:$KZ$3000,$C10,10+3*MIN(BL$3,$D$2-1)))))</f>
        <v/>
      </c>
      <c r="BM10" s="130">
        <f>IF(OR($C10="",$B$2="",$D$2=0),0,IF(BM$3&lt;0,0,N(INDEX('CURVA PREVISION'!$A$1:$KZ$3000,$C10,10+3*MIN(BM$3,$D$2-1)))))</f>
        <v/>
      </c>
      <c r="BN10" s="130">
        <f>IF(OR($C10="",$B$2="",$D$2=0),0,IF(BN$3&lt;0,0,N(INDEX('CURVA PREVISION'!$A$1:$KZ$3000,$C10,10+3*MIN(BN$3,$D$2-1)))))</f>
        <v/>
      </c>
      <c r="BO10" s="130">
        <f>IF(OR($C10="",$B$2="",$D$2=0),0,IF(BO$3&lt;0,0,N(INDEX('CURVA PREVISION'!$A$1:$KZ$3000,$C10,10+3*MIN(BO$3,$D$2-1)))))</f>
        <v/>
      </c>
      <c r="BP10" s="130">
        <f>IF(OR($C10="",$B$2="",$D$2=0),0,IF(BP$3&lt;0,0,N(INDEX('CURVA PREVISION'!$A$1:$KZ$3000,$C10,10+3*MIN(BP$3,$D$2-1)))))</f>
        <v/>
      </c>
      <c r="BQ10" s="130">
        <f>IF(OR($C10="",$B$2="",$D$2=0),0,IF(BQ$3&lt;0,0,N(INDEX('CURVA PREVISION'!$A$1:$KZ$3000,$C10,10+3*MIN(BQ$3,$D$2-1)))))</f>
        <v/>
      </c>
      <c r="BR10" s="130">
        <f>IF(OR($C10="",$B$2="",$D$2=0),0,IF(BR$3&lt;0,0,N(INDEX('CURVA PREVISION'!$A$1:$KZ$3000,$C10,10+3*MIN(BR$3,$D$2-1)))))</f>
        <v/>
      </c>
      <c r="BS10" s="130">
        <f>IF(OR($C10="",$B$2="",$D$2=0),0,IF(BS$3&lt;0,0,N(INDEX('CURVA PREVISION'!$A$1:$KZ$3000,$C10,10+3*MIN(BS$3,$D$2-1)))))</f>
        <v/>
      </c>
      <c r="BT10" s="130">
        <f>IF(OR($C10="",$B$2="",$D$2=0),0,IF(BT$3&lt;0,0,N(INDEX('CURVA PREVISION'!$A$1:$KZ$3000,$C10,10+3*MIN(BT$3,$D$2-1)))))</f>
        <v/>
      </c>
      <c r="BU10" s="130">
        <f>IF(OR($C10="",$B$2="",$D$2=0),0,IF(BU$3&lt;0,0,N(INDEX('CURVA PREVISION'!$A$1:$KZ$3000,$C10,10+3*MIN(BU$3,$D$2-1)))))</f>
        <v/>
      </c>
      <c r="BV10" s="130">
        <f>IF(OR($C10="",$B$2="",$D$2=0),0,IF(BV$3&lt;0,0,N(INDEX('CURVA PREVISION'!$A$1:$KZ$3000,$C10,10+3*MIN(BV$3,$D$2-1)))))</f>
        <v/>
      </c>
      <c r="BW10" s="130">
        <f>IF(OR($C10="",$B$2="",$D$2=0),0,IF(BW$3&lt;0,0,N(INDEX('CURVA PREVISION'!$A$1:$KZ$3000,$C10,10+3*MIN(BW$3,$D$2-1)))))</f>
        <v/>
      </c>
    </row>
    <row r="11">
      <c r="A11" s="61">
        <f>IF('VALOR POR PL'!R17&lt;&gt;"",'VALOR POR PL'!R17,IF('VALOR POR PL'!Q17="",'VALOR POR PL'!C17,'VALOR POR PL'!Q17))</f>
        <v/>
      </c>
      <c r="B11" s="61">
        <f>'VALOR POR PL'!D17</f>
        <v/>
      </c>
      <c r="C11" s="70">
        <f>IFERROR(MATCH(A11,'CURVA PREVISION'!$B$1:$B$3000,0),"")</f>
        <v/>
      </c>
      <c r="D11" s="130">
        <f>IF(OR($C11="",$B$2="",$D$2=0),0,IF(D$3&lt;0,0,N(INDEX('CURVA PREVISION'!$A$1:$KZ$3000,$C11,10+3*MIN(D$3,$D$2-1)))))</f>
        <v/>
      </c>
      <c r="E11" s="130">
        <f>IF(OR($C11="",$B$2="",$D$2=0),0,IF(E$3&lt;0,0,N(INDEX('CURVA PREVISION'!$A$1:$KZ$3000,$C11,10+3*MIN(E$3,$D$2-1)))))</f>
        <v/>
      </c>
      <c r="F11" s="130">
        <f>IF(OR($C11="",$B$2="",$D$2=0),0,IF(F$3&lt;0,0,N(INDEX('CURVA PREVISION'!$A$1:$KZ$3000,$C11,10+3*MIN(F$3,$D$2-1)))))</f>
        <v/>
      </c>
      <c r="G11" s="130">
        <f>IF(OR($C11="",$B$2="",$D$2=0),0,IF(G$3&lt;0,0,N(INDEX('CURVA PREVISION'!$A$1:$KZ$3000,$C11,10+3*MIN(G$3,$D$2-1)))))</f>
        <v/>
      </c>
      <c r="H11" s="130">
        <f>IF(OR($C11="",$B$2="",$D$2=0),0,IF(H$3&lt;0,0,N(INDEX('CURVA PREVISION'!$A$1:$KZ$3000,$C11,10+3*MIN(H$3,$D$2-1)))))</f>
        <v/>
      </c>
      <c r="I11" s="130">
        <f>IF(OR($C11="",$B$2="",$D$2=0),0,IF(I$3&lt;0,0,N(INDEX('CURVA PREVISION'!$A$1:$KZ$3000,$C11,10+3*MIN(I$3,$D$2-1)))))</f>
        <v/>
      </c>
      <c r="J11" s="130">
        <f>IF(OR($C11="",$B$2="",$D$2=0),0,IF(J$3&lt;0,0,N(INDEX('CURVA PREVISION'!$A$1:$KZ$3000,$C11,10+3*MIN(J$3,$D$2-1)))))</f>
        <v/>
      </c>
      <c r="K11" s="130">
        <f>IF(OR($C11="",$B$2="",$D$2=0),0,IF(K$3&lt;0,0,N(INDEX('CURVA PREVISION'!$A$1:$KZ$3000,$C11,10+3*MIN(K$3,$D$2-1)))))</f>
        <v/>
      </c>
      <c r="L11" s="130">
        <f>IF(OR($C11="",$B$2="",$D$2=0),0,IF(L$3&lt;0,0,N(INDEX('CURVA PREVISION'!$A$1:$KZ$3000,$C11,10+3*MIN(L$3,$D$2-1)))))</f>
        <v/>
      </c>
      <c r="M11" s="130">
        <f>IF(OR($C11="",$B$2="",$D$2=0),0,IF(M$3&lt;0,0,N(INDEX('CURVA PREVISION'!$A$1:$KZ$3000,$C11,10+3*MIN(M$3,$D$2-1)))))</f>
        <v/>
      </c>
      <c r="N11" s="130">
        <f>IF(OR($C11="",$B$2="",$D$2=0),0,IF(N$3&lt;0,0,N(INDEX('CURVA PREVISION'!$A$1:$KZ$3000,$C11,10+3*MIN(N$3,$D$2-1)))))</f>
        <v/>
      </c>
      <c r="O11" s="130">
        <f>IF(OR($C11="",$B$2="",$D$2=0),0,IF(O$3&lt;0,0,N(INDEX('CURVA PREVISION'!$A$1:$KZ$3000,$C11,10+3*MIN(O$3,$D$2-1)))))</f>
        <v/>
      </c>
      <c r="P11" s="130">
        <f>IF(OR($C11="",$B$2="",$D$2=0),0,IF(P$3&lt;0,0,N(INDEX('CURVA PREVISION'!$A$1:$KZ$3000,$C11,10+3*MIN(P$3,$D$2-1)))))</f>
        <v/>
      </c>
      <c r="Q11" s="130">
        <f>IF(OR($C11="",$B$2="",$D$2=0),0,IF(Q$3&lt;0,0,N(INDEX('CURVA PREVISION'!$A$1:$KZ$3000,$C11,10+3*MIN(Q$3,$D$2-1)))))</f>
        <v/>
      </c>
      <c r="R11" s="130">
        <f>IF(OR($C11="",$B$2="",$D$2=0),0,IF(R$3&lt;0,0,N(INDEX('CURVA PREVISION'!$A$1:$KZ$3000,$C11,10+3*MIN(R$3,$D$2-1)))))</f>
        <v/>
      </c>
      <c r="S11" s="130">
        <f>IF(OR($C11="",$B$2="",$D$2=0),0,IF(S$3&lt;0,0,N(INDEX('CURVA PREVISION'!$A$1:$KZ$3000,$C11,10+3*MIN(S$3,$D$2-1)))))</f>
        <v/>
      </c>
      <c r="T11" s="130">
        <f>IF(OR($C11="",$B$2="",$D$2=0),0,IF(T$3&lt;0,0,N(INDEX('CURVA PREVISION'!$A$1:$KZ$3000,$C11,10+3*MIN(T$3,$D$2-1)))))</f>
        <v/>
      </c>
      <c r="U11" s="130">
        <f>IF(OR($C11="",$B$2="",$D$2=0),0,IF(U$3&lt;0,0,N(INDEX('CURVA PREVISION'!$A$1:$KZ$3000,$C11,10+3*MIN(U$3,$D$2-1)))))</f>
        <v/>
      </c>
      <c r="V11" s="130">
        <f>IF(OR($C11="",$B$2="",$D$2=0),0,IF(V$3&lt;0,0,N(INDEX('CURVA PREVISION'!$A$1:$KZ$3000,$C11,10+3*MIN(V$3,$D$2-1)))))</f>
        <v/>
      </c>
      <c r="W11" s="130">
        <f>IF(OR($C11="",$B$2="",$D$2=0),0,IF(W$3&lt;0,0,N(INDEX('CURVA PREVISION'!$A$1:$KZ$3000,$C11,10+3*MIN(W$3,$D$2-1)))))</f>
        <v/>
      </c>
      <c r="X11" s="130">
        <f>IF(OR($C11="",$B$2="",$D$2=0),0,IF(X$3&lt;0,0,N(INDEX('CURVA PREVISION'!$A$1:$KZ$3000,$C11,10+3*MIN(X$3,$D$2-1)))))</f>
        <v/>
      </c>
      <c r="Y11" s="130">
        <f>IF(OR($C11="",$B$2="",$D$2=0),0,IF(Y$3&lt;0,0,N(INDEX('CURVA PREVISION'!$A$1:$KZ$3000,$C11,10+3*MIN(Y$3,$D$2-1)))))</f>
        <v/>
      </c>
      <c r="Z11" s="130">
        <f>IF(OR($C11="",$B$2="",$D$2=0),0,IF(Z$3&lt;0,0,N(INDEX('CURVA PREVISION'!$A$1:$KZ$3000,$C11,10+3*MIN(Z$3,$D$2-1)))))</f>
        <v/>
      </c>
      <c r="AA11" s="130">
        <f>IF(OR($C11="",$B$2="",$D$2=0),0,IF(AA$3&lt;0,0,N(INDEX('CURVA PREVISION'!$A$1:$KZ$3000,$C11,10+3*MIN(AA$3,$D$2-1)))))</f>
        <v/>
      </c>
      <c r="AB11" s="130">
        <f>IF(OR($C11="",$B$2="",$D$2=0),0,IF(AB$3&lt;0,0,N(INDEX('CURVA PREVISION'!$A$1:$KZ$3000,$C11,10+3*MIN(AB$3,$D$2-1)))))</f>
        <v/>
      </c>
      <c r="AC11" s="130">
        <f>IF(OR($C11="",$B$2="",$D$2=0),0,IF(AC$3&lt;0,0,N(INDEX('CURVA PREVISION'!$A$1:$KZ$3000,$C11,10+3*MIN(AC$3,$D$2-1)))))</f>
        <v/>
      </c>
      <c r="AD11" s="130">
        <f>IF(OR($C11="",$B$2="",$D$2=0),0,IF(AD$3&lt;0,0,N(INDEX('CURVA PREVISION'!$A$1:$KZ$3000,$C11,10+3*MIN(AD$3,$D$2-1)))))</f>
        <v/>
      </c>
      <c r="AE11" s="130">
        <f>IF(OR($C11="",$B$2="",$D$2=0),0,IF(AE$3&lt;0,0,N(INDEX('CURVA PREVISION'!$A$1:$KZ$3000,$C11,10+3*MIN(AE$3,$D$2-1)))))</f>
        <v/>
      </c>
      <c r="AF11" s="130">
        <f>IF(OR($C11="",$B$2="",$D$2=0),0,IF(AF$3&lt;0,0,N(INDEX('CURVA PREVISION'!$A$1:$KZ$3000,$C11,10+3*MIN(AF$3,$D$2-1)))))</f>
        <v/>
      </c>
      <c r="AG11" s="130">
        <f>IF(OR($C11="",$B$2="",$D$2=0),0,IF(AG$3&lt;0,0,N(INDEX('CURVA PREVISION'!$A$1:$KZ$3000,$C11,10+3*MIN(AG$3,$D$2-1)))))</f>
        <v/>
      </c>
      <c r="AH11" s="130">
        <f>IF(OR($C11="",$B$2="",$D$2=0),0,IF(AH$3&lt;0,0,N(INDEX('CURVA PREVISION'!$A$1:$KZ$3000,$C11,10+3*MIN(AH$3,$D$2-1)))))</f>
        <v/>
      </c>
      <c r="AI11" s="130">
        <f>IF(OR($C11="",$B$2="",$D$2=0),0,IF(AI$3&lt;0,0,N(INDEX('CURVA PREVISION'!$A$1:$KZ$3000,$C11,10+3*MIN(AI$3,$D$2-1)))))</f>
        <v/>
      </c>
      <c r="AJ11" s="130">
        <f>IF(OR($C11="",$B$2="",$D$2=0),0,IF(AJ$3&lt;0,0,N(INDEX('CURVA PREVISION'!$A$1:$KZ$3000,$C11,10+3*MIN(AJ$3,$D$2-1)))))</f>
        <v/>
      </c>
      <c r="AK11" s="130">
        <f>IF(OR($C11="",$B$2="",$D$2=0),0,IF(AK$3&lt;0,0,N(INDEX('CURVA PREVISION'!$A$1:$KZ$3000,$C11,10+3*MIN(AK$3,$D$2-1)))))</f>
        <v/>
      </c>
      <c r="AL11" s="130">
        <f>IF(OR($C11="",$B$2="",$D$2=0),0,IF(AL$3&lt;0,0,N(INDEX('CURVA PREVISION'!$A$1:$KZ$3000,$C11,10+3*MIN(AL$3,$D$2-1)))))</f>
        <v/>
      </c>
      <c r="AM11" s="130">
        <f>IF(OR($C11="",$B$2="",$D$2=0),0,IF(AM$3&lt;0,0,N(INDEX('CURVA PREVISION'!$A$1:$KZ$3000,$C11,10+3*MIN(AM$3,$D$2-1)))))</f>
        <v/>
      </c>
      <c r="AN11" s="130">
        <f>IF(OR($C11="",$B$2="",$D$2=0),0,IF(AN$3&lt;0,0,N(INDEX('CURVA PREVISION'!$A$1:$KZ$3000,$C11,10+3*MIN(AN$3,$D$2-1)))))</f>
        <v/>
      </c>
      <c r="AO11" s="130">
        <f>IF(OR($C11="",$B$2="",$D$2=0),0,IF(AO$3&lt;0,0,N(INDEX('CURVA PREVISION'!$A$1:$KZ$3000,$C11,10+3*MIN(AO$3,$D$2-1)))))</f>
        <v/>
      </c>
      <c r="AP11" s="130">
        <f>IF(OR($C11="",$B$2="",$D$2=0),0,IF(AP$3&lt;0,0,N(INDEX('CURVA PREVISION'!$A$1:$KZ$3000,$C11,10+3*MIN(AP$3,$D$2-1)))))</f>
        <v/>
      </c>
      <c r="AQ11" s="130">
        <f>IF(OR($C11="",$B$2="",$D$2=0),0,IF(AQ$3&lt;0,0,N(INDEX('CURVA PREVISION'!$A$1:$KZ$3000,$C11,10+3*MIN(AQ$3,$D$2-1)))))</f>
        <v/>
      </c>
      <c r="AR11" s="130">
        <f>IF(OR($C11="",$B$2="",$D$2=0),0,IF(AR$3&lt;0,0,N(INDEX('CURVA PREVISION'!$A$1:$KZ$3000,$C11,10+3*MIN(AR$3,$D$2-1)))))</f>
        <v/>
      </c>
      <c r="AS11" s="130">
        <f>IF(OR($C11="",$B$2="",$D$2=0),0,IF(AS$3&lt;0,0,N(INDEX('CURVA PREVISION'!$A$1:$KZ$3000,$C11,10+3*MIN(AS$3,$D$2-1)))))</f>
        <v/>
      </c>
      <c r="AT11" s="130">
        <f>IF(OR($C11="",$B$2="",$D$2=0),0,IF(AT$3&lt;0,0,N(INDEX('CURVA PREVISION'!$A$1:$KZ$3000,$C11,10+3*MIN(AT$3,$D$2-1)))))</f>
        <v/>
      </c>
      <c r="AU11" s="130">
        <f>IF(OR($C11="",$B$2="",$D$2=0),0,IF(AU$3&lt;0,0,N(INDEX('CURVA PREVISION'!$A$1:$KZ$3000,$C11,10+3*MIN(AU$3,$D$2-1)))))</f>
        <v/>
      </c>
      <c r="AV11" s="130">
        <f>IF(OR($C11="",$B$2="",$D$2=0),0,IF(AV$3&lt;0,0,N(INDEX('CURVA PREVISION'!$A$1:$KZ$3000,$C11,10+3*MIN(AV$3,$D$2-1)))))</f>
        <v/>
      </c>
      <c r="AW11" s="130">
        <f>IF(OR($C11="",$B$2="",$D$2=0),0,IF(AW$3&lt;0,0,N(INDEX('CURVA PREVISION'!$A$1:$KZ$3000,$C11,10+3*MIN(AW$3,$D$2-1)))))</f>
        <v/>
      </c>
      <c r="AX11" s="130">
        <f>IF(OR($C11="",$B$2="",$D$2=0),0,IF(AX$3&lt;0,0,N(INDEX('CURVA PREVISION'!$A$1:$KZ$3000,$C11,10+3*MIN(AX$3,$D$2-1)))))</f>
        <v/>
      </c>
      <c r="AY11" s="130">
        <f>IF(OR($C11="",$B$2="",$D$2=0),0,IF(AY$3&lt;0,0,N(INDEX('CURVA PREVISION'!$A$1:$KZ$3000,$C11,10+3*MIN(AY$3,$D$2-1)))))</f>
        <v/>
      </c>
      <c r="AZ11" s="130">
        <f>IF(OR($C11="",$B$2="",$D$2=0),0,IF(AZ$3&lt;0,0,N(INDEX('CURVA PREVISION'!$A$1:$KZ$3000,$C11,10+3*MIN(AZ$3,$D$2-1)))))</f>
        <v/>
      </c>
      <c r="BA11" s="130">
        <f>IF(OR($C11="",$B$2="",$D$2=0),0,IF(BA$3&lt;0,0,N(INDEX('CURVA PREVISION'!$A$1:$KZ$3000,$C11,10+3*MIN(BA$3,$D$2-1)))))</f>
        <v/>
      </c>
      <c r="BB11" s="130">
        <f>IF(OR($C11="",$B$2="",$D$2=0),0,IF(BB$3&lt;0,0,N(INDEX('CURVA PREVISION'!$A$1:$KZ$3000,$C11,10+3*MIN(BB$3,$D$2-1)))))</f>
        <v/>
      </c>
      <c r="BC11" s="130">
        <f>IF(OR($C11="",$B$2="",$D$2=0),0,IF(BC$3&lt;0,0,N(INDEX('CURVA PREVISION'!$A$1:$KZ$3000,$C11,10+3*MIN(BC$3,$D$2-1)))))</f>
        <v/>
      </c>
      <c r="BD11" s="130">
        <f>IF(OR($C11="",$B$2="",$D$2=0),0,IF(BD$3&lt;0,0,N(INDEX('CURVA PREVISION'!$A$1:$KZ$3000,$C11,10+3*MIN(BD$3,$D$2-1)))))</f>
        <v/>
      </c>
      <c r="BE11" s="130">
        <f>IF(OR($C11="",$B$2="",$D$2=0),0,IF(BE$3&lt;0,0,N(INDEX('CURVA PREVISION'!$A$1:$KZ$3000,$C11,10+3*MIN(BE$3,$D$2-1)))))</f>
        <v/>
      </c>
      <c r="BF11" s="130">
        <f>IF(OR($C11="",$B$2="",$D$2=0),0,IF(BF$3&lt;0,0,N(INDEX('CURVA PREVISION'!$A$1:$KZ$3000,$C11,10+3*MIN(BF$3,$D$2-1)))))</f>
        <v/>
      </c>
      <c r="BG11" s="130">
        <f>IF(OR($C11="",$B$2="",$D$2=0),0,IF(BG$3&lt;0,0,N(INDEX('CURVA PREVISION'!$A$1:$KZ$3000,$C11,10+3*MIN(BG$3,$D$2-1)))))</f>
        <v/>
      </c>
      <c r="BH11" s="130">
        <f>IF(OR($C11="",$B$2="",$D$2=0),0,IF(BH$3&lt;0,0,N(INDEX('CURVA PREVISION'!$A$1:$KZ$3000,$C11,10+3*MIN(BH$3,$D$2-1)))))</f>
        <v/>
      </c>
      <c r="BI11" s="130">
        <f>IF(OR($C11="",$B$2="",$D$2=0),0,IF(BI$3&lt;0,0,N(INDEX('CURVA PREVISION'!$A$1:$KZ$3000,$C11,10+3*MIN(BI$3,$D$2-1)))))</f>
        <v/>
      </c>
      <c r="BJ11" s="130">
        <f>IF(OR($C11="",$B$2="",$D$2=0),0,IF(BJ$3&lt;0,0,N(INDEX('CURVA PREVISION'!$A$1:$KZ$3000,$C11,10+3*MIN(BJ$3,$D$2-1)))))</f>
        <v/>
      </c>
      <c r="BK11" s="130">
        <f>IF(OR($C11="",$B$2="",$D$2=0),0,IF(BK$3&lt;0,0,N(INDEX('CURVA PREVISION'!$A$1:$KZ$3000,$C11,10+3*MIN(BK$3,$D$2-1)))))</f>
        <v/>
      </c>
      <c r="BL11" s="130">
        <f>IF(OR($C11="",$B$2="",$D$2=0),0,IF(BL$3&lt;0,0,N(INDEX('CURVA PREVISION'!$A$1:$KZ$3000,$C11,10+3*MIN(BL$3,$D$2-1)))))</f>
        <v/>
      </c>
      <c r="BM11" s="130">
        <f>IF(OR($C11="",$B$2="",$D$2=0),0,IF(BM$3&lt;0,0,N(INDEX('CURVA PREVISION'!$A$1:$KZ$3000,$C11,10+3*MIN(BM$3,$D$2-1)))))</f>
        <v/>
      </c>
      <c r="BN11" s="130">
        <f>IF(OR($C11="",$B$2="",$D$2=0),0,IF(BN$3&lt;0,0,N(INDEX('CURVA PREVISION'!$A$1:$KZ$3000,$C11,10+3*MIN(BN$3,$D$2-1)))))</f>
        <v/>
      </c>
      <c r="BO11" s="130">
        <f>IF(OR($C11="",$B$2="",$D$2=0),0,IF(BO$3&lt;0,0,N(INDEX('CURVA PREVISION'!$A$1:$KZ$3000,$C11,10+3*MIN(BO$3,$D$2-1)))))</f>
        <v/>
      </c>
      <c r="BP11" s="130">
        <f>IF(OR($C11="",$B$2="",$D$2=0),0,IF(BP$3&lt;0,0,N(INDEX('CURVA PREVISION'!$A$1:$KZ$3000,$C11,10+3*MIN(BP$3,$D$2-1)))))</f>
        <v/>
      </c>
      <c r="BQ11" s="130">
        <f>IF(OR($C11="",$B$2="",$D$2=0),0,IF(BQ$3&lt;0,0,N(INDEX('CURVA PREVISION'!$A$1:$KZ$3000,$C11,10+3*MIN(BQ$3,$D$2-1)))))</f>
        <v/>
      </c>
      <c r="BR11" s="130">
        <f>IF(OR($C11="",$B$2="",$D$2=0),0,IF(BR$3&lt;0,0,N(INDEX('CURVA PREVISION'!$A$1:$KZ$3000,$C11,10+3*MIN(BR$3,$D$2-1)))))</f>
        <v/>
      </c>
      <c r="BS11" s="130">
        <f>IF(OR($C11="",$B$2="",$D$2=0),0,IF(BS$3&lt;0,0,N(INDEX('CURVA PREVISION'!$A$1:$KZ$3000,$C11,10+3*MIN(BS$3,$D$2-1)))))</f>
        <v/>
      </c>
      <c r="BT11" s="130">
        <f>IF(OR($C11="",$B$2="",$D$2=0),0,IF(BT$3&lt;0,0,N(INDEX('CURVA PREVISION'!$A$1:$KZ$3000,$C11,10+3*MIN(BT$3,$D$2-1)))))</f>
        <v/>
      </c>
      <c r="BU11" s="130">
        <f>IF(OR($C11="",$B$2="",$D$2=0),0,IF(BU$3&lt;0,0,N(INDEX('CURVA PREVISION'!$A$1:$KZ$3000,$C11,10+3*MIN(BU$3,$D$2-1)))))</f>
        <v/>
      </c>
      <c r="BV11" s="130">
        <f>IF(OR($C11="",$B$2="",$D$2=0),0,IF(BV$3&lt;0,0,N(INDEX('CURVA PREVISION'!$A$1:$KZ$3000,$C11,10+3*MIN(BV$3,$D$2-1)))))</f>
        <v/>
      </c>
      <c r="BW11" s="130">
        <f>IF(OR($C11="",$B$2="",$D$2=0),0,IF(BW$3&lt;0,0,N(INDEX('CURVA PREVISION'!$A$1:$KZ$3000,$C11,10+3*MIN(BW$3,$D$2-1)))))</f>
        <v/>
      </c>
    </row>
    <row r="12">
      <c r="A12" s="61">
        <f>IF('VALOR POR PL'!R18&lt;&gt;"",'VALOR POR PL'!R18,IF('VALOR POR PL'!Q18="",'VALOR POR PL'!C18,'VALOR POR PL'!Q18))</f>
        <v/>
      </c>
      <c r="B12" s="61">
        <f>'VALOR POR PL'!D18</f>
        <v/>
      </c>
      <c r="C12" s="70">
        <f>IFERROR(MATCH(A12,'CURVA PREVISION'!$B$1:$B$3000,0),"")</f>
        <v/>
      </c>
      <c r="D12" s="130">
        <f>IF(OR($C12="",$B$2="",$D$2=0),0,IF(D$3&lt;0,0,N(INDEX('CURVA PREVISION'!$A$1:$KZ$3000,$C12,10+3*MIN(D$3,$D$2-1)))))</f>
        <v/>
      </c>
      <c r="E12" s="130">
        <f>IF(OR($C12="",$B$2="",$D$2=0),0,IF(E$3&lt;0,0,N(INDEX('CURVA PREVISION'!$A$1:$KZ$3000,$C12,10+3*MIN(E$3,$D$2-1)))))</f>
        <v/>
      </c>
      <c r="F12" s="130">
        <f>IF(OR($C12="",$B$2="",$D$2=0),0,IF(F$3&lt;0,0,N(INDEX('CURVA PREVISION'!$A$1:$KZ$3000,$C12,10+3*MIN(F$3,$D$2-1)))))</f>
        <v/>
      </c>
      <c r="G12" s="130">
        <f>IF(OR($C12="",$B$2="",$D$2=0),0,IF(G$3&lt;0,0,N(INDEX('CURVA PREVISION'!$A$1:$KZ$3000,$C12,10+3*MIN(G$3,$D$2-1)))))</f>
        <v/>
      </c>
      <c r="H12" s="130">
        <f>IF(OR($C12="",$B$2="",$D$2=0),0,IF(H$3&lt;0,0,N(INDEX('CURVA PREVISION'!$A$1:$KZ$3000,$C12,10+3*MIN(H$3,$D$2-1)))))</f>
        <v/>
      </c>
      <c r="I12" s="130">
        <f>IF(OR($C12="",$B$2="",$D$2=0),0,IF(I$3&lt;0,0,N(INDEX('CURVA PREVISION'!$A$1:$KZ$3000,$C12,10+3*MIN(I$3,$D$2-1)))))</f>
        <v/>
      </c>
      <c r="J12" s="130">
        <f>IF(OR($C12="",$B$2="",$D$2=0),0,IF(J$3&lt;0,0,N(INDEX('CURVA PREVISION'!$A$1:$KZ$3000,$C12,10+3*MIN(J$3,$D$2-1)))))</f>
        <v/>
      </c>
      <c r="K12" s="130">
        <f>IF(OR($C12="",$B$2="",$D$2=0),0,IF(K$3&lt;0,0,N(INDEX('CURVA PREVISION'!$A$1:$KZ$3000,$C12,10+3*MIN(K$3,$D$2-1)))))</f>
        <v/>
      </c>
      <c r="L12" s="130">
        <f>IF(OR($C12="",$B$2="",$D$2=0),0,IF(L$3&lt;0,0,N(INDEX('CURVA PREVISION'!$A$1:$KZ$3000,$C12,10+3*MIN(L$3,$D$2-1)))))</f>
        <v/>
      </c>
      <c r="M12" s="130">
        <f>IF(OR($C12="",$B$2="",$D$2=0),0,IF(M$3&lt;0,0,N(INDEX('CURVA PREVISION'!$A$1:$KZ$3000,$C12,10+3*MIN(M$3,$D$2-1)))))</f>
        <v/>
      </c>
      <c r="N12" s="130">
        <f>IF(OR($C12="",$B$2="",$D$2=0),0,IF(N$3&lt;0,0,N(INDEX('CURVA PREVISION'!$A$1:$KZ$3000,$C12,10+3*MIN(N$3,$D$2-1)))))</f>
        <v/>
      </c>
      <c r="O12" s="130">
        <f>IF(OR($C12="",$B$2="",$D$2=0),0,IF(O$3&lt;0,0,N(INDEX('CURVA PREVISION'!$A$1:$KZ$3000,$C12,10+3*MIN(O$3,$D$2-1)))))</f>
        <v/>
      </c>
      <c r="P12" s="130">
        <f>IF(OR($C12="",$B$2="",$D$2=0),0,IF(P$3&lt;0,0,N(INDEX('CURVA PREVISION'!$A$1:$KZ$3000,$C12,10+3*MIN(P$3,$D$2-1)))))</f>
        <v/>
      </c>
      <c r="Q12" s="130">
        <f>IF(OR($C12="",$B$2="",$D$2=0),0,IF(Q$3&lt;0,0,N(INDEX('CURVA PREVISION'!$A$1:$KZ$3000,$C12,10+3*MIN(Q$3,$D$2-1)))))</f>
        <v/>
      </c>
      <c r="R12" s="130">
        <f>IF(OR($C12="",$B$2="",$D$2=0),0,IF(R$3&lt;0,0,N(INDEX('CURVA PREVISION'!$A$1:$KZ$3000,$C12,10+3*MIN(R$3,$D$2-1)))))</f>
        <v/>
      </c>
      <c r="S12" s="130">
        <f>IF(OR($C12="",$B$2="",$D$2=0),0,IF(S$3&lt;0,0,N(INDEX('CURVA PREVISION'!$A$1:$KZ$3000,$C12,10+3*MIN(S$3,$D$2-1)))))</f>
        <v/>
      </c>
      <c r="T12" s="130">
        <f>IF(OR($C12="",$B$2="",$D$2=0),0,IF(T$3&lt;0,0,N(INDEX('CURVA PREVISION'!$A$1:$KZ$3000,$C12,10+3*MIN(T$3,$D$2-1)))))</f>
        <v/>
      </c>
      <c r="U12" s="130">
        <f>IF(OR($C12="",$B$2="",$D$2=0),0,IF(U$3&lt;0,0,N(INDEX('CURVA PREVISION'!$A$1:$KZ$3000,$C12,10+3*MIN(U$3,$D$2-1)))))</f>
        <v/>
      </c>
      <c r="V12" s="130">
        <f>IF(OR($C12="",$B$2="",$D$2=0),0,IF(V$3&lt;0,0,N(INDEX('CURVA PREVISION'!$A$1:$KZ$3000,$C12,10+3*MIN(V$3,$D$2-1)))))</f>
        <v/>
      </c>
      <c r="W12" s="130">
        <f>IF(OR($C12="",$B$2="",$D$2=0),0,IF(W$3&lt;0,0,N(INDEX('CURVA PREVISION'!$A$1:$KZ$3000,$C12,10+3*MIN(W$3,$D$2-1)))))</f>
        <v/>
      </c>
      <c r="X12" s="130">
        <f>IF(OR($C12="",$B$2="",$D$2=0),0,IF(X$3&lt;0,0,N(INDEX('CURVA PREVISION'!$A$1:$KZ$3000,$C12,10+3*MIN(X$3,$D$2-1)))))</f>
        <v/>
      </c>
      <c r="Y12" s="130">
        <f>IF(OR($C12="",$B$2="",$D$2=0),0,IF(Y$3&lt;0,0,N(INDEX('CURVA PREVISION'!$A$1:$KZ$3000,$C12,10+3*MIN(Y$3,$D$2-1)))))</f>
        <v/>
      </c>
      <c r="Z12" s="130">
        <f>IF(OR($C12="",$B$2="",$D$2=0),0,IF(Z$3&lt;0,0,N(INDEX('CURVA PREVISION'!$A$1:$KZ$3000,$C12,10+3*MIN(Z$3,$D$2-1)))))</f>
        <v/>
      </c>
      <c r="AA12" s="130">
        <f>IF(OR($C12="",$B$2="",$D$2=0),0,IF(AA$3&lt;0,0,N(INDEX('CURVA PREVISION'!$A$1:$KZ$3000,$C12,10+3*MIN(AA$3,$D$2-1)))))</f>
        <v/>
      </c>
      <c r="AB12" s="130">
        <f>IF(OR($C12="",$B$2="",$D$2=0),0,IF(AB$3&lt;0,0,N(INDEX('CURVA PREVISION'!$A$1:$KZ$3000,$C12,10+3*MIN(AB$3,$D$2-1)))))</f>
        <v/>
      </c>
      <c r="AC12" s="130">
        <f>IF(OR($C12="",$B$2="",$D$2=0),0,IF(AC$3&lt;0,0,N(INDEX('CURVA PREVISION'!$A$1:$KZ$3000,$C12,10+3*MIN(AC$3,$D$2-1)))))</f>
        <v/>
      </c>
      <c r="AD12" s="130">
        <f>IF(OR($C12="",$B$2="",$D$2=0),0,IF(AD$3&lt;0,0,N(INDEX('CURVA PREVISION'!$A$1:$KZ$3000,$C12,10+3*MIN(AD$3,$D$2-1)))))</f>
        <v/>
      </c>
      <c r="AE12" s="130">
        <f>IF(OR($C12="",$B$2="",$D$2=0),0,IF(AE$3&lt;0,0,N(INDEX('CURVA PREVISION'!$A$1:$KZ$3000,$C12,10+3*MIN(AE$3,$D$2-1)))))</f>
        <v/>
      </c>
      <c r="AF12" s="130">
        <f>IF(OR($C12="",$B$2="",$D$2=0),0,IF(AF$3&lt;0,0,N(INDEX('CURVA PREVISION'!$A$1:$KZ$3000,$C12,10+3*MIN(AF$3,$D$2-1)))))</f>
        <v/>
      </c>
      <c r="AG12" s="130">
        <f>IF(OR($C12="",$B$2="",$D$2=0),0,IF(AG$3&lt;0,0,N(INDEX('CURVA PREVISION'!$A$1:$KZ$3000,$C12,10+3*MIN(AG$3,$D$2-1)))))</f>
        <v/>
      </c>
      <c r="AH12" s="130">
        <f>IF(OR($C12="",$B$2="",$D$2=0),0,IF(AH$3&lt;0,0,N(INDEX('CURVA PREVISION'!$A$1:$KZ$3000,$C12,10+3*MIN(AH$3,$D$2-1)))))</f>
        <v/>
      </c>
      <c r="AI12" s="130">
        <f>IF(OR($C12="",$B$2="",$D$2=0),0,IF(AI$3&lt;0,0,N(INDEX('CURVA PREVISION'!$A$1:$KZ$3000,$C12,10+3*MIN(AI$3,$D$2-1)))))</f>
        <v/>
      </c>
      <c r="AJ12" s="130">
        <f>IF(OR($C12="",$B$2="",$D$2=0),0,IF(AJ$3&lt;0,0,N(INDEX('CURVA PREVISION'!$A$1:$KZ$3000,$C12,10+3*MIN(AJ$3,$D$2-1)))))</f>
        <v/>
      </c>
      <c r="AK12" s="130">
        <f>IF(OR($C12="",$B$2="",$D$2=0),0,IF(AK$3&lt;0,0,N(INDEX('CURVA PREVISION'!$A$1:$KZ$3000,$C12,10+3*MIN(AK$3,$D$2-1)))))</f>
        <v/>
      </c>
      <c r="AL12" s="130">
        <f>IF(OR($C12="",$B$2="",$D$2=0),0,IF(AL$3&lt;0,0,N(INDEX('CURVA PREVISION'!$A$1:$KZ$3000,$C12,10+3*MIN(AL$3,$D$2-1)))))</f>
        <v/>
      </c>
      <c r="AM12" s="130">
        <f>IF(OR($C12="",$B$2="",$D$2=0),0,IF(AM$3&lt;0,0,N(INDEX('CURVA PREVISION'!$A$1:$KZ$3000,$C12,10+3*MIN(AM$3,$D$2-1)))))</f>
        <v/>
      </c>
      <c r="AN12" s="130">
        <f>IF(OR($C12="",$B$2="",$D$2=0),0,IF(AN$3&lt;0,0,N(INDEX('CURVA PREVISION'!$A$1:$KZ$3000,$C12,10+3*MIN(AN$3,$D$2-1)))))</f>
        <v/>
      </c>
      <c r="AO12" s="130">
        <f>IF(OR($C12="",$B$2="",$D$2=0),0,IF(AO$3&lt;0,0,N(INDEX('CURVA PREVISION'!$A$1:$KZ$3000,$C12,10+3*MIN(AO$3,$D$2-1)))))</f>
        <v/>
      </c>
      <c r="AP12" s="130">
        <f>IF(OR($C12="",$B$2="",$D$2=0),0,IF(AP$3&lt;0,0,N(INDEX('CURVA PREVISION'!$A$1:$KZ$3000,$C12,10+3*MIN(AP$3,$D$2-1)))))</f>
        <v/>
      </c>
      <c r="AQ12" s="130">
        <f>IF(OR($C12="",$B$2="",$D$2=0),0,IF(AQ$3&lt;0,0,N(INDEX('CURVA PREVISION'!$A$1:$KZ$3000,$C12,10+3*MIN(AQ$3,$D$2-1)))))</f>
        <v/>
      </c>
      <c r="AR12" s="130">
        <f>IF(OR($C12="",$B$2="",$D$2=0),0,IF(AR$3&lt;0,0,N(INDEX('CURVA PREVISION'!$A$1:$KZ$3000,$C12,10+3*MIN(AR$3,$D$2-1)))))</f>
        <v/>
      </c>
      <c r="AS12" s="130">
        <f>IF(OR($C12="",$B$2="",$D$2=0),0,IF(AS$3&lt;0,0,N(INDEX('CURVA PREVISION'!$A$1:$KZ$3000,$C12,10+3*MIN(AS$3,$D$2-1)))))</f>
        <v/>
      </c>
      <c r="AT12" s="130">
        <f>IF(OR($C12="",$B$2="",$D$2=0),0,IF(AT$3&lt;0,0,N(INDEX('CURVA PREVISION'!$A$1:$KZ$3000,$C12,10+3*MIN(AT$3,$D$2-1)))))</f>
        <v/>
      </c>
      <c r="AU12" s="130">
        <f>IF(OR($C12="",$B$2="",$D$2=0),0,IF(AU$3&lt;0,0,N(INDEX('CURVA PREVISION'!$A$1:$KZ$3000,$C12,10+3*MIN(AU$3,$D$2-1)))))</f>
        <v/>
      </c>
      <c r="AV12" s="130">
        <f>IF(OR($C12="",$B$2="",$D$2=0),0,IF(AV$3&lt;0,0,N(INDEX('CURVA PREVISION'!$A$1:$KZ$3000,$C12,10+3*MIN(AV$3,$D$2-1)))))</f>
        <v/>
      </c>
      <c r="AW12" s="130">
        <f>IF(OR($C12="",$B$2="",$D$2=0),0,IF(AW$3&lt;0,0,N(INDEX('CURVA PREVISION'!$A$1:$KZ$3000,$C12,10+3*MIN(AW$3,$D$2-1)))))</f>
        <v/>
      </c>
      <c r="AX12" s="130">
        <f>IF(OR($C12="",$B$2="",$D$2=0),0,IF(AX$3&lt;0,0,N(INDEX('CURVA PREVISION'!$A$1:$KZ$3000,$C12,10+3*MIN(AX$3,$D$2-1)))))</f>
        <v/>
      </c>
      <c r="AY12" s="130">
        <f>IF(OR($C12="",$B$2="",$D$2=0),0,IF(AY$3&lt;0,0,N(INDEX('CURVA PREVISION'!$A$1:$KZ$3000,$C12,10+3*MIN(AY$3,$D$2-1)))))</f>
        <v/>
      </c>
      <c r="AZ12" s="130">
        <f>IF(OR($C12="",$B$2="",$D$2=0),0,IF(AZ$3&lt;0,0,N(INDEX('CURVA PREVISION'!$A$1:$KZ$3000,$C12,10+3*MIN(AZ$3,$D$2-1)))))</f>
        <v/>
      </c>
      <c r="BA12" s="130">
        <f>IF(OR($C12="",$B$2="",$D$2=0),0,IF(BA$3&lt;0,0,N(INDEX('CURVA PREVISION'!$A$1:$KZ$3000,$C12,10+3*MIN(BA$3,$D$2-1)))))</f>
        <v/>
      </c>
      <c r="BB12" s="130">
        <f>IF(OR($C12="",$B$2="",$D$2=0),0,IF(BB$3&lt;0,0,N(INDEX('CURVA PREVISION'!$A$1:$KZ$3000,$C12,10+3*MIN(BB$3,$D$2-1)))))</f>
        <v/>
      </c>
      <c r="BC12" s="130">
        <f>IF(OR($C12="",$B$2="",$D$2=0),0,IF(BC$3&lt;0,0,N(INDEX('CURVA PREVISION'!$A$1:$KZ$3000,$C12,10+3*MIN(BC$3,$D$2-1)))))</f>
        <v/>
      </c>
      <c r="BD12" s="130">
        <f>IF(OR($C12="",$B$2="",$D$2=0),0,IF(BD$3&lt;0,0,N(INDEX('CURVA PREVISION'!$A$1:$KZ$3000,$C12,10+3*MIN(BD$3,$D$2-1)))))</f>
        <v/>
      </c>
      <c r="BE12" s="130">
        <f>IF(OR($C12="",$B$2="",$D$2=0),0,IF(BE$3&lt;0,0,N(INDEX('CURVA PREVISION'!$A$1:$KZ$3000,$C12,10+3*MIN(BE$3,$D$2-1)))))</f>
        <v/>
      </c>
      <c r="BF12" s="130">
        <f>IF(OR($C12="",$B$2="",$D$2=0),0,IF(BF$3&lt;0,0,N(INDEX('CURVA PREVISION'!$A$1:$KZ$3000,$C12,10+3*MIN(BF$3,$D$2-1)))))</f>
        <v/>
      </c>
      <c r="BG12" s="130">
        <f>IF(OR($C12="",$B$2="",$D$2=0),0,IF(BG$3&lt;0,0,N(INDEX('CURVA PREVISION'!$A$1:$KZ$3000,$C12,10+3*MIN(BG$3,$D$2-1)))))</f>
        <v/>
      </c>
      <c r="BH12" s="130">
        <f>IF(OR($C12="",$B$2="",$D$2=0),0,IF(BH$3&lt;0,0,N(INDEX('CURVA PREVISION'!$A$1:$KZ$3000,$C12,10+3*MIN(BH$3,$D$2-1)))))</f>
        <v/>
      </c>
      <c r="BI12" s="130">
        <f>IF(OR($C12="",$B$2="",$D$2=0),0,IF(BI$3&lt;0,0,N(INDEX('CURVA PREVISION'!$A$1:$KZ$3000,$C12,10+3*MIN(BI$3,$D$2-1)))))</f>
        <v/>
      </c>
      <c r="BJ12" s="130">
        <f>IF(OR($C12="",$B$2="",$D$2=0),0,IF(BJ$3&lt;0,0,N(INDEX('CURVA PREVISION'!$A$1:$KZ$3000,$C12,10+3*MIN(BJ$3,$D$2-1)))))</f>
        <v/>
      </c>
      <c r="BK12" s="130">
        <f>IF(OR($C12="",$B$2="",$D$2=0),0,IF(BK$3&lt;0,0,N(INDEX('CURVA PREVISION'!$A$1:$KZ$3000,$C12,10+3*MIN(BK$3,$D$2-1)))))</f>
        <v/>
      </c>
      <c r="BL12" s="130">
        <f>IF(OR($C12="",$B$2="",$D$2=0),0,IF(BL$3&lt;0,0,N(INDEX('CURVA PREVISION'!$A$1:$KZ$3000,$C12,10+3*MIN(BL$3,$D$2-1)))))</f>
        <v/>
      </c>
      <c r="BM12" s="130">
        <f>IF(OR($C12="",$B$2="",$D$2=0),0,IF(BM$3&lt;0,0,N(INDEX('CURVA PREVISION'!$A$1:$KZ$3000,$C12,10+3*MIN(BM$3,$D$2-1)))))</f>
        <v/>
      </c>
      <c r="BN12" s="130">
        <f>IF(OR($C12="",$B$2="",$D$2=0),0,IF(BN$3&lt;0,0,N(INDEX('CURVA PREVISION'!$A$1:$KZ$3000,$C12,10+3*MIN(BN$3,$D$2-1)))))</f>
        <v/>
      </c>
      <c r="BO12" s="130">
        <f>IF(OR($C12="",$B$2="",$D$2=0),0,IF(BO$3&lt;0,0,N(INDEX('CURVA PREVISION'!$A$1:$KZ$3000,$C12,10+3*MIN(BO$3,$D$2-1)))))</f>
        <v/>
      </c>
      <c r="BP12" s="130">
        <f>IF(OR($C12="",$B$2="",$D$2=0),0,IF(BP$3&lt;0,0,N(INDEX('CURVA PREVISION'!$A$1:$KZ$3000,$C12,10+3*MIN(BP$3,$D$2-1)))))</f>
        <v/>
      </c>
      <c r="BQ12" s="130">
        <f>IF(OR($C12="",$B$2="",$D$2=0),0,IF(BQ$3&lt;0,0,N(INDEX('CURVA PREVISION'!$A$1:$KZ$3000,$C12,10+3*MIN(BQ$3,$D$2-1)))))</f>
        <v/>
      </c>
      <c r="BR12" s="130">
        <f>IF(OR($C12="",$B$2="",$D$2=0),0,IF(BR$3&lt;0,0,N(INDEX('CURVA PREVISION'!$A$1:$KZ$3000,$C12,10+3*MIN(BR$3,$D$2-1)))))</f>
        <v/>
      </c>
      <c r="BS12" s="130">
        <f>IF(OR($C12="",$B$2="",$D$2=0),0,IF(BS$3&lt;0,0,N(INDEX('CURVA PREVISION'!$A$1:$KZ$3000,$C12,10+3*MIN(BS$3,$D$2-1)))))</f>
        <v/>
      </c>
      <c r="BT12" s="130">
        <f>IF(OR($C12="",$B$2="",$D$2=0),0,IF(BT$3&lt;0,0,N(INDEX('CURVA PREVISION'!$A$1:$KZ$3000,$C12,10+3*MIN(BT$3,$D$2-1)))))</f>
        <v/>
      </c>
      <c r="BU12" s="130">
        <f>IF(OR($C12="",$B$2="",$D$2=0),0,IF(BU$3&lt;0,0,N(INDEX('CURVA PREVISION'!$A$1:$KZ$3000,$C12,10+3*MIN(BU$3,$D$2-1)))))</f>
        <v/>
      </c>
      <c r="BV12" s="130">
        <f>IF(OR($C12="",$B$2="",$D$2=0),0,IF(BV$3&lt;0,0,N(INDEX('CURVA PREVISION'!$A$1:$KZ$3000,$C12,10+3*MIN(BV$3,$D$2-1)))))</f>
        <v/>
      </c>
      <c r="BW12" s="130">
        <f>IF(OR($C12="",$B$2="",$D$2=0),0,IF(BW$3&lt;0,0,N(INDEX('CURVA PREVISION'!$A$1:$KZ$3000,$C12,10+3*MIN(BW$3,$D$2-1)))))</f>
        <v/>
      </c>
    </row>
    <row r="13">
      <c r="A13" s="61">
        <f>IF('VALOR POR PL'!R19&lt;&gt;"",'VALOR POR PL'!R19,IF('VALOR POR PL'!Q19="",'VALOR POR PL'!C19,'VALOR POR PL'!Q19))</f>
        <v/>
      </c>
      <c r="B13" s="61">
        <f>'VALOR POR PL'!D19</f>
        <v/>
      </c>
      <c r="C13" s="70">
        <f>IFERROR(MATCH(A13,'CURVA PREVISION'!$B$1:$B$3000,0),"")</f>
        <v/>
      </c>
      <c r="D13" s="130">
        <f>IF(OR($C13="",$B$2="",$D$2=0),0,IF(D$3&lt;0,0,N(INDEX('CURVA PREVISION'!$A$1:$KZ$3000,$C13,10+3*MIN(D$3,$D$2-1)))))</f>
        <v/>
      </c>
      <c r="E13" s="130">
        <f>IF(OR($C13="",$B$2="",$D$2=0),0,IF(E$3&lt;0,0,N(INDEX('CURVA PREVISION'!$A$1:$KZ$3000,$C13,10+3*MIN(E$3,$D$2-1)))))</f>
        <v/>
      </c>
      <c r="F13" s="130">
        <f>IF(OR($C13="",$B$2="",$D$2=0),0,IF(F$3&lt;0,0,N(INDEX('CURVA PREVISION'!$A$1:$KZ$3000,$C13,10+3*MIN(F$3,$D$2-1)))))</f>
        <v/>
      </c>
      <c r="G13" s="130">
        <f>IF(OR($C13="",$B$2="",$D$2=0),0,IF(G$3&lt;0,0,N(INDEX('CURVA PREVISION'!$A$1:$KZ$3000,$C13,10+3*MIN(G$3,$D$2-1)))))</f>
        <v/>
      </c>
      <c r="H13" s="130">
        <f>IF(OR($C13="",$B$2="",$D$2=0),0,IF(H$3&lt;0,0,N(INDEX('CURVA PREVISION'!$A$1:$KZ$3000,$C13,10+3*MIN(H$3,$D$2-1)))))</f>
        <v/>
      </c>
      <c r="I13" s="130">
        <f>IF(OR($C13="",$B$2="",$D$2=0),0,IF(I$3&lt;0,0,N(INDEX('CURVA PREVISION'!$A$1:$KZ$3000,$C13,10+3*MIN(I$3,$D$2-1)))))</f>
        <v/>
      </c>
      <c r="J13" s="130">
        <f>IF(OR($C13="",$B$2="",$D$2=0),0,IF(J$3&lt;0,0,N(INDEX('CURVA PREVISION'!$A$1:$KZ$3000,$C13,10+3*MIN(J$3,$D$2-1)))))</f>
        <v/>
      </c>
      <c r="K13" s="130">
        <f>IF(OR($C13="",$B$2="",$D$2=0),0,IF(K$3&lt;0,0,N(INDEX('CURVA PREVISION'!$A$1:$KZ$3000,$C13,10+3*MIN(K$3,$D$2-1)))))</f>
        <v/>
      </c>
      <c r="L13" s="130">
        <f>IF(OR($C13="",$B$2="",$D$2=0),0,IF(L$3&lt;0,0,N(INDEX('CURVA PREVISION'!$A$1:$KZ$3000,$C13,10+3*MIN(L$3,$D$2-1)))))</f>
        <v/>
      </c>
      <c r="M13" s="130">
        <f>IF(OR($C13="",$B$2="",$D$2=0),0,IF(M$3&lt;0,0,N(INDEX('CURVA PREVISION'!$A$1:$KZ$3000,$C13,10+3*MIN(M$3,$D$2-1)))))</f>
        <v/>
      </c>
      <c r="N13" s="130">
        <f>IF(OR($C13="",$B$2="",$D$2=0),0,IF(N$3&lt;0,0,N(INDEX('CURVA PREVISION'!$A$1:$KZ$3000,$C13,10+3*MIN(N$3,$D$2-1)))))</f>
        <v/>
      </c>
      <c r="O13" s="130">
        <f>IF(OR($C13="",$B$2="",$D$2=0),0,IF(O$3&lt;0,0,N(INDEX('CURVA PREVISION'!$A$1:$KZ$3000,$C13,10+3*MIN(O$3,$D$2-1)))))</f>
        <v/>
      </c>
      <c r="P13" s="130">
        <f>IF(OR($C13="",$B$2="",$D$2=0),0,IF(P$3&lt;0,0,N(INDEX('CURVA PREVISION'!$A$1:$KZ$3000,$C13,10+3*MIN(P$3,$D$2-1)))))</f>
        <v/>
      </c>
      <c r="Q13" s="130">
        <f>IF(OR($C13="",$B$2="",$D$2=0),0,IF(Q$3&lt;0,0,N(INDEX('CURVA PREVISION'!$A$1:$KZ$3000,$C13,10+3*MIN(Q$3,$D$2-1)))))</f>
        <v/>
      </c>
      <c r="R13" s="130">
        <f>IF(OR($C13="",$B$2="",$D$2=0),0,IF(R$3&lt;0,0,N(INDEX('CURVA PREVISION'!$A$1:$KZ$3000,$C13,10+3*MIN(R$3,$D$2-1)))))</f>
        <v/>
      </c>
      <c r="S13" s="130">
        <f>IF(OR($C13="",$B$2="",$D$2=0),0,IF(S$3&lt;0,0,N(INDEX('CURVA PREVISION'!$A$1:$KZ$3000,$C13,10+3*MIN(S$3,$D$2-1)))))</f>
        <v/>
      </c>
      <c r="T13" s="130">
        <f>IF(OR($C13="",$B$2="",$D$2=0),0,IF(T$3&lt;0,0,N(INDEX('CURVA PREVISION'!$A$1:$KZ$3000,$C13,10+3*MIN(T$3,$D$2-1)))))</f>
        <v/>
      </c>
      <c r="U13" s="130">
        <f>IF(OR($C13="",$B$2="",$D$2=0),0,IF(U$3&lt;0,0,N(INDEX('CURVA PREVISION'!$A$1:$KZ$3000,$C13,10+3*MIN(U$3,$D$2-1)))))</f>
        <v/>
      </c>
      <c r="V13" s="130">
        <f>IF(OR($C13="",$B$2="",$D$2=0),0,IF(V$3&lt;0,0,N(INDEX('CURVA PREVISION'!$A$1:$KZ$3000,$C13,10+3*MIN(V$3,$D$2-1)))))</f>
        <v/>
      </c>
      <c r="W13" s="130">
        <f>IF(OR($C13="",$B$2="",$D$2=0),0,IF(W$3&lt;0,0,N(INDEX('CURVA PREVISION'!$A$1:$KZ$3000,$C13,10+3*MIN(W$3,$D$2-1)))))</f>
        <v/>
      </c>
      <c r="X13" s="130">
        <f>IF(OR($C13="",$B$2="",$D$2=0),0,IF(X$3&lt;0,0,N(INDEX('CURVA PREVISION'!$A$1:$KZ$3000,$C13,10+3*MIN(X$3,$D$2-1)))))</f>
        <v/>
      </c>
      <c r="Y13" s="130">
        <f>IF(OR($C13="",$B$2="",$D$2=0),0,IF(Y$3&lt;0,0,N(INDEX('CURVA PREVISION'!$A$1:$KZ$3000,$C13,10+3*MIN(Y$3,$D$2-1)))))</f>
        <v/>
      </c>
      <c r="Z13" s="130">
        <f>IF(OR($C13="",$B$2="",$D$2=0),0,IF(Z$3&lt;0,0,N(INDEX('CURVA PREVISION'!$A$1:$KZ$3000,$C13,10+3*MIN(Z$3,$D$2-1)))))</f>
        <v/>
      </c>
      <c r="AA13" s="130">
        <f>IF(OR($C13="",$B$2="",$D$2=0),0,IF(AA$3&lt;0,0,N(INDEX('CURVA PREVISION'!$A$1:$KZ$3000,$C13,10+3*MIN(AA$3,$D$2-1)))))</f>
        <v/>
      </c>
      <c r="AB13" s="130">
        <f>IF(OR($C13="",$B$2="",$D$2=0),0,IF(AB$3&lt;0,0,N(INDEX('CURVA PREVISION'!$A$1:$KZ$3000,$C13,10+3*MIN(AB$3,$D$2-1)))))</f>
        <v/>
      </c>
      <c r="AC13" s="130">
        <f>IF(OR($C13="",$B$2="",$D$2=0),0,IF(AC$3&lt;0,0,N(INDEX('CURVA PREVISION'!$A$1:$KZ$3000,$C13,10+3*MIN(AC$3,$D$2-1)))))</f>
        <v/>
      </c>
      <c r="AD13" s="130">
        <f>IF(OR($C13="",$B$2="",$D$2=0),0,IF(AD$3&lt;0,0,N(INDEX('CURVA PREVISION'!$A$1:$KZ$3000,$C13,10+3*MIN(AD$3,$D$2-1)))))</f>
        <v/>
      </c>
      <c r="AE13" s="130">
        <f>IF(OR($C13="",$B$2="",$D$2=0),0,IF(AE$3&lt;0,0,N(INDEX('CURVA PREVISION'!$A$1:$KZ$3000,$C13,10+3*MIN(AE$3,$D$2-1)))))</f>
        <v/>
      </c>
      <c r="AF13" s="130">
        <f>IF(OR($C13="",$B$2="",$D$2=0),0,IF(AF$3&lt;0,0,N(INDEX('CURVA PREVISION'!$A$1:$KZ$3000,$C13,10+3*MIN(AF$3,$D$2-1)))))</f>
        <v/>
      </c>
      <c r="AG13" s="130">
        <f>IF(OR($C13="",$B$2="",$D$2=0),0,IF(AG$3&lt;0,0,N(INDEX('CURVA PREVISION'!$A$1:$KZ$3000,$C13,10+3*MIN(AG$3,$D$2-1)))))</f>
        <v/>
      </c>
      <c r="AH13" s="130">
        <f>IF(OR($C13="",$B$2="",$D$2=0),0,IF(AH$3&lt;0,0,N(INDEX('CURVA PREVISION'!$A$1:$KZ$3000,$C13,10+3*MIN(AH$3,$D$2-1)))))</f>
        <v/>
      </c>
      <c r="AI13" s="130">
        <f>IF(OR($C13="",$B$2="",$D$2=0),0,IF(AI$3&lt;0,0,N(INDEX('CURVA PREVISION'!$A$1:$KZ$3000,$C13,10+3*MIN(AI$3,$D$2-1)))))</f>
        <v/>
      </c>
      <c r="AJ13" s="130">
        <f>IF(OR($C13="",$B$2="",$D$2=0),0,IF(AJ$3&lt;0,0,N(INDEX('CURVA PREVISION'!$A$1:$KZ$3000,$C13,10+3*MIN(AJ$3,$D$2-1)))))</f>
        <v/>
      </c>
      <c r="AK13" s="130">
        <f>IF(OR($C13="",$B$2="",$D$2=0),0,IF(AK$3&lt;0,0,N(INDEX('CURVA PREVISION'!$A$1:$KZ$3000,$C13,10+3*MIN(AK$3,$D$2-1)))))</f>
        <v/>
      </c>
      <c r="AL13" s="130">
        <f>IF(OR($C13="",$B$2="",$D$2=0),0,IF(AL$3&lt;0,0,N(INDEX('CURVA PREVISION'!$A$1:$KZ$3000,$C13,10+3*MIN(AL$3,$D$2-1)))))</f>
        <v/>
      </c>
      <c r="AM13" s="130">
        <f>IF(OR($C13="",$B$2="",$D$2=0),0,IF(AM$3&lt;0,0,N(INDEX('CURVA PREVISION'!$A$1:$KZ$3000,$C13,10+3*MIN(AM$3,$D$2-1)))))</f>
        <v/>
      </c>
      <c r="AN13" s="130">
        <f>IF(OR($C13="",$B$2="",$D$2=0),0,IF(AN$3&lt;0,0,N(INDEX('CURVA PREVISION'!$A$1:$KZ$3000,$C13,10+3*MIN(AN$3,$D$2-1)))))</f>
        <v/>
      </c>
      <c r="AO13" s="130">
        <f>IF(OR($C13="",$B$2="",$D$2=0),0,IF(AO$3&lt;0,0,N(INDEX('CURVA PREVISION'!$A$1:$KZ$3000,$C13,10+3*MIN(AO$3,$D$2-1)))))</f>
        <v/>
      </c>
      <c r="AP13" s="130">
        <f>IF(OR($C13="",$B$2="",$D$2=0),0,IF(AP$3&lt;0,0,N(INDEX('CURVA PREVISION'!$A$1:$KZ$3000,$C13,10+3*MIN(AP$3,$D$2-1)))))</f>
        <v/>
      </c>
      <c r="AQ13" s="130">
        <f>IF(OR($C13="",$B$2="",$D$2=0),0,IF(AQ$3&lt;0,0,N(INDEX('CURVA PREVISION'!$A$1:$KZ$3000,$C13,10+3*MIN(AQ$3,$D$2-1)))))</f>
        <v/>
      </c>
      <c r="AR13" s="130">
        <f>IF(OR($C13="",$B$2="",$D$2=0),0,IF(AR$3&lt;0,0,N(INDEX('CURVA PREVISION'!$A$1:$KZ$3000,$C13,10+3*MIN(AR$3,$D$2-1)))))</f>
        <v/>
      </c>
      <c r="AS13" s="130">
        <f>IF(OR($C13="",$B$2="",$D$2=0),0,IF(AS$3&lt;0,0,N(INDEX('CURVA PREVISION'!$A$1:$KZ$3000,$C13,10+3*MIN(AS$3,$D$2-1)))))</f>
        <v/>
      </c>
      <c r="AT13" s="130">
        <f>IF(OR($C13="",$B$2="",$D$2=0),0,IF(AT$3&lt;0,0,N(INDEX('CURVA PREVISION'!$A$1:$KZ$3000,$C13,10+3*MIN(AT$3,$D$2-1)))))</f>
        <v/>
      </c>
      <c r="AU13" s="130">
        <f>IF(OR($C13="",$B$2="",$D$2=0),0,IF(AU$3&lt;0,0,N(INDEX('CURVA PREVISION'!$A$1:$KZ$3000,$C13,10+3*MIN(AU$3,$D$2-1)))))</f>
        <v/>
      </c>
      <c r="AV13" s="130">
        <f>IF(OR($C13="",$B$2="",$D$2=0),0,IF(AV$3&lt;0,0,N(INDEX('CURVA PREVISION'!$A$1:$KZ$3000,$C13,10+3*MIN(AV$3,$D$2-1)))))</f>
        <v/>
      </c>
      <c r="AW13" s="130">
        <f>IF(OR($C13="",$B$2="",$D$2=0),0,IF(AW$3&lt;0,0,N(INDEX('CURVA PREVISION'!$A$1:$KZ$3000,$C13,10+3*MIN(AW$3,$D$2-1)))))</f>
        <v/>
      </c>
      <c r="AX13" s="130">
        <f>IF(OR($C13="",$B$2="",$D$2=0),0,IF(AX$3&lt;0,0,N(INDEX('CURVA PREVISION'!$A$1:$KZ$3000,$C13,10+3*MIN(AX$3,$D$2-1)))))</f>
        <v/>
      </c>
      <c r="AY13" s="130">
        <f>IF(OR($C13="",$B$2="",$D$2=0),0,IF(AY$3&lt;0,0,N(INDEX('CURVA PREVISION'!$A$1:$KZ$3000,$C13,10+3*MIN(AY$3,$D$2-1)))))</f>
        <v/>
      </c>
      <c r="AZ13" s="130">
        <f>IF(OR($C13="",$B$2="",$D$2=0),0,IF(AZ$3&lt;0,0,N(INDEX('CURVA PREVISION'!$A$1:$KZ$3000,$C13,10+3*MIN(AZ$3,$D$2-1)))))</f>
        <v/>
      </c>
      <c r="BA13" s="130">
        <f>IF(OR($C13="",$B$2="",$D$2=0),0,IF(BA$3&lt;0,0,N(INDEX('CURVA PREVISION'!$A$1:$KZ$3000,$C13,10+3*MIN(BA$3,$D$2-1)))))</f>
        <v/>
      </c>
      <c r="BB13" s="130">
        <f>IF(OR($C13="",$B$2="",$D$2=0),0,IF(BB$3&lt;0,0,N(INDEX('CURVA PREVISION'!$A$1:$KZ$3000,$C13,10+3*MIN(BB$3,$D$2-1)))))</f>
        <v/>
      </c>
      <c r="BC13" s="130">
        <f>IF(OR($C13="",$B$2="",$D$2=0),0,IF(BC$3&lt;0,0,N(INDEX('CURVA PREVISION'!$A$1:$KZ$3000,$C13,10+3*MIN(BC$3,$D$2-1)))))</f>
        <v/>
      </c>
      <c r="BD13" s="130">
        <f>IF(OR($C13="",$B$2="",$D$2=0),0,IF(BD$3&lt;0,0,N(INDEX('CURVA PREVISION'!$A$1:$KZ$3000,$C13,10+3*MIN(BD$3,$D$2-1)))))</f>
        <v/>
      </c>
      <c r="BE13" s="130">
        <f>IF(OR($C13="",$B$2="",$D$2=0),0,IF(BE$3&lt;0,0,N(INDEX('CURVA PREVISION'!$A$1:$KZ$3000,$C13,10+3*MIN(BE$3,$D$2-1)))))</f>
        <v/>
      </c>
      <c r="BF13" s="130">
        <f>IF(OR($C13="",$B$2="",$D$2=0),0,IF(BF$3&lt;0,0,N(INDEX('CURVA PREVISION'!$A$1:$KZ$3000,$C13,10+3*MIN(BF$3,$D$2-1)))))</f>
        <v/>
      </c>
      <c r="BG13" s="130">
        <f>IF(OR($C13="",$B$2="",$D$2=0),0,IF(BG$3&lt;0,0,N(INDEX('CURVA PREVISION'!$A$1:$KZ$3000,$C13,10+3*MIN(BG$3,$D$2-1)))))</f>
        <v/>
      </c>
      <c r="BH13" s="130">
        <f>IF(OR($C13="",$B$2="",$D$2=0),0,IF(BH$3&lt;0,0,N(INDEX('CURVA PREVISION'!$A$1:$KZ$3000,$C13,10+3*MIN(BH$3,$D$2-1)))))</f>
        <v/>
      </c>
      <c r="BI13" s="130">
        <f>IF(OR($C13="",$B$2="",$D$2=0),0,IF(BI$3&lt;0,0,N(INDEX('CURVA PREVISION'!$A$1:$KZ$3000,$C13,10+3*MIN(BI$3,$D$2-1)))))</f>
        <v/>
      </c>
      <c r="BJ13" s="130">
        <f>IF(OR($C13="",$B$2="",$D$2=0),0,IF(BJ$3&lt;0,0,N(INDEX('CURVA PREVISION'!$A$1:$KZ$3000,$C13,10+3*MIN(BJ$3,$D$2-1)))))</f>
        <v/>
      </c>
      <c r="BK13" s="130">
        <f>IF(OR($C13="",$B$2="",$D$2=0),0,IF(BK$3&lt;0,0,N(INDEX('CURVA PREVISION'!$A$1:$KZ$3000,$C13,10+3*MIN(BK$3,$D$2-1)))))</f>
        <v/>
      </c>
      <c r="BL13" s="130">
        <f>IF(OR($C13="",$B$2="",$D$2=0),0,IF(BL$3&lt;0,0,N(INDEX('CURVA PREVISION'!$A$1:$KZ$3000,$C13,10+3*MIN(BL$3,$D$2-1)))))</f>
        <v/>
      </c>
      <c r="BM13" s="130">
        <f>IF(OR($C13="",$B$2="",$D$2=0),0,IF(BM$3&lt;0,0,N(INDEX('CURVA PREVISION'!$A$1:$KZ$3000,$C13,10+3*MIN(BM$3,$D$2-1)))))</f>
        <v/>
      </c>
      <c r="BN13" s="130">
        <f>IF(OR($C13="",$B$2="",$D$2=0),0,IF(BN$3&lt;0,0,N(INDEX('CURVA PREVISION'!$A$1:$KZ$3000,$C13,10+3*MIN(BN$3,$D$2-1)))))</f>
        <v/>
      </c>
      <c r="BO13" s="130">
        <f>IF(OR($C13="",$B$2="",$D$2=0),0,IF(BO$3&lt;0,0,N(INDEX('CURVA PREVISION'!$A$1:$KZ$3000,$C13,10+3*MIN(BO$3,$D$2-1)))))</f>
        <v/>
      </c>
      <c r="BP13" s="130">
        <f>IF(OR($C13="",$B$2="",$D$2=0),0,IF(BP$3&lt;0,0,N(INDEX('CURVA PREVISION'!$A$1:$KZ$3000,$C13,10+3*MIN(BP$3,$D$2-1)))))</f>
        <v/>
      </c>
      <c r="BQ13" s="130">
        <f>IF(OR($C13="",$B$2="",$D$2=0),0,IF(BQ$3&lt;0,0,N(INDEX('CURVA PREVISION'!$A$1:$KZ$3000,$C13,10+3*MIN(BQ$3,$D$2-1)))))</f>
        <v/>
      </c>
      <c r="BR13" s="130">
        <f>IF(OR($C13="",$B$2="",$D$2=0),0,IF(BR$3&lt;0,0,N(INDEX('CURVA PREVISION'!$A$1:$KZ$3000,$C13,10+3*MIN(BR$3,$D$2-1)))))</f>
        <v/>
      </c>
      <c r="BS13" s="130">
        <f>IF(OR($C13="",$B$2="",$D$2=0),0,IF(BS$3&lt;0,0,N(INDEX('CURVA PREVISION'!$A$1:$KZ$3000,$C13,10+3*MIN(BS$3,$D$2-1)))))</f>
        <v/>
      </c>
      <c r="BT13" s="130">
        <f>IF(OR($C13="",$B$2="",$D$2=0),0,IF(BT$3&lt;0,0,N(INDEX('CURVA PREVISION'!$A$1:$KZ$3000,$C13,10+3*MIN(BT$3,$D$2-1)))))</f>
        <v/>
      </c>
      <c r="BU13" s="130">
        <f>IF(OR($C13="",$B$2="",$D$2=0),0,IF(BU$3&lt;0,0,N(INDEX('CURVA PREVISION'!$A$1:$KZ$3000,$C13,10+3*MIN(BU$3,$D$2-1)))))</f>
        <v/>
      </c>
      <c r="BV13" s="130">
        <f>IF(OR($C13="",$B$2="",$D$2=0),0,IF(BV$3&lt;0,0,N(INDEX('CURVA PREVISION'!$A$1:$KZ$3000,$C13,10+3*MIN(BV$3,$D$2-1)))))</f>
        <v/>
      </c>
      <c r="BW13" s="130">
        <f>IF(OR($C13="",$B$2="",$D$2=0),0,IF(BW$3&lt;0,0,N(INDEX('CURVA PREVISION'!$A$1:$KZ$3000,$C13,10+3*MIN(BW$3,$D$2-1)))))</f>
        <v/>
      </c>
    </row>
    <row r="14">
      <c r="A14" s="61">
        <f>IF('VALOR POR PL'!R20&lt;&gt;"",'VALOR POR PL'!R20,IF('VALOR POR PL'!Q20="",'VALOR POR PL'!C20,'VALOR POR PL'!Q20))</f>
        <v/>
      </c>
      <c r="B14" s="61">
        <f>'VALOR POR PL'!D20</f>
        <v/>
      </c>
      <c r="C14" s="70">
        <f>IFERROR(MATCH(A14,'CURVA PREVISION'!$B$1:$B$3000,0),"")</f>
        <v/>
      </c>
      <c r="D14" s="130">
        <f>IF(OR($C14="",$B$2="",$D$2=0),0,IF(D$3&lt;0,0,N(INDEX('CURVA PREVISION'!$A$1:$KZ$3000,$C14,10+3*MIN(D$3,$D$2-1)))))</f>
        <v/>
      </c>
      <c r="E14" s="130">
        <f>IF(OR($C14="",$B$2="",$D$2=0),0,IF(E$3&lt;0,0,N(INDEX('CURVA PREVISION'!$A$1:$KZ$3000,$C14,10+3*MIN(E$3,$D$2-1)))))</f>
        <v/>
      </c>
      <c r="F14" s="130">
        <f>IF(OR($C14="",$B$2="",$D$2=0),0,IF(F$3&lt;0,0,N(INDEX('CURVA PREVISION'!$A$1:$KZ$3000,$C14,10+3*MIN(F$3,$D$2-1)))))</f>
        <v/>
      </c>
      <c r="G14" s="130">
        <f>IF(OR($C14="",$B$2="",$D$2=0),0,IF(G$3&lt;0,0,N(INDEX('CURVA PREVISION'!$A$1:$KZ$3000,$C14,10+3*MIN(G$3,$D$2-1)))))</f>
        <v/>
      </c>
      <c r="H14" s="130">
        <f>IF(OR($C14="",$B$2="",$D$2=0),0,IF(H$3&lt;0,0,N(INDEX('CURVA PREVISION'!$A$1:$KZ$3000,$C14,10+3*MIN(H$3,$D$2-1)))))</f>
        <v/>
      </c>
      <c r="I14" s="130">
        <f>IF(OR($C14="",$B$2="",$D$2=0),0,IF(I$3&lt;0,0,N(INDEX('CURVA PREVISION'!$A$1:$KZ$3000,$C14,10+3*MIN(I$3,$D$2-1)))))</f>
        <v/>
      </c>
      <c r="J14" s="130">
        <f>IF(OR($C14="",$B$2="",$D$2=0),0,IF(J$3&lt;0,0,N(INDEX('CURVA PREVISION'!$A$1:$KZ$3000,$C14,10+3*MIN(J$3,$D$2-1)))))</f>
        <v/>
      </c>
      <c r="K14" s="130">
        <f>IF(OR($C14="",$B$2="",$D$2=0),0,IF(K$3&lt;0,0,N(INDEX('CURVA PREVISION'!$A$1:$KZ$3000,$C14,10+3*MIN(K$3,$D$2-1)))))</f>
        <v/>
      </c>
      <c r="L14" s="130">
        <f>IF(OR($C14="",$B$2="",$D$2=0),0,IF(L$3&lt;0,0,N(INDEX('CURVA PREVISION'!$A$1:$KZ$3000,$C14,10+3*MIN(L$3,$D$2-1)))))</f>
        <v/>
      </c>
      <c r="M14" s="130">
        <f>IF(OR($C14="",$B$2="",$D$2=0),0,IF(M$3&lt;0,0,N(INDEX('CURVA PREVISION'!$A$1:$KZ$3000,$C14,10+3*MIN(M$3,$D$2-1)))))</f>
        <v/>
      </c>
      <c r="N14" s="130">
        <f>IF(OR($C14="",$B$2="",$D$2=0),0,IF(N$3&lt;0,0,N(INDEX('CURVA PREVISION'!$A$1:$KZ$3000,$C14,10+3*MIN(N$3,$D$2-1)))))</f>
        <v/>
      </c>
      <c r="O14" s="130">
        <f>IF(OR($C14="",$B$2="",$D$2=0),0,IF(O$3&lt;0,0,N(INDEX('CURVA PREVISION'!$A$1:$KZ$3000,$C14,10+3*MIN(O$3,$D$2-1)))))</f>
        <v/>
      </c>
      <c r="P14" s="130">
        <f>IF(OR($C14="",$B$2="",$D$2=0),0,IF(P$3&lt;0,0,N(INDEX('CURVA PREVISION'!$A$1:$KZ$3000,$C14,10+3*MIN(P$3,$D$2-1)))))</f>
        <v/>
      </c>
      <c r="Q14" s="130">
        <f>IF(OR($C14="",$B$2="",$D$2=0),0,IF(Q$3&lt;0,0,N(INDEX('CURVA PREVISION'!$A$1:$KZ$3000,$C14,10+3*MIN(Q$3,$D$2-1)))))</f>
        <v/>
      </c>
      <c r="R14" s="130">
        <f>IF(OR($C14="",$B$2="",$D$2=0),0,IF(R$3&lt;0,0,N(INDEX('CURVA PREVISION'!$A$1:$KZ$3000,$C14,10+3*MIN(R$3,$D$2-1)))))</f>
        <v/>
      </c>
      <c r="S14" s="130">
        <f>IF(OR($C14="",$B$2="",$D$2=0),0,IF(S$3&lt;0,0,N(INDEX('CURVA PREVISION'!$A$1:$KZ$3000,$C14,10+3*MIN(S$3,$D$2-1)))))</f>
        <v/>
      </c>
      <c r="T14" s="130">
        <f>IF(OR($C14="",$B$2="",$D$2=0),0,IF(T$3&lt;0,0,N(INDEX('CURVA PREVISION'!$A$1:$KZ$3000,$C14,10+3*MIN(T$3,$D$2-1)))))</f>
        <v/>
      </c>
      <c r="U14" s="130">
        <f>IF(OR($C14="",$B$2="",$D$2=0),0,IF(U$3&lt;0,0,N(INDEX('CURVA PREVISION'!$A$1:$KZ$3000,$C14,10+3*MIN(U$3,$D$2-1)))))</f>
        <v/>
      </c>
      <c r="V14" s="130">
        <f>IF(OR($C14="",$B$2="",$D$2=0),0,IF(V$3&lt;0,0,N(INDEX('CURVA PREVISION'!$A$1:$KZ$3000,$C14,10+3*MIN(V$3,$D$2-1)))))</f>
        <v/>
      </c>
      <c r="W14" s="130">
        <f>IF(OR($C14="",$B$2="",$D$2=0),0,IF(W$3&lt;0,0,N(INDEX('CURVA PREVISION'!$A$1:$KZ$3000,$C14,10+3*MIN(W$3,$D$2-1)))))</f>
        <v/>
      </c>
      <c r="X14" s="130">
        <f>IF(OR($C14="",$B$2="",$D$2=0),0,IF(X$3&lt;0,0,N(INDEX('CURVA PREVISION'!$A$1:$KZ$3000,$C14,10+3*MIN(X$3,$D$2-1)))))</f>
        <v/>
      </c>
      <c r="Y14" s="130">
        <f>IF(OR($C14="",$B$2="",$D$2=0),0,IF(Y$3&lt;0,0,N(INDEX('CURVA PREVISION'!$A$1:$KZ$3000,$C14,10+3*MIN(Y$3,$D$2-1)))))</f>
        <v/>
      </c>
      <c r="Z14" s="130">
        <f>IF(OR($C14="",$B$2="",$D$2=0),0,IF(Z$3&lt;0,0,N(INDEX('CURVA PREVISION'!$A$1:$KZ$3000,$C14,10+3*MIN(Z$3,$D$2-1)))))</f>
        <v/>
      </c>
      <c r="AA14" s="130">
        <f>IF(OR($C14="",$B$2="",$D$2=0),0,IF(AA$3&lt;0,0,N(INDEX('CURVA PREVISION'!$A$1:$KZ$3000,$C14,10+3*MIN(AA$3,$D$2-1)))))</f>
        <v/>
      </c>
      <c r="AB14" s="130">
        <f>IF(OR($C14="",$B$2="",$D$2=0),0,IF(AB$3&lt;0,0,N(INDEX('CURVA PREVISION'!$A$1:$KZ$3000,$C14,10+3*MIN(AB$3,$D$2-1)))))</f>
        <v/>
      </c>
      <c r="AC14" s="130">
        <f>IF(OR($C14="",$B$2="",$D$2=0),0,IF(AC$3&lt;0,0,N(INDEX('CURVA PREVISION'!$A$1:$KZ$3000,$C14,10+3*MIN(AC$3,$D$2-1)))))</f>
        <v/>
      </c>
      <c r="AD14" s="130">
        <f>IF(OR($C14="",$B$2="",$D$2=0),0,IF(AD$3&lt;0,0,N(INDEX('CURVA PREVISION'!$A$1:$KZ$3000,$C14,10+3*MIN(AD$3,$D$2-1)))))</f>
        <v/>
      </c>
      <c r="AE14" s="130">
        <f>IF(OR($C14="",$B$2="",$D$2=0),0,IF(AE$3&lt;0,0,N(INDEX('CURVA PREVISION'!$A$1:$KZ$3000,$C14,10+3*MIN(AE$3,$D$2-1)))))</f>
        <v/>
      </c>
      <c r="AF14" s="130">
        <f>IF(OR($C14="",$B$2="",$D$2=0),0,IF(AF$3&lt;0,0,N(INDEX('CURVA PREVISION'!$A$1:$KZ$3000,$C14,10+3*MIN(AF$3,$D$2-1)))))</f>
        <v/>
      </c>
      <c r="AG14" s="130">
        <f>IF(OR($C14="",$B$2="",$D$2=0),0,IF(AG$3&lt;0,0,N(INDEX('CURVA PREVISION'!$A$1:$KZ$3000,$C14,10+3*MIN(AG$3,$D$2-1)))))</f>
        <v/>
      </c>
      <c r="AH14" s="130">
        <f>IF(OR($C14="",$B$2="",$D$2=0),0,IF(AH$3&lt;0,0,N(INDEX('CURVA PREVISION'!$A$1:$KZ$3000,$C14,10+3*MIN(AH$3,$D$2-1)))))</f>
        <v/>
      </c>
      <c r="AI14" s="130">
        <f>IF(OR($C14="",$B$2="",$D$2=0),0,IF(AI$3&lt;0,0,N(INDEX('CURVA PREVISION'!$A$1:$KZ$3000,$C14,10+3*MIN(AI$3,$D$2-1)))))</f>
        <v/>
      </c>
      <c r="AJ14" s="130">
        <f>IF(OR($C14="",$B$2="",$D$2=0),0,IF(AJ$3&lt;0,0,N(INDEX('CURVA PREVISION'!$A$1:$KZ$3000,$C14,10+3*MIN(AJ$3,$D$2-1)))))</f>
        <v/>
      </c>
      <c r="AK14" s="130">
        <f>IF(OR($C14="",$B$2="",$D$2=0),0,IF(AK$3&lt;0,0,N(INDEX('CURVA PREVISION'!$A$1:$KZ$3000,$C14,10+3*MIN(AK$3,$D$2-1)))))</f>
        <v/>
      </c>
      <c r="AL14" s="130">
        <f>IF(OR($C14="",$B$2="",$D$2=0),0,IF(AL$3&lt;0,0,N(INDEX('CURVA PREVISION'!$A$1:$KZ$3000,$C14,10+3*MIN(AL$3,$D$2-1)))))</f>
        <v/>
      </c>
      <c r="AM14" s="130">
        <f>IF(OR($C14="",$B$2="",$D$2=0),0,IF(AM$3&lt;0,0,N(INDEX('CURVA PREVISION'!$A$1:$KZ$3000,$C14,10+3*MIN(AM$3,$D$2-1)))))</f>
        <v/>
      </c>
      <c r="AN14" s="130">
        <f>IF(OR($C14="",$B$2="",$D$2=0),0,IF(AN$3&lt;0,0,N(INDEX('CURVA PREVISION'!$A$1:$KZ$3000,$C14,10+3*MIN(AN$3,$D$2-1)))))</f>
        <v/>
      </c>
      <c r="AO14" s="130">
        <f>IF(OR($C14="",$B$2="",$D$2=0),0,IF(AO$3&lt;0,0,N(INDEX('CURVA PREVISION'!$A$1:$KZ$3000,$C14,10+3*MIN(AO$3,$D$2-1)))))</f>
        <v/>
      </c>
      <c r="AP14" s="130">
        <f>IF(OR($C14="",$B$2="",$D$2=0),0,IF(AP$3&lt;0,0,N(INDEX('CURVA PREVISION'!$A$1:$KZ$3000,$C14,10+3*MIN(AP$3,$D$2-1)))))</f>
        <v/>
      </c>
      <c r="AQ14" s="130">
        <f>IF(OR($C14="",$B$2="",$D$2=0),0,IF(AQ$3&lt;0,0,N(INDEX('CURVA PREVISION'!$A$1:$KZ$3000,$C14,10+3*MIN(AQ$3,$D$2-1)))))</f>
        <v/>
      </c>
      <c r="AR14" s="130">
        <f>IF(OR($C14="",$B$2="",$D$2=0),0,IF(AR$3&lt;0,0,N(INDEX('CURVA PREVISION'!$A$1:$KZ$3000,$C14,10+3*MIN(AR$3,$D$2-1)))))</f>
        <v/>
      </c>
      <c r="AS14" s="130">
        <f>IF(OR($C14="",$B$2="",$D$2=0),0,IF(AS$3&lt;0,0,N(INDEX('CURVA PREVISION'!$A$1:$KZ$3000,$C14,10+3*MIN(AS$3,$D$2-1)))))</f>
        <v/>
      </c>
      <c r="AT14" s="130">
        <f>IF(OR($C14="",$B$2="",$D$2=0),0,IF(AT$3&lt;0,0,N(INDEX('CURVA PREVISION'!$A$1:$KZ$3000,$C14,10+3*MIN(AT$3,$D$2-1)))))</f>
        <v/>
      </c>
      <c r="AU14" s="130">
        <f>IF(OR($C14="",$B$2="",$D$2=0),0,IF(AU$3&lt;0,0,N(INDEX('CURVA PREVISION'!$A$1:$KZ$3000,$C14,10+3*MIN(AU$3,$D$2-1)))))</f>
        <v/>
      </c>
      <c r="AV14" s="130">
        <f>IF(OR($C14="",$B$2="",$D$2=0),0,IF(AV$3&lt;0,0,N(INDEX('CURVA PREVISION'!$A$1:$KZ$3000,$C14,10+3*MIN(AV$3,$D$2-1)))))</f>
        <v/>
      </c>
      <c r="AW14" s="130">
        <f>IF(OR($C14="",$B$2="",$D$2=0),0,IF(AW$3&lt;0,0,N(INDEX('CURVA PREVISION'!$A$1:$KZ$3000,$C14,10+3*MIN(AW$3,$D$2-1)))))</f>
        <v/>
      </c>
      <c r="AX14" s="130">
        <f>IF(OR($C14="",$B$2="",$D$2=0),0,IF(AX$3&lt;0,0,N(INDEX('CURVA PREVISION'!$A$1:$KZ$3000,$C14,10+3*MIN(AX$3,$D$2-1)))))</f>
        <v/>
      </c>
      <c r="AY14" s="130">
        <f>IF(OR($C14="",$B$2="",$D$2=0),0,IF(AY$3&lt;0,0,N(INDEX('CURVA PREVISION'!$A$1:$KZ$3000,$C14,10+3*MIN(AY$3,$D$2-1)))))</f>
        <v/>
      </c>
      <c r="AZ14" s="130">
        <f>IF(OR($C14="",$B$2="",$D$2=0),0,IF(AZ$3&lt;0,0,N(INDEX('CURVA PREVISION'!$A$1:$KZ$3000,$C14,10+3*MIN(AZ$3,$D$2-1)))))</f>
        <v/>
      </c>
      <c r="BA14" s="130">
        <f>IF(OR($C14="",$B$2="",$D$2=0),0,IF(BA$3&lt;0,0,N(INDEX('CURVA PREVISION'!$A$1:$KZ$3000,$C14,10+3*MIN(BA$3,$D$2-1)))))</f>
        <v/>
      </c>
      <c r="BB14" s="130">
        <f>IF(OR($C14="",$B$2="",$D$2=0),0,IF(BB$3&lt;0,0,N(INDEX('CURVA PREVISION'!$A$1:$KZ$3000,$C14,10+3*MIN(BB$3,$D$2-1)))))</f>
        <v/>
      </c>
      <c r="BC14" s="130">
        <f>IF(OR($C14="",$B$2="",$D$2=0),0,IF(BC$3&lt;0,0,N(INDEX('CURVA PREVISION'!$A$1:$KZ$3000,$C14,10+3*MIN(BC$3,$D$2-1)))))</f>
        <v/>
      </c>
      <c r="BD14" s="130">
        <f>IF(OR($C14="",$B$2="",$D$2=0),0,IF(BD$3&lt;0,0,N(INDEX('CURVA PREVISION'!$A$1:$KZ$3000,$C14,10+3*MIN(BD$3,$D$2-1)))))</f>
        <v/>
      </c>
      <c r="BE14" s="130">
        <f>IF(OR($C14="",$B$2="",$D$2=0),0,IF(BE$3&lt;0,0,N(INDEX('CURVA PREVISION'!$A$1:$KZ$3000,$C14,10+3*MIN(BE$3,$D$2-1)))))</f>
        <v/>
      </c>
      <c r="BF14" s="130">
        <f>IF(OR($C14="",$B$2="",$D$2=0),0,IF(BF$3&lt;0,0,N(INDEX('CURVA PREVISION'!$A$1:$KZ$3000,$C14,10+3*MIN(BF$3,$D$2-1)))))</f>
        <v/>
      </c>
      <c r="BG14" s="130">
        <f>IF(OR($C14="",$B$2="",$D$2=0),0,IF(BG$3&lt;0,0,N(INDEX('CURVA PREVISION'!$A$1:$KZ$3000,$C14,10+3*MIN(BG$3,$D$2-1)))))</f>
        <v/>
      </c>
      <c r="BH14" s="130">
        <f>IF(OR($C14="",$B$2="",$D$2=0),0,IF(BH$3&lt;0,0,N(INDEX('CURVA PREVISION'!$A$1:$KZ$3000,$C14,10+3*MIN(BH$3,$D$2-1)))))</f>
        <v/>
      </c>
      <c r="BI14" s="130">
        <f>IF(OR($C14="",$B$2="",$D$2=0),0,IF(BI$3&lt;0,0,N(INDEX('CURVA PREVISION'!$A$1:$KZ$3000,$C14,10+3*MIN(BI$3,$D$2-1)))))</f>
        <v/>
      </c>
      <c r="BJ14" s="130">
        <f>IF(OR($C14="",$B$2="",$D$2=0),0,IF(BJ$3&lt;0,0,N(INDEX('CURVA PREVISION'!$A$1:$KZ$3000,$C14,10+3*MIN(BJ$3,$D$2-1)))))</f>
        <v/>
      </c>
      <c r="BK14" s="130">
        <f>IF(OR($C14="",$B$2="",$D$2=0),0,IF(BK$3&lt;0,0,N(INDEX('CURVA PREVISION'!$A$1:$KZ$3000,$C14,10+3*MIN(BK$3,$D$2-1)))))</f>
        <v/>
      </c>
      <c r="BL14" s="130">
        <f>IF(OR($C14="",$B$2="",$D$2=0),0,IF(BL$3&lt;0,0,N(INDEX('CURVA PREVISION'!$A$1:$KZ$3000,$C14,10+3*MIN(BL$3,$D$2-1)))))</f>
        <v/>
      </c>
      <c r="BM14" s="130">
        <f>IF(OR($C14="",$B$2="",$D$2=0),0,IF(BM$3&lt;0,0,N(INDEX('CURVA PREVISION'!$A$1:$KZ$3000,$C14,10+3*MIN(BM$3,$D$2-1)))))</f>
        <v/>
      </c>
      <c r="BN14" s="130">
        <f>IF(OR($C14="",$B$2="",$D$2=0),0,IF(BN$3&lt;0,0,N(INDEX('CURVA PREVISION'!$A$1:$KZ$3000,$C14,10+3*MIN(BN$3,$D$2-1)))))</f>
        <v/>
      </c>
      <c r="BO14" s="130">
        <f>IF(OR($C14="",$B$2="",$D$2=0),0,IF(BO$3&lt;0,0,N(INDEX('CURVA PREVISION'!$A$1:$KZ$3000,$C14,10+3*MIN(BO$3,$D$2-1)))))</f>
        <v/>
      </c>
      <c r="BP14" s="130">
        <f>IF(OR($C14="",$B$2="",$D$2=0),0,IF(BP$3&lt;0,0,N(INDEX('CURVA PREVISION'!$A$1:$KZ$3000,$C14,10+3*MIN(BP$3,$D$2-1)))))</f>
        <v/>
      </c>
      <c r="BQ14" s="130">
        <f>IF(OR($C14="",$B$2="",$D$2=0),0,IF(BQ$3&lt;0,0,N(INDEX('CURVA PREVISION'!$A$1:$KZ$3000,$C14,10+3*MIN(BQ$3,$D$2-1)))))</f>
        <v/>
      </c>
      <c r="BR14" s="130">
        <f>IF(OR($C14="",$B$2="",$D$2=0),0,IF(BR$3&lt;0,0,N(INDEX('CURVA PREVISION'!$A$1:$KZ$3000,$C14,10+3*MIN(BR$3,$D$2-1)))))</f>
        <v/>
      </c>
      <c r="BS14" s="130">
        <f>IF(OR($C14="",$B$2="",$D$2=0),0,IF(BS$3&lt;0,0,N(INDEX('CURVA PREVISION'!$A$1:$KZ$3000,$C14,10+3*MIN(BS$3,$D$2-1)))))</f>
        <v/>
      </c>
      <c r="BT14" s="130">
        <f>IF(OR($C14="",$B$2="",$D$2=0),0,IF(BT$3&lt;0,0,N(INDEX('CURVA PREVISION'!$A$1:$KZ$3000,$C14,10+3*MIN(BT$3,$D$2-1)))))</f>
        <v/>
      </c>
      <c r="BU14" s="130">
        <f>IF(OR($C14="",$B$2="",$D$2=0),0,IF(BU$3&lt;0,0,N(INDEX('CURVA PREVISION'!$A$1:$KZ$3000,$C14,10+3*MIN(BU$3,$D$2-1)))))</f>
        <v/>
      </c>
      <c r="BV14" s="130">
        <f>IF(OR($C14="",$B$2="",$D$2=0),0,IF(BV$3&lt;0,0,N(INDEX('CURVA PREVISION'!$A$1:$KZ$3000,$C14,10+3*MIN(BV$3,$D$2-1)))))</f>
        <v/>
      </c>
      <c r="BW14" s="130">
        <f>IF(OR($C14="",$B$2="",$D$2=0),0,IF(BW$3&lt;0,0,N(INDEX('CURVA PREVISION'!$A$1:$KZ$3000,$C14,10+3*MIN(BW$3,$D$2-1)))))</f>
        <v/>
      </c>
    </row>
    <row r="15">
      <c r="A15" s="61">
        <f>IF('VALOR POR PL'!R21&lt;&gt;"",'VALOR POR PL'!R21,IF('VALOR POR PL'!Q21="",'VALOR POR PL'!C21,'VALOR POR PL'!Q21))</f>
        <v/>
      </c>
      <c r="B15" s="61">
        <f>'VALOR POR PL'!D21</f>
        <v/>
      </c>
      <c r="C15" s="70">
        <f>IFERROR(MATCH(A15,'CURVA PREVISION'!$B$1:$B$3000,0),"")</f>
        <v/>
      </c>
      <c r="D15" s="130">
        <f>IF(OR($C15="",$B$2="",$D$2=0),0,IF(D$3&lt;0,0,N(INDEX('CURVA PREVISION'!$A$1:$KZ$3000,$C15,10+3*MIN(D$3,$D$2-1)))))</f>
        <v/>
      </c>
      <c r="E15" s="130">
        <f>IF(OR($C15="",$B$2="",$D$2=0),0,IF(E$3&lt;0,0,N(INDEX('CURVA PREVISION'!$A$1:$KZ$3000,$C15,10+3*MIN(E$3,$D$2-1)))))</f>
        <v/>
      </c>
      <c r="F15" s="130">
        <f>IF(OR($C15="",$B$2="",$D$2=0),0,IF(F$3&lt;0,0,N(INDEX('CURVA PREVISION'!$A$1:$KZ$3000,$C15,10+3*MIN(F$3,$D$2-1)))))</f>
        <v/>
      </c>
      <c r="G15" s="130">
        <f>IF(OR($C15="",$B$2="",$D$2=0),0,IF(G$3&lt;0,0,N(INDEX('CURVA PREVISION'!$A$1:$KZ$3000,$C15,10+3*MIN(G$3,$D$2-1)))))</f>
        <v/>
      </c>
      <c r="H15" s="130">
        <f>IF(OR($C15="",$B$2="",$D$2=0),0,IF(H$3&lt;0,0,N(INDEX('CURVA PREVISION'!$A$1:$KZ$3000,$C15,10+3*MIN(H$3,$D$2-1)))))</f>
        <v/>
      </c>
      <c r="I15" s="130">
        <f>IF(OR($C15="",$B$2="",$D$2=0),0,IF(I$3&lt;0,0,N(INDEX('CURVA PREVISION'!$A$1:$KZ$3000,$C15,10+3*MIN(I$3,$D$2-1)))))</f>
        <v/>
      </c>
      <c r="J15" s="130">
        <f>IF(OR($C15="",$B$2="",$D$2=0),0,IF(J$3&lt;0,0,N(INDEX('CURVA PREVISION'!$A$1:$KZ$3000,$C15,10+3*MIN(J$3,$D$2-1)))))</f>
        <v/>
      </c>
      <c r="K15" s="130">
        <f>IF(OR($C15="",$B$2="",$D$2=0),0,IF(K$3&lt;0,0,N(INDEX('CURVA PREVISION'!$A$1:$KZ$3000,$C15,10+3*MIN(K$3,$D$2-1)))))</f>
        <v/>
      </c>
      <c r="L15" s="130">
        <f>IF(OR($C15="",$B$2="",$D$2=0),0,IF(L$3&lt;0,0,N(INDEX('CURVA PREVISION'!$A$1:$KZ$3000,$C15,10+3*MIN(L$3,$D$2-1)))))</f>
        <v/>
      </c>
      <c r="M15" s="130">
        <f>IF(OR($C15="",$B$2="",$D$2=0),0,IF(M$3&lt;0,0,N(INDEX('CURVA PREVISION'!$A$1:$KZ$3000,$C15,10+3*MIN(M$3,$D$2-1)))))</f>
        <v/>
      </c>
      <c r="N15" s="130">
        <f>IF(OR($C15="",$B$2="",$D$2=0),0,IF(N$3&lt;0,0,N(INDEX('CURVA PREVISION'!$A$1:$KZ$3000,$C15,10+3*MIN(N$3,$D$2-1)))))</f>
        <v/>
      </c>
      <c r="O15" s="130">
        <f>IF(OR($C15="",$B$2="",$D$2=0),0,IF(O$3&lt;0,0,N(INDEX('CURVA PREVISION'!$A$1:$KZ$3000,$C15,10+3*MIN(O$3,$D$2-1)))))</f>
        <v/>
      </c>
      <c r="P15" s="130">
        <f>IF(OR($C15="",$B$2="",$D$2=0),0,IF(P$3&lt;0,0,N(INDEX('CURVA PREVISION'!$A$1:$KZ$3000,$C15,10+3*MIN(P$3,$D$2-1)))))</f>
        <v/>
      </c>
      <c r="Q15" s="130">
        <f>IF(OR($C15="",$B$2="",$D$2=0),0,IF(Q$3&lt;0,0,N(INDEX('CURVA PREVISION'!$A$1:$KZ$3000,$C15,10+3*MIN(Q$3,$D$2-1)))))</f>
        <v/>
      </c>
      <c r="R15" s="130">
        <f>IF(OR($C15="",$B$2="",$D$2=0),0,IF(R$3&lt;0,0,N(INDEX('CURVA PREVISION'!$A$1:$KZ$3000,$C15,10+3*MIN(R$3,$D$2-1)))))</f>
        <v/>
      </c>
      <c r="S15" s="130">
        <f>IF(OR($C15="",$B$2="",$D$2=0),0,IF(S$3&lt;0,0,N(INDEX('CURVA PREVISION'!$A$1:$KZ$3000,$C15,10+3*MIN(S$3,$D$2-1)))))</f>
        <v/>
      </c>
      <c r="T15" s="130">
        <f>IF(OR($C15="",$B$2="",$D$2=0),0,IF(T$3&lt;0,0,N(INDEX('CURVA PREVISION'!$A$1:$KZ$3000,$C15,10+3*MIN(T$3,$D$2-1)))))</f>
        <v/>
      </c>
      <c r="U15" s="130">
        <f>IF(OR($C15="",$B$2="",$D$2=0),0,IF(U$3&lt;0,0,N(INDEX('CURVA PREVISION'!$A$1:$KZ$3000,$C15,10+3*MIN(U$3,$D$2-1)))))</f>
        <v/>
      </c>
      <c r="V15" s="130">
        <f>IF(OR($C15="",$B$2="",$D$2=0),0,IF(V$3&lt;0,0,N(INDEX('CURVA PREVISION'!$A$1:$KZ$3000,$C15,10+3*MIN(V$3,$D$2-1)))))</f>
        <v/>
      </c>
      <c r="W15" s="130">
        <f>IF(OR($C15="",$B$2="",$D$2=0),0,IF(W$3&lt;0,0,N(INDEX('CURVA PREVISION'!$A$1:$KZ$3000,$C15,10+3*MIN(W$3,$D$2-1)))))</f>
        <v/>
      </c>
      <c r="X15" s="130">
        <f>IF(OR($C15="",$B$2="",$D$2=0),0,IF(X$3&lt;0,0,N(INDEX('CURVA PREVISION'!$A$1:$KZ$3000,$C15,10+3*MIN(X$3,$D$2-1)))))</f>
        <v/>
      </c>
      <c r="Y15" s="130">
        <f>IF(OR($C15="",$B$2="",$D$2=0),0,IF(Y$3&lt;0,0,N(INDEX('CURVA PREVISION'!$A$1:$KZ$3000,$C15,10+3*MIN(Y$3,$D$2-1)))))</f>
        <v/>
      </c>
      <c r="Z15" s="130">
        <f>IF(OR($C15="",$B$2="",$D$2=0),0,IF(Z$3&lt;0,0,N(INDEX('CURVA PREVISION'!$A$1:$KZ$3000,$C15,10+3*MIN(Z$3,$D$2-1)))))</f>
        <v/>
      </c>
      <c r="AA15" s="130">
        <f>IF(OR($C15="",$B$2="",$D$2=0),0,IF(AA$3&lt;0,0,N(INDEX('CURVA PREVISION'!$A$1:$KZ$3000,$C15,10+3*MIN(AA$3,$D$2-1)))))</f>
        <v/>
      </c>
      <c r="AB15" s="130">
        <f>IF(OR($C15="",$B$2="",$D$2=0),0,IF(AB$3&lt;0,0,N(INDEX('CURVA PREVISION'!$A$1:$KZ$3000,$C15,10+3*MIN(AB$3,$D$2-1)))))</f>
        <v/>
      </c>
      <c r="AC15" s="130">
        <f>IF(OR($C15="",$B$2="",$D$2=0),0,IF(AC$3&lt;0,0,N(INDEX('CURVA PREVISION'!$A$1:$KZ$3000,$C15,10+3*MIN(AC$3,$D$2-1)))))</f>
        <v/>
      </c>
      <c r="AD15" s="130">
        <f>IF(OR($C15="",$B$2="",$D$2=0),0,IF(AD$3&lt;0,0,N(INDEX('CURVA PREVISION'!$A$1:$KZ$3000,$C15,10+3*MIN(AD$3,$D$2-1)))))</f>
        <v/>
      </c>
      <c r="AE15" s="130">
        <f>IF(OR($C15="",$B$2="",$D$2=0),0,IF(AE$3&lt;0,0,N(INDEX('CURVA PREVISION'!$A$1:$KZ$3000,$C15,10+3*MIN(AE$3,$D$2-1)))))</f>
        <v/>
      </c>
      <c r="AF15" s="130">
        <f>IF(OR($C15="",$B$2="",$D$2=0),0,IF(AF$3&lt;0,0,N(INDEX('CURVA PREVISION'!$A$1:$KZ$3000,$C15,10+3*MIN(AF$3,$D$2-1)))))</f>
        <v/>
      </c>
      <c r="AG15" s="130">
        <f>IF(OR($C15="",$B$2="",$D$2=0),0,IF(AG$3&lt;0,0,N(INDEX('CURVA PREVISION'!$A$1:$KZ$3000,$C15,10+3*MIN(AG$3,$D$2-1)))))</f>
        <v/>
      </c>
      <c r="AH15" s="130">
        <f>IF(OR($C15="",$B$2="",$D$2=0),0,IF(AH$3&lt;0,0,N(INDEX('CURVA PREVISION'!$A$1:$KZ$3000,$C15,10+3*MIN(AH$3,$D$2-1)))))</f>
        <v/>
      </c>
      <c r="AI15" s="130">
        <f>IF(OR($C15="",$B$2="",$D$2=0),0,IF(AI$3&lt;0,0,N(INDEX('CURVA PREVISION'!$A$1:$KZ$3000,$C15,10+3*MIN(AI$3,$D$2-1)))))</f>
        <v/>
      </c>
      <c r="AJ15" s="130">
        <f>IF(OR($C15="",$B$2="",$D$2=0),0,IF(AJ$3&lt;0,0,N(INDEX('CURVA PREVISION'!$A$1:$KZ$3000,$C15,10+3*MIN(AJ$3,$D$2-1)))))</f>
        <v/>
      </c>
      <c r="AK15" s="130">
        <f>IF(OR($C15="",$B$2="",$D$2=0),0,IF(AK$3&lt;0,0,N(INDEX('CURVA PREVISION'!$A$1:$KZ$3000,$C15,10+3*MIN(AK$3,$D$2-1)))))</f>
        <v/>
      </c>
      <c r="AL15" s="130">
        <f>IF(OR($C15="",$B$2="",$D$2=0),0,IF(AL$3&lt;0,0,N(INDEX('CURVA PREVISION'!$A$1:$KZ$3000,$C15,10+3*MIN(AL$3,$D$2-1)))))</f>
        <v/>
      </c>
      <c r="AM15" s="130">
        <f>IF(OR($C15="",$B$2="",$D$2=0),0,IF(AM$3&lt;0,0,N(INDEX('CURVA PREVISION'!$A$1:$KZ$3000,$C15,10+3*MIN(AM$3,$D$2-1)))))</f>
        <v/>
      </c>
      <c r="AN15" s="130">
        <f>IF(OR($C15="",$B$2="",$D$2=0),0,IF(AN$3&lt;0,0,N(INDEX('CURVA PREVISION'!$A$1:$KZ$3000,$C15,10+3*MIN(AN$3,$D$2-1)))))</f>
        <v/>
      </c>
      <c r="AO15" s="130">
        <f>IF(OR($C15="",$B$2="",$D$2=0),0,IF(AO$3&lt;0,0,N(INDEX('CURVA PREVISION'!$A$1:$KZ$3000,$C15,10+3*MIN(AO$3,$D$2-1)))))</f>
        <v/>
      </c>
      <c r="AP15" s="130">
        <f>IF(OR($C15="",$B$2="",$D$2=0),0,IF(AP$3&lt;0,0,N(INDEX('CURVA PREVISION'!$A$1:$KZ$3000,$C15,10+3*MIN(AP$3,$D$2-1)))))</f>
        <v/>
      </c>
      <c r="AQ15" s="130">
        <f>IF(OR($C15="",$B$2="",$D$2=0),0,IF(AQ$3&lt;0,0,N(INDEX('CURVA PREVISION'!$A$1:$KZ$3000,$C15,10+3*MIN(AQ$3,$D$2-1)))))</f>
        <v/>
      </c>
      <c r="AR15" s="130">
        <f>IF(OR($C15="",$B$2="",$D$2=0),0,IF(AR$3&lt;0,0,N(INDEX('CURVA PREVISION'!$A$1:$KZ$3000,$C15,10+3*MIN(AR$3,$D$2-1)))))</f>
        <v/>
      </c>
      <c r="AS15" s="130">
        <f>IF(OR($C15="",$B$2="",$D$2=0),0,IF(AS$3&lt;0,0,N(INDEX('CURVA PREVISION'!$A$1:$KZ$3000,$C15,10+3*MIN(AS$3,$D$2-1)))))</f>
        <v/>
      </c>
      <c r="AT15" s="130">
        <f>IF(OR($C15="",$B$2="",$D$2=0),0,IF(AT$3&lt;0,0,N(INDEX('CURVA PREVISION'!$A$1:$KZ$3000,$C15,10+3*MIN(AT$3,$D$2-1)))))</f>
        <v/>
      </c>
      <c r="AU15" s="130">
        <f>IF(OR($C15="",$B$2="",$D$2=0),0,IF(AU$3&lt;0,0,N(INDEX('CURVA PREVISION'!$A$1:$KZ$3000,$C15,10+3*MIN(AU$3,$D$2-1)))))</f>
        <v/>
      </c>
      <c r="AV15" s="130">
        <f>IF(OR($C15="",$B$2="",$D$2=0),0,IF(AV$3&lt;0,0,N(INDEX('CURVA PREVISION'!$A$1:$KZ$3000,$C15,10+3*MIN(AV$3,$D$2-1)))))</f>
        <v/>
      </c>
      <c r="AW15" s="130">
        <f>IF(OR($C15="",$B$2="",$D$2=0),0,IF(AW$3&lt;0,0,N(INDEX('CURVA PREVISION'!$A$1:$KZ$3000,$C15,10+3*MIN(AW$3,$D$2-1)))))</f>
        <v/>
      </c>
      <c r="AX15" s="130">
        <f>IF(OR($C15="",$B$2="",$D$2=0),0,IF(AX$3&lt;0,0,N(INDEX('CURVA PREVISION'!$A$1:$KZ$3000,$C15,10+3*MIN(AX$3,$D$2-1)))))</f>
        <v/>
      </c>
      <c r="AY15" s="130">
        <f>IF(OR($C15="",$B$2="",$D$2=0),0,IF(AY$3&lt;0,0,N(INDEX('CURVA PREVISION'!$A$1:$KZ$3000,$C15,10+3*MIN(AY$3,$D$2-1)))))</f>
        <v/>
      </c>
      <c r="AZ15" s="130">
        <f>IF(OR($C15="",$B$2="",$D$2=0),0,IF(AZ$3&lt;0,0,N(INDEX('CURVA PREVISION'!$A$1:$KZ$3000,$C15,10+3*MIN(AZ$3,$D$2-1)))))</f>
        <v/>
      </c>
      <c r="BA15" s="130">
        <f>IF(OR($C15="",$B$2="",$D$2=0),0,IF(BA$3&lt;0,0,N(INDEX('CURVA PREVISION'!$A$1:$KZ$3000,$C15,10+3*MIN(BA$3,$D$2-1)))))</f>
        <v/>
      </c>
      <c r="BB15" s="130">
        <f>IF(OR($C15="",$B$2="",$D$2=0),0,IF(BB$3&lt;0,0,N(INDEX('CURVA PREVISION'!$A$1:$KZ$3000,$C15,10+3*MIN(BB$3,$D$2-1)))))</f>
        <v/>
      </c>
      <c r="BC15" s="130">
        <f>IF(OR($C15="",$B$2="",$D$2=0),0,IF(BC$3&lt;0,0,N(INDEX('CURVA PREVISION'!$A$1:$KZ$3000,$C15,10+3*MIN(BC$3,$D$2-1)))))</f>
        <v/>
      </c>
      <c r="BD15" s="130">
        <f>IF(OR($C15="",$B$2="",$D$2=0),0,IF(BD$3&lt;0,0,N(INDEX('CURVA PREVISION'!$A$1:$KZ$3000,$C15,10+3*MIN(BD$3,$D$2-1)))))</f>
        <v/>
      </c>
      <c r="BE15" s="130">
        <f>IF(OR($C15="",$B$2="",$D$2=0),0,IF(BE$3&lt;0,0,N(INDEX('CURVA PREVISION'!$A$1:$KZ$3000,$C15,10+3*MIN(BE$3,$D$2-1)))))</f>
        <v/>
      </c>
      <c r="BF15" s="130">
        <f>IF(OR($C15="",$B$2="",$D$2=0),0,IF(BF$3&lt;0,0,N(INDEX('CURVA PREVISION'!$A$1:$KZ$3000,$C15,10+3*MIN(BF$3,$D$2-1)))))</f>
        <v/>
      </c>
      <c r="BG15" s="130">
        <f>IF(OR($C15="",$B$2="",$D$2=0),0,IF(BG$3&lt;0,0,N(INDEX('CURVA PREVISION'!$A$1:$KZ$3000,$C15,10+3*MIN(BG$3,$D$2-1)))))</f>
        <v/>
      </c>
      <c r="BH15" s="130">
        <f>IF(OR($C15="",$B$2="",$D$2=0),0,IF(BH$3&lt;0,0,N(INDEX('CURVA PREVISION'!$A$1:$KZ$3000,$C15,10+3*MIN(BH$3,$D$2-1)))))</f>
        <v/>
      </c>
      <c r="BI15" s="130">
        <f>IF(OR($C15="",$B$2="",$D$2=0),0,IF(BI$3&lt;0,0,N(INDEX('CURVA PREVISION'!$A$1:$KZ$3000,$C15,10+3*MIN(BI$3,$D$2-1)))))</f>
        <v/>
      </c>
      <c r="BJ15" s="130">
        <f>IF(OR($C15="",$B$2="",$D$2=0),0,IF(BJ$3&lt;0,0,N(INDEX('CURVA PREVISION'!$A$1:$KZ$3000,$C15,10+3*MIN(BJ$3,$D$2-1)))))</f>
        <v/>
      </c>
      <c r="BK15" s="130">
        <f>IF(OR($C15="",$B$2="",$D$2=0),0,IF(BK$3&lt;0,0,N(INDEX('CURVA PREVISION'!$A$1:$KZ$3000,$C15,10+3*MIN(BK$3,$D$2-1)))))</f>
        <v/>
      </c>
      <c r="BL15" s="130">
        <f>IF(OR($C15="",$B$2="",$D$2=0),0,IF(BL$3&lt;0,0,N(INDEX('CURVA PREVISION'!$A$1:$KZ$3000,$C15,10+3*MIN(BL$3,$D$2-1)))))</f>
        <v/>
      </c>
      <c r="BM15" s="130">
        <f>IF(OR($C15="",$B$2="",$D$2=0),0,IF(BM$3&lt;0,0,N(INDEX('CURVA PREVISION'!$A$1:$KZ$3000,$C15,10+3*MIN(BM$3,$D$2-1)))))</f>
        <v/>
      </c>
      <c r="BN15" s="130">
        <f>IF(OR($C15="",$B$2="",$D$2=0),0,IF(BN$3&lt;0,0,N(INDEX('CURVA PREVISION'!$A$1:$KZ$3000,$C15,10+3*MIN(BN$3,$D$2-1)))))</f>
        <v/>
      </c>
      <c r="BO15" s="130">
        <f>IF(OR($C15="",$B$2="",$D$2=0),0,IF(BO$3&lt;0,0,N(INDEX('CURVA PREVISION'!$A$1:$KZ$3000,$C15,10+3*MIN(BO$3,$D$2-1)))))</f>
        <v/>
      </c>
      <c r="BP15" s="130">
        <f>IF(OR($C15="",$B$2="",$D$2=0),0,IF(BP$3&lt;0,0,N(INDEX('CURVA PREVISION'!$A$1:$KZ$3000,$C15,10+3*MIN(BP$3,$D$2-1)))))</f>
        <v/>
      </c>
      <c r="BQ15" s="130">
        <f>IF(OR($C15="",$B$2="",$D$2=0),0,IF(BQ$3&lt;0,0,N(INDEX('CURVA PREVISION'!$A$1:$KZ$3000,$C15,10+3*MIN(BQ$3,$D$2-1)))))</f>
        <v/>
      </c>
      <c r="BR15" s="130">
        <f>IF(OR($C15="",$B$2="",$D$2=0),0,IF(BR$3&lt;0,0,N(INDEX('CURVA PREVISION'!$A$1:$KZ$3000,$C15,10+3*MIN(BR$3,$D$2-1)))))</f>
        <v/>
      </c>
      <c r="BS15" s="130">
        <f>IF(OR($C15="",$B$2="",$D$2=0),0,IF(BS$3&lt;0,0,N(INDEX('CURVA PREVISION'!$A$1:$KZ$3000,$C15,10+3*MIN(BS$3,$D$2-1)))))</f>
        <v/>
      </c>
      <c r="BT15" s="130">
        <f>IF(OR($C15="",$B$2="",$D$2=0),0,IF(BT$3&lt;0,0,N(INDEX('CURVA PREVISION'!$A$1:$KZ$3000,$C15,10+3*MIN(BT$3,$D$2-1)))))</f>
        <v/>
      </c>
      <c r="BU15" s="130">
        <f>IF(OR($C15="",$B$2="",$D$2=0),0,IF(BU$3&lt;0,0,N(INDEX('CURVA PREVISION'!$A$1:$KZ$3000,$C15,10+3*MIN(BU$3,$D$2-1)))))</f>
        <v/>
      </c>
      <c r="BV15" s="130">
        <f>IF(OR($C15="",$B$2="",$D$2=0),0,IF(BV$3&lt;0,0,N(INDEX('CURVA PREVISION'!$A$1:$KZ$3000,$C15,10+3*MIN(BV$3,$D$2-1)))))</f>
        <v/>
      </c>
      <c r="BW15" s="130">
        <f>IF(OR($C15="",$B$2="",$D$2=0),0,IF(BW$3&lt;0,0,N(INDEX('CURVA PREVISION'!$A$1:$KZ$3000,$C15,10+3*MIN(BW$3,$D$2-1)))))</f>
        <v/>
      </c>
    </row>
    <row r="16">
      <c r="A16" s="61">
        <f>IF('VALOR POR PL'!R22&lt;&gt;"",'VALOR POR PL'!R22,IF('VALOR POR PL'!Q22="",'VALOR POR PL'!C22,'VALOR POR PL'!Q22))</f>
        <v/>
      </c>
      <c r="B16" s="61">
        <f>'VALOR POR PL'!D22</f>
        <v/>
      </c>
      <c r="C16" s="70">
        <f>IFERROR(MATCH(A16,'CURVA PREVISION'!$B$1:$B$3000,0),"")</f>
        <v/>
      </c>
      <c r="D16" s="130">
        <f>IF(OR($C16="",$B$2="",$D$2=0),0,IF(D$3&lt;0,0,N(INDEX('CURVA PREVISION'!$A$1:$KZ$3000,$C16,10+3*MIN(D$3,$D$2-1)))))</f>
        <v/>
      </c>
      <c r="E16" s="130">
        <f>IF(OR($C16="",$B$2="",$D$2=0),0,IF(E$3&lt;0,0,N(INDEX('CURVA PREVISION'!$A$1:$KZ$3000,$C16,10+3*MIN(E$3,$D$2-1)))))</f>
        <v/>
      </c>
      <c r="F16" s="130">
        <f>IF(OR($C16="",$B$2="",$D$2=0),0,IF(F$3&lt;0,0,N(INDEX('CURVA PREVISION'!$A$1:$KZ$3000,$C16,10+3*MIN(F$3,$D$2-1)))))</f>
        <v/>
      </c>
      <c r="G16" s="130">
        <f>IF(OR($C16="",$B$2="",$D$2=0),0,IF(G$3&lt;0,0,N(INDEX('CURVA PREVISION'!$A$1:$KZ$3000,$C16,10+3*MIN(G$3,$D$2-1)))))</f>
        <v/>
      </c>
      <c r="H16" s="130">
        <f>IF(OR($C16="",$B$2="",$D$2=0),0,IF(H$3&lt;0,0,N(INDEX('CURVA PREVISION'!$A$1:$KZ$3000,$C16,10+3*MIN(H$3,$D$2-1)))))</f>
        <v/>
      </c>
      <c r="I16" s="130">
        <f>IF(OR($C16="",$B$2="",$D$2=0),0,IF(I$3&lt;0,0,N(INDEX('CURVA PREVISION'!$A$1:$KZ$3000,$C16,10+3*MIN(I$3,$D$2-1)))))</f>
        <v/>
      </c>
      <c r="J16" s="130">
        <f>IF(OR($C16="",$B$2="",$D$2=0),0,IF(J$3&lt;0,0,N(INDEX('CURVA PREVISION'!$A$1:$KZ$3000,$C16,10+3*MIN(J$3,$D$2-1)))))</f>
        <v/>
      </c>
      <c r="K16" s="130">
        <f>IF(OR($C16="",$B$2="",$D$2=0),0,IF(K$3&lt;0,0,N(INDEX('CURVA PREVISION'!$A$1:$KZ$3000,$C16,10+3*MIN(K$3,$D$2-1)))))</f>
        <v/>
      </c>
      <c r="L16" s="130">
        <f>IF(OR($C16="",$B$2="",$D$2=0),0,IF(L$3&lt;0,0,N(INDEX('CURVA PREVISION'!$A$1:$KZ$3000,$C16,10+3*MIN(L$3,$D$2-1)))))</f>
        <v/>
      </c>
      <c r="M16" s="130">
        <f>IF(OR($C16="",$B$2="",$D$2=0),0,IF(M$3&lt;0,0,N(INDEX('CURVA PREVISION'!$A$1:$KZ$3000,$C16,10+3*MIN(M$3,$D$2-1)))))</f>
        <v/>
      </c>
      <c r="N16" s="130">
        <f>IF(OR($C16="",$B$2="",$D$2=0),0,IF(N$3&lt;0,0,N(INDEX('CURVA PREVISION'!$A$1:$KZ$3000,$C16,10+3*MIN(N$3,$D$2-1)))))</f>
        <v/>
      </c>
      <c r="O16" s="130">
        <f>IF(OR($C16="",$B$2="",$D$2=0),0,IF(O$3&lt;0,0,N(INDEX('CURVA PREVISION'!$A$1:$KZ$3000,$C16,10+3*MIN(O$3,$D$2-1)))))</f>
        <v/>
      </c>
      <c r="P16" s="130">
        <f>IF(OR($C16="",$B$2="",$D$2=0),0,IF(P$3&lt;0,0,N(INDEX('CURVA PREVISION'!$A$1:$KZ$3000,$C16,10+3*MIN(P$3,$D$2-1)))))</f>
        <v/>
      </c>
      <c r="Q16" s="130">
        <f>IF(OR($C16="",$B$2="",$D$2=0),0,IF(Q$3&lt;0,0,N(INDEX('CURVA PREVISION'!$A$1:$KZ$3000,$C16,10+3*MIN(Q$3,$D$2-1)))))</f>
        <v/>
      </c>
      <c r="R16" s="130">
        <f>IF(OR($C16="",$B$2="",$D$2=0),0,IF(R$3&lt;0,0,N(INDEX('CURVA PREVISION'!$A$1:$KZ$3000,$C16,10+3*MIN(R$3,$D$2-1)))))</f>
        <v/>
      </c>
      <c r="S16" s="130">
        <f>IF(OR($C16="",$B$2="",$D$2=0),0,IF(S$3&lt;0,0,N(INDEX('CURVA PREVISION'!$A$1:$KZ$3000,$C16,10+3*MIN(S$3,$D$2-1)))))</f>
        <v/>
      </c>
      <c r="T16" s="130">
        <f>IF(OR($C16="",$B$2="",$D$2=0),0,IF(T$3&lt;0,0,N(INDEX('CURVA PREVISION'!$A$1:$KZ$3000,$C16,10+3*MIN(T$3,$D$2-1)))))</f>
        <v/>
      </c>
      <c r="U16" s="130">
        <f>IF(OR($C16="",$B$2="",$D$2=0),0,IF(U$3&lt;0,0,N(INDEX('CURVA PREVISION'!$A$1:$KZ$3000,$C16,10+3*MIN(U$3,$D$2-1)))))</f>
        <v/>
      </c>
      <c r="V16" s="130">
        <f>IF(OR($C16="",$B$2="",$D$2=0),0,IF(V$3&lt;0,0,N(INDEX('CURVA PREVISION'!$A$1:$KZ$3000,$C16,10+3*MIN(V$3,$D$2-1)))))</f>
        <v/>
      </c>
      <c r="W16" s="130">
        <f>IF(OR($C16="",$B$2="",$D$2=0),0,IF(W$3&lt;0,0,N(INDEX('CURVA PREVISION'!$A$1:$KZ$3000,$C16,10+3*MIN(W$3,$D$2-1)))))</f>
        <v/>
      </c>
      <c r="X16" s="130">
        <f>IF(OR($C16="",$B$2="",$D$2=0),0,IF(X$3&lt;0,0,N(INDEX('CURVA PREVISION'!$A$1:$KZ$3000,$C16,10+3*MIN(X$3,$D$2-1)))))</f>
        <v/>
      </c>
      <c r="Y16" s="130">
        <f>IF(OR($C16="",$B$2="",$D$2=0),0,IF(Y$3&lt;0,0,N(INDEX('CURVA PREVISION'!$A$1:$KZ$3000,$C16,10+3*MIN(Y$3,$D$2-1)))))</f>
        <v/>
      </c>
      <c r="Z16" s="130">
        <f>IF(OR($C16="",$B$2="",$D$2=0),0,IF(Z$3&lt;0,0,N(INDEX('CURVA PREVISION'!$A$1:$KZ$3000,$C16,10+3*MIN(Z$3,$D$2-1)))))</f>
        <v/>
      </c>
      <c r="AA16" s="130">
        <f>IF(OR($C16="",$B$2="",$D$2=0),0,IF(AA$3&lt;0,0,N(INDEX('CURVA PREVISION'!$A$1:$KZ$3000,$C16,10+3*MIN(AA$3,$D$2-1)))))</f>
        <v/>
      </c>
      <c r="AB16" s="130">
        <f>IF(OR($C16="",$B$2="",$D$2=0),0,IF(AB$3&lt;0,0,N(INDEX('CURVA PREVISION'!$A$1:$KZ$3000,$C16,10+3*MIN(AB$3,$D$2-1)))))</f>
        <v/>
      </c>
      <c r="AC16" s="130">
        <f>IF(OR($C16="",$B$2="",$D$2=0),0,IF(AC$3&lt;0,0,N(INDEX('CURVA PREVISION'!$A$1:$KZ$3000,$C16,10+3*MIN(AC$3,$D$2-1)))))</f>
        <v/>
      </c>
      <c r="AD16" s="130">
        <f>IF(OR($C16="",$B$2="",$D$2=0),0,IF(AD$3&lt;0,0,N(INDEX('CURVA PREVISION'!$A$1:$KZ$3000,$C16,10+3*MIN(AD$3,$D$2-1)))))</f>
        <v/>
      </c>
      <c r="AE16" s="130">
        <f>IF(OR($C16="",$B$2="",$D$2=0),0,IF(AE$3&lt;0,0,N(INDEX('CURVA PREVISION'!$A$1:$KZ$3000,$C16,10+3*MIN(AE$3,$D$2-1)))))</f>
        <v/>
      </c>
      <c r="AF16" s="130">
        <f>IF(OR($C16="",$B$2="",$D$2=0),0,IF(AF$3&lt;0,0,N(INDEX('CURVA PREVISION'!$A$1:$KZ$3000,$C16,10+3*MIN(AF$3,$D$2-1)))))</f>
        <v/>
      </c>
      <c r="AG16" s="130">
        <f>IF(OR($C16="",$B$2="",$D$2=0),0,IF(AG$3&lt;0,0,N(INDEX('CURVA PREVISION'!$A$1:$KZ$3000,$C16,10+3*MIN(AG$3,$D$2-1)))))</f>
        <v/>
      </c>
      <c r="AH16" s="130">
        <f>IF(OR($C16="",$B$2="",$D$2=0),0,IF(AH$3&lt;0,0,N(INDEX('CURVA PREVISION'!$A$1:$KZ$3000,$C16,10+3*MIN(AH$3,$D$2-1)))))</f>
        <v/>
      </c>
      <c r="AI16" s="130">
        <f>IF(OR($C16="",$B$2="",$D$2=0),0,IF(AI$3&lt;0,0,N(INDEX('CURVA PREVISION'!$A$1:$KZ$3000,$C16,10+3*MIN(AI$3,$D$2-1)))))</f>
        <v/>
      </c>
      <c r="AJ16" s="130">
        <f>IF(OR($C16="",$B$2="",$D$2=0),0,IF(AJ$3&lt;0,0,N(INDEX('CURVA PREVISION'!$A$1:$KZ$3000,$C16,10+3*MIN(AJ$3,$D$2-1)))))</f>
        <v/>
      </c>
      <c r="AK16" s="130">
        <f>IF(OR($C16="",$B$2="",$D$2=0),0,IF(AK$3&lt;0,0,N(INDEX('CURVA PREVISION'!$A$1:$KZ$3000,$C16,10+3*MIN(AK$3,$D$2-1)))))</f>
        <v/>
      </c>
      <c r="AL16" s="130">
        <f>IF(OR($C16="",$B$2="",$D$2=0),0,IF(AL$3&lt;0,0,N(INDEX('CURVA PREVISION'!$A$1:$KZ$3000,$C16,10+3*MIN(AL$3,$D$2-1)))))</f>
        <v/>
      </c>
      <c r="AM16" s="130">
        <f>IF(OR($C16="",$B$2="",$D$2=0),0,IF(AM$3&lt;0,0,N(INDEX('CURVA PREVISION'!$A$1:$KZ$3000,$C16,10+3*MIN(AM$3,$D$2-1)))))</f>
        <v/>
      </c>
      <c r="AN16" s="130">
        <f>IF(OR($C16="",$B$2="",$D$2=0),0,IF(AN$3&lt;0,0,N(INDEX('CURVA PREVISION'!$A$1:$KZ$3000,$C16,10+3*MIN(AN$3,$D$2-1)))))</f>
        <v/>
      </c>
      <c r="AO16" s="130">
        <f>IF(OR($C16="",$B$2="",$D$2=0),0,IF(AO$3&lt;0,0,N(INDEX('CURVA PREVISION'!$A$1:$KZ$3000,$C16,10+3*MIN(AO$3,$D$2-1)))))</f>
        <v/>
      </c>
      <c r="AP16" s="130">
        <f>IF(OR($C16="",$B$2="",$D$2=0),0,IF(AP$3&lt;0,0,N(INDEX('CURVA PREVISION'!$A$1:$KZ$3000,$C16,10+3*MIN(AP$3,$D$2-1)))))</f>
        <v/>
      </c>
      <c r="AQ16" s="130">
        <f>IF(OR($C16="",$B$2="",$D$2=0),0,IF(AQ$3&lt;0,0,N(INDEX('CURVA PREVISION'!$A$1:$KZ$3000,$C16,10+3*MIN(AQ$3,$D$2-1)))))</f>
        <v/>
      </c>
      <c r="AR16" s="130">
        <f>IF(OR($C16="",$B$2="",$D$2=0),0,IF(AR$3&lt;0,0,N(INDEX('CURVA PREVISION'!$A$1:$KZ$3000,$C16,10+3*MIN(AR$3,$D$2-1)))))</f>
        <v/>
      </c>
      <c r="AS16" s="130">
        <f>IF(OR($C16="",$B$2="",$D$2=0),0,IF(AS$3&lt;0,0,N(INDEX('CURVA PREVISION'!$A$1:$KZ$3000,$C16,10+3*MIN(AS$3,$D$2-1)))))</f>
        <v/>
      </c>
      <c r="AT16" s="130">
        <f>IF(OR($C16="",$B$2="",$D$2=0),0,IF(AT$3&lt;0,0,N(INDEX('CURVA PREVISION'!$A$1:$KZ$3000,$C16,10+3*MIN(AT$3,$D$2-1)))))</f>
        <v/>
      </c>
      <c r="AU16" s="130">
        <f>IF(OR($C16="",$B$2="",$D$2=0),0,IF(AU$3&lt;0,0,N(INDEX('CURVA PREVISION'!$A$1:$KZ$3000,$C16,10+3*MIN(AU$3,$D$2-1)))))</f>
        <v/>
      </c>
      <c r="AV16" s="130">
        <f>IF(OR($C16="",$B$2="",$D$2=0),0,IF(AV$3&lt;0,0,N(INDEX('CURVA PREVISION'!$A$1:$KZ$3000,$C16,10+3*MIN(AV$3,$D$2-1)))))</f>
        <v/>
      </c>
      <c r="AW16" s="130">
        <f>IF(OR($C16="",$B$2="",$D$2=0),0,IF(AW$3&lt;0,0,N(INDEX('CURVA PREVISION'!$A$1:$KZ$3000,$C16,10+3*MIN(AW$3,$D$2-1)))))</f>
        <v/>
      </c>
      <c r="AX16" s="130">
        <f>IF(OR($C16="",$B$2="",$D$2=0),0,IF(AX$3&lt;0,0,N(INDEX('CURVA PREVISION'!$A$1:$KZ$3000,$C16,10+3*MIN(AX$3,$D$2-1)))))</f>
        <v/>
      </c>
      <c r="AY16" s="130">
        <f>IF(OR($C16="",$B$2="",$D$2=0),0,IF(AY$3&lt;0,0,N(INDEX('CURVA PREVISION'!$A$1:$KZ$3000,$C16,10+3*MIN(AY$3,$D$2-1)))))</f>
        <v/>
      </c>
      <c r="AZ16" s="130">
        <f>IF(OR($C16="",$B$2="",$D$2=0),0,IF(AZ$3&lt;0,0,N(INDEX('CURVA PREVISION'!$A$1:$KZ$3000,$C16,10+3*MIN(AZ$3,$D$2-1)))))</f>
        <v/>
      </c>
      <c r="BA16" s="130">
        <f>IF(OR($C16="",$B$2="",$D$2=0),0,IF(BA$3&lt;0,0,N(INDEX('CURVA PREVISION'!$A$1:$KZ$3000,$C16,10+3*MIN(BA$3,$D$2-1)))))</f>
        <v/>
      </c>
      <c r="BB16" s="130">
        <f>IF(OR($C16="",$B$2="",$D$2=0),0,IF(BB$3&lt;0,0,N(INDEX('CURVA PREVISION'!$A$1:$KZ$3000,$C16,10+3*MIN(BB$3,$D$2-1)))))</f>
        <v/>
      </c>
      <c r="BC16" s="130">
        <f>IF(OR($C16="",$B$2="",$D$2=0),0,IF(BC$3&lt;0,0,N(INDEX('CURVA PREVISION'!$A$1:$KZ$3000,$C16,10+3*MIN(BC$3,$D$2-1)))))</f>
        <v/>
      </c>
      <c r="BD16" s="130">
        <f>IF(OR($C16="",$B$2="",$D$2=0),0,IF(BD$3&lt;0,0,N(INDEX('CURVA PREVISION'!$A$1:$KZ$3000,$C16,10+3*MIN(BD$3,$D$2-1)))))</f>
        <v/>
      </c>
      <c r="BE16" s="130">
        <f>IF(OR($C16="",$B$2="",$D$2=0),0,IF(BE$3&lt;0,0,N(INDEX('CURVA PREVISION'!$A$1:$KZ$3000,$C16,10+3*MIN(BE$3,$D$2-1)))))</f>
        <v/>
      </c>
      <c r="BF16" s="130">
        <f>IF(OR($C16="",$B$2="",$D$2=0),0,IF(BF$3&lt;0,0,N(INDEX('CURVA PREVISION'!$A$1:$KZ$3000,$C16,10+3*MIN(BF$3,$D$2-1)))))</f>
        <v/>
      </c>
      <c r="BG16" s="130">
        <f>IF(OR($C16="",$B$2="",$D$2=0),0,IF(BG$3&lt;0,0,N(INDEX('CURVA PREVISION'!$A$1:$KZ$3000,$C16,10+3*MIN(BG$3,$D$2-1)))))</f>
        <v/>
      </c>
      <c r="BH16" s="130">
        <f>IF(OR($C16="",$B$2="",$D$2=0),0,IF(BH$3&lt;0,0,N(INDEX('CURVA PREVISION'!$A$1:$KZ$3000,$C16,10+3*MIN(BH$3,$D$2-1)))))</f>
        <v/>
      </c>
      <c r="BI16" s="130">
        <f>IF(OR($C16="",$B$2="",$D$2=0),0,IF(BI$3&lt;0,0,N(INDEX('CURVA PREVISION'!$A$1:$KZ$3000,$C16,10+3*MIN(BI$3,$D$2-1)))))</f>
        <v/>
      </c>
      <c r="BJ16" s="130">
        <f>IF(OR($C16="",$B$2="",$D$2=0),0,IF(BJ$3&lt;0,0,N(INDEX('CURVA PREVISION'!$A$1:$KZ$3000,$C16,10+3*MIN(BJ$3,$D$2-1)))))</f>
        <v/>
      </c>
      <c r="BK16" s="130">
        <f>IF(OR($C16="",$B$2="",$D$2=0),0,IF(BK$3&lt;0,0,N(INDEX('CURVA PREVISION'!$A$1:$KZ$3000,$C16,10+3*MIN(BK$3,$D$2-1)))))</f>
        <v/>
      </c>
      <c r="BL16" s="130">
        <f>IF(OR($C16="",$B$2="",$D$2=0),0,IF(BL$3&lt;0,0,N(INDEX('CURVA PREVISION'!$A$1:$KZ$3000,$C16,10+3*MIN(BL$3,$D$2-1)))))</f>
        <v/>
      </c>
      <c r="BM16" s="130">
        <f>IF(OR($C16="",$B$2="",$D$2=0),0,IF(BM$3&lt;0,0,N(INDEX('CURVA PREVISION'!$A$1:$KZ$3000,$C16,10+3*MIN(BM$3,$D$2-1)))))</f>
        <v/>
      </c>
      <c r="BN16" s="130">
        <f>IF(OR($C16="",$B$2="",$D$2=0),0,IF(BN$3&lt;0,0,N(INDEX('CURVA PREVISION'!$A$1:$KZ$3000,$C16,10+3*MIN(BN$3,$D$2-1)))))</f>
        <v/>
      </c>
      <c r="BO16" s="130">
        <f>IF(OR($C16="",$B$2="",$D$2=0),0,IF(BO$3&lt;0,0,N(INDEX('CURVA PREVISION'!$A$1:$KZ$3000,$C16,10+3*MIN(BO$3,$D$2-1)))))</f>
        <v/>
      </c>
      <c r="BP16" s="130">
        <f>IF(OR($C16="",$B$2="",$D$2=0),0,IF(BP$3&lt;0,0,N(INDEX('CURVA PREVISION'!$A$1:$KZ$3000,$C16,10+3*MIN(BP$3,$D$2-1)))))</f>
        <v/>
      </c>
      <c r="BQ16" s="130">
        <f>IF(OR($C16="",$B$2="",$D$2=0),0,IF(BQ$3&lt;0,0,N(INDEX('CURVA PREVISION'!$A$1:$KZ$3000,$C16,10+3*MIN(BQ$3,$D$2-1)))))</f>
        <v/>
      </c>
      <c r="BR16" s="130">
        <f>IF(OR($C16="",$B$2="",$D$2=0),0,IF(BR$3&lt;0,0,N(INDEX('CURVA PREVISION'!$A$1:$KZ$3000,$C16,10+3*MIN(BR$3,$D$2-1)))))</f>
        <v/>
      </c>
      <c r="BS16" s="130">
        <f>IF(OR($C16="",$B$2="",$D$2=0),0,IF(BS$3&lt;0,0,N(INDEX('CURVA PREVISION'!$A$1:$KZ$3000,$C16,10+3*MIN(BS$3,$D$2-1)))))</f>
        <v/>
      </c>
      <c r="BT16" s="130">
        <f>IF(OR($C16="",$B$2="",$D$2=0),0,IF(BT$3&lt;0,0,N(INDEX('CURVA PREVISION'!$A$1:$KZ$3000,$C16,10+3*MIN(BT$3,$D$2-1)))))</f>
        <v/>
      </c>
      <c r="BU16" s="130">
        <f>IF(OR($C16="",$B$2="",$D$2=0),0,IF(BU$3&lt;0,0,N(INDEX('CURVA PREVISION'!$A$1:$KZ$3000,$C16,10+3*MIN(BU$3,$D$2-1)))))</f>
        <v/>
      </c>
      <c r="BV16" s="130">
        <f>IF(OR($C16="",$B$2="",$D$2=0),0,IF(BV$3&lt;0,0,N(INDEX('CURVA PREVISION'!$A$1:$KZ$3000,$C16,10+3*MIN(BV$3,$D$2-1)))))</f>
        <v/>
      </c>
      <c r="BW16" s="130">
        <f>IF(OR($C16="",$B$2="",$D$2=0),0,IF(BW$3&lt;0,0,N(INDEX('CURVA PREVISION'!$A$1:$KZ$3000,$C16,10+3*MIN(BW$3,$D$2-1)))))</f>
        <v/>
      </c>
    </row>
    <row r="17">
      <c r="A17" s="61">
        <f>IF('VALOR POR PL'!R23&lt;&gt;"",'VALOR POR PL'!R23,IF('VALOR POR PL'!Q23="",'VALOR POR PL'!C23,'VALOR POR PL'!Q23))</f>
        <v/>
      </c>
      <c r="B17" s="61">
        <f>'VALOR POR PL'!D23</f>
        <v/>
      </c>
      <c r="C17" s="70">
        <f>IFERROR(MATCH(A17,'CURVA PREVISION'!$B$1:$B$3000,0),"")</f>
        <v/>
      </c>
      <c r="D17" s="130">
        <f>IF(OR($C17="",$B$2="",$D$2=0),0,IF(D$3&lt;0,0,N(INDEX('CURVA PREVISION'!$A$1:$KZ$3000,$C17,10+3*MIN(D$3,$D$2-1)))))</f>
        <v/>
      </c>
      <c r="E17" s="130">
        <f>IF(OR($C17="",$B$2="",$D$2=0),0,IF(E$3&lt;0,0,N(INDEX('CURVA PREVISION'!$A$1:$KZ$3000,$C17,10+3*MIN(E$3,$D$2-1)))))</f>
        <v/>
      </c>
      <c r="F17" s="130">
        <f>IF(OR($C17="",$B$2="",$D$2=0),0,IF(F$3&lt;0,0,N(INDEX('CURVA PREVISION'!$A$1:$KZ$3000,$C17,10+3*MIN(F$3,$D$2-1)))))</f>
        <v/>
      </c>
      <c r="G17" s="130">
        <f>IF(OR($C17="",$B$2="",$D$2=0),0,IF(G$3&lt;0,0,N(INDEX('CURVA PREVISION'!$A$1:$KZ$3000,$C17,10+3*MIN(G$3,$D$2-1)))))</f>
        <v/>
      </c>
      <c r="H17" s="130">
        <f>IF(OR($C17="",$B$2="",$D$2=0),0,IF(H$3&lt;0,0,N(INDEX('CURVA PREVISION'!$A$1:$KZ$3000,$C17,10+3*MIN(H$3,$D$2-1)))))</f>
        <v/>
      </c>
      <c r="I17" s="130">
        <f>IF(OR($C17="",$B$2="",$D$2=0),0,IF(I$3&lt;0,0,N(INDEX('CURVA PREVISION'!$A$1:$KZ$3000,$C17,10+3*MIN(I$3,$D$2-1)))))</f>
        <v/>
      </c>
      <c r="J17" s="130">
        <f>IF(OR($C17="",$B$2="",$D$2=0),0,IF(J$3&lt;0,0,N(INDEX('CURVA PREVISION'!$A$1:$KZ$3000,$C17,10+3*MIN(J$3,$D$2-1)))))</f>
        <v/>
      </c>
      <c r="K17" s="130">
        <f>IF(OR($C17="",$B$2="",$D$2=0),0,IF(K$3&lt;0,0,N(INDEX('CURVA PREVISION'!$A$1:$KZ$3000,$C17,10+3*MIN(K$3,$D$2-1)))))</f>
        <v/>
      </c>
      <c r="L17" s="130">
        <f>IF(OR($C17="",$B$2="",$D$2=0),0,IF(L$3&lt;0,0,N(INDEX('CURVA PREVISION'!$A$1:$KZ$3000,$C17,10+3*MIN(L$3,$D$2-1)))))</f>
        <v/>
      </c>
      <c r="M17" s="130">
        <f>IF(OR($C17="",$B$2="",$D$2=0),0,IF(M$3&lt;0,0,N(INDEX('CURVA PREVISION'!$A$1:$KZ$3000,$C17,10+3*MIN(M$3,$D$2-1)))))</f>
        <v/>
      </c>
      <c r="N17" s="130">
        <f>IF(OR($C17="",$B$2="",$D$2=0),0,IF(N$3&lt;0,0,N(INDEX('CURVA PREVISION'!$A$1:$KZ$3000,$C17,10+3*MIN(N$3,$D$2-1)))))</f>
        <v/>
      </c>
      <c r="O17" s="130">
        <f>IF(OR($C17="",$B$2="",$D$2=0),0,IF(O$3&lt;0,0,N(INDEX('CURVA PREVISION'!$A$1:$KZ$3000,$C17,10+3*MIN(O$3,$D$2-1)))))</f>
        <v/>
      </c>
      <c r="P17" s="130">
        <f>IF(OR($C17="",$B$2="",$D$2=0),0,IF(P$3&lt;0,0,N(INDEX('CURVA PREVISION'!$A$1:$KZ$3000,$C17,10+3*MIN(P$3,$D$2-1)))))</f>
        <v/>
      </c>
      <c r="Q17" s="130">
        <f>IF(OR($C17="",$B$2="",$D$2=0),0,IF(Q$3&lt;0,0,N(INDEX('CURVA PREVISION'!$A$1:$KZ$3000,$C17,10+3*MIN(Q$3,$D$2-1)))))</f>
        <v/>
      </c>
      <c r="R17" s="130">
        <f>IF(OR($C17="",$B$2="",$D$2=0),0,IF(R$3&lt;0,0,N(INDEX('CURVA PREVISION'!$A$1:$KZ$3000,$C17,10+3*MIN(R$3,$D$2-1)))))</f>
        <v/>
      </c>
      <c r="S17" s="130">
        <f>IF(OR($C17="",$B$2="",$D$2=0),0,IF(S$3&lt;0,0,N(INDEX('CURVA PREVISION'!$A$1:$KZ$3000,$C17,10+3*MIN(S$3,$D$2-1)))))</f>
        <v/>
      </c>
      <c r="T17" s="130">
        <f>IF(OR($C17="",$B$2="",$D$2=0),0,IF(T$3&lt;0,0,N(INDEX('CURVA PREVISION'!$A$1:$KZ$3000,$C17,10+3*MIN(T$3,$D$2-1)))))</f>
        <v/>
      </c>
      <c r="U17" s="130">
        <f>IF(OR($C17="",$B$2="",$D$2=0),0,IF(U$3&lt;0,0,N(INDEX('CURVA PREVISION'!$A$1:$KZ$3000,$C17,10+3*MIN(U$3,$D$2-1)))))</f>
        <v/>
      </c>
      <c r="V17" s="130">
        <f>IF(OR($C17="",$B$2="",$D$2=0),0,IF(V$3&lt;0,0,N(INDEX('CURVA PREVISION'!$A$1:$KZ$3000,$C17,10+3*MIN(V$3,$D$2-1)))))</f>
        <v/>
      </c>
      <c r="W17" s="130">
        <f>IF(OR($C17="",$B$2="",$D$2=0),0,IF(W$3&lt;0,0,N(INDEX('CURVA PREVISION'!$A$1:$KZ$3000,$C17,10+3*MIN(W$3,$D$2-1)))))</f>
        <v/>
      </c>
      <c r="X17" s="130">
        <f>IF(OR($C17="",$B$2="",$D$2=0),0,IF(X$3&lt;0,0,N(INDEX('CURVA PREVISION'!$A$1:$KZ$3000,$C17,10+3*MIN(X$3,$D$2-1)))))</f>
        <v/>
      </c>
      <c r="Y17" s="130">
        <f>IF(OR($C17="",$B$2="",$D$2=0),0,IF(Y$3&lt;0,0,N(INDEX('CURVA PREVISION'!$A$1:$KZ$3000,$C17,10+3*MIN(Y$3,$D$2-1)))))</f>
        <v/>
      </c>
      <c r="Z17" s="130">
        <f>IF(OR($C17="",$B$2="",$D$2=0),0,IF(Z$3&lt;0,0,N(INDEX('CURVA PREVISION'!$A$1:$KZ$3000,$C17,10+3*MIN(Z$3,$D$2-1)))))</f>
        <v/>
      </c>
      <c r="AA17" s="130">
        <f>IF(OR($C17="",$B$2="",$D$2=0),0,IF(AA$3&lt;0,0,N(INDEX('CURVA PREVISION'!$A$1:$KZ$3000,$C17,10+3*MIN(AA$3,$D$2-1)))))</f>
        <v/>
      </c>
      <c r="AB17" s="130">
        <f>IF(OR($C17="",$B$2="",$D$2=0),0,IF(AB$3&lt;0,0,N(INDEX('CURVA PREVISION'!$A$1:$KZ$3000,$C17,10+3*MIN(AB$3,$D$2-1)))))</f>
        <v/>
      </c>
      <c r="AC17" s="130">
        <f>IF(OR($C17="",$B$2="",$D$2=0),0,IF(AC$3&lt;0,0,N(INDEX('CURVA PREVISION'!$A$1:$KZ$3000,$C17,10+3*MIN(AC$3,$D$2-1)))))</f>
        <v/>
      </c>
      <c r="AD17" s="130">
        <f>IF(OR($C17="",$B$2="",$D$2=0),0,IF(AD$3&lt;0,0,N(INDEX('CURVA PREVISION'!$A$1:$KZ$3000,$C17,10+3*MIN(AD$3,$D$2-1)))))</f>
        <v/>
      </c>
      <c r="AE17" s="130">
        <f>IF(OR($C17="",$B$2="",$D$2=0),0,IF(AE$3&lt;0,0,N(INDEX('CURVA PREVISION'!$A$1:$KZ$3000,$C17,10+3*MIN(AE$3,$D$2-1)))))</f>
        <v/>
      </c>
      <c r="AF17" s="130">
        <f>IF(OR($C17="",$B$2="",$D$2=0),0,IF(AF$3&lt;0,0,N(INDEX('CURVA PREVISION'!$A$1:$KZ$3000,$C17,10+3*MIN(AF$3,$D$2-1)))))</f>
        <v/>
      </c>
      <c r="AG17" s="130">
        <f>IF(OR($C17="",$B$2="",$D$2=0),0,IF(AG$3&lt;0,0,N(INDEX('CURVA PREVISION'!$A$1:$KZ$3000,$C17,10+3*MIN(AG$3,$D$2-1)))))</f>
        <v/>
      </c>
      <c r="AH17" s="130">
        <f>IF(OR($C17="",$B$2="",$D$2=0),0,IF(AH$3&lt;0,0,N(INDEX('CURVA PREVISION'!$A$1:$KZ$3000,$C17,10+3*MIN(AH$3,$D$2-1)))))</f>
        <v/>
      </c>
      <c r="AI17" s="130">
        <f>IF(OR($C17="",$B$2="",$D$2=0),0,IF(AI$3&lt;0,0,N(INDEX('CURVA PREVISION'!$A$1:$KZ$3000,$C17,10+3*MIN(AI$3,$D$2-1)))))</f>
        <v/>
      </c>
      <c r="AJ17" s="130">
        <f>IF(OR($C17="",$B$2="",$D$2=0),0,IF(AJ$3&lt;0,0,N(INDEX('CURVA PREVISION'!$A$1:$KZ$3000,$C17,10+3*MIN(AJ$3,$D$2-1)))))</f>
        <v/>
      </c>
      <c r="AK17" s="130">
        <f>IF(OR($C17="",$B$2="",$D$2=0),0,IF(AK$3&lt;0,0,N(INDEX('CURVA PREVISION'!$A$1:$KZ$3000,$C17,10+3*MIN(AK$3,$D$2-1)))))</f>
        <v/>
      </c>
      <c r="AL17" s="130">
        <f>IF(OR($C17="",$B$2="",$D$2=0),0,IF(AL$3&lt;0,0,N(INDEX('CURVA PREVISION'!$A$1:$KZ$3000,$C17,10+3*MIN(AL$3,$D$2-1)))))</f>
        <v/>
      </c>
      <c r="AM17" s="130">
        <f>IF(OR($C17="",$B$2="",$D$2=0),0,IF(AM$3&lt;0,0,N(INDEX('CURVA PREVISION'!$A$1:$KZ$3000,$C17,10+3*MIN(AM$3,$D$2-1)))))</f>
        <v/>
      </c>
      <c r="AN17" s="130">
        <f>IF(OR($C17="",$B$2="",$D$2=0),0,IF(AN$3&lt;0,0,N(INDEX('CURVA PREVISION'!$A$1:$KZ$3000,$C17,10+3*MIN(AN$3,$D$2-1)))))</f>
        <v/>
      </c>
      <c r="AO17" s="130">
        <f>IF(OR($C17="",$B$2="",$D$2=0),0,IF(AO$3&lt;0,0,N(INDEX('CURVA PREVISION'!$A$1:$KZ$3000,$C17,10+3*MIN(AO$3,$D$2-1)))))</f>
        <v/>
      </c>
      <c r="AP17" s="130">
        <f>IF(OR($C17="",$B$2="",$D$2=0),0,IF(AP$3&lt;0,0,N(INDEX('CURVA PREVISION'!$A$1:$KZ$3000,$C17,10+3*MIN(AP$3,$D$2-1)))))</f>
        <v/>
      </c>
      <c r="AQ17" s="130">
        <f>IF(OR($C17="",$B$2="",$D$2=0),0,IF(AQ$3&lt;0,0,N(INDEX('CURVA PREVISION'!$A$1:$KZ$3000,$C17,10+3*MIN(AQ$3,$D$2-1)))))</f>
        <v/>
      </c>
      <c r="AR17" s="130">
        <f>IF(OR($C17="",$B$2="",$D$2=0),0,IF(AR$3&lt;0,0,N(INDEX('CURVA PREVISION'!$A$1:$KZ$3000,$C17,10+3*MIN(AR$3,$D$2-1)))))</f>
        <v/>
      </c>
      <c r="AS17" s="130">
        <f>IF(OR($C17="",$B$2="",$D$2=0),0,IF(AS$3&lt;0,0,N(INDEX('CURVA PREVISION'!$A$1:$KZ$3000,$C17,10+3*MIN(AS$3,$D$2-1)))))</f>
        <v/>
      </c>
      <c r="AT17" s="130">
        <f>IF(OR($C17="",$B$2="",$D$2=0),0,IF(AT$3&lt;0,0,N(INDEX('CURVA PREVISION'!$A$1:$KZ$3000,$C17,10+3*MIN(AT$3,$D$2-1)))))</f>
        <v/>
      </c>
      <c r="AU17" s="130">
        <f>IF(OR($C17="",$B$2="",$D$2=0),0,IF(AU$3&lt;0,0,N(INDEX('CURVA PREVISION'!$A$1:$KZ$3000,$C17,10+3*MIN(AU$3,$D$2-1)))))</f>
        <v/>
      </c>
      <c r="AV17" s="130">
        <f>IF(OR($C17="",$B$2="",$D$2=0),0,IF(AV$3&lt;0,0,N(INDEX('CURVA PREVISION'!$A$1:$KZ$3000,$C17,10+3*MIN(AV$3,$D$2-1)))))</f>
        <v/>
      </c>
      <c r="AW17" s="130">
        <f>IF(OR($C17="",$B$2="",$D$2=0),0,IF(AW$3&lt;0,0,N(INDEX('CURVA PREVISION'!$A$1:$KZ$3000,$C17,10+3*MIN(AW$3,$D$2-1)))))</f>
        <v/>
      </c>
      <c r="AX17" s="130">
        <f>IF(OR($C17="",$B$2="",$D$2=0),0,IF(AX$3&lt;0,0,N(INDEX('CURVA PREVISION'!$A$1:$KZ$3000,$C17,10+3*MIN(AX$3,$D$2-1)))))</f>
        <v/>
      </c>
      <c r="AY17" s="130">
        <f>IF(OR($C17="",$B$2="",$D$2=0),0,IF(AY$3&lt;0,0,N(INDEX('CURVA PREVISION'!$A$1:$KZ$3000,$C17,10+3*MIN(AY$3,$D$2-1)))))</f>
        <v/>
      </c>
      <c r="AZ17" s="130">
        <f>IF(OR($C17="",$B$2="",$D$2=0),0,IF(AZ$3&lt;0,0,N(INDEX('CURVA PREVISION'!$A$1:$KZ$3000,$C17,10+3*MIN(AZ$3,$D$2-1)))))</f>
        <v/>
      </c>
      <c r="BA17" s="130">
        <f>IF(OR($C17="",$B$2="",$D$2=0),0,IF(BA$3&lt;0,0,N(INDEX('CURVA PREVISION'!$A$1:$KZ$3000,$C17,10+3*MIN(BA$3,$D$2-1)))))</f>
        <v/>
      </c>
      <c r="BB17" s="130">
        <f>IF(OR($C17="",$B$2="",$D$2=0),0,IF(BB$3&lt;0,0,N(INDEX('CURVA PREVISION'!$A$1:$KZ$3000,$C17,10+3*MIN(BB$3,$D$2-1)))))</f>
        <v/>
      </c>
      <c r="BC17" s="130">
        <f>IF(OR($C17="",$B$2="",$D$2=0),0,IF(BC$3&lt;0,0,N(INDEX('CURVA PREVISION'!$A$1:$KZ$3000,$C17,10+3*MIN(BC$3,$D$2-1)))))</f>
        <v/>
      </c>
      <c r="BD17" s="130">
        <f>IF(OR($C17="",$B$2="",$D$2=0),0,IF(BD$3&lt;0,0,N(INDEX('CURVA PREVISION'!$A$1:$KZ$3000,$C17,10+3*MIN(BD$3,$D$2-1)))))</f>
        <v/>
      </c>
      <c r="BE17" s="130">
        <f>IF(OR($C17="",$B$2="",$D$2=0),0,IF(BE$3&lt;0,0,N(INDEX('CURVA PREVISION'!$A$1:$KZ$3000,$C17,10+3*MIN(BE$3,$D$2-1)))))</f>
        <v/>
      </c>
      <c r="BF17" s="130">
        <f>IF(OR($C17="",$B$2="",$D$2=0),0,IF(BF$3&lt;0,0,N(INDEX('CURVA PREVISION'!$A$1:$KZ$3000,$C17,10+3*MIN(BF$3,$D$2-1)))))</f>
        <v/>
      </c>
      <c r="BG17" s="130">
        <f>IF(OR($C17="",$B$2="",$D$2=0),0,IF(BG$3&lt;0,0,N(INDEX('CURVA PREVISION'!$A$1:$KZ$3000,$C17,10+3*MIN(BG$3,$D$2-1)))))</f>
        <v/>
      </c>
      <c r="BH17" s="130">
        <f>IF(OR($C17="",$B$2="",$D$2=0),0,IF(BH$3&lt;0,0,N(INDEX('CURVA PREVISION'!$A$1:$KZ$3000,$C17,10+3*MIN(BH$3,$D$2-1)))))</f>
        <v/>
      </c>
      <c r="BI17" s="130">
        <f>IF(OR($C17="",$B$2="",$D$2=0),0,IF(BI$3&lt;0,0,N(INDEX('CURVA PREVISION'!$A$1:$KZ$3000,$C17,10+3*MIN(BI$3,$D$2-1)))))</f>
        <v/>
      </c>
      <c r="BJ17" s="130">
        <f>IF(OR($C17="",$B$2="",$D$2=0),0,IF(BJ$3&lt;0,0,N(INDEX('CURVA PREVISION'!$A$1:$KZ$3000,$C17,10+3*MIN(BJ$3,$D$2-1)))))</f>
        <v/>
      </c>
      <c r="BK17" s="130">
        <f>IF(OR($C17="",$B$2="",$D$2=0),0,IF(BK$3&lt;0,0,N(INDEX('CURVA PREVISION'!$A$1:$KZ$3000,$C17,10+3*MIN(BK$3,$D$2-1)))))</f>
        <v/>
      </c>
      <c r="BL17" s="130">
        <f>IF(OR($C17="",$B$2="",$D$2=0),0,IF(BL$3&lt;0,0,N(INDEX('CURVA PREVISION'!$A$1:$KZ$3000,$C17,10+3*MIN(BL$3,$D$2-1)))))</f>
        <v/>
      </c>
      <c r="BM17" s="130">
        <f>IF(OR($C17="",$B$2="",$D$2=0),0,IF(BM$3&lt;0,0,N(INDEX('CURVA PREVISION'!$A$1:$KZ$3000,$C17,10+3*MIN(BM$3,$D$2-1)))))</f>
        <v/>
      </c>
      <c r="BN17" s="130">
        <f>IF(OR($C17="",$B$2="",$D$2=0),0,IF(BN$3&lt;0,0,N(INDEX('CURVA PREVISION'!$A$1:$KZ$3000,$C17,10+3*MIN(BN$3,$D$2-1)))))</f>
        <v/>
      </c>
      <c r="BO17" s="130">
        <f>IF(OR($C17="",$B$2="",$D$2=0),0,IF(BO$3&lt;0,0,N(INDEX('CURVA PREVISION'!$A$1:$KZ$3000,$C17,10+3*MIN(BO$3,$D$2-1)))))</f>
        <v/>
      </c>
      <c r="BP17" s="130">
        <f>IF(OR($C17="",$B$2="",$D$2=0),0,IF(BP$3&lt;0,0,N(INDEX('CURVA PREVISION'!$A$1:$KZ$3000,$C17,10+3*MIN(BP$3,$D$2-1)))))</f>
        <v/>
      </c>
      <c r="BQ17" s="130">
        <f>IF(OR($C17="",$B$2="",$D$2=0),0,IF(BQ$3&lt;0,0,N(INDEX('CURVA PREVISION'!$A$1:$KZ$3000,$C17,10+3*MIN(BQ$3,$D$2-1)))))</f>
        <v/>
      </c>
      <c r="BR17" s="130">
        <f>IF(OR($C17="",$B$2="",$D$2=0),0,IF(BR$3&lt;0,0,N(INDEX('CURVA PREVISION'!$A$1:$KZ$3000,$C17,10+3*MIN(BR$3,$D$2-1)))))</f>
        <v/>
      </c>
      <c r="BS17" s="130">
        <f>IF(OR($C17="",$B$2="",$D$2=0),0,IF(BS$3&lt;0,0,N(INDEX('CURVA PREVISION'!$A$1:$KZ$3000,$C17,10+3*MIN(BS$3,$D$2-1)))))</f>
        <v/>
      </c>
      <c r="BT17" s="130">
        <f>IF(OR($C17="",$B$2="",$D$2=0),0,IF(BT$3&lt;0,0,N(INDEX('CURVA PREVISION'!$A$1:$KZ$3000,$C17,10+3*MIN(BT$3,$D$2-1)))))</f>
        <v/>
      </c>
      <c r="BU17" s="130">
        <f>IF(OR($C17="",$B$2="",$D$2=0),0,IF(BU$3&lt;0,0,N(INDEX('CURVA PREVISION'!$A$1:$KZ$3000,$C17,10+3*MIN(BU$3,$D$2-1)))))</f>
        <v/>
      </c>
      <c r="BV17" s="130">
        <f>IF(OR($C17="",$B$2="",$D$2=0),0,IF(BV$3&lt;0,0,N(INDEX('CURVA PREVISION'!$A$1:$KZ$3000,$C17,10+3*MIN(BV$3,$D$2-1)))))</f>
        <v/>
      </c>
      <c r="BW17" s="130">
        <f>IF(OR($C17="",$B$2="",$D$2=0),0,IF(BW$3&lt;0,0,N(INDEX('CURVA PREVISION'!$A$1:$KZ$3000,$C17,10+3*MIN(BW$3,$D$2-1)))))</f>
        <v/>
      </c>
    </row>
    <row r="18">
      <c r="A18" s="61">
        <f>IF('VALOR POR PL'!R24&lt;&gt;"",'VALOR POR PL'!R24,IF('VALOR POR PL'!Q24="",'VALOR POR PL'!C24,'VALOR POR PL'!Q24))</f>
        <v/>
      </c>
      <c r="B18" s="61">
        <f>'VALOR POR PL'!D24</f>
        <v/>
      </c>
      <c r="C18" s="70">
        <f>IFERROR(MATCH(A18,'CURVA PREVISION'!$B$1:$B$3000,0),"")</f>
        <v/>
      </c>
      <c r="D18" s="130">
        <f>IF(OR($C18="",$B$2="",$D$2=0),0,IF(D$3&lt;0,0,N(INDEX('CURVA PREVISION'!$A$1:$KZ$3000,$C18,10+3*MIN(D$3,$D$2-1)))))</f>
        <v/>
      </c>
      <c r="E18" s="130">
        <f>IF(OR($C18="",$B$2="",$D$2=0),0,IF(E$3&lt;0,0,N(INDEX('CURVA PREVISION'!$A$1:$KZ$3000,$C18,10+3*MIN(E$3,$D$2-1)))))</f>
        <v/>
      </c>
      <c r="F18" s="130">
        <f>IF(OR($C18="",$B$2="",$D$2=0),0,IF(F$3&lt;0,0,N(INDEX('CURVA PREVISION'!$A$1:$KZ$3000,$C18,10+3*MIN(F$3,$D$2-1)))))</f>
        <v/>
      </c>
      <c r="G18" s="130">
        <f>IF(OR($C18="",$B$2="",$D$2=0),0,IF(G$3&lt;0,0,N(INDEX('CURVA PREVISION'!$A$1:$KZ$3000,$C18,10+3*MIN(G$3,$D$2-1)))))</f>
        <v/>
      </c>
      <c r="H18" s="130">
        <f>IF(OR($C18="",$B$2="",$D$2=0),0,IF(H$3&lt;0,0,N(INDEX('CURVA PREVISION'!$A$1:$KZ$3000,$C18,10+3*MIN(H$3,$D$2-1)))))</f>
        <v/>
      </c>
      <c r="I18" s="130">
        <f>IF(OR($C18="",$B$2="",$D$2=0),0,IF(I$3&lt;0,0,N(INDEX('CURVA PREVISION'!$A$1:$KZ$3000,$C18,10+3*MIN(I$3,$D$2-1)))))</f>
        <v/>
      </c>
      <c r="J18" s="130">
        <f>IF(OR($C18="",$B$2="",$D$2=0),0,IF(J$3&lt;0,0,N(INDEX('CURVA PREVISION'!$A$1:$KZ$3000,$C18,10+3*MIN(J$3,$D$2-1)))))</f>
        <v/>
      </c>
      <c r="K18" s="130">
        <f>IF(OR($C18="",$B$2="",$D$2=0),0,IF(K$3&lt;0,0,N(INDEX('CURVA PREVISION'!$A$1:$KZ$3000,$C18,10+3*MIN(K$3,$D$2-1)))))</f>
        <v/>
      </c>
      <c r="L18" s="130">
        <f>IF(OR($C18="",$B$2="",$D$2=0),0,IF(L$3&lt;0,0,N(INDEX('CURVA PREVISION'!$A$1:$KZ$3000,$C18,10+3*MIN(L$3,$D$2-1)))))</f>
        <v/>
      </c>
      <c r="M18" s="130">
        <f>IF(OR($C18="",$B$2="",$D$2=0),0,IF(M$3&lt;0,0,N(INDEX('CURVA PREVISION'!$A$1:$KZ$3000,$C18,10+3*MIN(M$3,$D$2-1)))))</f>
        <v/>
      </c>
      <c r="N18" s="130">
        <f>IF(OR($C18="",$B$2="",$D$2=0),0,IF(N$3&lt;0,0,N(INDEX('CURVA PREVISION'!$A$1:$KZ$3000,$C18,10+3*MIN(N$3,$D$2-1)))))</f>
        <v/>
      </c>
      <c r="O18" s="130">
        <f>IF(OR($C18="",$B$2="",$D$2=0),0,IF(O$3&lt;0,0,N(INDEX('CURVA PREVISION'!$A$1:$KZ$3000,$C18,10+3*MIN(O$3,$D$2-1)))))</f>
        <v/>
      </c>
      <c r="P18" s="130">
        <f>IF(OR($C18="",$B$2="",$D$2=0),0,IF(P$3&lt;0,0,N(INDEX('CURVA PREVISION'!$A$1:$KZ$3000,$C18,10+3*MIN(P$3,$D$2-1)))))</f>
        <v/>
      </c>
      <c r="Q18" s="130">
        <f>IF(OR($C18="",$B$2="",$D$2=0),0,IF(Q$3&lt;0,0,N(INDEX('CURVA PREVISION'!$A$1:$KZ$3000,$C18,10+3*MIN(Q$3,$D$2-1)))))</f>
        <v/>
      </c>
      <c r="R18" s="130">
        <f>IF(OR($C18="",$B$2="",$D$2=0),0,IF(R$3&lt;0,0,N(INDEX('CURVA PREVISION'!$A$1:$KZ$3000,$C18,10+3*MIN(R$3,$D$2-1)))))</f>
        <v/>
      </c>
      <c r="S18" s="130">
        <f>IF(OR($C18="",$B$2="",$D$2=0),0,IF(S$3&lt;0,0,N(INDEX('CURVA PREVISION'!$A$1:$KZ$3000,$C18,10+3*MIN(S$3,$D$2-1)))))</f>
        <v/>
      </c>
      <c r="T18" s="130">
        <f>IF(OR($C18="",$B$2="",$D$2=0),0,IF(T$3&lt;0,0,N(INDEX('CURVA PREVISION'!$A$1:$KZ$3000,$C18,10+3*MIN(T$3,$D$2-1)))))</f>
        <v/>
      </c>
      <c r="U18" s="130">
        <f>IF(OR($C18="",$B$2="",$D$2=0),0,IF(U$3&lt;0,0,N(INDEX('CURVA PREVISION'!$A$1:$KZ$3000,$C18,10+3*MIN(U$3,$D$2-1)))))</f>
        <v/>
      </c>
      <c r="V18" s="130">
        <f>IF(OR($C18="",$B$2="",$D$2=0),0,IF(V$3&lt;0,0,N(INDEX('CURVA PREVISION'!$A$1:$KZ$3000,$C18,10+3*MIN(V$3,$D$2-1)))))</f>
        <v/>
      </c>
      <c r="W18" s="130">
        <f>IF(OR($C18="",$B$2="",$D$2=0),0,IF(W$3&lt;0,0,N(INDEX('CURVA PREVISION'!$A$1:$KZ$3000,$C18,10+3*MIN(W$3,$D$2-1)))))</f>
        <v/>
      </c>
      <c r="X18" s="130">
        <f>IF(OR($C18="",$B$2="",$D$2=0),0,IF(X$3&lt;0,0,N(INDEX('CURVA PREVISION'!$A$1:$KZ$3000,$C18,10+3*MIN(X$3,$D$2-1)))))</f>
        <v/>
      </c>
      <c r="Y18" s="130">
        <f>IF(OR($C18="",$B$2="",$D$2=0),0,IF(Y$3&lt;0,0,N(INDEX('CURVA PREVISION'!$A$1:$KZ$3000,$C18,10+3*MIN(Y$3,$D$2-1)))))</f>
        <v/>
      </c>
      <c r="Z18" s="130">
        <f>IF(OR($C18="",$B$2="",$D$2=0),0,IF(Z$3&lt;0,0,N(INDEX('CURVA PREVISION'!$A$1:$KZ$3000,$C18,10+3*MIN(Z$3,$D$2-1)))))</f>
        <v/>
      </c>
      <c r="AA18" s="130">
        <f>IF(OR($C18="",$B$2="",$D$2=0),0,IF(AA$3&lt;0,0,N(INDEX('CURVA PREVISION'!$A$1:$KZ$3000,$C18,10+3*MIN(AA$3,$D$2-1)))))</f>
        <v/>
      </c>
      <c r="AB18" s="130">
        <f>IF(OR($C18="",$B$2="",$D$2=0),0,IF(AB$3&lt;0,0,N(INDEX('CURVA PREVISION'!$A$1:$KZ$3000,$C18,10+3*MIN(AB$3,$D$2-1)))))</f>
        <v/>
      </c>
      <c r="AC18" s="130">
        <f>IF(OR($C18="",$B$2="",$D$2=0),0,IF(AC$3&lt;0,0,N(INDEX('CURVA PREVISION'!$A$1:$KZ$3000,$C18,10+3*MIN(AC$3,$D$2-1)))))</f>
        <v/>
      </c>
      <c r="AD18" s="130">
        <f>IF(OR($C18="",$B$2="",$D$2=0),0,IF(AD$3&lt;0,0,N(INDEX('CURVA PREVISION'!$A$1:$KZ$3000,$C18,10+3*MIN(AD$3,$D$2-1)))))</f>
        <v/>
      </c>
      <c r="AE18" s="130">
        <f>IF(OR($C18="",$B$2="",$D$2=0),0,IF(AE$3&lt;0,0,N(INDEX('CURVA PREVISION'!$A$1:$KZ$3000,$C18,10+3*MIN(AE$3,$D$2-1)))))</f>
        <v/>
      </c>
      <c r="AF18" s="130">
        <f>IF(OR($C18="",$B$2="",$D$2=0),0,IF(AF$3&lt;0,0,N(INDEX('CURVA PREVISION'!$A$1:$KZ$3000,$C18,10+3*MIN(AF$3,$D$2-1)))))</f>
        <v/>
      </c>
      <c r="AG18" s="130">
        <f>IF(OR($C18="",$B$2="",$D$2=0),0,IF(AG$3&lt;0,0,N(INDEX('CURVA PREVISION'!$A$1:$KZ$3000,$C18,10+3*MIN(AG$3,$D$2-1)))))</f>
        <v/>
      </c>
      <c r="AH18" s="130">
        <f>IF(OR($C18="",$B$2="",$D$2=0),0,IF(AH$3&lt;0,0,N(INDEX('CURVA PREVISION'!$A$1:$KZ$3000,$C18,10+3*MIN(AH$3,$D$2-1)))))</f>
        <v/>
      </c>
      <c r="AI18" s="130">
        <f>IF(OR($C18="",$B$2="",$D$2=0),0,IF(AI$3&lt;0,0,N(INDEX('CURVA PREVISION'!$A$1:$KZ$3000,$C18,10+3*MIN(AI$3,$D$2-1)))))</f>
        <v/>
      </c>
      <c r="AJ18" s="130">
        <f>IF(OR($C18="",$B$2="",$D$2=0),0,IF(AJ$3&lt;0,0,N(INDEX('CURVA PREVISION'!$A$1:$KZ$3000,$C18,10+3*MIN(AJ$3,$D$2-1)))))</f>
        <v/>
      </c>
      <c r="AK18" s="130">
        <f>IF(OR($C18="",$B$2="",$D$2=0),0,IF(AK$3&lt;0,0,N(INDEX('CURVA PREVISION'!$A$1:$KZ$3000,$C18,10+3*MIN(AK$3,$D$2-1)))))</f>
        <v/>
      </c>
      <c r="AL18" s="130">
        <f>IF(OR($C18="",$B$2="",$D$2=0),0,IF(AL$3&lt;0,0,N(INDEX('CURVA PREVISION'!$A$1:$KZ$3000,$C18,10+3*MIN(AL$3,$D$2-1)))))</f>
        <v/>
      </c>
      <c r="AM18" s="130">
        <f>IF(OR($C18="",$B$2="",$D$2=0),0,IF(AM$3&lt;0,0,N(INDEX('CURVA PREVISION'!$A$1:$KZ$3000,$C18,10+3*MIN(AM$3,$D$2-1)))))</f>
        <v/>
      </c>
      <c r="AN18" s="130">
        <f>IF(OR($C18="",$B$2="",$D$2=0),0,IF(AN$3&lt;0,0,N(INDEX('CURVA PREVISION'!$A$1:$KZ$3000,$C18,10+3*MIN(AN$3,$D$2-1)))))</f>
        <v/>
      </c>
      <c r="AO18" s="130">
        <f>IF(OR($C18="",$B$2="",$D$2=0),0,IF(AO$3&lt;0,0,N(INDEX('CURVA PREVISION'!$A$1:$KZ$3000,$C18,10+3*MIN(AO$3,$D$2-1)))))</f>
        <v/>
      </c>
      <c r="AP18" s="130">
        <f>IF(OR($C18="",$B$2="",$D$2=0),0,IF(AP$3&lt;0,0,N(INDEX('CURVA PREVISION'!$A$1:$KZ$3000,$C18,10+3*MIN(AP$3,$D$2-1)))))</f>
        <v/>
      </c>
      <c r="AQ18" s="130">
        <f>IF(OR($C18="",$B$2="",$D$2=0),0,IF(AQ$3&lt;0,0,N(INDEX('CURVA PREVISION'!$A$1:$KZ$3000,$C18,10+3*MIN(AQ$3,$D$2-1)))))</f>
        <v/>
      </c>
      <c r="AR18" s="130">
        <f>IF(OR($C18="",$B$2="",$D$2=0),0,IF(AR$3&lt;0,0,N(INDEX('CURVA PREVISION'!$A$1:$KZ$3000,$C18,10+3*MIN(AR$3,$D$2-1)))))</f>
        <v/>
      </c>
      <c r="AS18" s="130">
        <f>IF(OR($C18="",$B$2="",$D$2=0),0,IF(AS$3&lt;0,0,N(INDEX('CURVA PREVISION'!$A$1:$KZ$3000,$C18,10+3*MIN(AS$3,$D$2-1)))))</f>
        <v/>
      </c>
      <c r="AT18" s="130">
        <f>IF(OR($C18="",$B$2="",$D$2=0),0,IF(AT$3&lt;0,0,N(INDEX('CURVA PREVISION'!$A$1:$KZ$3000,$C18,10+3*MIN(AT$3,$D$2-1)))))</f>
        <v/>
      </c>
      <c r="AU18" s="130">
        <f>IF(OR($C18="",$B$2="",$D$2=0),0,IF(AU$3&lt;0,0,N(INDEX('CURVA PREVISION'!$A$1:$KZ$3000,$C18,10+3*MIN(AU$3,$D$2-1)))))</f>
        <v/>
      </c>
      <c r="AV18" s="130">
        <f>IF(OR($C18="",$B$2="",$D$2=0),0,IF(AV$3&lt;0,0,N(INDEX('CURVA PREVISION'!$A$1:$KZ$3000,$C18,10+3*MIN(AV$3,$D$2-1)))))</f>
        <v/>
      </c>
      <c r="AW18" s="130">
        <f>IF(OR($C18="",$B$2="",$D$2=0),0,IF(AW$3&lt;0,0,N(INDEX('CURVA PREVISION'!$A$1:$KZ$3000,$C18,10+3*MIN(AW$3,$D$2-1)))))</f>
        <v/>
      </c>
      <c r="AX18" s="130">
        <f>IF(OR($C18="",$B$2="",$D$2=0),0,IF(AX$3&lt;0,0,N(INDEX('CURVA PREVISION'!$A$1:$KZ$3000,$C18,10+3*MIN(AX$3,$D$2-1)))))</f>
        <v/>
      </c>
      <c r="AY18" s="130">
        <f>IF(OR($C18="",$B$2="",$D$2=0),0,IF(AY$3&lt;0,0,N(INDEX('CURVA PREVISION'!$A$1:$KZ$3000,$C18,10+3*MIN(AY$3,$D$2-1)))))</f>
        <v/>
      </c>
      <c r="AZ18" s="130">
        <f>IF(OR($C18="",$B$2="",$D$2=0),0,IF(AZ$3&lt;0,0,N(INDEX('CURVA PREVISION'!$A$1:$KZ$3000,$C18,10+3*MIN(AZ$3,$D$2-1)))))</f>
        <v/>
      </c>
      <c r="BA18" s="130">
        <f>IF(OR($C18="",$B$2="",$D$2=0),0,IF(BA$3&lt;0,0,N(INDEX('CURVA PREVISION'!$A$1:$KZ$3000,$C18,10+3*MIN(BA$3,$D$2-1)))))</f>
        <v/>
      </c>
      <c r="BB18" s="130">
        <f>IF(OR($C18="",$B$2="",$D$2=0),0,IF(BB$3&lt;0,0,N(INDEX('CURVA PREVISION'!$A$1:$KZ$3000,$C18,10+3*MIN(BB$3,$D$2-1)))))</f>
        <v/>
      </c>
      <c r="BC18" s="130">
        <f>IF(OR($C18="",$B$2="",$D$2=0),0,IF(BC$3&lt;0,0,N(INDEX('CURVA PREVISION'!$A$1:$KZ$3000,$C18,10+3*MIN(BC$3,$D$2-1)))))</f>
        <v/>
      </c>
      <c r="BD18" s="130">
        <f>IF(OR($C18="",$B$2="",$D$2=0),0,IF(BD$3&lt;0,0,N(INDEX('CURVA PREVISION'!$A$1:$KZ$3000,$C18,10+3*MIN(BD$3,$D$2-1)))))</f>
        <v/>
      </c>
      <c r="BE18" s="130">
        <f>IF(OR($C18="",$B$2="",$D$2=0),0,IF(BE$3&lt;0,0,N(INDEX('CURVA PREVISION'!$A$1:$KZ$3000,$C18,10+3*MIN(BE$3,$D$2-1)))))</f>
        <v/>
      </c>
      <c r="BF18" s="130">
        <f>IF(OR($C18="",$B$2="",$D$2=0),0,IF(BF$3&lt;0,0,N(INDEX('CURVA PREVISION'!$A$1:$KZ$3000,$C18,10+3*MIN(BF$3,$D$2-1)))))</f>
        <v/>
      </c>
      <c r="BG18" s="130">
        <f>IF(OR($C18="",$B$2="",$D$2=0),0,IF(BG$3&lt;0,0,N(INDEX('CURVA PREVISION'!$A$1:$KZ$3000,$C18,10+3*MIN(BG$3,$D$2-1)))))</f>
        <v/>
      </c>
      <c r="BH18" s="130">
        <f>IF(OR($C18="",$B$2="",$D$2=0),0,IF(BH$3&lt;0,0,N(INDEX('CURVA PREVISION'!$A$1:$KZ$3000,$C18,10+3*MIN(BH$3,$D$2-1)))))</f>
        <v/>
      </c>
      <c r="BI18" s="130">
        <f>IF(OR($C18="",$B$2="",$D$2=0),0,IF(BI$3&lt;0,0,N(INDEX('CURVA PREVISION'!$A$1:$KZ$3000,$C18,10+3*MIN(BI$3,$D$2-1)))))</f>
        <v/>
      </c>
      <c r="BJ18" s="130">
        <f>IF(OR($C18="",$B$2="",$D$2=0),0,IF(BJ$3&lt;0,0,N(INDEX('CURVA PREVISION'!$A$1:$KZ$3000,$C18,10+3*MIN(BJ$3,$D$2-1)))))</f>
        <v/>
      </c>
      <c r="BK18" s="130">
        <f>IF(OR($C18="",$B$2="",$D$2=0),0,IF(BK$3&lt;0,0,N(INDEX('CURVA PREVISION'!$A$1:$KZ$3000,$C18,10+3*MIN(BK$3,$D$2-1)))))</f>
        <v/>
      </c>
      <c r="BL18" s="130">
        <f>IF(OR($C18="",$B$2="",$D$2=0),0,IF(BL$3&lt;0,0,N(INDEX('CURVA PREVISION'!$A$1:$KZ$3000,$C18,10+3*MIN(BL$3,$D$2-1)))))</f>
        <v/>
      </c>
      <c r="BM18" s="130">
        <f>IF(OR($C18="",$B$2="",$D$2=0),0,IF(BM$3&lt;0,0,N(INDEX('CURVA PREVISION'!$A$1:$KZ$3000,$C18,10+3*MIN(BM$3,$D$2-1)))))</f>
        <v/>
      </c>
      <c r="BN18" s="130">
        <f>IF(OR($C18="",$B$2="",$D$2=0),0,IF(BN$3&lt;0,0,N(INDEX('CURVA PREVISION'!$A$1:$KZ$3000,$C18,10+3*MIN(BN$3,$D$2-1)))))</f>
        <v/>
      </c>
      <c r="BO18" s="130">
        <f>IF(OR($C18="",$B$2="",$D$2=0),0,IF(BO$3&lt;0,0,N(INDEX('CURVA PREVISION'!$A$1:$KZ$3000,$C18,10+3*MIN(BO$3,$D$2-1)))))</f>
        <v/>
      </c>
      <c r="BP18" s="130">
        <f>IF(OR($C18="",$B$2="",$D$2=0),0,IF(BP$3&lt;0,0,N(INDEX('CURVA PREVISION'!$A$1:$KZ$3000,$C18,10+3*MIN(BP$3,$D$2-1)))))</f>
        <v/>
      </c>
      <c r="BQ18" s="130">
        <f>IF(OR($C18="",$B$2="",$D$2=0),0,IF(BQ$3&lt;0,0,N(INDEX('CURVA PREVISION'!$A$1:$KZ$3000,$C18,10+3*MIN(BQ$3,$D$2-1)))))</f>
        <v/>
      </c>
      <c r="BR18" s="130">
        <f>IF(OR($C18="",$B$2="",$D$2=0),0,IF(BR$3&lt;0,0,N(INDEX('CURVA PREVISION'!$A$1:$KZ$3000,$C18,10+3*MIN(BR$3,$D$2-1)))))</f>
        <v/>
      </c>
      <c r="BS18" s="130">
        <f>IF(OR($C18="",$B$2="",$D$2=0),0,IF(BS$3&lt;0,0,N(INDEX('CURVA PREVISION'!$A$1:$KZ$3000,$C18,10+3*MIN(BS$3,$D$2-1)))))</f>
        <v/>
      </c>
      <c r="BT18" s="130">
        <f>IF(OR($C18="",$B$2="",$D$2=0),0,IF(BT$3&lt;0,0,N(INDEX('CURVA PREVISION'!$A$1:$KZ$3000,$C18,10+3*MIN(BT$3,$D$2-1)))))</f>
        <v/>
      </c>
      <c r="BU18" s="130">
        <f>IF(OR($C18="",$B$2="",$D$2=0),0,IF(BU$3&lt;0,0,N(INDEX('CURVA PREVISION'!$A$1:$KZ$3000,$C18,10+3*MIN(BU$3,$D$2-1)))))</f>
        <v/>
      </c>
      <c r="BV18" s="130">
        <f>IF(OR($C18="",$B$2="",$D$2=0),0,IF(BV$3&lt;0,0,N(INDEX('CURVA PREVISION'!$A$1:$KZ$3000,$C18,10+3*MIN(BV$3,$D$2-1)))))</f>
        <v/>
      </c>
      <c r="BW18" s="130">
        <f>IF(OR($C18="",$B$2="",$D$2=0),0,IF(BW$3&lt;0,0,N(INDEX('CURVA PREVISION'!$A$1:$KZ$3000,$C18,10+3*MIN(BW$3,$D$2-1)))))</f>
        <v/>
      </c>
    </row>
    <row r="19">
      <c r="A19" s="61">
        <f>IF('VALOR POR PL'!R25&lt;&gt;"",'VALOR POR PL'!R25,IF('VALOR POR PL'!Q25="",'VALOR POR PL'!C25,'VALOR POR PL'!Q25))</f>
        <v/>
      </c>
      <c r="B19" s="61">
        <f>'VALOR POR PL'!D25</f>
        <v/>
      </c>
      <c r="C19" s="70">
        <f>IFERROR(MATCH(A19,'CURVA PREVISION'!$B$1:$B$3000,0),"")</f>
        <v/>
      </c>
      <c r="D19" s="130">
        <f>IF(OR($C19="",$B$2="",$D$2=0),0,IF(D$3&lt;0,0,N(INDEX('CURVA PREVISION'!$A$1:$KZ$3000,$C19,10+3*MIN(D$3,$D$2-1)))))</f>
        <v/>
      </c>
      <c r="E19" s="130">
        <f>IF(OR($C19="",$B$2="",$D$2=0),0,IF(E$3&lt;0,0,N(INDEX('CURVA PREVISION'!$A$1:$KZ$3000,$C19,10+3*MIN(E$3,$D$2-1)))))</f>
        <v/>
      </c>
      <c r="F19" s="130">
        <f>IF(OR($C19="",$B$2="",$D$2=0),0,IF(F$3&lt;0,0,N(INDEX('CURVA PREVISION'!$A$1:$KZ$3000,$C19,10+3*MIN(F$3,$D$2-1)))))</f>
        <v/>
      </c>
      <c r="G19" s="130">
        <f>IF(OR($C19="",$B$2="",$D$2=0),0,IF(G$3&lt;0,0,N(INDEX('CURVA PREVISION'!$A$1:$KZ$3000,$C19,10+3*MIN(G$3,$D$2-1)))))</f>
        <v/>
      </c>
      <c r="H19" s="130">
        <f>IF(OR($C19="",$B$2="",$D$2=0),0,IF(H$3&lt;0,0,N(INDEX('CURVA PREVISION'!$A$1:$KZ$3000,$C19,10+3*MIN(H$3,$D$2-1)))))</f>
        <v/>
      </c>
      <c r="I19" s="130">
        <f>IF(OR($C19="",$B$2="",$D$2=0),0,IF(I$3&lt;0,0,N(INDEX('CURVA PREVISION'!$A$1:$KZ$3000,$C19,10+3*MIN(I$3,$D$2-1)))))</f>
        <v/>
      </c>
      <c r="J19" s="130">
        <f>IF(OR($C19="",$B$2="",$D$2=0),0,IF(J$3&lt;0,0,N(INDEX('CURVA PREVISION'!$A$1:$KZ$3000,$C19,10+3*MIN(J$3,$D$2-1)))))</f>
        <v/>
      </c>
      <c r="K19" s="130">
        <f>IF(OR($C19="",$B$2="",$D$2=0),0,IF(K$3&lt;0,0,N(INDEX('CURVA PREVISION'!$A$1:$KZ$3000,$C19,10+3*MIN(K$3,$D$2-1)))))</f>
        <v/>
      </c>
      <c r="L19" s="130">
        <f>IF(OR($C19="",$B$2="",$D$2=0),0,IF(L$3&lt;0,0,N(INDEX('CURVA PREVISION'!$A$1:$KZ$3000,$C19,10+3*MIN(L$3,$D$2-1)))))</f>
        <v/>
      </c>
      <c r="M19" s="130">
        <f>IF(OR($C19="",$B$2="",$D$2=0),0,IF(M$3&lt;0,0,N(INDEX('CURVA PREVISION'!$A$1:$KZ$3000,$C19,10+3*MIN(M$3,$D$2-1)))))</f>
        <v/>
      </c>
      <c r="N19" s="130">
        <f>IF(OR($C19="",$B$2="",$D$2=0),0,IF(N$3&lt;0,0,N(INDEX('CURVA PREVISION'!$A$1:$KZ$3000,$C19,10+3*MIN(N$3,$D$2-1)))))</f>
        <v/>
      </c>
      <c r="O19" s="130">
        <f>IF(OR($C19="",$B$2="",$D$2=0),0,IF(O$3&lt;0,0,N(INDEX('CURVA PREVISION'!$A$1:$KZ$3000,$C19,10+3*MIN(O$3,$D$2-1)))))</f>
        <v/>
      </c>
      <c r="P19" s="130">
        <f>IF(OR($C19="",$B$2="",$D$2=0),0,IF(P$3&lt;0,0,N(INDEX('CURVA PREVISION'!$A$1:$KZ$3000,$C19,10+3*MIN(P$3,$D$2-1)))))</f>
        <v/>
      </c>
      <c r="Q19" s="130">
        <f>IF(OR($C19="",$B$2="",$D$2=0),0,IF(Q$3&lt;0,0,N(INDEX('CURVA PREVISION'!$A$1:$KZ$3000,$C19,10+3*MIN(Q$3,$D$2-1)))))</f>
        <v/>
      </c>
      <c r="R19" s="130">
        <f>IF(OR($C19="",$B$2="",$D$2=0),0,IF(R$3&lt;0,0,N(INDEX('CURVA PREVISION'!$A$1:$KZ$3000,$C19,10+3*MIN(R$3,$D$2-1)))))</f>
        <v/>
      </c>
      <c r="S19" s="130">
        <f>IF(OR($C19="",$B$2="",$D$2=0),0,IF(S$3&lt;0,0,N(INDEX('CURVA PREVISION'!$A$1:$KZ$3000,$C19,10+3*MIN(S$3,$D$2-1)))))</f>
        <v/>
      </c>
      <c r="T19" s="130">
        <f>IF(OR($C19="",$B$2="",$D$2=0),0,IF(T$3&lt;0,0,N(INDEX('CURVA PREVISION'!$A$1:$KZ$3000,$C19,10+3*MIN(T$3,$D$2-1)))))</f>
        <v/>
      </c>
      <c r="U19" s="130">
        <f>IF(OR($C19="",$B$2="",$D$2=0),0,IF(U$3&lt;0,0,N(INDEX('CURVA PREVISION'!$A$1:$KZ$3000,$C19,10+3*MIN(U$3,$D$2-1)))))</f>
        <v/>
      </c>
      <c r="V19" s="130">
        <f>IF(OR($C19="",$B$2="",$D$2=0),0,IF(V$3&lt;0,0,N(INDEX('CURVA PREVISION'!$A$1:$KZ$3000,$C19,10+3*MIN(V$3,$D$2-1)))))</f>
        <v/>
      </c>
      <c r="W19" s="130">
        <f>IF(OR($C19="",$B$2="",$D$2=0),0,IF(W$3&lt;0,0,N(INDEX('CURVA PREVISION'!$A$1:$KZ$3000,$C19,10+3*MIN(W$3,$D$2-1)))))</f>
        <v/>
      </c>
      <c r="X19" s="130">
        <f>IF(OR($C19="",$B$2="",$D$2=0),0,IF(X$3&lt;0,0,N(INDEX('CURVA PREVISION'!$A$1:$KZ$3000,$C19,10+3*MIN(X$3,$D$2-1)))))</f>
        <v/>
      </c>
      <c r="Y19" s="130">
        <f>IF(OR($C19="",$B$2="",$D$2=0),0,IF(Y$3&lt;0,0,N(INDEX('CURVA PREVISION'!$A$1:$KZ$3000,$C19,10+3*MIN(Y$3,$D$2-1)))))</f>
        <v/>
      </c>
      <c r="Z19" s="130">
        <f>IF(OR($C19="",$B$2="",$D$2=0),0,IF(Z$3&lt;0,0,N(INDEX('CURVA PREVISION'!$A$1:$KZ$3000,$C19,10+3*MIN(Z$3,$D$2-1)))))</f>
        <v/>
      </c>
      <c r="AA19" s="130">
        <f>IF(OR($C19="",$B$2="",$D$2=0),0,IF(AA$3&lt;0,0,N(INDEX('CURVA PREVISION'!$A$1:$KZ$3000,$C19,10+3*MIN(AA$3,$D$2-1)))))</f>
        <v/>
      </c>
      <c r="AB19" s="130">
        <f>IF(OR($C19="",$B$2="",$D$2=0),0,IF(AB$3&lt;0,0,N(INDEX('CURVA PREVISION'!$A$1:$KZ$3000,$C19,10+3*MIN(AB$3,$D$2-1)))))</f>
        <v/>
      </c>
      <c r="AC19" s="130">
        <f>IF(OR($C19="",$B$2="",$D$2=0),0,IF(AC$3&lt;0,0,N(INDEX('CURVA PREVISION'!$A$1:$KZ$3000,$C19,10+3*MIN(AC$3,$D$2-1)))))</f>
        <v/>
      </c>
      <c r="AD19" s="130">
        <f>IF(OR($C19="",$B$2="",$D$2=0),0,IF(AD$3&lt;0,0,N(INDEX('CURVA PREVISION'!$A$1:$KZ$3000,$C19,10+3*MIN(AD$3,$D$2-1)))))</f>
        <v/>
      </c>
      <c r="AE19" s="130">
        <f>IF(OR($C19="",$B$2="",$D$2=0),0,IF(AE$3&lt;0,0,N(INDEX('CURVA PREVISION'!$A$1:$KZ$3000,$C19,10+3*MIN(AE$3,$D$2-1)))))</f>
        <v/>
      </c>
      <c r="AF19" s="130">
        <f>IF(OR($C19="",$B$2="",$D$2=0),0,IF(AF$3&lt;0,0,N(INDEX('CURVA PREVISION'!$A$1:$KZ$3000,$C19,10+3*MIN(AF$3,$D$2-1)))))</f>
        <v/>
      </c>
      <c r="AG19" s="130">
        <f>IF(OR($C19="",$B$2="",$D$2=0),0,IF(AG$3&lt;0,0,N(INDEX('CURVA PREVISION'!$A$1:$KZ$3000,$C19,10+3*MIN(AG$3,$D$2-1)))))</f>
        <v/>
      </c>
      <c r="AH19" s="130">
        <f>IF(OR($C19="",$B$2="",$D$2=0),0,IF(AH$3&lt;0,0,N(INDEX('CURVA PREVISION'!$A$1:$KZ$3000,$C19,10+3*MIN(AH$3,$D$2-1)))))</f>
        <v/>
      </c>
      <c r="AI19" s="130">
        <f>IF(OR($C19="",$B$2="",$D$2=0),0,IF(AI$3&lt;0,0,N(INDEX('CURVA PREVISION'!$A$1:$KZ$3000,$C19,10+3*MIN(AI$3,$D$2-1)))))</f>
        <v/>
      </c>
      <c r="AJ19" s="130">
        <f>IF(OR($C19="",$B$2="",$D$2=0),0,IF(AJ$3&lt;0,0,N(INDEX('CURVA PREVISION'!$A$1:$KZ$3000,$C19,10+3*MIN(AJ$3,$D$2-1)))))</f>
        <v/>
      </c>
      <c r="AK19" s="130">
        <f>IF(OR($C19="",$B$2="",$D$2=0),0,IF(AK$3&lt;0,0,N(INDEX('CURVA PREVISION'!$A$1:$KZ$3000,$C19,10+3*MIN(AK$3,$D$2-1)))))</f>
        <v/>
      </c>
      <c r="AL19" s="130">
        <f>IF(OR($C19="",$B$2="",$D$2=0),0,IF(AL$3&lt;0,0,N(INDEX('CURVA PREVISION'!$A$1:$KZ$3000,$C19,10+3*MIN(AL$3,$D$2-1)))))</f>
        <v/>
      </c>
      <c r="AM19" s="130">
        <f>IF(OR($C19="",$B$2="",$D$2=0),0,IF(AM$3&lt;0,0,N(INDEX('CURVA PREVISION'!$A$1:$KZ$3000,$C19,10+3*MIN(AM$3,$D$2-1)))))</f>
        <v/>
      </c>
      <c r="AN19" s="130">
        <f>IF(OR($C19="",$B$2="",$D$2=0),0,IF(AN$3&lt;0,0,N(INDEX('CURVA PREVISION'!$A$1:$KZ$3000,$C19,10+3*MIN(AN$3,$D$2-1)))))</f>
        <v/>
      </c>
      <c r="AO19" s="130">
        <f>IF(OR($C19="",$B$2="",$D$2=0),0,IF(AO$3&lt;0,0,N(INDEX('CURVA PREVISION'!$A$1:$KZ$3000,$C19,10+3*MIN(AO$3,$D$2-1)))))</f>
        <v/>
      </c>
      <c r="AP19" s="130">
        <f>IF(OR($C19="",$B$2="",$D$2=0),0,IF(AP$3&lt;0,0,N(INDEX('CURVA PREVISION'!$A$1:$KZ$3000,$C19,10+3*MIN(AP$3,$D$2-1)))))</f>
        <v/>
      </c>
      <c r="AQ19" s="130">
        <f>IF(OR($C19="",$B$2="",$D$2=0),0,IF(AQ$3&lt;0,0,N(INDEX('CURVA PREVISION'!$A$1:$KZ$3000,$C19,10+3*MIN(AQ$3,$D$2-1)))))</f>
        <v/>
      </c>
      <c r="AR19" s="130">
        <f>IF(OR($C19="",$B$2="",$D$2=0),0,IF(AR$3&lt;0,0,N(INDEX('CURVA PREVISION'!$A$1:$KZ$3000,$C19,10+3*MIN(AR$3,$D$2-1)))))</f>
        <v/>
      </c>
      <c r="AS19" s="130">
        <f>IF(OR($C19="",$B$2="",$D$2=0),0,IF(AS$3&lt;0,0,N(INDEX('CURVA PREVISION'!$A$1:$KZ$3000,$C19,10+3*MIN(AS$3,$D$2-1)))))</f>
        <v/>
      </c>
      <c r="AT19" s="130">
        <f>IF(OR($C19="",$B$2="",$D$2=0),0,IF(AT$3&lt;0,0,N(INDEX('CURVA PREVISION'!$A$1:$KZ$3000,$C19,10+3*MIN(AT$3,$D$2-1)))))</f>
        <v/>
      </c>
      <c r="AU19" s="130">
        <f>IF(OR($C19="",$B$2="",$D$2=0),0,IF(AU$3&lt;0,0,N(INDEX('CURVA PREVISION'!$A$1:$KZ$3000,$C19,10+3*MIN(AU$3,$D$2-1)))))</f>
        <v/>
      </c>
      <c r="AV19" s="130">
        <f>IF(OR($C19="",$B$2="",$D$2=0),0,IF(AV$3&lt;0,0,N(INDEX('CURVA PREVISION'!$A$1:$KZ$3000,$C19,10+3*MIN(AV$3,$D$2-1)))))</f>
        <v/>
      </c>
      <c r="AW19" s="130">
        <f>IF(OR($C19="",$B$2="",$D$2=0),0,IF(AW$3&lt;0,0,N(INDEX('CURVA PREVISION'!$A$1:$KZ$3000,$C19,10+3*MIN(AW$3,$D$2-1)))))</f>
        <v/>
      </c>
      <c r="AX19" s="130">
        <f>IF(OR($C19="",$B$2="",$D$2=0),0,IF(AX$3&lt;0,0,N(INDEX('CURVA PREVISION'!$A$1:$KZ$3000,$C19,10+3*MIN(AX$3,$D$2-1)))))</f>
        <v/>
      </c>
      <c r="AY19" s="130">
        <f>IF(OR($C19="",$B$2="",$D$2=0),0,IF(AY$3&lt;0,0,N(INDEX('CURVA PREVISION'!$A$1:$KZ$3000,$C19,10+3*MIN(AY$3,$D$2-1)))))</f>
        <v/>
      </c>
      <c r="AZ19" s="130">
        <f>IF(OR($C19="",$B$2="",$D$2=0),0,IF(AZ$3&lt;0,0,N(INDEX('CURVA PREVISION'!$A$1:$KZ$3000,$C19,10+3*MIN(AZ$3,$D$2-1)))))</f>
        <v/>
      </c>
      <c r="BA19" s="130">
        <f>IF(OR($C19="",$B$2="",$D$2=0),0,IF(BA$3&lt;0,0,N(INDEX('CURVA PREVISION'!$A$1:$KZ$3000,$C19,10+3*MIN(BA$3,$D$2-1)))))</f>
        <v/>
      </c>
      <c r="BB19" s="130">
        <f>IF(OR($C19="",$B$2="",$D$2=0),0,IF(BB$3&lt;0,0,N(INDEX('CURVA PREVISION'!$A$1:$KZ$3000,$C19,10+3*MIN(BB$3,$D$2-1)))))</f>
        <v/>
      </c>
      <c r="BC19" s="130">
        <f>IF(OR($C19="",$B$2="",$D$2=0),0,IF(BC$3&lt;0,0,N(INDEX('CURVA PREVISION'!$A$1:$KZ$3000,$C19,10+3*MIN(BC$3,$D$2-1)))))</f>
        <v/>
      </c>
      <c r="BD19" s="130">
        <f>IF(OR($C19="",$B$2="",$D$2=0),0,IF(BD$3&lt;0,0,N(INDEX('CURVA PREVISION'!$A$1:$KZ$3000,$C19,10+3*MIN(BD$3,$D$2-1)))))</f>
        <v/>
      </c>
      <c r="BE19" s="130">
        <f>IF(OR($C19="",$B$2="",$D$2=0),0,IF(BE$3&lt;0,0,N(INDEX('CURVA PREVISION'!$A$1:$KZ$3000,$C19,10+3*MIN(BE$3,$D$2-1)))))</f>
        <v/>
      </c>
      <c r="BF19" s="130">
        <f>IF(OR($C19="",$B$2="",$D$2=0),0,IF(BF$3&lt;0,0,N(INDEX('CURVA PREVISION'!$A$1:$KZ$3000,$C19,10+3*MIN(BF$3,$D$2-1)))))</f>
        <v/>
      </c>
      <c r="BG19" s="130">
        <f>IF(OR($C19="",$B$2="",$D$2=0),0,IF(BG$3&lt;0,0,N(INDEX('CURVA PREVISION'!$A$1:$KZ$3000,$C19,10+3*MIN(BG$3,$D$2-1)))))</f>
        <v/>
      </c>
      <c r="BH19" s="130">
        <f>IF(OR($C19="",$B$2="",$D$2=0),0,IF(BH$3&lt;0,0,N(INDEX('CURVA PREVISION'!$A$1:$KZ$3000,$C19,10+3*MIN(BH$3,$D$2-1)))))</f>
        <v/>
      </c>
      <c r="BI19" s="130">
        <f>IF(OR($C19="",$B$2="",$D$2=0),0,IF(BI$3&lt;0,0,N(INDEX('CURVA PREVISION'!$A$1:$KZ$3000,$C19,10+3*MIN(BI$3,$D$2-1)))))</f>
        <v/>
      </c>
      <c r="BJ19" s="130">
        <f>IF(OR($C19="",$B$2="",$D$2=0),0,IF(BJ$3&lt;0,0,N(INDEX('CURVA PREVISION'!$A$1:$KZ$3000,$C19,10+3*MIN(BJ$3,$D$2-1)))))</f>
        <v/>
      </c>
      <c r="BK19" s="130">
        <f>IF(OR($C19="",$B$2="",$D$2=0),0,IF(BK$3&lt;0,0,N(INDEX('CURVA PREVISION'!$A$1:$KZ$3000,$C19,10+3*MIN(BK$3,$D$2-1)))))</f>
        <v/>
      </c>
      <c r="BL19" s="130">
        <f>IF(OR($C19="",$B$2="",$D$2=0),0,IF(BL$3&lt;0,0,N(INDEX('CURVA PREVISION'!$A$1:$KZ$3000,$C19,10+3*MIN(BL$3,$D$2-1)))))</f>
        <v/>
      </c>
      <c r="BM19" s="130">
        <f>IF(OR($C19="",$B$2="",$D$2=0),0,IF(BM$3&lt;0,0,N(INDEX('CURVA PREVISION'!$A$1:$KZ$3000,$C19,10+3*MIN(BM$3,$D$2-1)))))</f>
        <v/>
      </c>
      <c r="BN19" s="130">
        <f>IF(OR($C19="",$B$2="",$D$2=0),0,IF(BN$3&lt;0,0,N(INDEX('CURVA PREVISION'!$A$1:$KZ$3000,$C19,10+3*MIN(BN$3,$D$2-1)))))</f>
        <v/>
      </c>
      <c r="BO19" s="130">
        <f>IF(OR($C19="",$B$2="",$D$2=0),0,IF(BO$3&lt;0,0,N(INDEX('CURVA PREVISION'!$A$1:$KZ$3000,$C19,10+3*MIN(BO$3,$D$2-1)))))</f>
        <v/>
      </c>
      <c r="BP19" s="130">
        <f>IF(OR($C19="",$B$2="",$D$2=0),0,IF(BP$3&lt;0,0,N(INDEX('CURVA PREVISION'!$A$1:$KZ$3000,$C19,10+3*MIN(BP$3,$D$2-1)))))</f>
        <v/>
      </c>
      <c r="BQ19" s="130">
        <f>IF(OR($C19="",$B$2="",$D$2=0),0,IF(BQ$3&lt;0,0,N(INDEX('CURVA PREVISION'!$A$1:$KZ$3000,$C19,10+3*MIN(BQ$3,$D$2-1)))))</f>
        <v/>
      </c>
      <c r="BR19" s="130">
        <f>IF(OR($C19="",$B$2="",$D$2=0),0,IF(BR$3&lt;0,0,N(INDEX('CURVA PREVISION'!$A$1:$KZ$3000,$C19,10+3*MIN(BR$3,$D$2-1)))))</f>
        <v/>
      </c>
      <c r="BS19" s="130">
        <f>IF(OR($C19="",$B$2="",$D$2=0),0,IF(BS$3&lt;0,0,N(INDEX('CURVA PREVISION'!$A$1:$KZ$3000,$C19,10+3*MIN(BS$3,$D$2-1)))))</f>
        <v/>
      </c>
      <c r="BT19" s="130">
        <f>IF(OR($C19="",$B$2="",$D$2=0),0,IF(BT$3&lt;0,0,N(INDEX('CURVA PREVISION'!$A$1:$KZ$3000,$C19,10+3*MIN(BT$3,$D$2-1)))))</f>
        <v/>
      </c>
      <c r="BU19" s="130">
        <f>IF(OR($C19="",$B$2="",$D$2=0),0,IF(BU$3&lt;0,0,N(INDEX('CURVA PREVISION'!$A$1:$KZ$3000,$C19,10+3*MIN(BU$3,$D$2-1)))))</f>
        <v/>
      </c>
      <c r="BV19" s="130">
        <f>IF(OR($C19="",$B$2="",$D$2=0),0,IF(BV$3&lt;0,0,N(INDEX('CURVA PREVISION'!$A$1:$KZ$3000,$C19,10+3*MIN(BV$3,$D$2-1)))))</f>
        <v/>
      </c>
      <c r="BW19" s="130">
        <f>IF(OR($C19="",$B$2="",$D$2=0),0,IF(BW$3&lt;0,0,N(INDEX('CURVA PREVISION'!$A$1:$KZ$3000,$C19,10+3*MIN(BW$3,$D$2-1)))))</f>
        <v/>
      </c>
    </row>
    <row r="20">
      <c r="A20" s="61">
        <f>IF('VALOR POR PL'!R26&lt;&gt;"",'VALOR POR PL'!R26,IF('VALOR POR PL'!Q26="",'VALOR POR PL'!C26,'VALOR POR PL'!Q26))</f>
        <v/>
      </c>
      <c r="B20" s="61">
        <f>'VALOR POR PL'!D26</f>
        <v/>
      </c>
      <c r="C20" s="70">
        <f>IFERROR(MATCH(A20,'CURVA PREVISION'!$B$1:$B$3000,0),"")</f>
        <v/>
      </c>
      <c r="D20" s="130">
        <f>IF(OR($C20="",$B$2="",$D$2=0),0,IF(D$3&lt;0,0,N(INDEX('CURVA PREVISION'!$A$1:$KZ$3000,$C20,10+3*MIN(D$3,$D$2-1)))))</f>
        <v/>
      </c>
      <c r="E20" s="130">
        <f>IF(OR($C20="",$B$2="",$D$2=0),0,IF(E$3&lt;0,0,N(INDEX('CURVA PREVISION'!$A$1:$KZ$3000,$C20,10+3*MIN(E$3,$D$2-1)))))</f>
        <v/>
      </c>
      <c r="F20" s="130">
        <f>IF(OR($C20="",$B$2="",$D$2=0),0,IF(F$3&lt;0,0,N(INDEX('CURVA PREVISION'!$A$1:$KZ$3000,$C20,10+3*MIN(F$3,$D$2-1)))))</f>
        <v/>
      </c>
      <c r="G20" s="130">
        <f>IF(OR($C20="",$B$2="",$D$2=0),0,IF(G$3&lt;0,0,N(INDEX('CURVA PREVISION'!$A$1:$KZ$3000,$C20,10+3*MIN(G$3,$D$2-1)))))</f>
        <v/>
      </c>
      <c r="H20" s="130">
        <f>IF(OR($C20="",$B$2="",$D$2=0),0,IF(H$3&lt;0,0,N(INDEX('CURVA PREVISION'!$A$1:$KZ$3000,$C20,10+3*MIN(H$3,$D$2-1)))))</f>
        <v/>
      </c>
      <c r="I20" s="130">
        <f>IF(OR($C20="",$B$2="",$D$2=0),0,IF(I$3&lt;0,0,N(INDEX('CURVA PREVISION'!$A$1:$KZ$3000,$C20,10+3*MIN(I$3,$D$2-1)))))</f>
        <v/>
      </c>
      <c r="J20" s="130">
        <f>IF(OR($C20="",$B$2="",$D$2=0),0,IF(J$3&lt;0,0,N(INDEX('CURVA PREVISION'!$A$1:$KZ$3000,$C20,10+3*MIN(J$3,$D$2-1)))))</f>
        <v/>
      </c>
      <c r="K20" s="130">
        <f>IF(OR($C20="",$B$2="",$D$2=0),0,IF(K$3&lt;0,0,N(INDEX('CURVA PREVISION'!$A$1:$KZ$3000,$C20,10+3*MIN(K$3,$D$2-1)))))</f>
        <v/>
      </c>
      <c r="L20" s="130">
        <f>IF(OR($C20="",$B$2="",$D$2=0),0,IF(L$3&lt;0,0,N(INDEX('CURVA PREVISION'!$A$1:$KZ$3000,$C20,10+3*MIN(L$3,$D$2-1)))))</f>
        <v/>
      </c>
      <c r="M20" s="130">
        <f>IF(OR($C20="",$B$2="",$D$2=0),0,IF(M$3&lt;0,0,N(INDEX('CURVA PREVISION'!$A$1:$KZ$3000,$C20,10+3*MIN(M$3,$D$2-1)))))</f>
        <v/>
      </c>
      <c r="N20" s="130">
        <f>IF(OR($C20="",$B$2="",$D$2=0),0,IF(N$3&lt;0,0,N(INDEX('CURVA PREVISION'!$A$1:$KZ$3000,$C20,10+3*MIN(N$3,$D$2-1)))))</f>
        <v/>
      </c>
      <c r="O20" s="130">
        <f>IF(OR($C20="",$B$2="",$D$2=0),0,IF(O$3&lt;0,0,N(INDEX('CURVA PREVISION'!$A$1:$KZ$3000,$C20,10+3*MIN(O$3,$D$2-1)))))</f>
        <v/>
      </c>
      <c r="P20" s="130">
        <f>IF(OR($C20="",$B$2="",$D$2=0),0,IF(P$3&lt;0,0,N(INDEX('CURVA PREVISION'!$A$1:$KZ$3000,$C20,10+3*MIN(P$3,$D$2-1)))))</f>
        <v/>
      </c>
      <c r="Q20" s="130">
        <f>IF(OR($C20="",$B$2="",$D$2=0),0,IF(Q$3&lt;0,0,N(INDEX('CURVA PREVISION'!$A$1:$KZ$3000,$C20,10+3*MIN(Q$3,$D$2-1)))))</f>
        <v/>
      </c>
      <c r="R20" s="130">
        <f>IF(OR($C20="",$B$2="",$D$2=0),0,IF(R$3&lt;0,0,N(INDEX('CURVA PREVISION'!$A$1:$KZ$3000,$C20,10+3*MIN(R$3,$D$2-1)))))</f>
        <v/>
      </c>
      <c r="S20" s="130">
        <f>IF(OR($C20="",$B$2="",$D$2=0),0,IF(S$3&lt;0,0,N(INDEX('CURVA PREVISION'!$A$1:$KZ$3000,$C20,10+3*MIN(S$3,$D$2-1)))))</f>
        <v/>
      </c>
      <c r="T20" s="130">
        <f>IF(OR($C20="",$B$2="",$D$2=0),0,IF(T$3&lt;0,0,N(INDEX('CURVA PREVISION'!$A$1:$KZ$3000,$C20,10+3*MIN(T$3,$D$2-1)))))</f>
        <v/>
      </c>
      <c r="U20" s="130">
        <f>IF(OR($C20="",$B$2="",$D$2=0),0,IF(U$3&lt;0,0,N(INDEX('CURVA PREVISION'!$A$1:$KZ$3000,$C20,10+3*MIN(U$3,$D$2-1)))))</f>
        <v/>
      </c>
      <c r="V20" s="130">
        <f>IF(OR($C20="",$B$2="",$D$2=0),0,IF(V$3&lt;0,0,N(INDEX('CURVA PREVISION'!$A$1:$KZ$3000,$C20,10+3*MIN(V$3,$D$2-1)))))</f>
        <v/>
      </c>
      <c r="W20" s="130">
        <f>IF(OR($C20="",$B$2="",$D$2=0),0,IF(W$3&lt;0,0,N(INDEX('CURVA PREVISION'!$A$1:$KZ$3000,$C20,10+3*MIN(W$3,$D$2-1)))))</f>
        <v/>
      </c>
      <c r="X20" s="130">
        <f>IF(OR($C20="",$B$2="",$D$2=0),0,IF(X$3&lt;0,0,N(INDEX('CURVA PREVISION'!$A$1:$KZ$3000,$C20,10+3*MIN(X$3,$D$2-1)))))</f>
        <v/>
      </c>
      <c r="Y20" s="130">
        <f>IF(OR($C20="",$B$2="",$D$2=0),0,IF(Y$3&lt;0,0,N(INDEX('CURVA PREVISION'!$A$1:$KZ$3000,$C20,10+3*MIN(Y$3,$D$2-1)))))</f>
        <v/>
      </c>
      <c r="Z20" s="130">
        <f>IF(OR($C20="",$B$2="",$D$2=0),0,IF(Z$3&lt;0,0,N(INDEX('CURVA PREVISION'!$A$1:$KZ$3000,$C20,10+3*MIN(Z$3,$D$2-1)))))</f>
        <v/>
      </c>
      <c r="AA20" s="130">
        <f>IF(OR($C20="",$B$2="",$D$2=0),0,IF(AA$3&lt;0,0,N(INDEX('CURVA PREVISION'!$A$1:$KZ$3000,$C20,10+3*MIN(AA$3,$D$2-1)))))</f>
        <v/>
      </c>
      <c r="AB20" s="130">
        <f>IF(OR($C20="",$B$2="",$D$2=0),0,IF(AB$3&lt;0,0,N(INDEX('CURVA PREVISION'!$A$1:$KZ$3000,$C20,10+3*MIN(AB$3,$D$2-1)))))</f>
        <v/>
      </c>
      <c r="AC20" s="130">
        <f>IF(OR($C20="",$B$2="",$D$2=0),0,IF(AC$3&lt;0,0,N(INDEX('CURVA PREVISION'!$A$1:$KZ$3000,$C20,10+3*MIN(AC$3,$D$2-1)))))</f>
        <v/>
      </c>
      <c r="AD20" s="130">
        <f>IF(OR($C20="",$B$2="",$D$2=0),0,IF(AD$3&lt;0,0,N(INDEX('CURVA PREVISION'!$A$1:$KZ$3000,$C20,10+3*MIN(AD$3,$D$2-1)))))</f>
        <v/>
      </c>
      <c r="AE20" s="130">
        <f>IF(OR($C20="",$B$2="",$D$2=0),0,IF(AE$3&lt;0,0,N(INDEX('CURVA PREVISION'!$A$1:$KZ$3000,$C20,10+3*MIN(AE$3,$D$2-1)))))</f>
        <v/>
      </c>
      <c r="AF20" s="130">
        <f>IF(OR($C20="",$B$2="",$D$2=0),0,IF(AF$3&lt;0,0,N(INDEX('CURVA PREVISION'!$A$1:$KZ$3000,$C20,10+3*MIN(AF$3,$D$2-1)))))</f>
        <v/>
      </c>
      <c r="AG20" s="130">
        <f>IF(OR($C20="",$B$2="",$D$2=0),0,IF(AG$3&lt;0,0,N(INDEX('CURVA PREVISION'!$A$1:$KZ$3000,$C20,10+3*MIN(AG$3,$D$2-1)))))</f>
        <v/>
      </c>
      <c r="AH20" s="130">
        <f>IF(OR($C20="",$B$2="",$D$2=0),0,IF(AH$3&lt;0,0,N(INDEX('CURVA PREVISION'!$A$1:$KZ$3000,$C20,10+3*MIN(AH$3,$D$2-1)))))</f>
        <v/>
      </c>
      <c r="AI20" s="130">
        <f>IF(OR($C20="",$B$2="",$D$2=0),0,IF(AI$3&lt;0,0,N(INDEX('CURVA PREVISION'!$A$1:$KZ$3000,$C20,10+3*MIN(AI$3,$D$2-1)))))</f>
        <v/>
      </c>
      <c r="AJ20" s="130">
        <f>IF(OR($C20="",$B$2="",$D$2=0),0,IF(AJ$3&lt;0,0,N(INDEX('CURVA PREVISION'!$A$1:$KZ$3000,$C20,10+3*MIN(AJ$3,$D$2-1)))))</f>
        <v/>
      </c>
      <c r="AK20" s="130">
        <f>IF(OR($C20="",$B$2="",$D$2=0),0,IF(AK$3&lt;0,0,N(INDEX('CURVA PREVISION'!$A$1:$KZ$3000,$C20,10+3*MIN(AK$3,$D$2-1)))))</f>
        <v/>
      </c>
      <c r="AL20" s="130">
        <f>IF(OR($C20="",$B$2="",$D$2=0),0,IF(AL$3&lt;0,0,N(INDEX('CURVA PREVISION'!$A$1:$KZ$3000,$C20,10+3*MIN(AL$3,$D$2-1)))))</f>
        <v/>
      </c>
      <c r="AM20" s="130">
        <f>IF(OR($C20="",$B$2="",$D$2=0),0,IF(AM$3&lt;0,0,N(INDEX('CURVA PREVISION'!$A$1:$KZ$3000,$C20,10+3*MIN(AM$3,$D$2-1)))))</f>
        <v/>
      </c>
      <c r="AN20" s="130">
        <f>IF(OR($C20="",$B$2="",$D$2=0),0,IF(AN$3&lt;0,0,N(INDEX('CURVA PREVISION'!$A$1:$KZ$3000,$C20,10+3*MIN(AN$3,$D$2-1)))))</f>
        <v/>
      </c>
      <c r="AO20" s="130">
        <f>IF(OR($C20="",$B$2="",$D$2=0),0,IF(AO$3&lt;0,0,N(INDEX('CURVA PREVISION'!$A$1:$KZ$3000,$C20,10+3*MIN(AO$3,$D$2-1)))))</f>
        <v/>
      </c>
      <c r="AP20" s="130">
        <f>IF(OR($C20="",$B$2="",$D$2=0),0,IF(AP$3&lt;0,0,N(INDEX('CURVA PREVISION'!$A$1:$KZ$3000,$C20,10+3*MIN(AP$3,$D$2-1)))))</f>
        <v/>
      </c>
      <c r="AQ20" s="130">
        <f>IF(OR($C20="",$B$2="",$D$2=0),0,IF(AQ$3&lt;0,0,N(INDEX('CURVA PREVISION'!$A$1:$KZ$3000,$C20,10+3*MIN(AQ$3,$D$2-1)))))</f>
        <v/>
      </c>
      <c r="AR20" s="130">
        <f>IF(OR($C20="",$B$2="",$D$2=0),0,IF(AR$3&lt;0,0,N(INDEX('CURVA PREVISION'!$A$1:$KZ$3000,$C20,10+3*MIN(AR$3,$D$2-1)))))</f>
        <v/>
      </c>
      <c r="AS20" s="130">
        <f>IF(OR($C20="",$B$2="",$D$2=0),0,IF(AS$3&lt;0,0,N(INDEX('CURVA PREVISION'!$A$1:$KZ$3000,$C20,10+3*MIN(AS$3,$D$2-1)))))</f>
        <v/>
      </c>
      <c r="AT20" s="130">
        <f>IF(OR($C20="",$B$2="",$D$2=0),0,IF(AT$3&lt;0,0,N(INDEX('CURVA PREVISION'!$A$1:$KZ$3000,$C20,10+3*MIN(AT$3,$D$2-1)))))</f>
        <v/>
      </c>
      <c r="AU20" s="130">
        <f>IF(OR($C20="",$B$2="",$D$2=0),0,IF(AU$3&lt;0,0,N(INDEX('CURVA PREVISION'!$A$1:$KZ$3000,$C20,10+3*MIN(AU$3,$D$2-1)))))</f>
        <v/>
      </c>
      <c r="AV20" s="130">
        <f>IF(OR($C20="",$B$2="",$D$2=0),0,IF(AV$3&lt;0,0,N(INDEX('CURVA PREVISION'!$A$1:$KZ$3000,$C20,10+3*MIN(AV$3,$D$2-1)))))</f>
        <v/>
      </c>
      <c r="AW20" s="130">
        <f>IF(OR($C20="",$B$2="",$D$2=0),0,IF(AW$3&lt;0,0,N(INDEX('CURVA PREVISION'!$A$1:$KZ$3000,$C20,10+3*MIN(AW$3,$D$2-1)))))</f>
        <v/>
      </c>
      <c r="AX20" s="130">
        <f>IF(OR($C20="",$B$2="",$D$2=0),0,IF(AX$3&lt;0,0,N(INDEX('CURVA PREVISION'!$A$1:$KZ$3000,$C20,10+3*MIN(AX$3,$D$2-1)))))</f>
        <v/>
      </c>
      <c r="AY20" s="130">
        <f>IF(OR($C20="",$B$2="",$D$2=0),0,IF(AY$3&lt;0,0,N(INDEX('CURVA PREVISION'!$A$1:$KZ$3000,$C20,10+3*MIN(AY$3,$D$2-1)))))</f>
        <v/>
      </c>
      <c r="AZ20" s="130">
        <f>IF(OR($C20="",$B$2="",$D$2=0),0,IF(AZ$3&lt;0,0,N(INDEX('CURVA PREVISION'!$A$1:$KZ$3000,$C20,10+3*MIN(AZ$3,$D$2-1)))))</f>
        <v/>
      </c>
      <c r="BA20" s="130">
        <f>IF(OR($C20="",$B$2="",$D$2=0),0,IF(BA$3&lt;0,0,N(INDEX('CURVA PREVISION'!$A$1:$KZ$3000,$C20,10+3*MIN(BA$3,$D$2-1)))))</f>
        <v/>
      </c>
      <c r="BB20" s="130">
        <f>IF(OR($C20="",$B$2="",$D$2=0),0,IF(BB$3&lt;0,0,N(INDEX('CURVA PREVISION'!$A$1:$KZ$3000,$C20,10+3*MIN(BB$3,$D$2-1)))))</f>
        <v/>
      </c>
      <c r="BC20" s="130">
        <f>IF(OR($C20="",$B$2="",$D$2=0),0,IF(BC$3&lt;0,0,N(INDEX('CURVA PREVISION'!$A$1:$KZ$3000,$C20,10+3*MIN(BC$3,$D$2-1)))))</f>
        <v/>
      </c>
      <c r="BD20" s="130">
        <f>IF(OR($C20="",$B$2="",$D$2=0),0,IF(BD$3&lt;0,0,N(INDEX('CURVA PREVISION'!$A$1:$KZ$3000,$C20,10+3*MIN(BD$3,$D$2-1)))))</f>
        <v/>
      </c>
      <c r="BE20" s="130">
        <f>IF(OR($C20="",$B$2="",$D$2=0),0,IF(BE$3&lt;0,0,N(INDEX('CURVA PREVISION'!$A$1:$KZ$3000,$C20,10+3*MIN(BE$3,$D$2-1)))))</f>
        <v/>
      </c>
      <c r="BF20" s="130">
        <f>IF(OR($C20="",$B$2="",$D$2=0),0,IF(BF$3&lt;0,0,N(INDEX('CURVA PREVISION'!$A$1:$KZ$3000,$C20,10+3*MIN(BF$3,$D$2-1)))))</f>
        <v/>
      </c>
      <c r="BG20" s="130">
        <f>IF(OR($C20="",$B$2="",$D$2=0),0,IF(BG$3&lt;0,0,N(INDEX('CURVA PREVISION'!$A$1:$KZ$3000,$C20,10+3*MIN(BG$3,$D$2-1)))))</f>
        <v/>
      </c>
      <c r="BH20" s="130">
        <f>IF(OR($C20="",$B$2="",$D$2=0),0,IF(BH$3&lt;0,0,N(INDEX('CURVA PREVISION'!$A$1:$KZ$3000,$C20,10+3*MIN(BH$3,$D$2-1)))))</f>
        <v/>
      </c>
      <c r="BI20" s="130">
        <f>IF(OR($C20="",$B$2="",$D$2=0),0,IF(BI$3&lt;0,0,N(INDEX('CURVA PREVISION'!$A$1:$KZ$3000,$C20,10+3*MIN(BI$3,$D$2-1)))))</f>
        <v/>
      </c>
      <c r="BJ20" s="130">
        <f>IF(OR($C20="",$B$2="",$D$2=0),0,IF(BJ$3&lt;0,0,N(INDEX('CURVA PREVISION'!$A$1:$KZ$3000,$C20,10+3*MIN(BJ$3,$D$2-1)))))</f>
        <v/>
      </c>
      <c r="BK20" s="130">
        <f>IF(OR($C20="",$B$2="",$D$2=0),0,IF(BK$3&lt;0,0,N(INDEX('CURVA PREVISION'!$A$1:$KZ$3000,$C20,10+3*MIN(BK$3,$D$2-1)))))</f>
        <v/>
      </c>
      <c r="BL20" s="130">
        <f>IF(OR($C20="",$B$2="",$D$2=0),0,IF(BL$3&lt;0,0,N(INDEX('CURVA PREVISION'!$A$1:$KZ$3000,$C20,10+3*MIN(BL$3,$D$2-1)))))</f>
        <v/>
      </c>
      <c r="BM20" s="130">
        <f>IF(OR($C20="",$B$2="",$D$2=0),0,IF(BM$3&lt;0,0,N(INDEX('CURVA PREVISION'!$A$1:$KZ$3000,$C20,10+3*MIN(BM$3,$D$2-1)))))</f>
        <v/>
      </c>
      <c r="BN20" s="130">
        <f>IF(OR($C20="",$B$2="",$D$2=0),0,IF(BN$3&lt;0,0,N(INDEX('CURVA PREVISION'!$A$1:$KZ$3000,$C20,10+3*MIN(BN$3,$D$2-1)))))</f>
        <v/>
      </c>
      <c r="BO20" s="130">
        <f>IF(OR($C20="",$B$2="",$D$2=0),0,IF(BO$3&lt;0,0,N(INDEX('CURVA PREVISION'!$A$1:$KZ$3000,$C20,10+3*MIN(BO$3,$D$2-1)))))</f>
        <v/>
      </c>
      <c r="BP20" s="130">
        <f>IF(OR($C20="",$B$2="",$D$2=0),0,IF(BP$3&lt;0,0,N(INDEX('CURVA PREVISION'!$A$1:$KZ$3000,$C20,10+3*MIN(BP$3,$D$2-1)))))</f>
        <v/>
      </c>
      <c r="BQ20" s="130">
        <f>IF(OR($C20="",$B$2="",$D$2=0),0,IF(BQ$3&lt;0,0,N(INDEX('CURVA PREVISION'!$A$1:$KZ$3000,$C20,10+3*MIN(BQ$3,$D$2-1)))))</f>
        <v/>
      </c>
      <c r="BR20" s="130">
        <f>IF(OR($C20="",$B$2="",$D$2=0),0,IF(BR$3&lt;0,0,N(INDEX('CURVA PREVISION'!$A$1:$KZ$3000,$C20,10+3*MIN(BR$3,$D$2-1)))))</f>
        <v/>
      </c>
      <c r="BS20" s="130">
        <f>IF(OR($C20="",$B$2="",$D$2=0),0,IF(BS$3&lt;0,0,N(INDEX('CURVA PREVISION'!$A$1:$KZ$3000,$C20,10+3*MIN(BS$3,$D$2-1)))))</f>
        <v/>
      </c>
      <c r="BT20" s="130">
        <f>IF(OR($C20="",$B$2="",$D$2=0),0,IF(BT$3&lt;0,0,N(INDEX('CURVA PREVISION'!$A$1:$KZ$3000,$C20,10+3*MIN(BT$3,$D$2-1)))))</f>
        <v/>
      </c>
      <c r="BU20" s="130">
        <f>IF(OR($C20="",$B$2="",$D$2=0),0,IF(BU$3&lt;0,0,N(INDEX('CURVA PREVISION'!$A$1:$KZ$3000,$C20,10+3*MIN(BU$3,$D$2-1)))))</f>
        <v/>
      </c>
      <c r="BV20" s="130">
        <f>IF(OR($C20="",$B$2="",$D$2=0),0,IF(BV$3&lt;0,0,N(INDEX('CURVA PREVISION'!$A$1:$KZ$3000,$C20,10+3*MIN(BV$3,$D$2-1)))))</f>
        <v/>
      </c>
      <c r="BW20" s="130">
        <f>IF(OR($C20="",$B$2="",$D$2=0),0,IF(BW$3&lt;0,0,N(INDEX('CURVA PREVISION'!$A$1:$KZ$3000,$C20,10+3*MIN(BW$3,$D$2-1)))))</f>
        <v/>
      </c>
    </row>
    <row r="21">
      <c r="A21" s="61">
        <f>IF('VALOR POR PL'!R27&lt;&gt;"",'VALOR POR PL'!R27,IF('VALOR POR PL'!Q27="",'VALOR POR PL'!C27,'VALOR POR PL'!Q27))</f>
        <v/>
      </c>
      <c r="B21" s="61">
        <f>'VALOR POR PL'!D27</f>
        <v/>
      </c>
      <c r="C21" s="70">
        <f>IFERROR(MATCH(A21,'CURVA PREVISION'!$B$1:$B$3000,0),"")</f>
        <v/>
      </c>
      <c r="D21" s="130">
        <f>IF(OR($C21="",$B$2="",$D$2=0),0,IF(D$3&lt;0,0,N(INDEX('CURVA PREVISION'!$A$1:$KZ$3000,$C21,10+3*MIN(D$3,$D$2-1)))))</f>
        <v/>
      </c>
      <c r="E21" s="130">
        <f>IF(OR($C21="",$B$2="",$D$2=0),0,IF(E$3&lt;0,0,N(INDEX('CURVA PREVISION'!$A$1:$KZ$3000,$C21,10+3*MIN(E$3,$D$2-1)))))</f>
        <v/>
      </c>
      <c r="F21" s="130">
        <f>IF(OR($C21="",$B$2="",$D$2=0),0,IF(F$3&lt;0,0,N(INDEX('CURVA PREVISION'!$A$1:$KZ$3000,$C21,10+3*MIN(F$3,$D$2-1)))))</f>
        <v/>
      </c>
      <c r="G21" s="130">
        <f>IF(OR($C21="",$B$2="",$D$2=0),0,IF(G$3&lt;0,0,N(INDEX('CURVA PREVISION'!$A$1:$KZ$3000,$C21,10+3*MIN(G$3,$D$2-1)))))</f>
        <v/>
      </c>
      <c r="H21" s="130">
        <f>IF(OR($C21="",$B$2="",$D$2=0),0,IF(H$3&lt;0,0,N(INDEX('CURVA PREVISION'!$A$1:$KZ$3000,$C21,10+3*MIN(H$3,$D$2-1)))))</f>
        <v/>
      </c>
      <c r="I21" s="130">
        <f>IF(OR($C21="",$B$2="",$D$2=0),0,IF(I$3&lt;0,0,N(INDEX('CURVA PREVISION'!$A$1:$KZ$3000,$C21,10+3*MIN(I$3,$D$2-1)))))</f>
        <v/>
      </c>
      <c r="J21" s="130">
        <f>IF(OR($C21="",$B$2="",$D$2=0),0,IF(J$3&lt;0,0,N(INDEX('CURVA PREVISION'!$A$1:$KZ$3000,$C21,10+3*MIN(J$3,$D$2-1)))))</f>
        <v/>
      </c>
      <c r="K21" s="130">
        <f>IF(OR($C21="",$B$2="",$D$2=0),0,IF(K$3&lt;0,0,N(INDEX('CURVA PREVISION'!$A$1:$KZ$3000,$C21,10+3*MIN(K$3,$D$2-1)))))</f>
        <v/>
      </c>
      <c r="L21" s="130">
        <f>IF(OR($C21="",$B$2="",$D$2=0),0,IF(L$3&lt;0,0,N(INDEX('CURVA PREVISION'!$A$1:$KZ$3000,$C21,10+3*MIN(L$3,$D$2-1)))))</f>
        <v/>
      </c>
      <c r="M21" s="130">
        <f>IF(OR($C21="",$B$2="",$D$2=0),0,IF(M$3&lt;0,0,N(INDEX('CURVA PREVISION'!$A$1:$KZ$3000,$C21,10+3*MIN(M$3,$D$2-1)))))</f>
        <v/>
      </c>
      <c r="N21" s="130">
        <f>IF(OR($C21="",$B$2="",$D$2=0),0,IF(N$3&lt;0,0,N(INDEX('CURVA PREVISION'!$A$1:$KZ$3000,$C21,10+3*MIN(N$3,$D$2-1)))))</f>
        <v/>
      </c>
      <c r="O21" s="130">
        <f>IF(OR($C21="",$B$2="",$D$2=0),0,IF(O$3&lt;0,0,N(INDEX('CURVA PREVISION'!$A$1:$KZ$3000,$C21,10+3*MIN(O$3,$D$2-1)))))</f>
        <v/>
      </c>
      <c r="P21" s="130">
        <f>IF(OR($C21="",$B$2="",$D$2=0),0,IF(P$3&lt;0,0,N(INDEX('CURVA PREVISION'!$A$1:$KZ$3000,$C21,10+3*MIN(P$3,$D$2-1)))))</f>
        <v/>
      </c>
      <c r="Q21" s="130">
        <f>IF(OR($C21="",$B$2="",$D$2=0),0,IF(Q$3&lt;0,0,N(INDEX('CURVA PREVISION'!$A$1:$KZ$3000,$C21,10+3*MIN(Q$3,$D$2-1)))))</f>
        <v/>
      </c>
      <c r="R21" s="130">
        <f>IF(OR($C21="",$B$2="",$D$2=0),0,IF(R$3&lt;0,0,N(INDEX('CURVA PREVISION'!$A$1:$KZ$3000,$C21,10+3*MIN(R$3,$D$2-1)))))</f>
        <v/>
      </c>
      <c r="S21" s="130">
        <f>IF(OR($C21="",$B$2="",$D$2=0),0,IF(S$3&lt;0,0,N(INDEX('CURVA PREVISION'!$A$1:$KZ$3000,$C21,10+3*MIN(S$3,$D$2-1)))))</f>
        <v/>
      </c>
      <c r="T21" s="130">
        <f>IF(OR($C21="",$B$2="",$D$2=0),0,IF(T$3&lt;0,0,N(INDEX('CURVA PREVISION'!$A$1:$KZ$3000,$C21,10+3*MIN(T$3,$D$2-1)))))</f>
        <v/>
      </c>
      <c r="U21" s="130">
        <f>IF(OR($C21="",$B$2="",$D$2=0),0,IF(U$3&lt;0,0,N(INDEX('CURVA PREVISION'!$A$1:$KZ$3000,$C21,10+3*MIN(U$3,$D$2-1)))))</f>
        <v/>
      </c>
      <c r="V21" s="130">
        <f>IF(OR($C21="",$B$2="",$D$2=0),0,IF(V$3&lt;0,0,N(INDEX('CURVA PREVISION'!$A$1:$KZ$3000,$C21,10+3*MIN(V$3,$D$2-1)))))</f>
        <v/>
      </c>
      <c r="W21" s="130">
        <f>IF(OR($C21="",$B$2="",$D$2=0),0,IF(W$3&lt;0,0,N(INDEX('CURVA PREVISION'!$A$1:$KZ$3000,$C21,10+3*MIN(W$3,$D$2-1)))))</f>
        <v/>
      </c>
      <c r="X21" s="130">
        <f>IF(OR($C21="",$B$2="",$D$2=0),0,IF(X$3&lt;0,0,N(INDEX('CURVA PREVISION'!$A$1:$KZ$3000,$C21,10+3*MIN(X$3,$D$2-1)))))</f>
        <v/>
      </c>
      <c r="Y21" s="130">
        <f>IF(OR($C21="",$B$2="",$D$2=0),0,IF(Y$3&lt;0,0,N(INDEX('CURVA PREVISION'!$A$1:$KZ$3000,$C21,10+3*MIN(Y$3,$D$2-1)))))</f>
        <v/>
      </c>
      <c r="Z21" s="130">
        <f>IF(OR($C21="",$B$2="",$D$2=0),0,IF(Z$3&lt;0,0,N(INDEX('CURVA PREVISION'!$A$1:$KZ$3000,$C21,10+3*MIN(Z$3,$D$2-1)))))</f>
        <v/>
      </c>
      <c r="AA21" s="130">
        <f>IF(OR($C21="",$B$2="",$D$2=0),0,IF(AA$3&lt;0,0,N(INDEX('CURVA PREVISION'!$A$1:$KZ$3000,$C21,10+3*MIN(AA$3,$D$2-1)))))</f>
        <v/>
      </c>
      <c r="AB21" s="130">
        <f>IF(OR($C21="",$B$2="",$D$2=0),0,IF(AB$3&lt;0,0,N(INDEX('CURVA PREVISION'!$A$1:$KZ$3000,$C21,10+3*MIN(AB$3,$D$2-1)))))</f>
        <v/>
      </c>
      <c r="AC21" s="130">
        <f>IF(OR($C21="",$B$2="",$D$2=0),0,IF(AC$3&lt;0,0,N(INDEX('CURVA PREVISION'!$A$1:$KZ$3000,$C21,10+3*MIN(AC$3,$D$2-1)))))</f>
        <v/>
      </c>
      <c r="AD21" s="130">
        <f>IF(OR($C21="",$B$2="",$D$2=0),0,IF(AD$3&lt;0,0,N(INDEX('CURVA PREVISION'!$A$1:$KZ$3000,$C21,10+3*MIN(AD$3,$D$2-1)))))</f>
        <v/>
      </c>
      <c r="AE21" s="130">
        <f>IF(OR($C21="",$B$2="",$D$2=0),0,IF(AE$3&lt;0,0,N(INDEX('CURVA PREVISION'!$A$1:$KZ$3000,$C21,10+3*MIN(AE$3,$D$2-1)))))</f>
        <v/>
      </c>
      <c r="AF21" s="130">
        <f>IF(OR($C21="",$B$2="",$D$2=0),0,IF(AF$3&lt;0,0,N(INDEX('CURVA PREVISION'!$A$1:$KZ$3000,$C21,10+3*MIN(AF$3,$D$2-1)))))</f>
        <v/>
      </c>
      <c r="AG21" s="130">
        <f>IF(OR($C21="",$B$2="",$D$2=0),0,IF(AG$3&lt;0,0,N(INDEX('CURVA PREVISION'!$A$1:$KZ$3000,$C21,10+3*MIN(AG$3,$D$2-1)))))</f>
        <v/>
      </c>
      <c r="AH21" s="130">
        <f>IF(OR($C21="",$B$2="",$D$2=0),0,IF(AH$3&lt;0,0,N(INDEX('CURVA PREVISION'!$A$1:$KZ$3000,$C21,10+3*MIN(AH$3,$D$2-1)))))</f>
        <v/>
      </c>
      <c r="AI21" s="130">
        <f>IF(OR($C21="",$B$2="",$D$2=0),0,IF(AI$3&lt;0,0,N(INDEX('CURVA PREVISION'!$A$1:$KZ$3000,$C21,10+3*MIN(AI$3,$D$2-1)))))</f>
        <v/>
      </c>
      <c r="AJ21" s="130">
        <f>IF(OR($C21="",$B$2="",$D$2=0),0,IF(AJ$3&lt;0,0,N(INDEX('CURVA PREVISION'!$A$1:$KZ$3000,$C21,10+3*MIN(AJ$3,$D$2-1)))))</f>
        <v/>
      </c>
      <c r="AK21" s="130">
        <f>IF(OR($C21="",$B$2="",$D$2=0),0,IF(AK$3&lt;0,0,N(INDEX('CURVA PREVISION'!$A$1:$KZ$3000,$C21,10+3*MIN(AK$3,$D$2-1)))))</f>
        <v/>
      </c>
      <c r="AL21" s="130">
        <f>IF(OR($C21="",$B$2="",$D$2=0),0,IF(AL$3&lt;0,0,N(INDEX('CURVA PREVISION'!$A$1:$KZ$3000,$C21,10+3*MIN(AL$3,$D$2-1)))))</f>
        <v/>
      </c>
      <c r="AM21" s="130">
        <f>IF(OR($C21="",$B$2="",$D$2=0),0,IF(AM$3&lt;0,0,N(INDEX('CURVA PREVISION'!$A$1:$KZ$3000,$C21,10+3*MIN(AM$3,$D$2-1)))))</f>
        <v/>
      </c>
      <c r="AN21" s="130">
        <f>IF(OR($C21="",$B$2="",$D$2=0),0,IF(AN$3&lt;0,0,N(INDEX('CURVA PREVISION'!$A$1:$KZ$3000,$C21,10+3*MIN(AN$3,$D$2-1)))))</f>
        <v/>
      </c>
      <c r="AO21" s="130">
        <f>IF(OR($C21="",$B$2="",$D$2=0),0,IF(AO$3&lt;0,0,N(INDEX('CURVA PREVISION'!$A$1:$KZ$3000,$C21,10+3*MIN(AO$3,$D$2-1)))))</f>
        <v/>
      </c>
      <c r="AP21" s="130">
        <f>IF(OR($C21="",$B$2="",$D$2=0),0,IF(AP$3&lt;0,0,N(INDEX('CURVA PREVISION'!$A$1:$KZ$3000,$C21,10+3*MIN(AP$3,$D$2-1)))))</f>
        <v/>
      </c>
      <c r="AQ21" s="130">
        <f>IF(OR($C21="",$B$2="",$D$2=0),0,IF(AQ$3&lt;0,0,N(INDEX('CURVA PREVISION'!$A$1:$KZ$3000,$C21,10+3*MIN(AQ$3,$D$2-1)))))</f>
        <v/>
      </c>
      <c r="AR21" s="130">
        <f>IF(OR($C21="",$B$2="",$D$2=0),0,IF(AR$3&lt;0,0,N(INDEX('CURVA PREVISION'!$A$1:$KZ$3000,$C21,10+3*MIN(AR$3,$D$2-1)))))</f>
        <v/>
      </c>
      <c r="AS21" s="130">
        <f>IF(OR($C21="",$B$2="",$D$2=0),0,IF(AS$3&lt;0,0,N(INDEX('CURVA PREVISION'!$A$1:$KZ$3000,$C21,10+3*MIN(AS$3,$D$2-1)))))</f>
        <v/>
      </c>
      <c r="AT21" s="130">
        <f>IF(OR($C21="",$B$2="",$D$2=0),0,IF(AT$3&lt;0,0,N(INDEX('CURVA PREVISION'!$A$1:$KZ$3000,$C21,10+3*MIN(AT$3,$D$2-1)))))</f>
        <v/>
      </c>
      <c r="AU21" s="130">
        <f>IF(OR($C21="",$B$2="",$D$2=0),0,IF(AU$3&lt;0,0,N(INDEX('CURVA PREVISION'!$A$1:$KZ$3000,$C21,10+3*MIN(AU$3,$D$2-1)))))</f>
        <v/>
      </c>
      <c r="AV21" s="130">
        <f>IF(OR($C21="",$B$2="",$D$2=0),0,IF(AV$3&lt;0,0,N(INDEX('CURVA PREVISION'!$A$1:$KZ$3000,$C21,10+3*MIN(AV$3,$D$2-1)))))</f>
        <v/>
      </c>
      <c r="AW21" s="130">
        <f>IF(OR($C21="",$B$2="",$D$2=0),0,IF(AW$3&lt;0,0,N(INDEX('CURVA PREVISION'!$A$1:$KZ$3000,$C21,10+3*MIN(AW$3,$D$2-1)))))</f>
        <v/>
      </c>
      <c r="AX21" s="130">
        <f>IF(OR($C21="",$B$2="",$D$2=0),0,IF(AX$3&lt;0,0,N(INDEX('CURVA PREVISION'!$A$1:$KZ$3000,$C21,10+3*MIN(AX$3,$D$2-1)))))</f>
        <v/>
      </c>
      <c r="AY21" s="130">
        <f>IF(OR($C21="",$B$2="",$D$2=0),0,IF(AY$3&lt;0,0,N(INDEX('CURVA PREVISION'!$A$1:$KZ$3000,$C21,10+3*MIN(AY$3,$D$2-1)))))</f>
        <v/>
      </c>
      <c r="AZ21" s="130">
        <f>IF(OR($C21="",$B$2="",$D$2=0),0,IF(AZ$3&lt;0,0,N(INDEX('CURVA PREVISION'!$A$1:$KZ$3000,$C21,10+3*MIN(AZ$3,$D$2-1)))))</f>
        <v/>
      </c>
      <c r="BA21" s="130">
        <f>IF(OR($C21="",$B$2="",$D$2=0),0,IF(BA$3&lt;0,0,N(INDEX('CURVA PREVISION'!$A$1:$KZ$3000,$C21,10+3*MIN(BA$3,$D$2-1)))))</f>
        <v/>
      </c>
      <c r="BB21" s="130">
        <f>IF(OR($C21="",$B$2="",$D$2=0),0,IF(BB$3&lt;0,0,N(INDEX('CURVA PREVISION'!$A$1:$KZ$3000,$C21,10+3*MIN(BB$3,$D$2-1)))))</f>
        <v/>
      </c>
      <c r="BC21" s="130">
        <f>IF(OR($C21="",$B$2="",$D$2=0),0,IF(BC$3&lt;0,0,N(INDEX('CURVA PREVISION'!$A$1:$KZ$3000,$C21,10+3*MIN(BC$3,$D$2-1)))))</f>
        <v/>
      </c>
      <c r="BD21" s="130">
        <f>IF(OR($C21="",$B$2="",$D$2=0),0,IF(BD$3&lt;0,0,N(INDEX('CURVA PREVISION'!$A$1:$KZ$3000,$C21,10+3*MIN(BD$3,$D$2-1)))))</f>
        <v/>
      </c>
      <c r="BE21" s="130">
        <f>IF(OR($C21="",$B$2="",$D$2=0),0,IF(BE$3&lt;0,0,N(INDEX('CURVA PREVISION'!$A$1:$KZ$3000,$C21,10+3*MIN(BE$3,$D$2-1)))))</f>
        <v/>
      </c>
      <c r="BF21" s="130">
        <f>IF(OR($C21="",$B$2="",$D$2=0),0,IF(BF$3&lt;0,0,N(INDEX('CURVA PREVISION'!$A$1:$KZ$3000,$C21,10+3*MIN(BF$3,$D$2-1)))))</f>
        <v/>
      </c>
      <c r="BG21" s="130">
        <f>IF(OR($C21="",$B$2="",$D$2=0),0,IF(BG$3&lt;0,0,N(INDEX('CURVA PREVISION'!$A$1:$KZ$3000,$C21,10+3*MIN(BG$3,$D$2-1)))))</f>
        <v/>
      </c>
      <c r="BH21" s="130">
        <f>IF(OR($C21="",$B$2="",$D$2=0),0,IF(BH$3&lt;0,0,N(INDEX('CURVA PREVISION'!$A$1:$KZ$3000,$C21,10+3*MIN(BH$3,$D$2-1)))))</f>
        <v/>
      </c>
      <c r="BI21" s="130">
        <f>IF(OR($C21="",$B$2="",$D$2=0),0,IF(BI$3&lt;0,0,N(INDEX('CURVA PREVISION'!$A$1:$KZ$3000,$C21,10+3*MIN(BI$3,$D$2-1)))))</f>
        <v/>
      </c>
      <c r="BJ21" s="130">
        <f>IF(OR($C21="",$B$2="",$D$2=0),0,IF(BJ$3&lt;0,0,N(INDEX('CURVA PREVISION'!$A$1:$KZ$3000,$C21,10+3*MIN(BJ$3,$D$2-1)))))</f>
        <v/>
      </c>
      <c r="BK21" s="130">
        <f>IF(OR($C21="",$B$2="",$D$2=0),0,IF(BK$3&lt;0,0,N(INDEX('CURVA PREVISION'!$A$1:$KZ$3000,$C21,10+3*MIN(BK$3,$D$2-1)))))</f>
        <v/>
      </c>
      <c r="BL21" s="130">
        <f>IF(OR($C21="",$B$2="",$D$2=0),0,IF(BL$3&lt;0,0,N(INDEX('CURVA PREVISION'!$A$1:$KZ$3000,$C21,10+3*MIN(BL$3,$D$2-1)))))</f>
        <v/>
      </c>
      <c r="BM21" s="130">
        <f>IF(OR($C21="",$B$2="",$D$2=0),0,IF(BM$3&lt;0,0,N(INDEX('CURVA PREVISION'!$A$1:$KZ$3000,$C21,10+3*MIN(BM$3,$D$2-1)))))</f>
        <v/>
      </c>
      <c r="BN21" s="130">
        <f>IF(OR($C21="",$B$2="",$D$2=0),0,IF(BN$3&lt;0,0,N(INDEX('CURVA PREVISION'!$A$1:$KZ$3000,$C21,10+3*MIN(BN$3,$D$2-1)))))</f>
        <v/>
      </c>
      <c r="BO21" s="130">
        <f>IF(OR($C21="",$B$2="",$D$2=0),0,IF(BO$3&lt;0,0,N(INDEX('CURVA PREVISION'!$A$1:$KZ$3000,$C21,10+3*MIN(BO$3,$D$2-1)))))</f>
        <v/>
      </c>
      <c r="BP21" s="130">
        <f>IF(OR($C21="",$B$2="",$D$2=0),0,IF(BP$3&lt;0,0,N(INDEX('CURVA PREVISION'!$A$1:$KZ$3000,$C21,10+3*MIN(BP$3,$D$2-1)))))</f>
        <v/>
      </c>
      <c r="BQ21" s="130">
        <f>IF(OR($C21="",$B$2="",$D$2=0),0,IF(BQ$3&lt;0,0,N(INDEX('CURVA PREVISION'!$A$1:$KZ$3000,$C21,10+3*MIN(BQ$3,$D$2-1)))))</f>
        <v/>
      </c>
      <c r="BR21" s="130">
        <f>IF(OR($C21="",$B$2="",$D$2=0),0,IF(BR$3&lt;0,0,N(INDEX('CURVA PREVISION'!$A$1:$KZ$3000,$C21,10+3*MIN(BR$3,$D$2-1)))))</f>
        <v/>
      </c>
      <c r="BS21" s="130">
        <f>IF(OR($C21="",$B$2="",$D$2=0),0,IF(BS$3&lt;0,0,N(INDEX('CURVA PREVISION'!$A$1:$KZ$3000,$C21,10+3*MIN(BS$3,$D$2-1)))))</f>
        <v/>
      </c>
      <c r="BT21" s="130">
        <f>IF(OR($C21="",$B$2="",$D$2=0),0,IF(BT$3&lt;0,0,N(INDEX('CURVA PREVISION'!$A$1:$KZ$3000,$C21,10+3*MIN(BT$3,$D$2-1)))))</f>
        <v/>
      </c>
      <c r="BU21" s="130">
        <f>IF(OR($C21="",$B$2="",$D$2=0),0,IF(BU$3&lt;0,0,N(INDEX('CURVA PREVISION'!$A$1:$KZ$3000,$C21,10+3*MIN(BU$3,$D$2-1)))))</f>
        <v/>
      </c>
      <c r="BV21" s="130">
        <f>IF(OR($C21="",$B$2="",$D$2=0),0,IF(BV$3&lt;0,0,N(INDEX('CURVA PREVISION'!$A$1:$KZ$3000,$C21,10+3*MIN(BV$3,$D$2-1)))))</f>
        <v/>
      </c>
      <c r="BW21" s="130">
        <f>IF(OR($C21="",$B$2="",$D$2=0),0,IF(BW$3&lt;0,0,N(INDEX('CURVA PREVISION'!$A$1:$KZ$3000,$C21,10+3*MIN(BW$3,$D$2-1)))))</f>
        <v/>
      </c>
    </row>
    <row r="22">
      <c r="A22" s="61">
        <f>IF('VALOR POR PL'!R28&lt;&gt;"",'VALOR POR PL'!R28,IF('VALOR POR PL'!Q28="",'VALOR POR PL'!C28,'VALOR POR PL'!Q28))</f>
        <v/>
      </c>
      <c r="B22" s="61">
        <f>'VALOR POR PL'!D28</f>
        <v/>
      </c>
      <c r="C22" s="70">
        <f>IFERROR(MATCH(A22,'CURVA PREVISION'!$B$1:$B$3000,0),"")</f>
        <v/>
      </c>
      <c r="D22" s="130">
        <f>IF(OR($C22="",$B$2="",$D$2=0),0,IF(D$3&lt;0,0,N(INDEX('CURVA PREVISION'!$A$1:$KZ$3000,$C22,10+3*MIN(D$3,$D$2-1)))))</f>
        <v/>
      </c>
      <c r="E22" s="130">
        <f>IF(OR($C22="",$B$2="",$D$2=0),0,IF(E$3&lt;0,0,N(INDEX('CURVA PREVISION'!$A$1:$KZ$3000,$C22,10+3*MIN(E$3,$D$2-1)))))</f>
        <v/>
      </c>
      <c r="F22" s="130">
        <f>IF(OR($C22="",$B$2="",$D$2=0),0,IF(F$3&lt;0,0,N(INDEX('CURVA PREVISION'!$A$1:$KZ$3000,$C22,10+3*MIN(F$3,$D$2-1)))))</f>
        <v/>
      </c>
      <c r="G22" s="130">
        <f>IF(OR($C22="",$B$2="",$D$2=0),0,IF(G$3&lt;0,0,N(INDEX('CURVA PREVISION'!$A$1:$KZ$3000,$C22,10+3*MIN(G$3,$D$2-1)))))</f>
        <v/>
      </c>
      <c r="H22" s="130">
        <f>IF(OR($C22="",$B$2="",$D$2=0),0,IF(H$3&lt;0,0,N(INDEX('CURVA PREVISION'!$A$1:$KZ$3000,$C22,10+3*MIN(H$3,$D$2-1)))))</f>
        <v/>
      </c>
      <c r="I22" s="130">
        <f>IF(OR($C22="",$B$2="",$D$2=0),0,IF(I$3&lt;0,0,N(INDEX('CURVA PREVISION'!$A$1:$KZ$3000,$C22,10+3*MIN(I$3,$D$2-1)))))</f>
        <v/>
      </c>
      <c r="J22" s="130">
        <f>IF(OR($C22="",$B$2="",$D$2=0),0,IF(J$3&lt;0,0,N(INDEX('CURVA PREVISION'!$A$1:$KZ$3000,$C22,10+3*MIN(J$3,$D$2-1)))))</f>
        <v/>
      </c>
      <c r="K22" s="130">
        <f>IF(OR($C22="",$B$2="",$D$2=0),0,IF(K$3&lt;0,0,N(INDEX('CURVA PREVISION'!$A$1:$KZ$3000,$C22,10+3*MIN(K$3,$D$2-1)))))</f>
        <v/>
      </c>
      <c r="L22" s="130">
        <f>IF(OR($C22="",$B$2="",$D$2=0),0,IF(L$3&lt;0,0,N(INDEX('CURVA PREVISION'!$A$1:$KZ$3000,$C22,10+3*MIN(L$3,$D$2-1)))))</f>
        <v/>
      </c>
      <c r="M22" s="130">
        <f>IF(OR($C22="",$B$2="",$D$2=0),0,IF(M$3&lt;0,0,N(INDEX('CURVA PREVISION'!$A$1:$KZ$3000,$C22,10+3*MIN(M$3,$D$2-1)))))</f>
        <v/>
      </c>
      <c r="N22" s="130">
        <f>IF(OR($C22="",$B$2="",$D$2=0),0,IF(N$3&lt;0,0,N(INDEX('CURVA PREVISION'!$A$1:$KZ$3000,$C22,10+3*MIN(N$3,$D$2-1)))))</f>
        <v/>
      </c>
      <c r="O22" s="130">
        <f>IF(OR($C22="",$B$2="",$D$2=0),0,IF(O$3&lt;0,0,N(INDEX('CURVA PREVISION'!$A$1:$KZ$3000,$C22,10+3*MIN(O$3,$D$2-1)))))</f>
        <v/>
      </c>
      <c r="P22" s="130">
        <f>IF(OR($C22="",$B$2="",$D$2=0),0,IF(P$3&lt;0,0,N(INDEX('CURVA PREVISION'!$A$1:$KZ$3000,$C22,10+3*MIN(P$3,$D$2-1)))))</f>
        <v/>
      </c>
      <c r="Q22" s="130">
        <f>IF(OR($C22="",$B$2="",$D$2=0),0,IF(Q$3&lt;0,0,N(INDEX('CURVA PREVISION'!$A$1:$KZ$3000,$C22,10+3*MIN(Q$3,$D$2-1)))))</f>
        <v/>
      </c>
      <c r="R22" s="130">
        <f>IF(OR($C22="",$B$2="",$D$2=0),0,IF(R$3&lt;0,0,N(INDEX('CURVA PREVISION'!$A$1:$KZ$3000,$C22,10+3*MIN(R$3,$D$2-1)))))</f>
        <v/>
      </c>
      <c r="S22" s="130">
        <f>IF(OR($C22="",$B$2="",$D$2=0),0,IF(S$3&lt;0,0,N(INDEX('CURVA PREVISION'!$A$1:$KZ$3000,$C22,10+3*MIN(S$3,$D$2-1)))))</f>
        <v/>
      </c>
      <c r="T22" s="130">
        <f>IF(OR($C22="",$B$2="",$D$2=0),0,IF(T$3&lt;0,0,N(INDEX('CURVA PREVISION'!$A$1:$KZ$3000,$C22,10+3*MIN(T$3,$D$2-1)))))</f>
        <v/>
      </c>
      <c r="U22" s="130">
        <f>IF(OR($C22="",$B$2="",$D$2=0),0,IF(U$3&lt;0,0,N(INDEX('CURVA PREVISION'!$A$1:$KZ$3000,$C22,10+3*MIN(U$3,$D$2-1)))))</f>
        <v/>
      </c>
      <c r="V22" s="130">
        <f>IF(OR($C22="",$B$2="",$D$2=0),0,IF(V$3&lt;0,0,N(INDEX('CURVA PREVISION'!$A$1:$KZ$3000,$C22,10+3*MIN(V$3,$D$2-1)))))</f>
        <v/>
      </c>
      <c r="W22" s="130">
        <f>IF(OR($C22="",$B$2="",$D$2=0),0,IF(W$3&lt;0,0,N(INDEX('CURVA PREVISION'!$A$1:$KZ$3000,$C22,10+3*MIN(W$3,$D$2-1)))))</f>
        <v/>
      </c>
      <c r="X22" s="130">
        <f>IF(OR($C22="",$B$2="",$D$2=0),0,IF(X$3&lt;0,0,N(INDEX('CURVA PREVISION'!$A$1:$KZ$3000,$C22,10+3*MIN(X$3,$D$2-1)))))</f>
        <v/>
      </c>
      <c r="Y22" s="130">
        <f>IF(OR($C22="",$B$2="",$D$2=0),0,IF(Y$3&lt;0,0,N(INDEX('CURVA PREVISION'!$A$1:$KZ$3000,$C22,10+3*MIN(Y$3,$D$2-1)))))</f>
        <v/>
      </c>
      <c r="Z22" s="130">
        <f>IF(OR($C22="",$B$2="",$D$2=0),0,IF(Z$3&lt;0,0,N(INDEX('CURVA PREVISION'!$A$1:$KZ$3000,$C22,10+3*MIN(Z$3,$D$2-1)))))</f>
        <v/>
      </c>
      <c r="AA22" s="130">
        <f>IF(OR($C22="",$B$2="",$D$2=0),0,IF(AA$3&lt;0,0,N(INDEX('CURVA PREVISION'!$A$1:$KZ$3000,$C22,10+3*MIN(AA$3,$D$2-1)))))</f>
        <v/>
      </c>
      <c r="AB22" s="130">
        <f>IF(OR($C22="",$B$2="",$D$2=0),0,IF(AB$3&lt;0,0,N(INDEX('CURVA PREVISION'!$A$1:$KZ$3000,$C22,10+3*MIN(AB$3,$D$2-1)))))</f>
        <v/>
      </c>
      <c r="AC22" s="130">
        <f>IF(OR($C22="",$B$2="",$D$2=0),0,IF(AC$3&lt;0,0,N(INDEX('CURVA PREVISION'!$A$1:$KZ$3000,$C22,10+3*MIN(AC$3,$D$2-1)))))</f>
        <v/>
      </c>
      <c r="AD22" s="130">
        <f>IF(OR($C22="",$B$2="",$D$2=0),0,IF(AD$3&lt;0,0,N(INDEX('CURVA PREVISION'!$A$1:$KZ$3000,$C22,10+3*MIN(AD$3,$D$2-1)))))</f>
        <v/>
      </c>
      <c r="AE22" s="130">
        <f>IF(OR($C22="",$B$2="",$D$2=0),0,IF(AE$3&lt;0,0,N(INDEX('CURVA PREVISION'!$A$1:$KZ$3000,$C22,10+3*MIN(AE$3,$D$2-1)))))</f>
        <v/>
      </c>
      <c r="AF22" s="130">
        <f>IF(OR($C22="",$B$2="",$D$2=0),0,IF(AF$3&lt;0,0,N(INDEX('CURVA PREVISION'!$A$1:$KZ$3000,$C22,10+3*MIN(AF$3,$D$2-1)))))</f>
        <v/>
      </c>
      <c r="AG22" s="130">
        <f>IF(OR($C22="",$B$2="",$D$2=0),0,IF(AG$3&lt;0,0,N(INDEX('CURVA PREVISION'!$A$1:$KZ$3000,$C22,10+3*MIN(AG$3,$D$2-1)))))</f>
        <v/>
      </c>
      <c r="AH22" s="130">
        <f>IF(OR($C22="",$B$2="",$D$2=0),0,IF(AH$3&lt;0,0,N(INDEX('CURVA PREVISION'!$A$1:$KZ$3000,$C22,10+3*MIN(AH$3,$D$2-1)))))</f>
        <v/>
      </c>
      <c r="AI22" s="130">
        <f>IF(OR($C22="",$B$2="",$D$2=0),0,IF(AI$3&lt;0,0,N(INDEX('CURVA PREVISION'!$A$1:$KZ$3000,$C22,10+3*MIN(AI$3,$D$2-1)))))</f>
        <v/>
      </c>
      <c r="AJ22" s="130">
        <f>IF(OR($C22="",$B$2="",$D$2=0),0,IF(AJ$3&lt;0,0,N(INDEX('CURVA PREVISION'!$A$1:$KZ$3000,$C22,10+3*MIN(AJ$3,$D$2-1)))))</f>
        <v/>
      </c>
      <c r="AK22" s="130">
        <f>IF(OR($C22="",$B$2="",$D$2=0),0,IF(AK$3&lt;0,0,N(INDEX('CURVA PREVISION'!$A$1:$KZ$3000,$C22,10+3*MIN(AK$3,$D$2-1)))))</f>
        <v/>
      </c>
      <c r="AL22" s="130">
        <f>IF(OR($C22="",$B$2="",$D$2=0),0,IF(AL$3&lt;0,0,N(INDEX('CURVA PREVISION'!$A$1:$KZ$3000,$C22,10+3*MIN(AL$3,$D$2-1)))))</f>
        <v/>
      </c>
      <c r="AM22" s="130">
        <f>IF(OR($C22="",$B$2="",$D$2=0),0,IF(AM$3&lt;0,0,N(INDEX('CURVA PREVISION'!$A$1:$KZ$3000,$C22,10+3*MIN(AM$3,$D$2-1)))))</f>
        <v/>
      </c>
      <c r="AN22" s="130">
        <f>IF(OR($C22="",$B$2="",$D$2=0),0,IF(AN$3&lt;0,0,N(INDEX('CURVA PREVISION'!$A$1:$KZ$3000,$C22,10+3*MIN(AN$3,$D$2-1)))))</f>
        <v/>
      </c>
      <c r="AO22" s="130">
        <f>IF(OR($C22="",$B$2="",$D$2=0),0,IF(AO$3&lt;0,0,N(INDEX('CURVA PREVISION'!$A$1:$KZ$3000,$C22,10+3*MIN(AO$3,$D$2-1)))))</f>
        <v/>
      </c>
      <c r="AP22" s="130">
        <f>IF(OR($C22="",$B$2="",$D$2=0),0,IF(AP$3&lt;0,0,N(INDEX('CURVA PREVISION'!$A$1:$KZ$3000,$C22,10+3*MIN(AP$3,$D$2-1)))))</f>
        <v/>
      </c>
      <c r="AQ22" s="130">
        <f>IF(OR($C22="",$B$2="",$D$2=0),0,IF(AQ$3&lt;0,0,N(INDEX('CURVA PREVISION'!$A$1:$KZ$3000,$C22,10+3*MIN(AQ$3,$D$2-1)))))</f>
        <v/>
      </c>
      <c r="AR22" s="130">
        <f>IF(OR($C22="",$B$2="",$D$2=0),0,IF(AR$3&lt;0,0,N(INDEX('CURVA PREVISION'!$A$1:$KZ$3000,$C22,10+3*MIN(AR$3,$D$2-1)))))</f>
        <v/>
      </c>
      <c r="AS22" s="130">
        <f>IF(OR($C22="",$B$2="",$D$2=0),0,IF(AS$3&lt;0,0,N(INDEX('CURVA PREVISION'!$A$1:$KZ$3000,$C22,10+3*MIN(AS$3,$D$2-1)))))</f>
        <v/>
      </c>
      <c r="AT22" s="130">
        <f>IF(OR($C22="",$B$2="",$D$2=0),0,IF(AT$3&lt;0,0,N(INDEX('CURVA PREVISION'!$A$1:$KZ$3000,$C22,10+3*MIN(AT$3,$D$2-1)))))</f>
        <v/>
      </c>
      <c r="AU22" s="130">
        <f>IF(OR($C22="",$B$2="",$D$2=0),0,IF(AU$3&lt;0,0,N(INDEX('CURVA PREVISION'!$A$1:$KZ$3000,$C22,10+3*MIN(AU$3,$D$2-1)))))</f>
        <v/>
      </c>
      <c r="AV22" s="130">
        <f>IF(OR($C22="",$B$2="",$D$2=0),0,IF(AV$3&lt;0,0,N(INDEX('CURVA PREVISION'!$A$1:$KZ$3000,$C22,10+3*MIN(AV$3,$D$2-1)))))</f>
        <v/>
      </c>
      <c r="AW22" s="130">
        <f>IF(OR($C22="",$B$2="",$D$2=0),0,IF(AW$3&lt;0,0,N(INDEX('CURVA PREVISION'!$A$1:$KZ$3000,$C22,10+3*MIN(AW$3,$D$2-1)))))</f>
        <v/>
      </c>
      <c r="AX22" s="130">
        <f>IF(OR($C22="",$B$2="",$D$2=0),0,IF(AX$3&lt;0,0,N(INDEX('CURVA PREVISION'!$A$1:$KZ$3000,$C22,10+3*MIN(AX$3,$D$2-1)))))</f>
        <v/>
      </c>
      <c r="AY22" s="130">
        <f>IF(OR($C22="",$B$2="",$D$2=0),0,IF(AY$3&lt;0,0,N(INDEX('CURVA PREVISION'!$A$1:$KZ$3000,$C22,10+3*MIN(AY$3,$D$2-1)))))</f>
        <v/>
      </c>
      <c r="AZ22" s="130">
        <f>IF(OR($C22="",$B$2="",$D$2=0),0,IF(AZ$3&lt;0,0,N(INDEX('CURVA PREVISION'!$A$1:$KZ$3000,$C22,10+3*MIN(AZ$3,$D$2-1)))))</f>
        <v/>
      </c>
      <c r="BA22" s="130">
        <f>IF(OR($C22="",$B$2="",$D$2=0),0,IF(BA$3&lt;0,0,N(INDEX('CURVA PREVISION'!$A$1:$KZ$3000,$C22,10+3*MIN(BA$3,$D$2-1)))))</f>
        <v/>
      </c>
      <c r="BB22" s="130">
        <f>IF(OR($C22="",$B$2="",$D$2=0),0,IF(BB$3&lt;0,0,N(INDEX('CURVA PREVISION'!$A$1:$KZ$3000,$C22,10+3*MIN(BB$3,$D$2-1)))))</f>
        <v/>
      </c>
      <c r="BC22" s="130">
        <f>IF(OR($C22="",$B$2="",$D$2=0),0,IF(BC$3&lt;0,0,N(INDEX('CURVA PREVISION'!$A$1:$KZ$3000,$C22,10+3*MIN(BC$3,$D$2-1)))))</f>
        <v/>
      </c>
      <c r="BD22" s="130">
        <f>IF(OR($C22="",$B$2="",$D$2=0),0,IF(BD$3&lt;0,0,N(INDEX('CURVA PREVISION'!$A$1:$KZ$3000,$C22,10+3*MIN(BD$3,$D$2-1)))))</f>
        <v/>
      </c>
      <c r="BE22" s="130">
        <f>IF(OR($C22="",$B$2="",$D$2=0),0,IF(BE$3&lt;0,0,N(INDEX('CURVA PREVISION'!$A$1:$KZ$3000,$C22,10+3*MIN(BE$3,$D$2-1)))))</f>
        <v/>
      </c>
      <c r="BF22" s="130">
        <f>IF(OR($C22="",$B$2="",$D$2=0),0,IF(BF$3&lt;0,0,N(INDEX('CURVA PREVISION'!$A$1:$KZ$3000,$C22,10+3*MIN(BF$3,$D$2-1)))))</f>
        <v/>
      </c>
      <c r="BG22" s="130">
        <f>IF(OR($C22="",$B$2="",$D$2=0),0,IF(BG$3&lt;0,0,N(INDEX('CURVA PREVISION'!$A$1:$KZ$3000,$C22,10+3*MIN(BG$3,$D$2-1)))))</f>
        <v/>
      </c>
      <c r="BH22" s="130">
        <f>IF(OR($C22="",$B$2="",$D$2=0),0,IF(BH$3&lt;0,0,N(INDEX('CURVA PREVISION'!$A$1:$KZ$3000,$C22,10+3*MIN(BH$3,$D$2-1)))))</f>
        <v/>
      </c>
      <c r="BI22" s="130">
        <f>IF(OR($C22="",$B$2="",$D$2=0),0,IF(BI$3&lt;0,0,N(INDEX('CURVA PREVISION'!$A$1:$KZ$3000,$C22,10+3*MIN(BI$3,$D$2-1)))))</f>
        <v/>
      </c>
      <c r="BJ22" s="130">
        <f>IF(OR($C22="",$B$2="",$D$2=0),0,IF(BJ$3&lt;0,0,N(INDEX('CURVA PREVISION'!$A$1:$KZ$3000,$C22,10+3*MIN(BJ$3,$D$2-1)))))</f>
        <v/>
      </c>
      <c r="BK22" s="130">
        <f>IF(OR($C22="",$B$2="",$D$2=0),0,IF(BK$3&lt;0,0,N(INDEX('CURVA PREVISION'!$A$1:$KZ$3000,$C22,10+3*MIN(BK$3,$D$2-1)))))</f>
        <v/>
      </c>
      <c r="BL22" s="130">
        <f>IF(OR($C22="",$B$2="",$D$2=0),0,IF(BL$3&lt;0,0,N(INDEX('CURVA PREVISION'!$A$1:$KZ$3000,$C22,10+3*MIN(BL$3,$D$2-1)))))</f>
        <v/>
      </c>
      <c r="BM22" s="130">
        <f>IF(OR($C22="",$B$2="",$D$2=0),0,IF(BM$3&lt;0,0,N(INDEX('CURVA PREVISION'!$A$1:$KZ$3000,$C22,10+3*MIN(BM$3,$D$2-1)))))</f>
        <v/>
      </c>
      <c r="BN22" s="130">
        <f>IF(OR($C22="",$B$2="",$D$2=0),0,IF(BN$3&lt;0,0,N(INDEX('CURVA PREVISION'!$A$1:$KZ$3000,$C22,10+3*MIN(BN$3,$D$2-1)))))</f>
        <v/>
      </c>
      <c r="BO22" s="130">
        <f>IF(OR($C22="",$B$2="",$D$2=0),0,IF(BO$3&lt;0,0,N(INDEX('CURVA PREVISION'!$A$1:$KZ$3000,$C22,10+3*MIN(BO$3,$D$2-1)))))</f>
        <v/>
      </c>
      <c r="BP22" s="130">
        <f>IF(OR($C22="",$B$2="",$D$2=0),0,IF(BP$3&lt;0,0,N(INDEX('CURVA PREVISION'!$A$1:$KZ$3000,$C22,10+3*MIN(BP$3,$D$2-1)))))</f>
        <v/>
      </c>
      <c r="BQ22" s="130">
        <f>IF(OR($C22="",$B$2="",$D$2=0),0,IF(BQ$3&lt;0,0,N(INDEX('CURVA PREVISION'!$A$1:$KZ$3000,$C22,10+3*MIN(BQ$3,$D$2-1)))))</f>
        <v/>
      </c>
      <c r="BR22" s="130">
        <f>IF(OR($C22="",$B$2="",$D$2=0),0,IF(BR$3&lt;0,0,N(INDEX('CURVA PREVISION'!$A$1:$KZ$3000,$C22,10+3*MIN(BR$3,$D$2-1)))))</f>
        <v/>
      </c>
      <c r="BS22" s="130">
        <f>IF(OR($C22="",$B$2="",$D$2=0),0,IF(BS$3&lt;0,0,N(INDEX('CURVA PREVISION'!$A$1:$KZ$3000,$C22,10+3*MIN(BS$3,$D$2-1)))))</f>
        <v/>
      </c>
      <c r="BT22" s="130">
        <f>IF(OR($C22="",$B$2="",$D$2=0),0,IF(BT$3&lt;0,0,N(INDEX('CURVA PREVISION'!$A$1:$KZ$3000,$C22,10+3*MIN(BT$3,$D$2-1)))))</f>
        <v/>
      </c>
      <c r="BU22" s="130">
        <f>IF(OR($C22="",$B$2="",$D$2=0),0,IF(BU$3&lt;0,0,N(INDEX('CURVA PREVISION'!$A$1:$KZ$3000,$C22,10+3*MIN(BU$3,$D$2-1)))))</f>
        <v/>
      </c>
      <c r="BV22" s="130">
        <f>IF(OR($C22="",$B$2="",$D$2=0),0,IF(BV$3&lt;0,0,N(INDEX('CURVA PREVISION'!$A$1:$KZ$3000,$C22,10+3*MIN(BV$3,$D$2-1)))))</f>
        <v/>
      </c>
      <c r="BW22" s="130">
        <f>IF(OR($C22="",$B$2="",$D$2=0),0,IF(BW$3&lt;0,0,N(INDEX('CURVA PREVISION'!$A$1:$KZ$3000,$C22,10+3*MIN(BW$3,$D$2-1)))))</f>
        <v/>
      </c>
    </row>
    <row r="23">
      <c r="A23" s="61">
        <f>IF('VALOR POR PL'!R29&lt;&gt;"",'VALOR POR PL'!R29,IF('VALOR POR PL'!Q29="",'VALOR POR PL'!C29,'VALOR POR PL'!Q29))</f>
        <v/>
      </c>
      <c r="B23" s="61">
        <f>'VALOR POR PL'!D29</f>
        <v/>
      </c>
      <c r="C23" s="70">
        <f>IFERROR(MATCH(A23,'CURVA PREVISION'!$B$1:$B$3000,0),"")</f>
        <v/>
      </c>
      <c r="D23" s="130">
        <f>IF(OR($C23="",$B$2="",$D$2=0),0,IF(D$3&lt;0,0,N(INDEX('CURVA PREVISION'!$A$1:$KZ$3000,$C23,10+3*MIN(D$3,$D$2-1)))))</f>
        <v/>
      </c>
      <c r="E23" s="130">
        <f>IF(OR($C23="",$B$2="",$D$2=0),0,IF(E$3&lt;0,0,N(INDEX('CURVA PREVISION'!$A$1:$KZ$3000,$C23,10+3*MIN(E$3,$D$2-1)))))</f>
        <v/>
      </c>
      <c r="F23" s="130">
        <f>IF(OR($C23="",$B$2="",$D$2=0),0,IF(F$3&lt;0,0,N(INDEX('CURVA PREVISION'!$A$1:$KZ$3000,$C23,10+3*MIN(F$3,$D$2-1)))))</f>
        <v/>
      </c>
      <c r="G23" s="130">
        <f>IF(OR($C23="",$B$2="",$D$2=0),0,IF(G$3&lt;0,0,N(INDEX('CURVA PREVISION'!$A$1:$KZ$3000,$C23,10+3*MIN(G$3,$D$2-1)))))</f>
        <v/>
      </c>
      <c r="H23" s="130">
        <f>IF(OR($C23="",$B$2="",$D$2=0),0,IF(H$3&lt;0,0,N(INDEX('CURVA PREVISION'!$A$1:$KZ$3000,$C23,10+3*MIN(H$3,$D$2-1)))))</f>
        <v/>
      </c>
      <c r="I23" s="130">
        <f>IF(OR($C23="",$B$2="",$D$2=0),0,IF(I$3&lt;0,0,N(INDEX('CURVA PREVISION'!$A$1:$KZ$3000,$C23,10+3*MIN(I$3,$D$2-1)))))</f>
        <v/>
      </c>
      <c r="J23" s="130">
        <f>IF(OR($C23="",$B$2="",$D$2=0),0,IF(J$3&lt;0,0,N(INDEX('CURVA PREVISION'!$A$1:$KZ$3000,$C23,10+3*MIN(J$3,$D$2-1)))))</f>
        <v/>
      </c>
      <c r="K23" s="130">
        <f>IF(OR($C23="",$B$2="",$D$2=0),0,IF(K$3&lt;0,0,N(INDEX('CURVA PREVISION'!$A$1:$KZ$3000,$C23,10+3*MIN(K$3,$D$2-1)))))</f>
        <v/>
      </c>
      <c r="L23" s="130">
        <f>IF(OR($C23="",$B$2="",$D$2=0),0,IF(L$3&lt;0,0,N(INDEX('CURVA PREVISION'!$A$1:$KZ$3000,$C23,10+3*MIN(L$3,$D$2-1)))))</f>
        <v/>
      </c>
      <c r="M23" s="130">
        <f>IF(OR($C23="",$B$2="",$D$2=0),0,IF(M$3&lt;0,0,N(INDEX('CURVA PREVISION'!$A$1:$KZ$3000,$C23,10+3*MIN(M$3,$D$2-1)))))</f>
        <v/>
      </c>
      <c r="N23" s="130">
        <f>IF(OR($C23="",$B$2="",$D$2=0),0,IF(N$3&lt;0,0,N(INDEX('CURVA PREVISION'!$A$1:$KZ$3000,$C23,10+3*MIN(N$3,$D$2-1)))))</f>
        <v/>
      </c>
      <c r="O23" s="130">
        <f>IF(OR($C23="",$B$2="",$D$2=0),0,IF(O$3&lt;0,0,N(INDEX('CURVA PREVISION'!$A$1:$KZ$3000,$C23,10+3*MIN(O$3,$D$2-1)))))</f>
        <v/>
      </c>
      <c r="P23" s="130">
        <f>IF(OR($C23="",$B$2="",$D$2=0),0,IF(P$3&lt;0,0,N(INDEX('CURVA PREVISION'!$A$1:$KZ$3000,$C23,10+3*MIN(P$3,$D$2-1)))))</f>
        <v/>
      </c>
      <c r="Q23" s="130">
        <f>IF(OR($C23="",$B$2="",$D$2=0),0,IF(Q$3&lt;0,0,N(INDEX('CURVA PREVISION'!$A$1:$KZ$3000,$C23,10+3*MIN(Q$3,$D$2-1)))))</f>
        <v/>
      </c>
      <c r="R23" s="130">
        <f>IF(OR($C23="",$B$2="",$D$2=0),0,IF(R$3&lt;0,0,N(INDEX('CURVA PREVISION'!$A$1:$KZ$3000,$C23,10+3*MIN(R$3,$D$2-1)))))</f>
        <v/>
      </c>
      <c r="S23" s="130">
        <f>IF(OR($C23="",$B$2="",$D$2=0),0,IF(S$3&lt;0,0,N(INDEX('CURVA PREVISION'!$A$1:$KZ$3000,$C23,10+3*MIN(S$3,$D$2-1)))))</f>
        <v/>
      </c>
      <c r="T23" s="130">
        <f>IF(OR($C23="",$B$2="",$D$2=0),0,IF(T$3&lt;0,0,N(INDEX('CURVA PREVISION'!$A$1:$KZ$3000,$C23,10+3*MIN(T$3,$D$2-1)))))</f>
        <v/>
      </c>
      <c r="U23" s="130">
        <f>IF(OR($C23="",$B$2="",$D$2=0),0,IF(U$3&lt;0,0,N(INDEX('CURVA PREVISION'!$A$1:$KZ$3000,$C23,10+3*MIN(U$3,$D$2-1)))))</f>
        <v/>
      </c>
      <c r="V23" s="130">
        <f>IF(OR($C23="",$B$2="",$D$2=0),0,IF(V$3&lt;0,0,N(INDEX('CURVA PREVISION'!$A$1:$KZ$3000,$C23,10+3*MIN(V$3,$D$2-1)))))</f>
        <v/>
      </c>
      <c r="W23" s="130">
        <f>IF(OR($C23="",$B$2="",$D$2=0),0,IF(W$3&lt;0,0,N(INDEX('CURVA PREVISION'!$A$1:$KZ$3000,$C23,10+3*MIN(W$3,$D$2-1)))))</f>
        <v/>
      </c>
      <c r="X23" s="130">
        <f>IF(OR($C23="",$B$2="",$D$2=0),0,IF(X$3&lt;0,0,N(INDEX('CURVA PREVISION'!$A$1:$KZ$3000,$C23,10+3*MIN(X$3,$D$2-1)))))</f>
        <v/>
      </c>
      <c r="Y23" s="130">
        <f>IF(OR($C23="",$B$2="",$D$2=0),0,IF(Y$3&lt;0,0,N(INDEX('CURVA PREVISION'!$A$1:$KZ$3000,$C23,10+3*MIN(Y$3,$D$2-1)))))</f>
        <v/>
      </c>
      <c r="Z23" s="130">
        <f>IF(OR($C23="",$B$2="",$D$2=0),0,IF(Z$3&lt;0,0,N(INDEX('CURVA PREVISION'!$A$1:$KZ$3000,$C23,10+3*MIN(Z$3,$D$2-1)))))</f>
        <v/>
      </c>
      <c r="AA23" s="130">
        <f>IF(OR($C23="",$B$2="",$D$2=0),0,IF(AA$3&lt;0,0,N(INDEX('CURVA PREVISION'!$A$1:$KZ$3000,$C23,10+3*MIN(AA$3,$D$2-1)))))</f>
        <v/>
      </c>
      <c r="AB23" s="130">
        <f>IF(OR($C23="",$B$2="",$D$2=0),0,IF(AB$3&lt;0,0,N(INDEX('CURVA PREVISION'!$A$1:$KZ$3000,$C23,10+3*MIN(AB$3,$D$2-1)))))</f>
        <v/>
      </c>
      <c r="AC23" s="130">
        <f>IF(OR($C23="",$B$2="",$D$2=0),0,IF(AC$3&lt;0,0,N(INDEX('CURVA PREVISION'!$A$1:$KZ$3000,$C23,10+3*MIN(AC$3,$D$2-1)))))</f>
        <v/>
      </c>
      <c r="AD23" s="130">
        <f>IF(OR($C23="",$B$2="",$D$2=0),0,IF(AD$3&lt;0,0,N(INDEX('CURVA PREVISION'!$A$1:$KZ$3000,$C23,10+3*MIN(AD$3,$D$2-1)))))</f>
        <v/>
      </c>
      <c r="AE23" s="130">
        <f>IF(OR($C23="",$B$2="",$D$2=0),0,IF(AE$3&lt;0,0,N(INDEX('CURVA PREVISION'!$A$1:$KZ$3000,$C23,10+3*MIN(AE$3,$D$2-1)))))</f>
        <v/>
      </c>
      <c r="AF23" s="130">
        <f>IF(OR($C23="",$B$2="",$D$2=0),0,IF(AF$3&lt;0,0,N(INDEX('CURVA PREVISION'!$A$1:$KZ$3000,$C23,10+3*MIN(AF$3,$D$2-1)))))</f>
        <v/>
      </c>
      <c r="AG23" s="130">
        <f>IF(OR($C23="",$B$2="",$D$2=0),0,IF(AG$3&lt;0,0,N(INDEX('CURVA PREVISION'!$A$1:$KZ$3000,$C23,10+3*MIN(AG$3,$D$2-1)))))</f>
        <v/>
      </c>
      <c r="AH23" s="130">
        <f>IF(OR($C23="",$B$2="",$D$2=0),0,IF(AH$3&lt;0,0,N(INDEX('CURVA PREVISION'!$A$1:$KZ$3000,$C23,10+3*MIN(AH$3,$D$2-1)))))</f>
        <v/>
      </c>
      <c r="AI23" s="130">
        <f>IF(OR($C23="",$B$2="",$D$2=0),0,IF(AI$3&lt;0,0,N(INDEX('CURVA PREVISION'!$A$1:$KZ$3000,$C23,10+3*MIN(AI$3,$D$2-1)))))</f>
        <v/>
      </c>
      <c r="AJ23" s="130">
        <f>IF(OR($C23="",$B$2="",$D$2=0),0,IF(AJ$3&lt;0,0,N(INDEX('CURVA PREVISION'!$A$1:$KZ$3000,$C23,10+3*MIN(AJ$3,$D$2-1)))))</f>
        <v/>
      </c>
      <c r="AK23" s="130">
        <f>IF(OR($C23="",$B$2="",$D$2=0),0,IF(AK$3&lt;0,0,N(INDEX('CURVA PREVISION'!$A$1:$KZ$3000,$C23,10+3*MIN(AK$3,$D$2-1)))))</f>
        <v/>
      </c>
      <c r="AL23" s="130">
        <f>IF(OR($C23="",$B$2="",$D$2=0),0,IF(AL$3&lt;0,0,N(INDEX('CURVA PREVISION'!$A$1:$KZ$3000,$C23,10+3*MIN(AL$3,$D$2-1)))))</f>
        <v/>
      </c>
      <c r="AM23" s="130">
        <f>IF(OR($C23="",$B$2="",$D$2=0),0,IF(AM$3&lt;0,0,N(INDEX('CURVA PREVISION'!$A$1:$KZ$3000,$C23,10+3*MIN(AM$3,$D$2-1)))))</f>
        <v/>
      </c>
      <c r="AN23" s="130">
        <f>IF(OR($C23="",$B$2="",$D$2=0),0,IF(AN$3&lt;0,0,N(INDEX('CURVA PREVISION'!$A$1:$KZ$3000,$C23,10+3*MIN(AN$3,$D$2-1)))))</f>
        <v/>
      </c>
      <c r="AO23" s="130">
        <f>IF(OR($C23="",$B$2="",$D$2=0),0,IF(AO$3&lt;0,0,N(INDEX('CURVA PREVISION'!$A$1:$KZ$3000,$C23,10+3*MIN(AO$3,$D$2-1)))))</f>
        <v/>
      </c>
      <c r="AP23" s="130">
        <f>IF(OR($C23="",$B$2="",$D$2=0),0,IF(AP$3&lt;0,0,N(INDEX('CURVA PREVISION'!$A$1:$KZ$3000,$C23,10+3*MIN(AP$3,$D$2-1)))))</f>
        <v/>
      </c>
      <c r="AQ23" s="130">
        <f>IF(OR($C23="",$B$2="",$D$2=0),0,IF(AQ$3&lt;0,0,N(INDEX('CURVA PREVISION'!$A$1:$KZ$3000,$C23,10+3*MIN(AQ$3,$D$2-1)))))</f>
        <v/>
      </c>
      <c r="AR23" s="130">
        <f>IF(OR($C23="",$B$2="",$D$2=0),0,IF(AR$3&lt;0,0,N(INDEX('CURVA PREVISION'!$A$1:$KZ$3000,$C23,10+3*MIN(AR$3,$D$2-1)))))</f>
        <v/>
      </c>
      <c r="AS23" s="130">
        <f>IF(OR($C23="",$B$2="",$D$2=0),0,IF(AS$3&lt;0,0,N(INDEX('CURVA PREVISION'!$A$1:$KZ$3000,$C23,10+3*MIN(AS$3,$D$2-1)))))</f>
        <v/>
      </c>
      <c r="AT23" s="130">
        <f>IF(OR($C23="",$B$2="",$D$2=0),0,IF(AT$3&lt;0,0,N(INDEX('CURVA PREVISION'!$A$1:$KZ$3000,$C23,10+3*MIN(AT$3,$D$2-1)))))</f>
        <v/>
      </c>
      <c r="AU23" s="130">
        <f>IF(OR($C23="",$B$2="",$D$2=0),0,IF(AU$3&lt;0,0,N(INDEX('CURVA PREVISION'!$A$1:$KZ$3000,$C23,10+3*MIN(AU$3,$D$2-1)))))</f>
        <v/>
      </c>
      <c r="AV23" s="130">
        <f>IF(OR($C23="",$B$2="",$D$2=0),0,IF(AV$3&lt;0,0,N(INDEX('CURVA PREVISION'!$A$1:$KZ$3000,$C23,10+3*MIN(AV$3,$D$2-1)))))</f>
        <v/>
      </c>
      <c r="AW23" s="130">
        <f>IF(OR($C23="",$B$2="",$D$2=0),0,IF(AW$3&lt;0,0,N(INDEX('CURVA PREVISION'!$A$1:$KZ$3000,$C23,10+3*MIN(AW$3,$D$2-1)))))</f>
        <v/>
      </c>
      <c r="AX23" s="130">
        <f>IF(OR($C23="",$B$2="",$D$2=0),0,IF(AX$3&lt;0,0,N(INDEX('CURVA PREVISION'!$A$1:$KZ$3000,$C23,10+3*MIN(AX$3,$D$2-1)))))</f>
        <v/>
      </c>
      <c r="AY23" s="130">
        <f>IF(OR($C23="",$B$2="",$D$2=0),0,IF(AY$3&lt;0,0,N(INDEX('CURVA PREVISION'!$A$1:$KZ$3000,$C23,10+3*MIN(AY$3,$D$2-1)))))</f>
        <v/>
      </c>
      <c r="AZ23" s="130">
        <f>IF(OR($C23="",$B$2="",$D$2=0),0,IF(AZ$3&lt;0,0,N(INDEX('CURVA PREVISION'!$A$1:$KZ$3000,$C23,10+3*MIN(AZ$3,$D$2-1)))))</f>
        <v/>
      </c>
      <c r="BA23" s="130">
        <f>IF(OR($C23="",$B$2="",$D$2=0),0,IF(BA$3&lt;0,0,N(INDEX('CURVA PREVISION'!$A$1:$KZ$3000,$C23,10+3*MIN(BA$3,$D$2-1)))))</f>
        <v/>
      </c>
      <c r="BB23" s="130">
        <f>IF(OR($C23="",$B$2="",$D$2=0),0,IF(BB$3&lt;0,0,N(INDEX('CURVA PREVISION'!$A$1:$KZ$3000,$C23,10+3*MIN(BB$3,$D$2-1)))))</f>
        <v/>
      </c>
      <c r="BC23" s="130">
        <f>IF(OR($C23="",$B$2="",$D$2=0),0,IF(BC$3&lt;0,0,N(INDEX('CURVA PREVISION'!$A$1:$KZ$3000,$C23,10+3*MIN(BC$3,$D$2-1)))))</f>
        <v/>
      </c>
      <c r="BD23" s="130">
        <f>IF(OR($C23="",$B$2="",$D$2=0),0,IF(BD$3&lt;0,0,N(INDEX('CURVA PREVISION'!$A$1:$KZ$3000,$C23,10+3*MIN(BD$3,$D$2-1)))))</f>
        <v/>
      </c>
      <c r="BE23" s="130">
        <f>IF(OR($C23="",$B$2="",$D$2=0),0,IF(BE$3&lt;0,0,N(INDEX('CURVA PREVISION'!$A$1:$KZ$3000,$C23,10+3*MIN(BE$3,$D$2-1)))))</f>
        <v/>
      </c>
      <c r="BF23" s="130">
        <f>IF(OR($C23="",$B$2="",$D$2=0),0,IF(BF$3&lt;0,0,N(INDEX('CURVA PREVISION'!$A$1:$KZ$3000,$C23,10+3*MIN(BF$3,$D$2-1)))))</f>
        <v/>
      </c>
      <c r="BG23" s="130">
        <f>IF(OR($C23="",$B$2="",$D$2=0),0,IF(BG$3&lt;0,0,N(INDEX('CURVA PREVISION'!$A$1:$KZ$3000,$C23,10+3*MIN(BG$3,$D$2-1)))))</f>
        <v/>
      </c>
      <c r="BH23" s="130">
        <f>IF(OR($C23="",$B$2="",$D$2=0),0,IF(BH$3&lt;0,0,N(INDEX('CURVA PREVISION'!$A$1:$KZ$3000,$C23,10+3*MIN(BH$3,$D$2-1)))))</f>
        <v/>
      </c>
      <c r="BI23" s="130">
        <f>IF(OR($C23="",$B$2="",$D$2=0),0,IF(BI$3&lt;0,0,N(INDEX('CURVA PREVISION'!$A$1:$KZ$3000,$C23,10+3*MIN(BI$3,$D$2-1)))))</f>
        <v/>
      </c>
      <c r="BJ23" s="130">
        <f>IF(OR($C23="",$B$2="",$D$2=0),0,IF(BJ$3&lt;0,0,N(INDEX('CURVA PREVISION'!$A$1:$KZ$3000,$C23,10+3*MIN(BJ$3,$D$2-1)))))</f>
        <v/>
      </c>
      <c r="BK23" s="130">
        <f>IF(OR($C23="",$B$2="",$D$2=0),0,IF(BK$3&lt;0,0,N(INDEX('CURVA PREVISION'!$A$1:$KZ$3000,$C23,10+3*MIN(BK$3,$D$2-1)))))</f>
        <v/>
      </c>
      <c r="BL23" s="130">
        <f>IF(OR($C23="",$B$2="",$D$2=0),0,IF(BL$3&lt;0,0,N(INDEX('CURVA PREVISION'!$A$1:$KZ$3000,$C23,10+3*MIN(BL$3,$D$2-1)))))</f>
        <v/>
      </c>
      <c r="BM23" s="130">
        <f>IF(OR($C23="",$B$2="",$D$2=0),0,IF(BM$3&lt;0,0,N(INDEX('CURVA PREVISION'!$A$1:$KZ$3000,$C23,10+3*MIN(BM$3,$D$2-1)))))</f>
        <v/>
      </c>
      <c r="BN23" s="130">
        <f>IF(OR($C23="",$B$2="",$D$2=0),0,IF(BN$3&lt;0,0,N(INDEX('CURVA PREVISION'!$A$1:$KZ$3000,$C23,10+3*MIN(BN$3,$D$2-1)))))</f>
        <v/>
      </c>
      <c r="BO23" s="130">
        <f>IF(OR($C23="",$B$2="",$D$2=0),0,IF(BO$3&lt;0,0,N(INDEX('CURVA PREVISION'!$A$1:$KZ$3000,$C23,10+3*MIN(BO$3,$D$2-1)))))</f>
        <v/>
      </c>
      <c r="BP23" s="130">
        <f>IF(OR($C23="",$B$2="",$D$2=0),0,IF(BP$3&lt;0,0,N(INDEX('CURVA PREVISION'!$A$1:$KZ$3000,$C23,10+3*MIN(BP$3,$D$2-1)))))</f>
        <v/>
      </c>
      <c r="BQ23" s="130">
        <f>IF(OR($C23="",$B$2="",$D$2=0),0,IF(BQ$3&lt;0,0,N(INDEX('CURVA PREVISION'!$A$1:$KZ$3000,$C23,10+3*MIN(BQ$3,$D$2-1)))))</f>
        <v/>
      </c>
      <c r="BR23" s="130">
        <f>IF(OR($C23="",$B$2="",$D$2=0),0,IF(BR$3&lt;0,0,N(INDEX('CURVA PREVISION'!$A$1:$KZ$3000,$C23,10+3*MIN(BR$3,$D$2-1)))))</f>
        <v/>
      </c>
      <c r="BS23" s="130">
        <f>IF(OR($C23="",$B$2="",$D$2=0),0,IF(BS$3&lt;0,0,N(INDEX('CURVA PREVISION'!$A$1:$KZ$3000,$C23,10+3*MIN(BS$3,$D$2-1)))))</f>
        <v/>
      </c>
      <c r="BT23" s="130">
        <f>IF(OR($C23="",$B$2="",$D$2=0),0,IF(BT$3&lt;0,0,N(INDEX('CURVA PREVISION'!$A$1:$KZ$3000,$C23,10+3*MIN(BT$3,$D$2-1)))))</f>
        <v/>
      </c>
      <c r="BU23" s="130">
        <f>IF(OR($C23="",$B$2="",$D$2=0),0,IF(BU$3&lt;0,0,N(INDEX('CURVA PREVISION'!$A$1:$KZ$3000,$C23,10+3*MIN(BU$3,$D$2-1)))))</f>
        <v/>
      </c>
      <c r="BV23" s="130">
        <f>IF(OR($C23="",$B$2="",$D$2=0),0,IF(BV$3&lt;0,0,N(INDEX('CURVA PREVISION'!$A$1:$KZ$3000,$C23,10+3*MIN(BV$3,$D$2-1)))))</f>
        <v/>
      </c>
      <c r="BW23" s="130">
        <f>IF(OR($C23="",$B$2="",$D$2=0),0,IF(BW$3&lt;0,0,N(INDEX('CURVA PREVISION'!$A$1:$KZ$3000,$C23,10+3*MIN(BW$3,$D$2-1)))))</f>
        <v/>
      </c>
    </row>
    <row r="24">
      <c r="A24" s="61">
        <f>IF('VALOR POR PL'!R30&lt;&gt;"",'VALOR POR PL'!R30,IF('VALOR POR PL'!Q30="",'VALOR POR PL'!C30,'VALOR POR PL'!Q30))</f>
        <v/>
      </c>
      <c r="B24" s="61">
        <f>'VALOR POR PL'!D30</f>
        <v/>
      </c>
      <c r="C24" s="70">
        <f>IFERROR(MATCH(A24,'CURVA PREVISION'!$B$1:$B$3000,0),"")</f>
        <v/>
      </c>
      <c r="D24" s="130">
        <f>IF(OR($C24="",$B$2="",$D$2=0),0,IF(D$3&lt;0,0,N(INDEX('CURVA PREVISION'!$A$1:$KZ$3000,$C24,10+3*MIN(D$3,$D$2-1)))))</f>
        <v/>
      </c>
      <c r="E24" s="130">
        <f>IF(OR($C24="",$B$2="",$D$2=0),0,IF(E$3&lt;0,0,N(INDEX('CURVA PREVISION'!$A$1:$KZ$3000,$C24,10+3*MIN(E$3,$D$2-1)))))</f>
        <v/>
      </c>
      <c r="F24" s="130">
        <f>IF(OR($C24="",$B$2="",$D$2=0),0,IF(F$3&lt;0,0,N(INDEX('CURVA PREVISION'!$A$1:$KZ$3000,$C24,10+3*MIN(F$3,$D$2-1)))))</f>
        <v/>
      </c>
      <c r="G24" s="130">
        <f>IF(OR($C24="",$B$2="",$D$2=0),0,IF(G$3&lt;0,0,N(INDEX('CURVA PREVISION'!$A$1:$KZ$3000,$C24,10+3*MIN(G$3,$D$2-1)))))</f>
        <v/>
      </c>
      <c r="H24" s="130">
        <f>IF(OR($C24="",$B$2="",$D$2=0),0,IF(H$3&lt;0,0,N(INDEX('CURVA PREVISION'!$A$1:$KZ$3000,$C24,10+3*MIN(H$3,$D$2-1)))))</f>
        <v/>
      </c>
      <c r="I24" s="130">
        <f>IF(OR($C24="",$B$2="",$D$2=0),0,IF(I$3&lt;0,0,N(INDEX('CURVA PREVISION'!$A$1:$KZ$3000,$C24,10+3*MIN(I$3,$D$2-1)))))</f>
        <v/>
      </c>
      <c r="J24" s="130">
        <f>IF(OR($C24="",$B$2="",$D$2=0),0,IF(J$3&lt;0,0,N(INDEX('CURVA PREVISION'!$A$1:$KZ$3000,$C24,10+3*MIN(J$3,$D$2-1)))))</f>
        <v/>
      </c>
      <c r="K24" s="130">
        <f>IF(OR($C24="",$B$2="",$D$2=0),0,IF(K$3&lt;0,0,N(INDEX('CURVA PREVISION'!$A$1:$KZ$3000,$C24,10+3*MIN(K$3,$D$2-1)))))</f>
        <v/>
      </c>
      <c r="L24" s="130">
        <f>IF(OR($C24="",$B$2="",$D$2=0),0,IF(L$3&lt;0,0,N(INDEX('CURVA PREVISION'!$A$1:$KZ$3000,$C24,10+3*MIN(L$3,$D$2-1)))))</f>
        <v/>
      </c>
      <c r="M24" s="130">
        <f>IF(OR($C24="",$B$2="",$D$2=0),0,IF(M$3&lt;0,0,N(INDEX('CURVA PREVISION'!$A$1:$KZ$3000,$C24,10+3*MIN(M$3,$D$2-1)))))</f>
        <v/>
      </c>
      <c r="N24" s="130">
        <f>IF(OR($C24="",$B$2="",$D$2=0),0,IF(N$3&lt;0,0,N(INDEX('CURVA PREVISION'!$A$1:$KZ$3000,$C24,10+3*MIN(N$3,$D$2-1)))))</f>
        <v/>
      </c>
      <c r="O24" s="130">
        <f>IF(OR($C24="",$B$2="",$D$2=0),0,IF(O$3&lt;0,0,N(INDEX('CURVA PREVISION'!$A$1:$KZ$3000,$C24,10+3*MIN(O$3,$D$2-1)))))</f>
        <v/>
      </c>
      <c r="P24" s="130">
        <f>IF(OR($C24="",$B$2="",$D$2=0),0,IF(P$3&lt;0,0,N(INDEX('CURVA PREVISION'!$A$1:$KZ$3000,$C24,10+3*MIN(P$3,$D$2-1)))))</f>
        <v/>
      </c>
      <c r="Q24" s="130">
        <f>IF(OR($C24="",$B$2="",$D$2=0),0,IF(Q$3&lt;0,0,N(INDEX('CURVA PREVISION'!$A$1:$KZ$3000,$C24,10+3*MIN(Q$3,$D$2-1)))))</f>
        <v/>
      </c>
      <c r="R24" s="130">
        <f>IF(OR($C24="",$B$2="",$D$2=0),0,IF(R$3&lt;0,0,N(INDEX('CURVA PREVISION'!$A$1:$KZ$3000,$C24,10+3*MIN(R$3,$D$2-1)))))</f>
        <v/>
      </c>
      <c r="S24" s="130">
        <f>IF(OR($C24="",$B$2="",$D$2=0),0,IF(S$3&lt;0,0,N(INDEX('CURVA PREVISION'!$A$1:$KZ$3000,$C24,10+3*MIN(S$3,$D$2-1)))))</f>
        <v/>
      </c>
      <c r="T24" s="130">
        <f>IF(OR($C24="",$B$2="",$D$2=0),0,IF(T$3&lt;0,0,N(INDEX('CURVA PREVISION'!$A$1:$KZ$3000,$C24,10+3*MIN(T$3,$D$2-1)))))</f>
        <v/>
      </c>
      <c r="U24" s="130">
        <f>IF(OR($C24="",$B$2="",$D$2=0),0,IF(U$3&lt;0,0,N(INDEX('CURVA PREVISION'!$A$1:$KZ$3000,$C24,10+3*MIN(U$3,$D$2-1)))))</f>
        <v/>
      </c>
      <c r="V24" s="130">
        <f>IF(OR($C24="",$B$2="",$D$2=0),0,IF(V$3&lt;0,0,N(INDEX('CURVA PREVISION'!$A$1:$KZ$3000,$C24,10+3*MIN(V$3,$D$2-1)))))</f>
        <v/>
      </c>
      <c r="W24" s="130">
        <f>IF(OR($C24="",$B$2="",$D$2=0),0,IF(W$3&lt;0,0,N(INDEX('CURVA PREVISION'!$A$1:$KZ$3000,$C24,10+3*MIN(W$3,$D$2-1)))))</f>
        <v/>
      </c>
      <c r="X24" s="130">
        <f>IF(OR($C24="",$B$2="",$D$2=0),0,IF(X$3&lt;0,0,N(INDEX('CURVA PREVISION'!$A$1:$KZ$3000,$C24,10+3*MIN(X$3,$D$2-1)))))</f>
        <v/>
      </c>
      <c r="Y24" s="130">
        <f>IF(OR($C24="",$B$2="",$D$2=0),0,IF(Y$3&lt;0,0,N(INDEX('CURVA PREVISION'!$A$1:$KZ$3000,$C24,10+3*MIN(Y$3,$D$2-1)))))</f>
        <v/>
      </c>
      <c r="Z24" s="130">
        <f>IF(OR($C24="",$B$2="",$D$2=0),0,IF(Z$3&lt;0,0,N(INDEX('CURVA PREVISION'!$A$1:$KZ$3000,$C24,10+3*MIN(Z$3,$D$2-1)))))</f>
        <v/>
      </c>
      <c r="AA24" s="130">
        <f>IF(OR($C24="",$B$2="",$D$2=0),0,IF(AA$3&lt;0,0,N(INDEX('CURVA PREVISION'!$A$1:$KZ$3000,$C24,10+3*MIN(AA$3,$D$2-1)))))</f>
        <v/>
      </c>
      <c r="AB24" s="130">
        <f>IF(OR($C24="",$B$2="",$D$2=0),0,IF(AB$3&lt;0,0,N(INDEX('CURVA PREVISION'!$A$1:$KZ$3000,$C24,10+3*MIN(AB$3,$D$2-1)))))</f>
        <v/>
      </c>
      <c r="AC24" s="130">
        <f>IF(OR($C24="",$B$2="",$D$2=0),0,IF(AC$3&lt;0,0,N(INDEX('CURVA PREVISION'!$A$1:$KZ$3000,$C24,10+3*MIN(AC$3,$D$2-1)))))</f>
        <v/>
      </c>
      <c r="AD24" s="130">
        <f>IF(OR($C24="",$B$2="",$D$2=0),0,IF(AD$3&lt;0,0,N(INDEX('CURVA PREVISION'!$A$1:$KZ$3000,$C24,10+3*MIN(AD$3,$D$2-1)))))</f>
        <v/>
      </c>
      <c r="AE24" s="130">
        <f>IF(OR($C24="",$B$2="",$D$2=0),0,IF(AE$3&lt;0,0,N(INDEX('CURVA PREVISION'!$A$1:$KZ$3000,$C24,10+3*MIN(AE$3,$D$2-1)))))</f>
        <v/>
      </c>
      <c r="AF24" s="130">
        <f>IF(OR($C24="",$B$2="",$D$2=0),0,IF(AF$3&lt;0,0,N(INDEX('CURVA PREVISION'!$A$1:$KZ$3000,$C24,10+3*MIN(AF$3,$D$2-1)))))</f>
        <v/>
      </c>
      <c r="AG24" s="130">
        <f>IF(OR($C24="",$B$2="",$D$2=0),0,IF(AG$3&lt;0,0,N(INDEX('CURVA PREVISION'!$A$1:$KZ$3000,$C24,10+3*MIN(AG$3,$D$2-1)))))</f>
        <v/>
      </c>
      <c r="AH24" s="130">
        <f>IF(OR($C24="",$B$2="",$D$2=0),0,IF(AH$3&lt;0,0,N(INDEX('CURVA PREVISION'!$A$1:$KZ$3000,$C24,10+3*MIN(AH$3,$D$2-1)))))</f>
        <v/>
      </c>
      <c r="AI24" s="130">
        <f>IF(OR($C24="",$B$2="",$D$2=0),0,IF(AI$3&lt;0,0,N(INDEX('CURVA PREVISION'!$A$1:$KZ$3000,$C24,10+3*MIN(AI$3,$D$2-1)))))</f>
        <v/>
      </c>
      <c r="AJ24" s="130">
        <f>IF(OR($C24="",$B$2="",$D$2=0),0,IF(AJ$3&lt;0,0,N(INDEX('CURVA PREVISION'!$A$1:$KZ$3000,$C24,10+3*MIN(AJ$3,$D$2-1)))))</f>
        <v/>
      </c>
      <c r="AK24" s="130">
        <f>IF(OR($C24="",$B$2="",$D$2=0),0,IF(AK$3&lt;0,0,N(INDEX('CURVA PREVISION'!$A$1:$KZ$3000,$C24,10+3*MIN(AK$3,$D$2-1)))))</f>
        <v/>
      </c>
      <c r="AL24" s="130">
        <f>IF(OR($C24="",$B$2="",$D$2=0),0,IF(AL$3&lt;0,0,N(INDEX('CURVA PREVISION'!$A$1:$KZ$3000,$C24,10+3*MIN(AL$3,$D$2-1)))))</f>
        <v/>
      </c>
      <c r="AM24" s="130">
        <f>IF(OR($C24="",$B$2="",$D$2=0),0,IF(AM$3&lt;0,0,N(INDEX('CURVA PREVISION'!$A$1:$KZ$3000,$C24,10+3*MIN(AM$3,$D$2-1)))))</f>
        <v/>
      </c>
      <c r="AN24" s="130">
        <f>IF(OR($C24="",$B$2="",$D$2=0),0,IF(AN$3&lt;0,0,N(INDEX('CURVA PREVISION'!$A$1:$KZ$3000,$C24,10+3*MIN(AN$3,$D$2-1)))))</f>
        <v/>
      </c>
      <c r="AO24" s="130">
        <f>IF(OR($C24="",$B$2="",$D$2=0),0,IF(AO$3&lt;0,0,N(INDEX('CURVA PREVISION'!$A$1:$KZ$3000,$C24,10+3*MIN(AO$3,$D$2-1)))))</f>
        <v/>
      </c>
      <c r="AP24" s="130">
        <f>IF(OR($C24="",$B$2="",$D$2=0),0,IF(AP$3&lt;0,0,N(INDEX('CURVA PREVISION'!$A$1:$KZ$3000,$C24,10+3*MIN(AP$3,$D$2-1)))))</f>
        <v/>
      </c>
      <c r="AQ24" s="130">
        <f>IF(OR($C24="",$B$2="",$D$2=0),0,IF(AQ$3&lt;0,0,N(INDEX('CURVA PREVISION'!$A$1:$KZ$3000,$C24,10+3*MIN(AQ$3,$D$2-1)))))</f>
        <v/>
      </c>
      <c r="AR24" s="130">
        <f>IF(OR($C24="",$B$2="",$D$2=0),0,IF(AR$3&lt;0,0,N(INDEX('CURVA PREVISION'!$A$1:$KZ$3000,$C24,10+3*MIN(AR$3,$D$2-1)))))</f>
        <v/>
      </c>
      <c r="AS24" s="130">
        <f>IF(OR($C24="",$B$2="",$D$2=0),0,IF(AS$3&lt;0,0,N(INDEX('CURVA PREVISION'!$A$1:$KZ$3000,$C24,10+3*MIN(AS$3,$D$2-1)))))</f>
        <v/>
      </c>
      <c r="AT24" s="130">
        <f>IF(OR($C24="",$B$2="",$D$2=0),0,IF(AT$3&lt;0,0,N(INDEX('CURVA PREVISION'!$A$1:$KZ$3000,$C24,10+3*MIN(AT$3,$D$2-1)))))</f>
        <v/>
      </c>
      <c r="AU24" s="130">
        <f>IF(OR($C24="",$B$2="",$D$2=0),0,IF(AU$3&lt;0,0,N(INDEX('CURVA PREVISION'!$A$1:$KZ$3000,$C24,10+3*MIN(AU$3,$D$2-1)))))</f>
        <v/>
      </c>
      <c r="AV24" s="130">
        <f>IF(OR($C24="",$B$2="",$D$2=0),0,IF(AV$3&lt;0,0,N(INDEX('CURVA PREVISION'!$A$1:$KZ$3000,$C24,10+3*MIN(AV$3,$D$2-1)))))</f>
        <v/>
      </c>
      <c r="AW24" s="130">
        <f>IF(OR($C24="",$B$2="",$D$2=0),0,IF(AW$3&lt;0,0,N(INDEX('CURVA PREVISION'!$A$1:$KZ$3000,$C24,10+3*MIN(AW$3,$D$2-1)))))</f>
        <v/>
      </c>
      <c r="AX24" s="130">
        <f>IF(OR($C24="",$B$2="",$D$2=0),0,IF(AX$3&lt;0,0,N(INDEX('CURVA PREVISION'!$A$1:$KZ$3000,$C24,10+3*MIN(AX$3,$D$2-1)))))</f>
        <v/>
      </c>
      <c r="AY24" s="130">
        <f>IF(OR($C24="",$B$2="",$D$2=0),0,IF(AY$3&lt;0,0,N(INDEX('CURVA PREVISION'!$A$1:$KZ$3000,$C24,10+3*MIN(AY$3,$D$2-1)))))</f>
        <v/>
      </c>
      <c r="AZ24" s="130">
        <f>IF(OR($C24="",$B$2="",$D$2=0),0,IF(AZ$3&lt;0,0,N(INDEX('CURVA PREVISION'!$A$1:$KZ$3000,$C24,10+3*MIN(AZ$3,$D$2-1)))))</f>
        <v/>
      </c>
      <c r="BA24" s="130">
        <f>IF(OR($C24="",$B$2="",$D$2=0),0,IF(BA$3&lt;0,0,N(INDEX('CURVA PREVISION'!$A$1:$KZ$3000,$C24,10+3*MIN(BA$3,$D$2-1)))))</f>
        <v/>
      </c>
      <c r="BB24" s="130">
        <f>IF(OR($C24="",$B$2="",$D$2=0),0,IF(BB$3&lt;0,0,N(INDEX('CURVA PREVISION'!$A$1:$KZ$3000,$C24,10+3*MIN(BB$3,$D$2-1)))))</f>
        <v/>
      </c>
      <c r="BC24" s="130">
        <f>IF(OR($C24="",$B$2="",$D$2=0),0,IF(BC$3&lt;0,0,N(INDEX('CURVA PREVISION'!$A$1:$KZ$3000,$C24,10+3*MIN(BC$3,$D$2-1)))))</f>
        <v/>
      </c>
      <c r="BD24" s="130">
        <f>IF(OR($C24="",$B$2="",$D$2=0),0,IF(BD$3&lt;0,0,N(INDEX('CURVA PREVISION'!$A$1:$KZ$3000,$C24,10+3*MIN(BD$3,$D$2-1)))))</f>
        <v/>
      </c>
      <c r="BE24" s="130">
        <f>IF(OR($C24="",$B$2="",$D$2=0),0,IF(BE$3&lt;0,0,N(INDEX('CURVA PREVISION'!$A$1:$KZ$3000,$C24,10+3*MIN(BE$3,$D$2-1)))))</f>
        <v/>
      </c>
      <c r="BF24" s="130">
        <f>IF(OR($C24="",$B$2="",$D$2=0),0,IF(BF$3&lt;0,0,N(INDEX('CURVA PREVISION'!$A$1:$KZ$3000,$C24,10+3*MIN(BF$3,$D$2-1)))))</f>
        <v/>
      </c>
      <c r="BG24" s="130">
        <f>IF(OR($C24="",$B$2="",$D$2=0),0,IF(BG$3&lt;0,0,N(INDEX('CURVA PREVISION'!$A$1:$KZ$3000,$C24,10+3*MIN(BG$3,$D$2-1)))))</f>
        <v/>
      </c>
      <c r="BH24" s="130">
        <f>IF(OR($C24="",$B$2="",$D$2=0),0,IF(BH$3&lt;0,0,N(INDEX('CURVA PREVISION'!$A$1:$KZ$3000,$C24,10+3*MIN(BH$3,$D$2-1)))))</f>
        <v/>
      </c>
      <c r="BI24" s="130">
        <f>IF(OR($C24="",$B$2="",$D$2=0),0,IF(BI$3&lt;0,0,N(INDEX('CURVA PREVISION'!$A$1:$KZ$3000,$C24,10+3*MIN(BI$3,$D$2-1)))))</f>
        <v/>
      </c>
      <c r="BJ24" s="130">
        <f>IF(OR($C24="",$B$2="",$D$2=0),0,IF(BJ$3&lt;0,0,N(INDEX('CURVA PREVISION'!$A$1:$KZ$3000,$C24,10+3*MIN(BJ$3,$D$2-1)))))</f>
        <v/>
      </c>
      <c r="BK24" s="130">
        <f>IF(OR($C24="",$B$2="",$D$2=0),0,IF(BK$3&lt;0,0,N(INDEX('CURVA PREVISION'!$A$1:$KZ$3000,$C24,10+3*MIN(BK$3,$D$2-1)))))</f>
        <v/>
      </c>
      <c r="BL24" s="130">
        <f>IF(OR($C24="",$B$2="",$D$2=0),0,IF(BL$3&lt;0,0,N(INDEX('CURVA PREVISION'!$A$1:$KZ$3000,$C24,10+3*MIN(BL$3,$D$2-1)))))</f>
        <v/>
      </c>
      <c r="BM24" s="130">
        <f>IF(OR($C24="",$B$2="",$D$2=0),0,IF(BM$3&lt;0,0,N(INDEX('CURVA PREVISION'!$A$1:$KZ$3000,$C24,10+3*MIN(BM$3,$D$2-1)))))</f>
        <v/>
      </c>
      <c r="BN24" s="130">
        <f>IF(OR($C24="",$B$2="",$D$2=0),0,IF(BN$3&lt;0,0,N(INDEX('CURVA PREVISION'!$A$1:$KZ$3000,$C24,10+3*MIN(BN$3,$D$2-1)))))</f>
        <v/>
      </c>
      <c r="BO24" s="130">
        <f>IF(OR($C24="",$B$2="",$D$2=0),0,IF(BO$3&lt;0,0,N(INDEX('CURVA PREVISION'!$A$1:$KZ$3000,$C24,10+3*MIN(BO$3,$D$2-1)))))</f>
        <v/>
      </c>
      <c r="BP24" s="130">
        <f>IF(OR($C24="",$B$2="",$D$2=0),0,IF(BP$3&lt;0,0,N(INDEX('CURVA PREVISION'!$A$1:$KZ$3000,$C24,10+3*MIN(BP$3,$D$2-1)))))</f>
        <v/>
      </c>
      <c r="BQ24" s="130">
        <f>IF(OR($C24="",$B$2="",$D$2=0),0,IF(BQ$3&lt;0,0,N(INDEX('CURVA PREVISION'!$A$1:$KZ$3000,$C24,10+3*MIN(BQ$3,$D$2-1)))))</f>
        <v/>
      </c>
      <c r="BR24" s="130">
        <f>IF(OR($C24="",$B$2="",$D$2=0),0,IF(BR$3&lt;0,0,N(INDEX('CURVA PREVISION'!$A$1:$KZ$3000,$C24,10+3*MIN(BR$3,$D$2-1)))))</f>
        <v/>
      </c>
      <c r="BS24" s="130">
        <f>IF(OR($C24="",$B$2="",$D$2=0),0,IF(BS$3&lt;0,0,N(INDEX('CURVA PREVISION'!$A$1:$KZ$3000,$C24,10+3*MIN(BS$3,$D$2-1)))))</f>
        <v/>
      </c>
      <c r="BT24" s="130">
        <f>IF(OR($C24="",$B$2="",$D$2=0),0,IF(BT$3&lt;0,0,N(INDEX('CURVA PREVISION'!$A$1:$KZ$3000,$C24,10+3*MIN(BT$3,$D$2-1)))))</f>
        <v/>
      </c>
      <c r="BU24" s="130">
        <f>IF(OR($C24="",$B$2="",$D$2=0),0,IF(BU$3&lt;0,0,N(INDEX('CURVA PREVISION'!$A$1:$KZ$3000,$C24,10+3*MIN(BU$3,$D$2-1)))))</f>
        <v/>
      </c>
      <c r="BV24" s="130">
        <f>IF(OR($C24="",$B$2="",$D$2=0),0,IF(BV$3&lt;0,0,N(INDEX('CURVA PREVISION'!$A$1:$KZ$3000,$C24,10+3*MIN(BV$3,$D$2-1)))))</f>
        <v/>
      </c>
      <c r="BW24" s="130">
        <f>IF(OR($C24="",$B$2="",$D$2=0),0,IF(BW$3&lt;0,0,N(INDEX('CURVA PREVISION'!$A$1:$KZ$3000,$C24,10+3*MIN(BW$3,$D$2-1)))))</f>
        <v/>
      </c>
    </row>
    <row r="25">
      <c r="A25" s="61">
        <f>IF('VALOR POR PL'!R31&lt;&gt;"",'VALOR POR PL'!R31,IF('VALOR POR PL'!Q31="",'VALOR POR PL'!C31,'VALOR POR PL'!Q31))</f>
        <v/>
      </c>
      <c r="B25" s="61">
        <f>'VALOR POR PL'!D31</f>
        <v/>
      </c>
      <c r="C25" s="70">
        <f>IFERROR(MATCH(A25,'CURVA PREVISION'!$B$1:$B$3000,0),"")</f>
        <v/>
      </c>
      <c r="D25" s="130">
        <f>IF(OR($C25="",$B$2="",$D$2=0),0,IF(D$3&lt;0,0,N(INDEX('CURVA PREVISION'!$A$1:$KZ$3000,$C25,10+3*MIN(D$3,$D$2-1)))))</f>
        <v/>
      </c>
      <c r="E25" s="130">
        <f>IF(OR($C25="",$B$2="",$D$2=0),0,IF(E$3&lt;0,0,N(INDEX('CURVA PREVISION'!$A$1:$KZ$3000,$C25,10+3*MIN(E$3,$D$2-1)))))</f>
        <v/>
      </c>
      <c r="F25" s="130">
        <f>IF(OR($C25="",$B$2="",$D$2=0),0,IF(F$3&lt;0,0,N(INDEX('CURVA PREVISION'!$A$1:$KZ$3000,$C25,10+3*MIN(F$3,$D$2-1)))))</f>
        <v/>
      </c>
      <c r="G25" s="130">
        <f>IF(OR($C25="",$B$2="",$D$2=0),0,IF(G$3&lt;0,0,N(INDEX('CURVA PREVISION'!$A$1:$KZ$3000,$C25,10+3*MIN(G$3,$D$2-1)))))</f>
        <v/>
      </c>
      <c r="H25" s="130">
        <f>IF(OR($C25="",$B$2="",$D$2=0),0,IF(H$3&lt;0,0,N(INDEX('CURVA PREVISION'!$A$1:$KZ$3000,$C25,10+3*MIN(H$3,$D$2-1)))))</f>
        <v/>
      </c>
      <c r="I25" s="130">
        <f>IF(OR($C25="",$B$2="",$D$2=0),0,IF(I$3&lt;0,0,N(INDEX('CURVA PREVISION'!$A$1:$KZ$3000,$C25,10+3*MIN(I$3,$D$2-1)))))</f>
        <v/>
      </c>
      <c r="J25" s="130">
        <f>IF(OR($C25="",$B$2="",$D$2=0),0,IF(J$3&lt;0,0,N(INDEX('CURVA PREVISION'!$A$1:$KZ$3000,$C25,10+3*MIN(J$3,$D$2-1)))))</f>
        <v/>
      </c>
      <c r="K25" s="130">
        <f>IF(OR($C25="",$B$2="",$D$2=0),0,IF(K$3&lt;0,0,N(INDEX('CURVA PREVISION'!$A$1:$KZ$3000,$C25,10+3*MIN(K$3,$D$2-1)))))</f>
        <v/>
      </c>
      <c r="L25" s="130">
        <f>IF(OR($C25="",$B$2="",$D$2=0),0,IF(L$3&lt;0,0,N(INDEX('CURVA PREVISION'!$A$1:$KZ$3000,$C25,10+3*MIN(L$3,$D$2-1)))))</f>
        <v/>
      </c>
      <c r="M25" s="130">
        <f>IF(OR($C25="",$B$2="",$D$2=0),0,IF(M$3&lt;0,0,N(INDEX('CURVA PREVISION'!$A$1:$KZ$3000,$C25,10+3*MIN(M$3,$D$2-1)))))</f>
        <v/>
      </c>
      <c r="N25" s="130">
        <f>IF(OR($C25="",$B$2="",$D$2=0),0,IF(N$3&lt;0,0,N(INDEX('CURVA PREVISION'!$A$1:$KZ$3000,$C25,10+3*MIN(N$3,$D$2-1)))))</f>
        <v/>
      </c>
      <c r="O25" s="130">
        <f>IF(OR($C25="",$B$2="",$D$2=0),0,IF(O$3&lt;0,0,N(INDEX('CURVA PREVISION'!$A$1:$KZ$3000,$C25,10+3*MIN(O$3,$D$2-1)))))</f>
        <v/>
      </c>
      <c r="P25" s="130">
        <f>IF(OR($C25="",$B$2="",$D$2=0),0,IF(P$3&lt;0,0,N(INDEX('CURVA PREVISION'!$A$1:$KZ$3000,$C25,10+3*MIN(P$3,$D$2-1)))))</f>
        <v/>
      </c>
      <c r="Q25" s="130">
        <f>IF(OR($C25="",$B$2="",$D$2=0),0,IF(Q$3&lt;0,0,N(INDEX('CURVA PREVISION'!$A$1:$KZ$3000,$C25,10+3*MIN(Q$3,$D$2-1)))))</f>
        <v/>
      </c>
      <c r="R25" s="130">
        <f>IF(OR($C25="",$B$2="",$D$2=0),0,IF(R$3&lt;0,0,N(INDEX('CURVA PREVISION'!$A$1:$KZ$3000,$C25,10+3*MIN(R$3,$D$2-1)))))</f>
        <v/>
      </c>
      <c r="S25" s="130">
        <f>IF(OR($C25="",$B$2="",$D$2=0),0,IF(S$3&lt;0,0,N(INDEX('CURVA PREVISION'!$A$1:$KZ$3000,$C25,10+3*MIN(S$3,$D$2-1)))))</f>
        <v/>
      </c>
      <c r="T25" s="130">
        <f>IF(OR($C25="",$B$2="",$D$2=0),0,IF(T$3&lt;0,0,N(INDEX('CURVA PREVISION'!$A$1:$KZ$3000,$C25,10+3*MIN(T$3,$D$2-1)))))</f>
        <v/>
      </c>
      <c r="U25" s="130">
        <f>IF(OR($C25="",$B$2="",$D$2=0),0,IF(U$3&lt;0,0,N(INDEX('CURVA PREVISION'!$A$1:$KZ$3000,$C25,10+3*MIN(U$3,$D$2-1)))))</f>
        <v/>
      </c>
      <c r="V25" s="130">
        <f>IF(OR($C25="",$B$2="",$D$2=0),0,IF(V$3&lt;0,0,N(INDEX('CURVA PREVISION'!$A$1:$KZ$3000,$C25,10+3*MIN(V$3,$D$2-1)))))</f>
        <v/>
      </c>
      <c r="W25" s="130">
        <f>IF(OR($C25="",$B$2="",$D$2=0),0,IF(W$3&lt;0,0,N(INDEX('CURVA PREVISION'!$A$1:$KZ$3000,$C25,10+3*MIN(W$3,$D$2-1)))))</f>
        <v/>
      </c>
      <c r="X25" s="130">
        <f>IF(OR($C25="",$B$2="",$D$2=0),0,IF(X$3&lt;0,0,N(INDEX('CURVA PREVISION'!$A$1:$KZ$3000,$C25,10+3*MIN(X$3,$D$2-1)))))</f>
        <v/>
      </c>
      <c r="Y25" s="130">
        <f>IF(OR($C25="",$B$2="",$D$2=0),0,IF(Y$3&lt;0,0,N(INDEX('CURVA PREVISION'!$A$1:$KZ$3000,$C25,10+3*MIN(Y$3,$D$2-1)))))</f>
        <v/>
      </c>
      <c r="Z25" s="130">
        <f>IF(OR($C25="",$B$2="",$D$2=0),0,IF(Z$3&lt;0,0,N(INDEX('CURVA PREVISION'!$A$1:$KZ$3000,$C25,10+3*MIN(Z$3,$D$2-1)))))</f>
        <v/>
      </c>
      <c r="AA25" s="130">
        <f>IF(OR($C25="",$B$2="",$D$2=0),0,IF(AA$3&lt;0,0,N(INDEX('CURVA PREVISION'!$A$1:$KZ$3000,$C25,10+3*MIN(AA$3,$D$2-1)))))</f>
        <v/>
      </c>
      <c r="AB25" s="130">
        <f>IF(OR($C25="",$B$2="",$D$2=0),0,IF(AB$3&lt;0,0,N(INDEX('CURVA PREVISION'!$A$1:$KZ$3000,$C25,10+3*MIN(AB$3,$D$2-1)))))</f>
        <v/>
      </c>
      <c r="AC25" s="130">
        <f>IF(OR($C25="",$B$2="",$D$2=0),0,IF(AC$3&lt;0,0,N(INDEX('CURVA PREVISION'!$A$1:$KZ$3000,$C25,10+3*MIN(AC$3,$D$2-1)))))</f>
        <v/>
      </c>
      <c r="AD25" s="130">
        <f>IF(OR($C25="",$B$2="",$D$2=0),0,IF(AD$3&lt;0,0,N(INDEX('CURVA PREVISION'!$A$1:$KZ$3000,$C25,10+3*MIN(AD$3,$D$2-1)))))</f>
        <v/>
      </c>
      <c r="AE25" s="130">
        <f>IF(OR($C25="",$B$2="",$D$2=0),0,IF(AE$3&lt;0,0,N(INDEX('CURVA PREVISION'!$A$1:$KZ$3000,$C25,10+3*MIN(AE$3,$D$2-1)))))</f>
        <v/>
      </c>
      <c r="AF25" s="130">
        <f>IF(OR($C25="",$B$2="",$D$2=0),0,IF(AF$3&lt;0,0,N(INDEX('CURVA PREVISION'!$A$1:$KZ$3000,$C25,10+3*MIN(AF$3,$D$2-1)))))</f>
        <v/>
      </c>
      <c r="AG25" s="130">
        <f>IF(OR($C25="",$B$2="",$D$2=0),0,IF(AG$3&lt;0,0,N(INDEX('CURVA PREVISION'!$A$1:$KZ$3000,$C25,10+3*MIN(AG$3,$D$2-1)))))</f>
        <v/>
      </c>
      <c r="AH25" s="130">
        <f>IF(OR($C25="",$B$2="",$D$2=0),0,IF(AH$3&lt;0,0,N(INDEX('CURVA PREVISION'!$A$1:$KZ$3000,$C25,10+3*MIN(AH$3,$D$2-1)))))</f>
        <v/>
      </c>
      <c r="AI25" s="130">
        <f>IF(OR($C25="",$B$2="",$D$2=0),0,IF(AI$3&lt;0,0,N(INDEX('CURVA PREVISION'!$A$1:$KZ$3000,$C25,10+3*MIN(AI$3,$D$2-1)))))</f>
        <v/>
      </c>
      <c r="AJ25" s="130">
        <f>IF(OR($C25="",$B$2="",$D$2=0),0,IF(AJ$3&lt;0,0,N(INDEX('CURVA PREVISION'!$A$1:$KZ$3000,$C25,10+3*MIN(AJ$3,$D$2-1)))))</f>
        <v/>
      </c>
      <c r="AK25" s="130">
        <f>IF(OR($C25="",$B$2="",$D$2=0),0,IF(AK$3&lt;0,0,N(INDEX('CURVA PREVISION'!$A$1:$KZ$3000,$C25,10+3*MIN(AK$3,$D$2-1)))))</f>
        <v/>
      </c>
      <c r="AL25" s="130">
        <f>IF(OR($C25="",$B$2="",$D$2=0),0,IF(AL$3&lt;0,0,N(INDEX('CURVA PREVISION'!$A$1:$KZ$3000,$C25,10+3*MIN(AL$3,$D$2-1)))))</f>
        <v/>
      </c>
      <c r="AM25" s="130">
        <f>IF(OR($C25="",$B$2="",$D$2=0),0,IF(AM$3&lt;0,0,N(INDEX('CURVA PREVISION'!$A$1:$KZ$3000,$C25,10+3*MIN(AM$3,$D$2-1)))))</f>
        <v/>
      </c>
      <c r="AN25" s="130">
        <f>IF(OR($C25="",$B$2="",$D$2=0),0,IF(AN$3&lt;0,0,N(INDEX('CURVA PREVISION'!$A$1:$KZ$3000,$C25,10+3*MIN(AN$3,$D$2-1)))))</f>
        <v/>
      </c>
      <c r="AO25" s="130">
        <f>IF(OR($C25="",$B$2="",$D$2=0),0,IF(AO$3&lt;0,0,N(INDEX('CURVA PREVISION'!$A$1:$KZ$3000,$C25,10+3*MIN(AO$3,$D$2-1)))))</f>
        <v/>
      </c>
      <c r="AP25" s="130">
        <f>IF(OR($C25="",$B$2="",$D$2=0),0,IF(AP$3&lt;0,0,N(INDEX('CURVA PREVISION'!$A$1:$KZ$3000,$C25,10+3*MIN(AP$3,$D$2-1)))))</f>
        <v/>
      </c>
      <c r="AQ25" s="130">
        <f>IF(OR($C25="",$B$2="",$D$2=0),0,IF(AQ$3&lt;0,0,N(INDEX('CURVA PREVISION'!$A$1:$KZ$3000,$C25,10+3*MIN(AQ$3,$D$2-1)))))</f>
        <v/>
      </c>
      <c r="AR25" s="130">
        <f>IF(OR($C25="",$B$2="",$D$2=0),0,IF(AR$3&lt;0,0,N(INDEX('CURVA PREVISION'!$A$1:$KZ$3000,$C25,10+3*MIN(AR$3,$D$2-1)))))</f>
        <v/>
      </c>
      <c r="AS25" s="130">
        <f>IF(OR($C25="",$B$2="",$D$2=0),0,IF(AS$3&lt;0,0,N(INDEX('CURVA PREVISION'!$A$1:$KZ$3000,$C25,10+3*MIN(AS$3,$D$2-1)))))</f>
        <v/>
      </c>
      <c r="AT25" s="130">
        <f>IF(OR($C25="",$B$2="",$D$2=0),0,IF(AT$3&lt;0,0,N(INDEX('CURVA PREVISION'!$A$1:$KZ$3000,$C25,10+3*MIN(AT$3,$D$2-1)))))</f>
        <v/>
      </c>
      <c r="AU25" s="130">
        <f>IF(OR($C25="",$B$2="",$D$2=0),0,IF(AU$3&lt;0,0,N(INDEX('CURVA PREVISION'!$A$1:$KZ$3000,$C25,10+3*MIN(AU$3,$D$2-1)))))</f>
        <v/>
      </c>
      <c r="AV25" s="130">
        <f>IF(OR($C25="",$B$2="",$D$2=0),0,IF(AV$3&lt;0,0,N(INDEX('CURVA PREVISION'!$A$1:$KZ$3000,$C25,10+3*MIN(AV$3,$D$2-1)))))</f>
        <v/>
      </c>
      <c r="AW25" s="130">
        <f>IF(OR($C25="",$B$2="",$D$2=0),0,IF(AW$3&lt;0,0,N(INDEX('CURVA PREVISION'!$A$1:$KZ$3000,$C25,10+3*MIN(AW$3,$D$2-1)))))</f>
        <v/>
      </c>
      <c r="AX25" s="130">
        <f>IF(OR($C25="",$B$2="",$D$2=0),0,IF(AX$3&lt;0,0,N(INDEX('CURVA PREVISION'!$A$1:$KZ$3000,$C25,10+3*MIN(AX$3,$D$2-1)))))</f>
        <v/>
      </c>
      <c r="AY25" s="130">
        <f>IF(OR($C25="",$B$2="",$D$2=0),0,IF(AY$3&lt;0,0,N(INDEX('CURVA PREVISION'!$A$1:$KZ$3000,$C25,10+3*MIN(AY$3,$D$2-1)))))</f>
        <v/>
      </c>
      <c r="AZ25" s="130">
        <f>IF(OR($C25="",$B$2="",$D$2=0),0,IF(AZ$3&lt;0,0,N(INDEX('CURVA PREVISION'!$A$1:$KZ$3000,$C25,10+3*MIN(AZ$3,$D$2-1)))))</f>
        <v/>
      </c>
      <c r="BA25" s="130">
        <f>IF(OR($C25="",$B$2="",$D$2=0),0,IF(BA$3&lt;0,0,N(INDEX('CURVA PREVISION'!$A$1:$KZ$3000,$C25,10+3*MIN(BA$3,$D$2-1)))))</f>
        <v/>
      </c>
      <c r="BB25" s="130">
        <f>IF(OR($C25="",$B$2="",$D$2=0),0,IF(BB$3&lt;0,0,N(INDEX('CURVA PREVISION'!$A$1:$KZ$3000,$C25,10+3*MIN(BB$3,$D$2-1)))))</f>
        <v/>
      </c>
      <c r="BC25" s="130">
        <f>IF(OR($C25="",$B$2="",$D$2=0),0,IF(BC$3&lt;0,0,N(INDEX('CURVA PREVISION'!$A$1:$KZ$3000,$C25,10+3*MIN(BC$3,$D$2-1)))))</f>
        <v/>
      </c>
      <c r="BD25" s="130">
        <f>IF(OR($C25="",$B$2="",$D$2=0),0,IF(BD$3&lt;0,0,N(INDEX('CURVA PREVISION'!$A$1:$KZ$3000,$C25,10+3*MIN(BD$3,$D$2-1)))))</f>
        <v/>
      </c>
      <c r="BE25" s="130">
        <f>IF(OR($C25="",$B$2="",$D$2=0),0,IF(BE$3&lt;0,0,N(INDEX('CURVA PREVISION'!$A$1:$KZ$3000,$C25,10+3*MIN(BE$3,$D$2-1)))))</f>
        <v/>
      </c>
      <c r="BF25" s="130">
        <f>IF(OR($C25="",$B$2="",$D$2=0),0,IF(BF$3&lt;0,0,N(INDEX('CURVA PREVISION'!$A$1:$KZ$3000,$C25,10+3*MIN(BF$3,$D$2-1)))))</f>
        <v/>
      </c>
      <c r="BG25" s="130">
        <f>IF(OR($C25="",$B$2="",$D$2=0),0,IF(BG$3&lt;0,0,N(INDEX('CURVA PREVISION'!$A$1:$KZ$3000,$C25,10+3*MIN(BG$3,$D$2-1)))))</f>
        <v/>
      </c>
      <c r="BH25" s="130">
        <f>IF(OR($C25="",$B$2="",$D$2=0),0,IF(BH$3&lt;0,0,N(INDEX('CURVA PREVISION'!$A$1:$KZ$3000,$C25,10+3*MIN(BH$3,$D$2-1)))))</f>
        <v/>
      </c>
      <c r="BI25" s="130">
        <f>IF(OR($C25="",$B$2="",$D$2=0),0,IF(BI$3&lt;0,0,N(INDEX('CURVA PREVISION'!$A$1:$KZ$3000,$C25,10+3*MIN(BI$3,$D$2-1)))))</f>
        <v/>
      </c>
      <c r="BJ25" s="130">
        <f>IF(OR($C25="",$B$2="",$D$2=0),0,IF(BJ$3&lt;0,0,N(INDEX('CURVA PREVISION'!$A$1:$KZ$3000,$C25,10+3*MIN(BJ$3,$D$2-1)))))</f>
        <v/>
      </c>
      <c r="BK25" s="130">
        <f>IF(OR($C25="",$B$2="",$D$2=0),0,IF(BK$3&lt;0,0,N(INDEX('CURVA PREVISION'!$A$1:$KZ$3000,$C25,10+3*MIN(BK$3,$D$2-1)))))</f>
        <v/>
      </c>
      <c r="BL25" s="130">
        <f>IF(OR($C25="",$B$2="",$D$2=0),0,IF(BL$3&lt;0,0,N(INDEX('CURVA PREVISION'!$A$1:$KZ$3000,$C25,10+3*MIN(BL$3,$D$2-1)))))</f>
        <v/>
      </c>
      <c r="BM25" s="130">
        <f>IF(OR($C25="",$B$2="",$D$2=0),0,IF(BM$3&lt;0,0,N(INDEX('CURVA PREVISION'!$A$1:$KZ$3000,$C25,10+3*MIN(BM$3,$D$2-1)))))</f>
        <v/>
      </c>
      <c r="BN25" s="130">
        <f>IF(OR($C25="",$B$2="",$D$2=0),0,IF(BN$3&lt;0,0,N(INDEX('CURVA PREVISION'!$A$1:$KZ$3000,$C25,10+3*MIN(BN$3,$D$2-1)))))</f>
        <v/>
      </c>
      <c r="BO25" s="130">
        <f>IF(OR($C25="",$B$2="",$D$2=0),0,IF(BO$3&lt;0,0,N(INDEX('CURVA PREVISION'!$A$1:$KZ$3000,$C25,10+3*MIN(BO$3,$D$2-1)))))</f>
        <v/>
      </c>
      <c r="BP25" s="130">
        <f>IF(OR($C25="",$B$2="",$D$2=0),0,IF(BP$3&lt;0,0,N(INDEX('CURVA PREVISION'!$A$1:$KZ$3000,$C25,10+3*MIN(BP$3,$D$2-1)))))</f>
        <v/>
      </c>
      <c r="BQ25" s="130">
        <f>IF(OR($C25="",$B$2="",$D$2=0),0,IF(BQ$3&lt;0,0,N(INDEX('CURVA PREVISION'!$A$1:$KZ$3000,$C25,10+3*MIN(BQ$3,$D$2-1)))))</f>
        <v/>
      </c>
      <c r="BR25" s="130">
        <f>IF(OR($C25="",$B$2="",$D$2=0),0,IF(BR$3&lt;0,0,N(INDEX('CURVA PREVISION'!$A$1:$KZ$3000,$C25,10+3*MIN(BR$3,$D$2-1)))))</f>
        <v/>
      </c>
      <c r="BS25" s="130">
        <f>IF(OR($C25="",$B$2="",$D$2=0),0,IF(BS$3&lt;0,0,N(INDEX('CURVA PREVISION'!$A$1:$KZ$3000,$C25,10+3*MIN(BS$3,$D$2-1)))))</f>
        <v/>
      </c>
      <c r="BT25" s="130">
        <f>IF(OR($C25="",$B$2="",$D$2=0),0,IF(BT$3&lt;0,0,N(INDEX('CURVA PREVISION'!$A$1:$KZ$3000,$C25,10+3*MIN(BT$3,$D$2-1)))))</f>
        <v/>
      </c>
      <c r="BU25" s="130">
        <f>IF(OR($C25="",$B$2="",$D$2=0),0,IF(BU$3&lt;0,0,N(INDEX('CURVA PREVISION'!$A$1:$KZ$3000,$C25,10+3*MIN(BU$3,$D$2-1)))))</f>
        <v/>
      </c>
      <c r="BV25" s="130">
        <f>IF(OR($C25="",$B$2="",$D$2=0),0,IF(BV$3&lt;0,0,N(INDEX('CURVA PREVISION'!$A$1:$KZ$3000,$C25,10+3*MIN(BV$3,$D$2-1)))))</f>
        <v/>
      </c>
      <c r="BW25" s="130">
        <f>IF(OR($C25="",$B$2="",$D$2=0),0,IF(BW$3&lt;0,0,N(INDEX('CURVA PREVISION'!$A$1:$KZ$3000,$C25,10+3*MIN(BW$3,$D$2-1)))))</f>
        <v/>
      </c>
    </row>
    <row r="26">
      <c r="A26" s="61">
        <f>IF('VALOR POR PL'!R32&lt;&gt;"",'VALOR POR PL'!R32,IF('VALOR POR PL'!Q32="",'VALOR POR PL'!C32,'VALOR POR PL'!Q32))</f>
        <v/>
      </c>
      <c r="B26" s="61">
        <f>'VALOR POR PL'!D32</f>
        <v/>
      </c>
      <c r="C26" s="70">
        <f>IFERROR(MATCH(A26,'CURVA PREVISION'!$B$1:$B$3000,0),"")</f>
        <v/>
      </c>
      <c r="D26" s="130">
        <f>IF(OR($C26="",$B$2="",$D$2=0),0,IF(D$3&lt;0,0,N(INDEX('CURVA PREVISION'!$A$1:$KZ$3000,$C26,10+3*MIN(D$3,$D$2-1)))))</f>
        <v/>
      </c>
      <c r="E26" s="130">
        <f>IF(OR($C26="",$B$2="",$D$2=0),0,IF(E$3&lt;0,0,N(INDEX('CURVA PREVISION'!$A$1:$KZ$3000,$C26,10+3*MIN(E$3,$D$2-1)))))</f>
        <v/>
      </c>
      <c r="F26" s="130">
        <f>IF(OR($C26="",$B$2="",$D$2=0),0,IF(F$3&lt;0,0,N(INDEX('CURVA PREVISION'!$A$1:$KZ$3000,$C26,10+3*MIN(F$3,$D$2-1)))))</f>
        <v/>
      </c>
      <c r="G26" s="130">
        <f>IF(OR($C26="",$B$2="",$D$2=0),0,IF(G$3&lt;0,0,N(INDEX('CURVA PREVISION'!$A$1:$KZ$3000,$C26,10+3*MIN(G$3,$D$2-1)))))</f>
        <v/>
      </c>
      <c r="H26" s="130">
        <f>IF(OR($C26="",$B$2="",$D$2=0),0,IF(H$3&lt;0,0,N(INDEX('CURVA PREVISION'!$A$1:$KZ$3000,$C26,10+3*MIN(H$3,$D$2-1)))))</f>
        <v/>
      </c>
      <c r="I26" s="130">
        <f>IF(OR($C26="",$B$2="",$D$2=0),0,IF(I$3&lt;0,0,N(INDEX('CURVA PREVISION'!$A$1:$KZ$3000,$C26,10+3*MIN(I$3,$D$2-1)))))</f>
        <v/>
      </c>
      <c r="J26" s="130">
        <f>IF(OR($C26="",$B$2="",$D$2=0),0,IF(J$3&lt;0,0,N(INDEX('CURVA PREVISION'!$A$1:$KZ$3000,$C26,10+3*MIN(J$3,$D$2-1)))))</f>
        <v/>
      </c>
      <c r="K26" s="130">
        <f>IF(OR($C26="",$B$2="",$D$2=0),0,IF(K$3&lt;0,0,N(INDEX('CURVA PREVISION'!$A$1:$KZ$3000,$C26,10+3*MIN(K$3,$D$2-1)))))</f>
        <v/>
      </c>
      <c r="L26" s="130">
        <f>IF(OR($C26="",$B$2="",$D$2=0),0,IF(L$3&lt;0,0,N(INDEX('CURVA PREVISION'!$A$1:$KZ$3000,$C26,10+3*MIN(L$3,$D$2-1)))))</f>
        <v/>
      </c>
      <c r="M26" s="130">
        <f>IF(OR($C26="",$B$2="",$D$2=0),0,IF(M$3&lt;0,0,N(INDEX('CURVA PREVISION'!$A$1:$KZ$3000,$C26,10+3*MIN(M$3,$D$2-1)))))</f>
        <v/>
      </c>
      <c r="N26" s="130">
        <f>IF(OR($C26="",$B$2="",$D$2=0),0,IF(N$3&lt;0,0,N(INDEX('CURVA PREVISION'!$A$1:$KZ$3000,$C26,10+3*MIN(N$3,$D$2-1)))))</f>
        <v/>
      </c>
      <c r="O26" s="130">
        <f>IF(OR($C26="",$B$2="",$D$2=0),0,IF(O$3&lt;0,0,N(INDEX('CURVA PREVISION'!$A$1:$KZ$3000,$C26,10+3*MIN(O$3,$D$2-1)))))</f>
        <v/>
      </c>
      <c r="P26" s="130">
        <f>IF(OR($C26="",$B$2="",$D$2=0),0,IF(P$3&lt;0,0,N(INDEX('CURVA PREVISION'!$A$1:$KZ$3000,$C26,10+3*MIN(P$3,$D$2-1)))))</f>
        <v/>
      </c>
      <c r="Q26" s="130">
        <f>IF(OR($C26="",$B$2="",$D$2=0),0,IF(Q$3&lt;0,0,N(INDEX('CURVA PREVISION'!$A$1:$KZ$3000,$C26,10+3*MIN(Q$3,$D$2-1)))))</f>
        <v/>
      </c>
      <c r="R26" s="130">
        <f>IF(OR($C26="",$B$2="",$D$2=0),0,IF(R$3&lt;0,0,N(INDEX('CURVA PREVISION'!$A$1:$KZ$3000,$C26,10+3*MIN(R$3,$D$2-1)))))</f>
        <v/>
      </c>
      <c r="S26" s="130">
        <f>IF(OR($C26="",$B$2="",$D$2=0),0,IF(S$3&lt;0,0,N(INDEX('CURVA PREVISION'!$A$1:$KZ$3000,$C26,10+3*MIN(S$3,$D$2-1)))))</f>
        <v/>
      </c>
      <c r="T26" s="130">
        <f>IF(OR($C26="",$B$2="",$D$2=0),0,IF(T$3&lt;0,0,N(INDEX('CURVA PREVISION'!$A$1:$KZ$3000,$C26,10+3*MIN(T$3,$D$2-1)))))</f>
        <v/>
      </c>
      <c r="U26" s="130">
        <f>IF(OR($C26="",$B$2="",$D$2=0),0,IF(U$3&lt;0,0,N(INDEX('CURVA PREVISION'!$A$1:$KZ$3000,$C26,10+3*MIN(U$3,$D$2-1)))))</f>
        <v/>
      </c>
      <c r="V26" s="130">
        <f>IF(OR($C26="",$B$2="",$D$2=0),0,IF(V$3&lt;0,0,N(INDEX('CURVA PREVISION'!$A$1:$KZ$3000,$C26,10+3*MIN(V$3,$D$2-1)))))</f>
        <v/>
      </c>
      <c r="W26" s="130">
        <f>IF(OR($C26="",$B$2="",$D$2=0),0,IF(W$3&lt;0,0,N(INDEX('CURVA PREVISION'!$A$1:$KZ$3000,$C26,10+3*MIN(W$3,$D$2-1)))))</f>
        <v/>
      </c>
      <c r="X26" s="130">
        <f>IF(OR($C26="",$B$2="",$D$2=0),0,IF(X$3&lt;0,0,N(INDEX('CURVA PREVISION'!$A$1:$KZ$3000,$C26,10+3*MIN(X$3,$D$2-1)))))</f>
        <v/>
      </c>
      <c r="Y26" s="130">
        <f>IF(OR($C26="",$B$2="",$D$2=0),0,IF(Y$3&lt;0,0,N(INDEX('CURVA PREVISION'!$A$1:$KZ$3000,$C26,10+3*MIN(Y$3,$D$2-1)))))</f>
        <v/>
      </c>
      <c r="Z26" s="130">
        <f>IF(OR($C26="",$B$2="",$D$2=0),0,IF(Z$3&lt;0,0,N(INDEX('CURVA PREVISION'!$A$1:$KZ$3000,$C26,10+3*MIN(Z$3,$D$2-1)))))</f>
        <v/>
      </c>
      <c r="AA26" s="130">
        <f>IF(OR($C26="",$B$2="",$D$2=0),0,IF(AA$3&lt;0,0,N(INDEX('CURVA PREVISION'!$A$1:$KZ$3000,$C26,10+3*MIN(AA$3,$D$2-1)))))</f>
        <v/>
      </c>
      <c r="AB26" s="130">
        <f>IF(OR($C26="",$B$2="",$D$2=0),0,IF(AB$3&lt;0,0,N(INDEX('CURVA PREVISION'!$A$1:$KZ$3000,$C26,10+3*MIN(AB$3,$D$2-1)))))</f>
        <v/>
      </c>
      <c r="AC26" s="130">
        <f>IF(OR($C26="",$B$2="",$D$2=0),0,IF(AC$3&lt;0,0,N(INDEX('CURVA PREVISION'!$A$1:$KZ$3000,$C26,10+3*MIN(AC$3,$D$2-1)))))</f>
        <v/>
      </c>
      <c r="AD26" s="130">
        <f>IF(OR($C26="",$B$2="",$D$2=0),0,IF(AD$3&lt;0,0,N(INDEX('CURVA PREVISION'!$A$1:$KZ$3000,$C26,10+3*MIN(AD$3,$D$2-1)))))</f>
        <v/>
      </c>
      <c r="AE26" s="130">
        <f>IF(OR($C26="",$B$2="",$D$2=0),0,IF(AE$3&lt;0,0,N(INDEX('CURVA PREVISION'!$A$1:$KZ$3000,$C26,10+3*MIN(AE$3,$D$2-1)))))</f>
        <v/>
      </c>
      <c r="AF26" s="130">
        <f>IF(OR($C26="",$B$2="",$D$2=0),0,IF(AF$3&lt;0,0,N(INDEX('CURVA PREVISION'!$A$1:$KZ$3000,$C26,10+3*MIN(AF$3,$D$2-1)))))</f>
        <v/>
      </c>
      <c r="AG26" s="130">
        <f>IF(OR($C26="",$B$2="",$D$2=0),0,IF(AG$3&lt;0,0,N(INDEX('CURVA PREVISION'!$A$1:$KZ$3000,$C26,10+3*MIN(AG$3,$D$2-1)))))</f>
        <v/>
      </c>
      <c r="AH26" s="130">
        <f>IF(OR($C26="",$B$2="",$D$2=0),0,IF(AH$3&lt;0,0,N(INDEX('CURVA PREVISION'!$A$1:$KZ$3000,$C26,10+3*MIN(AH$3,$D$2-1)))))</f>
        <v/>
      </c>
      <c r="AI26" s="130">
        <f>IF(OR($C26="",$B$2="",$D$2=0),0,IF(AI$3&lt;0,0,N(INDEX('CURVA PREVISION'!$A$1:$KZ$3000,$C26,10+3*MIN(AI$3,$D$2-1)))))</f>
        <v/>
      </c>
      <c r="AJ26" s="130">
        <f>IF(OR($C26="",$B$2="",$D$2=0),0,IF(AJ$3&lt;0,0,N(INDEX('CURVA PREVISION'!$A$1:$KZ$3000,$C26,10+3*MIN(AJ$3,$D$2-1)))))</f>
        <v/>
      </c>
      <c r="AK26" s="130">
        <f>IF(OR($C26="",$B$2="",$D$2=0),0,IF(AK$3&lt;0,0,N(INDEX('CURVA PREVISION'!$A$1:$KZ$3000,$C26,10+3*MIN(AK$3,$D$2-1)))))</f>
        <v/>
      </c>
      <c r="AL26" s="130">
        <f>IF(OR($C26="",$B$2="",$D$2=0),0,IF(AL$3&lt;0,0,N(INDEX('CURVA PREVISION'!$A$1:$KZ$3000,$C26,10+3*MIN(AL$3,$D$2-1)))))</f>
        <v/>
      </c>
      <c r="AM26" s="130">
        <f>IF(OR($C26="",$B$2="",$D$2=0),0,IF(AM$3&lt;0,0,N(INDEX('CURVA PREVISION'!$A$1:$KZ$3000,$C26,10+3*MIN(AM$3,$D$2-1)))))</f>
        <v/>
      </c>
      <c r="AN26" s="130">
        <f>IF(OR($C26="",$B$2="",$D$2=0),0,IF(AN$3&lt;0,0,N(INDEX('CURVA PREVISION'!$A$1:$KZ$3000,$C26,10+3*MIN(AN$3,$D$2-1)))))</f>
        <v/>
      </c>
      <c r="AO26" s="130">
        <f>IF(OR($C26="",$B$2="",$D$2=0),0,IF(AO$3&lt;0,0,N(INDEX('CURVA PREVISION'!$A$1:$KZ$3000,$C26,10+3*MIN(AO$3,$D$2-1)))))</f>
        <v/>
      </c>
      <c r="AP26" s="130">
        <f>IF(OR($C26="",$B$2="",$D$2=0),0,IF(AP$3&lt;0,0,N(INDEX('CURVA PREVISION'!$A$1:$KZ$3000,$C26,10+3*MIN(AP$3,$D$2-1)))))</f>
        <v/>
      </c>
      <c r="AQ26" s="130">
        <f>IF(OR($C26="",$B$2="",$D$2=0),0,IF(AQ$3&lt;0,0,N(INDEX('CURVA PREVISION'!$A$1:$KZ$3000,$C26,10+3*MIN(AQ$3,$D$2-1)))))</f>
        <v/>
      </c>
      <c r="AR26" s="130">
        <f>IF(OR($C26="",$B$2="",$D$2=0),0,IF(AR$3&lt;0,0,N(INDEX('CURVA PREVISION'!$A$1:$KZ$3000,$C26,10+3*MIN(AR$3,$D$2-1)))))</f>
        <v/>
      </c>
      <c r="AS26" s="130">
        <f>IF(OR($C26="",$B$2="",$D$2=0),0,IF(AS$3&lt;0,0,N(INDEX('CURVA PREVISION'!$A$1:$KZ$3000,$C26,10+3*MIN(AS$3,$D$2-1)))))</f>
        <v/>
      </c>
      <c r="AT26" s="130">
        <f>IF(OR($C26="",$B$2="",$D$2=0),0,IF(AT$3&lt;0,0,N(INDEX('CURVA PREVISION'!$A$1:$KZ$3000,$C26,10+3*MIN(AT$3,$D$2-1)))))</f>
        <v/>
      </c>
      <c r="AU26" s="130">
        <f>IF(OR($C26="",$B$2="",$D$2=0),0,IF(AU$3&lt;0,0,N(INDEX('CURVA PREVISION'!$A$1:$KZ$3000,$C26,10+3*MIN(AU$3,$D$2-1)))))</f>
        <v/>
      </c>
      <c r="AV26" s="130">
        <f>IF(OR($C26="",$B$2="",$D$2=0),0,IF(AV$3&lt;0,0,N(INDEX('CURVA PREVISION'!$A$1:$KZ$3000,$C26,10+3*MIN(AV$3,$D$2-1)))))</f>
        <v/>
      </c>
      <c r="AW26" s="130">
        <f>IF(OR($C26="",$B$2="",$D$2=0),0,IF(AW$3&lt;0,0,N(INDEX('CURVA PREVISION'!$A$1:$KZ$3000,$C26,10+3*MIN(AW$3,$D$2-1)))))</f>
        <v/>
      </c>
      <c r="AX26" s="130">
        <f>IF(OR($C26="",$B$2="",$D$2=0),0,IF(AX$3&lt;0,0,N(INDEX('CURVA PREVISION'!$A$1:$KZ$3000,$C26,10+3*MIN(AX$3,$D$2-1)))))</f>
        <v/>
      </c>
      <c r="AY26" s="130">
        <f>IF(OR($C26="",$B$2="",$D$2=0),0,IF(AY$3&lt;0,0,N(INDEX('CURVA PREVISION'!$A$1:$KZ$3000,$C26,10+3*MIN(AY$3,$D$2-1)))))</f>
        <v/>
      </c>
      <c r="AZ26" s="130">
        <f>IF(OR($C26="",$B$2="",$D$2=0),0,IF(AZ$3&lt;0,0,N(INDEX('CURVA PREVISION'!$A$1:$KZ$3000,$C26,10+3*MIN(AZ$3,$D$2-1)))))</f>
        <v/>
      </c>
      <c r="BA26" s="130">
        <f>IF(OR($C26="",$B$2="",$D$2=0),0,IF(BA$3&lt;0,0,N(INDEX('CURVA PREVISION'!$A$1:$KZ$3000,$C26,10+3*MIN(BA$3,$D$2-1)))))</f>
        <v/>
      </c>
      <c r="BB26" s="130">
        <f>IF(OR($C26="",$B$2="",$D$2=0),0,IF(BB$3&lt;0,0,N(INDEX('CURVA PREVISION'!$A$1:$KZ$3000,$C26,10+3*MIN(BB$3,$D$2-1)))))</f>
        <v/>
      </c>
      <c r="BC26" s="130">
        <f>IF(OR($C26="",$B$2="",$D$2=0),0,IF(BC$3&lt;0,0,N(INDEX('CURVA PREVISION'!$A$1:$KZ$3000,$C26,10+3*MIN(BC$3,$D$2-1)))))</f>
        <v/>
      </c>
      <c r="BD26" s="130">
        <f>IF(OR($C26="",$B$2="",$D$2=0),0,IF(BD$3&lt;0,0,N(INDEX('CURVA PREVISION'!$A$1:$KZ$3000,$C26,10+3*MIN(BD$3,$D$2-1)))))</f>
        <v/>
      </c>
      <c r="BE26" s="130">
        <f>IF(OR($C26="",$B$2="",$D$2=0),0,IF(BE$3&lt;0,0,N(INDEX('CURVA PREVISION'!$A$1:$KZ$3000,$C26,10+3*MIN(BE$3,$D$2-1)))))</f>
        <v/>
      </c>
      <c r="BF26" s="130">
        <f>IF(OR($C26="",$B$2="",$D$2=0),0,IF(BF$3&lt;0,0,N(INDEX('CURVA PREVISION'!$A$1:$KZ$3000,$C26,10+3*MIN(BF$3,$D$2-1)))))</f>
        <v/>
      </c>
      <c r="BG26" s="130">
        <f>IF(OR($C26="",$B$2="",$D$2=0),0,IF(BG$3&lt;0,0,N(INDEX('CURVA PREVISION'!$A$1:$KZ$3000,$C26,10+3*MIN(BG$3,$D$2-1)))))</f>
        <v/>
      </c>
      <c r="BH26" s="130">
        <f>IF(OR($C26="",$B$2="",$D$2=0),0,IF(BH$3&lt;0,0,N(INDEX('CURVA PREVISION'!$A$1:$KZ$3000,$C26,10+3*MIN(BH$3,$D$2-1)))))</f>
        <v/>
      </c>
      <c r="BI26" s="130">
        <f>IF(OR($C26="",$B$2="",$D$2=0),0,IF(BI$3&lt;0,0,N(INDEX('CURVA PREVISION'!$A$1:$KZ$3000,$C26,10+3*MIN(BI$3,$D$2-1)))))</f>
        <v/>
      </c>
      <c r="BJ26" s="130">
        <f>IF(OR($C26="",$B$2="",$D$2=0),0,IF(BJ$3&lt;0,0,N(INDEX('CURVA PREVISION'!$A$1:$KZ$3000,$C26,10+3*MIN(BJ$3,$D$2-1)))))</f>
        <v/>
      </c>
      <c r="BK26" s="130">
        <f>IF(OR($C26="",$B$2="",$D$2=0),0,IF(BK$3&lt;0,0,N(INDEX('CURVA PREVISION'!$A$1:$KZ$3000,$C26,10+3*MIN(BK$3,$D$2-1)))))</f>
        <v/>
      </c>
      <c r="BL26" s="130">
        <f>IF(OR($C26="",$B$2="",$D$2=0),0,IF(BL$3&lt;0,0,N(INDEX('CURVA PREVISION'!$A$1:$KZ$3000,$C26,10+3*MIN(BL$3,$D$2-1)))))</f>
        <v/>
      </c>
      <c r="BM26" s="130">
        <f>IF(OR($C26="",$B$2="",$D$2=0),0,IF(BM$3&lt;0,0,N(INDEX('CURVA PREVISION'!$A$1:$KZ$3000,$C26,10+3*MIN(BM$3,$D$2-1)))))</f>
        <v/>
      </c>
      <c r="BN26" s="130">
        <f>IF(OR($C26="",$B$2="",$D$2=0),0,IF(BN$3&lt;0,0,N(INDEX('CURVA PREVISION'!$A$1:$KZ$3000,$C26,10+3*MIN(BN$3,$D$2-1)))))</f>
        <v/>
      </c>
      <c r="BO26" s="130">
        <f>IF(OR($C26="",$B$2="",$D$2=0),0,IF(BO$3&lt;0,0,N(INDEX('CURVA PREVISION'!$A$1:$KZ$3000,$C26,10+3*MIN(BO$3,$D$2-1)))))</f>
        <v/>
      </c>
      <c r="BP26" s="130">
        <f>IF(OR($C26="",$B$2="",$D$2=0),0,IF(BP$3&lt;0,0,N(INDEX('CURVA PREVISION'!$A$1:$KZ$3000,$C26,10+3*MIN(BP$3,$D$2-1)))))</f>
        <v/>
      </c>
      <c r="BQ26" s="130">
        <f>IF(OR($C26="",$B$2="",$D$2=0),0,IF(BQ$3&lt;0,0,N(INDEX('CURVA PREVISION'!$A$1:$KZ$3000,$C26,10+3*MIN(BQ$3,$D$2-1)))))</f>
        <v/>
      </c>
      <c r="BR26" s="130">
        <f>IF(OR($C26="",$B$2="",$D$2=0),0,IF(BR$3&lt;0,0,N(INDEX('CURVA PREVISION'!$A$1:$KZ$3000,$C26,10+3*MIN(BR$3,$D$2-1)))))</f>
        <v/>
      </c>
      <c r="BS26" s="130">
        <f>IF(OR($C26="",$B$2="",$D$2=0),0,IF(BS$3&lt;0,0,N(INDEX('CURVA PREVISION'!$A$1:$KZ$3000,$C26,10+3*MIN(BS$3,$D$2-1)))))</f>
        <v/>
      </c>
      <c r="BT26" s="130">
        <f>IF(OR($C26="",$B$2="",$D$2=0),0,IF(BT$3&lt;0,0,N(INDEX('CURVA PREVISION'!$A$1:$KZ$3000,$C26,10+3*MIN(BT$3,$D$2-1)))))</f>
        <v/>
      </c>
      <c r="BU26" s="130">
        <f>IF(OR($C26="",$B$2="",$D$2=0),0,IF(BU$3&lt;0,0,N(INDEX('CURVA PREVISION'!$A$1:$KZ$3000,$C26,10+3*MIN(BU$3,$D$2-1)))))</f>
        <v/>
      </c>
      <c r="BV26" s="130">
        <f>IF(OR($C26="",$B$2="",$D$2=0),0,IF(BV$3&lt;0,0,N(INDEX('CURVA PREVISION'!$A$1:$KZ$3000,$C26,10+3*MIN(BV$3,$D$2-1)))))</f>
        <v/>
      </c>
      <c r="BW26" s="130">
        <f>IF(OR($C26="",$B$2="",$D$2=0),0,IF(BW$3&lt;0,0,N(INDEX('CURVA PREVISION'!$A$1:$KZ$3000,$C26,10+3*MIN(BW$3,$D$2-1)))))</f>
        <v/>
      </c>
    </row>
    <row r="27">
      <c r="A27" s="61">
        <f>IF('VALOR POR PL'!R33&lt;&gt;"",'VALOR POR PL'!R33,IF('VALOR POR PL'!Q33="",'VALOR POR PL'!C33,'VALOR POR PL'!Q33))</f>
        <v/>
      </c>
      <c r="B27" s="61">
        <f>'VALOR POR PL'!D33</f>
        <v/>
      </c>
      <c r="C27" s="70">
        <f>IFERROR(MATCH(A27,'CURVA PREVISION'!$B$1:$B$3000,0),"")</f>
        <v/>
      </c>
      <c r="D27" s="130">
        <f>IF(OR($C27="",$B$2="",$D$2=0),0,IF(D$3&lt;0,0,N(INDEX('CURVA PREVISION'!$A$1:$KZ$3000,$C27,10+3*MIN(D$3,$D$2-1)))))</f>
        <v/>
      </c>
      <c r="E27" s="130">
        <f>IF(OR($C27="",$B$2="",$D$2=0),0,IF(E$3&lt;0,0,N(INDEX('CURVA PREVISION'!$A$1:$KZ$3000,$C27,10+3*MIN(E$3,$D$2-1)))))</f>
        <v/>
      </c>
      <c r="F27" s="130">
        <f>IF(OR($C27="",$B$2="",$D$2=0),0,IF(F$3&lt;0,0,N(INDEX('CURVA PREVISION'!$A$1:$KZ$3000,$C27,10+3*MIN(F$3,$D$2-1)))))</f>
        <v/>
      </c>
      <c r="G27" s="130">
        <f>IF(OR($C27="",$B$2="",$D$2=0),0,IF(G$3&lt;0,0,N(INDEX('CURVA PREVISION'!$A$1:$KZ$3000,$C27,10+3*MIN(G$3,$D$2-1)))))</f>
        <v/>
      </c>
      <c r="H27" s="130">
        <f>IF(OR($C27="",$B$2="",$D$2=0),0,IF(H$3&lt;0,0,N(INDEX('CURVA PREVISION'!$A$1:$KZ$3000,$C27,10+3*MIN(H$3,$D$2-1)))))</f>
        <v/>
      </c>
      <c r="I27" s="130">
        <f>IF(OR($C27="",$B$2="",$D$2=0),0,IF(I$3&lt;0,0,N(INDEX('CURVA PREVISION'!$A$1:$KZ$3000,$C27,10+3*MIN(I$3,$D$2-1)))))</f>
        <v/>
      </c>
      <c r="J27" s="130">
        <f>IF(OR($C27="",$B$2="",$D$2=0),0,IF(J$3&lt;0,0,N(INDEX('CURVA PREVISION'!$A$1:$KZ$3000,$C27,10+3*MIN(J$3,$D$2-1)))))</f>
        <v/>
      </c>
      <c r="K27" s="130">
        <f>IF(OR($C27="",$B$2="",$D$2=0),0,IF(K$3&lt;0,0,N(INDEX('CURVA PREVISION'!$A$1:$KZ$3000,$C27,10+3*MIN(K$3,$D$2-1)))))</f>
        <v/>
      </c>
      <c r="L27" s="130">
        <f>IF(OR($C27="",$B$2="",$D$2=0),0,IF(L$3&lt;0,0,N(INDEX('CURVA PREVISION'!$A$1:$KZ$3000,$C27,10+3*MIN(L$3,$D$2-1)))))</f>
        <v/>
      </c>
      <c r="M27" s="130">
        <f>IF(OR($C27="",$B$2="",$D$2=0),0,IF(M$3&lt;0,0,N(INDEX('CURVA PREVISION'!$A$1:$KZ$3000,$C27,10+3*MIN(M$3,$D$2-1)))))</f>
        <v/>
      </c>
      <c r="N27" s="130">
        <f>IF(OR($C27="",$B$2="",$D$2=0),0,IF(N$3&lt;0,0,N(INDEX('CURVA PREVISION'!$A$1:$KZ$3000,$C27,10+3*MIN(N$3,$D$2-1)))))</f>
        <v/>
      </c>
      <c r="O27" s="130">
        <f>IF(OR($C27="",$B$2="",$D$2=0),0,IF(O$3&lt;0,0,N(INDEX('CURVA PREVISION'!$A$1:$KZ$3000,$C27,10+3*MIN(O$3,$D$2-1)))))</f>
        <v/>
      </c>
      <c r="P27" s="130">
        <f>IF(OR($C27="",$B$2="",$D$2=0),0,IF(P$3&lt;0,0,N(INDEX('CURVA PREVISION'!$A$1:$KZ$3000,$C27,10+3*MIN(P$3,$D$2-1)))))</f>
        <v/>
      </c>
      <c r="Q27" s="130">
        <f>IF(OR($C27="",$B$2="",$D$2=0),0,IF(Q$3&lt;0,0,N(INDEX('CURVA PREVISION'!$A$1:$KZ$3000,$C27,10+3*MIN(Q$3,$D$2-1)))))</f>
        <v/>
      </c>
      <c r="R27" s="130">
        <f>IF(OR($C27="",$B$2="",$D$2=0),0,IF(R$3&lt;0,0,N(INDEX('CURVA PREVISION'!$A$1:$KZ$3000,$C27,10+3*MIN(R$3,$D$2-1)))))</f>
        <v/>
      </c>
      <c r="S27" s="130">
        <f>IF(OR($C27="",$B$2="",$D$2=0),0,IF(S$3&lt;0,0,N(INDEX('CURVA PREVISION'!$A$1:$KZ$3000,$C27,10+3*MIN(S$3,$D$2-1)))))</f>
        <v/>
      </c>
      <c r="T27" s="130">
        <f>IF(OR($C27="",$B$2="",$D$2=0),0,IF(T$3&lt;0,0,N(INDEX('CURVA PREVISION'!$A$1:$KZ$3000,$C27,10+3*MIN(T$3,$D$2-1)))))</f>
        <v/>
      </c>
      <c r="U27" s="130">
        <f>IF(OR($C27="",$B$2="",$D$2=0),0,IF(U$3&lt;0,0,N(INDEX('CURVA PREVISION'!$A$1:$KZ$3000,$C27,10+3*MIN(U$3,$D$2-1)))))</f>
        <v/>
      </c>
      <c r="V27" s="130">
        <f>IF(OR($C27="",$B$2="",$D$2=0),0,IF(V$3&lt;0,0,N(INDEX('CURVA PREVISION'!$A$1:$KZ$3000,$C27,10+3*MIN(V$3,$D$2-1)))))</f>
        <v/>
      </c>
      <c r="W27" s="130">
        <f>IF(OR($C27="",$B$2="",$D$2=0),0,IF(W$3&lt;0,0,N(INDEX('CURVA PREVISION'!$A$1:$KZ$3000,$C27,10+3*MIN(W$3,$D$2-1)))))</f>
        <v/>
      </c>
      <c r="X27" s="130">
        <f>IF(OR($C27="",$B$2="",$D$2=0),0,IF(X$3&lt;0,0,N(INDEX('CURVA PREVISION'!$A$1:$KZ$3000,$C27,10+3*MIN(X$3,$D$2-1)))))</f>
        <v/>
      </c>
      <c r="Y27" s="130">
        <f>IF(OR($C27="",$B$2="",$D$2=0),0,IF(Y$3&lt;0,0,N(INDEX('CURVA PREVISION'!$A$1:$KZ$3000,$C27,10+3*MIN(Y$3,$D$2-1)))))</f>
        <v/>
      </c>
      <c r="Z27" s="130">
        <f>IF(OR($C27="",$B$2="",$D$2=0),0,IF(Z$3&lt;0,0,N(INDEX('CURVA PREVISION'!$A$1:$KZ$3000,$C27,10+3*MIN(Z$3,$D$2-1)))))</f>
        <v/>
      </c>
      <c r="AA27" s="130">
        <f>IF(OR($C27="",$B$2="",$D$2=0),0,IF(AA$3&lt;0,0,N(INDEX('CURVA PREVISION'!$A$1:$KZ$3000,$C27,10+3*MIN(AA$3,$D$2-1)))))</f>
        <v/>
      </c>
      <c r="AB27" s="130">
        <f>IF(OR($C27="",$B$2="",$D$2=0),0,IF(AB$3&lt;0,0,N(INDEX('CURVA PREVISION'!$A$1:$KZ$3000,$C27,10+3*MIN(AB$3,$D$2-1)))))</f>
        <v/>
      </c>
      <c r="AC27" s="130">
        <f>IF(OR($C27="",$B$2="",$D$2=0),0,IF(AC$3&lt;0,0,N(INDEX('CURVA PREVISION'!$A$1:$KZ$3000,$C27,10+3*MIN(AC$3,$D$2-1)))))</f>
        <v/>
      </c>
      <c r="AD27" s="130">
        <f>IF(OR($C27="",$B$2="",$D$2=0),0,IF(AD$3&lt;0,0,N(INDEX('CURVA PREVISION'!$A$1:$KZ$3000,$C27,10+3*MIN(AD$3,$D$2-1)))))</f>
        <v/>
      </c>
      <c r="AE27" s="130">
        <f>IF(OR($C27="",$B$2="",$D$2=0),0,IF(AE$3&lt;0,0,N(INDEX('CURVA PREVISION'!$A$1:$KZ$3000,$C27,10+3*MIN(AE$3,$D$2-1)))))</f>
        <v/>
      </c>
      <c r="AF27" s="130">
        <f>IF(OR($C27="",$B$2="",$D$2=0),0,IF(AF$3&lt;0,0,N(INDEX('CURVA PREVISION'!$A$1:$KZ$3000,$C27,10+3*MIN(AF$3,$D$2-1)))))</f>
        <v/>
      </c>
      <c r="AG27" s="130">
        <f>IF(OR($C27="",$B$2="",$D$2=0),0,IF(AG$3&lt;0,0,N(INDEX('CURVA PREVISION'!$A$1:$KZ$3000,$C27,10+3*MIN(AG$3,$D$2-1)))))</f>
        <v/>
      </c>
      <c r="AH27" s="130">
        <f>IF(OR($C27="",$B$2="",$D$2=0),0,IF(AH$3&lt;0,0,N(INDEX('CURVA PREVISION'!$A$1:$KZ$3000,$C27,10+3*MIN(AH$3,$D$2-1)))))</f>
        <v/>
      </c>
      <c r="AI27" s="130">
        <f>IF(OR($C27="",$B$2="",$D$2=0),0,IF(AI$3&lt;0,0,N(INDEX('CURVA PREVISION'!$A$1:$KZ$3000,$C27,10+3*MIN(AI$3,$D$2-1)))))</f>
        <v/>
      </c>
      <c r="AJ27" s="130">
        <f>IF(OR($C27="",$B$2="",$D$2=0),0,IF(AJ$3&lt;0,0,N(INDEX('CURVA PREVISION'!$A$1:$KZ$3000,$C27,10+3*MIN(AJ$3,$D$2-1)))))</f>
        <v/>
      </c>
      <c r="AK27" s="130">
        <f>IF(OR($C27="",$B$2="",$D$2=0),0,IF(AK$3&lt;0,0,N(INDEX('CURVA PREVISION'!$A$1:$KZ$3000,$C27,10+3*MIN(AK$3,$D$2-1)))))</f>
        <v/>
      </c>
      <c r="AL27" s="130">
        <f>IF(OR($C27="",$B$2="",$D$2=0),0,IF(AL$3&lt;0,0,N(INDEX('CURVA PREVISION'!$A$1:$KZ$3000,$C27,10+3*MIN(AL$3,$D$2-1)))))</f>
        <v/>
      </c>
      <c r="AM27" s="130">
        <f>IF(OR($C27="",$B$2="",$D$2=0),0,IF(AM$3&lt;0,0,N(INDEX('CURVA PREVISION'!$A$1:$KZ$3000,$C27,10+3*MIN(AM$3,$D$2-1)))))</f>
        <v/>
      </c>
      <c r="AN27" s="130">
        <f>IF(OR($C27="",$B$2="",$D$2=0),0,IF(AN$3&lt;0,0,N(INDEX('CURVA PREVISION'!$A$1:$KZ$3000,$C27,10+3*MIN(AN$3,$D$2-1)))))</f>
        <v/>
      </c>
      <c r="AO27" s="130">
        <f>IF(OR($C27="",$B$2="",$D$2=0),0,IF(AO$3&lt;0,0,N(INDEX('CURVA PREVISION'!$A$1:$KZ$3000,$C27,10+3*MIN(AO$3,$D$2-1)))))</f>
        <v/>
      </c>
      <c r="AP27" s="130">
        <f>IF(OR($C27="",$B$2="",$D$2=0),0,IF(AP$3&lt;0,0,N(INDEX('CURVA PREVISION'!$A$1:$KZ$3000,$C27,10+3*MIN(AP$3,$D$2-1)))))</f>
        <v/>
      </c>
      <c r="AQ27" s="130">
        <f>IF(OR($C27="",$B$2="",$D$2=0),0,IF(AQ$3&lt;0,0,N(INDEX('CURVA PREVISION'!$A$1:$KZ$3000,$C27,10+3*MIN(AQ$3,$D$2-1)))))</f>
        <v/>
      </c>
      <c r="AR27" s="130">
        <f>IF(OR($C27="",$B$2="",$D$2=0),0,IF(AR$3&lt;0,0,N(INDEX('CURVA PREVISION'!$A$1:$KZ$3000,$C27,10+3*MIN(AR$3,$D$2-1)))))</f>
        <v/>
      </c>
      <c r="AS27" s="130">
        <f>IF(OR($C27="",$B$2="",$D$2=0),0,IF(AS$3&lt;0,0,N(INDEX('CURVA PREVISION'!$A$1:$KZ$3000,$C27,10+3*MIN(AS$3,$D$2-1)))))</f>
        <v/>
      </c>
      <c r="AT27" s="130">
        <f>IF(OR($C27="",$B$2="",$D$2=0),0,IF(AT$3&lt;0,0,N(INDEX('CURVA PREVISION'!$A$1:$KZ$3000,$C27,10+3*MIN(AT$3,$D$2-1)))))</f>
        <v/>
      </c>
      <c r="AU27" s="130">
        <f>IF(OR($C27="",$B$2="",$D$2=0),0,IF(AU$3&lt;0,0,N(INDEX('CURVA PREVISION'!$A$1:$KZ$3000,$C27,10+3*MIN(AU$3,$D$2-1)))))</f>
        <v/>
      </c>
      <c r="AV27" s="130">
        <f>IF(OR($C27="",$B$2="",$D$2=0),0,IF(AV$3&lt;0,0,N(INDEX('CURVA PREVISION'!$A$1:$KZ$3000,$C27,10+3*MIN(AV$3,$D$2-1)))))</f>
        <v/>
      </c>
      <c r="AW27" s="130">
        <f>IF(OR($C27="",$B$2="",$D$2=0),0,IF(AW$3&lt;0,0,N(INDEX('CURVA PREVISION'!$A$1:$KZ$3000,$C27,10+3*MIN(AW$3,$D$2-1)))))</f>
        <v/>
      </c>
      <c r="AX27" s="130">
        <f>IF(OR($C27="",$B$2="",$D$2=0),0,IF(AX$3&lt;0,0,N(INDEX('CURVA PREVISION'!$A$1:$KZ$3000,$C27,10+3*MIN(AX$3,$D$2-1)))))</f>
        <v/>
      </c>
      <c r="AY27" s="130">
        <f>IF(OR($C27="",$B$2="",$D$2=0),0,IF(AY$3&lt;0,0,N(INDEX('CURVA PREVISION'!$A$1:$KZ$3000,$C27,10+3*MIN(AY$3,$D$2-1)))))</f>
        <v/>
      </c>
      <c r="AZ27" s="130">
        <f>IF(OR($C27="",$B$2="",$D$2=0),0,IF(AZ$3&lt;0,0,N(INDEX('CURVA PREVISION'!$A$1:$KZ$3000,$C27,10+3*MIN(AZ$3,$D$2-1)))))</f>
        <v/>
      </c>
      <c r="BA27" s="130">
        <f>IF(OR($C27="",$B$2="",$D$2=0),0,IF(BA$3&lt;0,0,N(INDEX('CURVA PREVISION'!$A$1:$KZ$3000,$C27,10+3*MIN(BA$3,$D$2-1)))))</f>
        <v/>
      </c>
      <c r="BB27" s="130">
        <f>IF(OR($C27="",$B$2="",$D$2=0),0,IF(BB$3&lt;0,0,N(INDEX('CURVA PREVISION'!$A$1:$KZ$3000,$C27,10+3*MIN(BB$3,$D$2-1)))))</f>
        <v/>
      </c>
      <c r="BC27" s="130">
        <f>IF(OR($C27="",$B$2="",$D$2=0),0,IF(BC$3&lt;0,0,N(INDEX('CURVA PREVISION'!$A$1:$KZ$3000,$C27,10+3*MIN(BC$3,$D$2-1)))))</f>
        <v/>
      </c>
      <c r="BD27" s="130">
        <f>IF(OR($C27="",$B$2="",$D$2=0),0,IF(BD$3&lt;0,0,N(INDEX('CURVA PREVISION'!$A$1:$KZ$3000,$C27,10+3*MIN(BD$3,$D$2-1)))))</f>
        <v/>
      </c>
      <c r="BE27" s="130">
        <f>IF(OR($C27="",$B$2="",$D$2=0),0,IF(BE$3&lt;0,0,N(INDEX('CURVA PREVISION'!$A$1:$KZ$3000,$C27,10+3*MIN(BE$3,$D$2-1)))))</f>
        <v/>
      </c>
      <c r="BF27" s="130">
        <f>IF(OR($C27="",$B$2="",$D$2=0),0,IF(BF$3&lt;0,0,N(INDEX('CURVA PREVISION'!$A$1:$KZ$3000,$C27,10+3*MIN(BF$3,$D$2-1)))))</f>
        <v/>
      </c>
      <c r="BG27" s="130">
        <f>IF(OR($C27="",$B$2="",$D$2=0),0,IF(BG$3&lt;0,0,N(INDEX('CURVA PREVISION'!$A$1:$KZ$3000,$C27,10+3*MIN(BG$3,$D$2-1)))))</f>
        <v/>
      </c>
      <c r="BH27" s="130">
        <f>IF(OR($C27="",$B$2="",$D$2=0),0,IF(BH$3&lt;0,0,N(INDEX('CURVA PREVISION'!$A$1:$KZ$3000,$C27,10+3*MIN(BH$3,$D$2-1)))))</f>
        <v/>
      </c>
      <c r="BI27" s="130">
        <f>IF(OR($C27="",$B$2="",$D$2=0),0,IF(BI$3&lt;0,0,N(INDEX('CURVA PREVISION'!$A$1:$KZ$3000,$C27,10+3*MIN(BI$3,$D$2-1)))))</f>
        <v/>
      </c>
      <c r="BJ27" s="130">
        <f>IF(OR($C27="",$B$2="",$D$2=0),0,IF(BJ$3&lt;0,0,N(INDEX('CURVA PREVISION'!$A$1:$KZ$3000,$C27,10+3*MIN(BJ$3,$D$2-1)))))</f>
        <v/>
      </c>
      <c r="BK27" s="130">
        <f>IF(OR($C27="",$B$2="",$D$2=0),0,IF(BK$3&lt;0,0,N(INDEX('CURVA PREVISION'!$A$1:$KZ$3000,$C27,10+3*MIN(BK$3,$D$2-1)))))</f>
        <v/>
      </c>
      <c r="BL27" s="130">
        <f>IF(OR($C27="",$B$2="",$D$2=0),0,IF(BL$3&lt;0,0,N(INDEX('CURVA PREVISION'!$A$1:$KZ$3000,$C27,10+3*MIN(BL$3,$D$2-1)))))</f>
        <v/>
      </c>
      <c r="BM27" s="130">
        <f>IF(OR($C27="",$B$2="",$D$2=0),0,IF(BM$3&lt;0,0,N(INDEX('CURVA PREVISION'!$A$1:$KZ$3000,$C27,10+3*MIN(BM$3,$D$2-1)))))</f>
        <v/>
      </c>
      <c r="BN27" s="130">
        <f>IF(OR($C27="",$B$2="",$D$2=0),0,IF(BN$3&lt;0,0,N(INDEX('CURVA PREVISION'!$A$1:$KZ$3000,$C27,10+3*MIN(BN$3,$D$2-1)))))</f>
        <v/>
      </c>
      <c r="BO27" s="130">
        <f>IF(OR($C27="",$B$2="",$D$2=0),0,IF(BO$3&lt;0,0,N(INDEX('CURVA PREVISION'!$A$1:$KZ$3000,$C27,10+3*MIN(BO$3,$D$2-1)))))</f>
        <v/>
      </c>
      <c r="BP27" s="130">
        <f>IF(OR($C27="",$B$2="",$D$2=0),0,IF(BP$3&lt;0,0,N(INDEX('CURVA PREVISION'!$A$1:$KZ$3000,$C27,10+3*MIN(BP$3,$D$2-1)))))</f>
        <v/>
      </c>
      <c r="BQ27" s="130">
        <f>IF(OR($C27="",$B$2="",$D$2=0),0,IF(BQ$3&lt;0,0,N(INDEX('CURVA PREVISION'!$A$1:$KZ$3000,$C27,10+3*MIN(BQ$3,$D$2-1)))))</f>
        <v/>
      </c>
      <c r="BR27" s="130">
        <f>IF(OR($C27="",$B$2="",$D$2=0),0,IF(BR$3&lt;0,0,N(INDEX('CURVA PREVISION'!$A$1:$KZ$3000,$C27,10+3*MIN(BR$3,$D$2-1)))))</f>
        <v/>
      </c>
      <c r="BS27" s="130">
        <f>IF(OR($C27="",$B$2="",$D$2=0),0,IF(BS$3&lt;0,0,N(INDEX('CURVA PREVISION'!$A$1:$KZ$3000,$C27,10+3*MIN(BS$3,$D$2-1)))))</f>
        <v/>
      </c>
      <c r="BT27" s="130">
        <f>IF(OR($C27="",$B$2="",$D$2=0),0,IF(BT$3&lt;0,0,N(INDEX('CURVA PREVISION'!$A$1:$KZ$3000,$C27,10+3*MIN(BT$3,$D$2-1)))))</f>
        <v/>
      </c>
      <c r="BU27" s="130">
        <f>IF(OR($C27="",$B$2="",$D$2=0),0,IF(BU$3&lt;0,0,N(INDEX('CURVA PREVISION'!$A$1:$KZ$3000,$C27,10+3*MIN(BU$3,$D$2-1)))))</f>
        <v/>
      </c>
      <c r="BV27" s="130">
        <f>IF(OR($C27="",$B$2="",$D$2=0),0,IF(BV$3&lt;0,0,N(INDEX('CURVA PREVISION'!$A$1:$KZ$3000,$C27,10+3*MIN(BV$3,$D$2-1)))))</f>
        <v/>
      </c>
      <c r="BW27" s="130">
        <f>IF(OR($C27="",$B$2="",$D$2=0),0,IF(BW$3&lt;0,0,N(INDEX('CURVA PREVISION'!$A$1:$KZ$3000,$C27,10+3*MIN(BW$3,$D$2-1)))))</f>
        <v/>
      </c>
    </row>
    <row r="28">
      <c r="A28" s="61">
        <f>IF('VALOR POR PL'!R34&lt;&gt;"",'VALOR POR PL'!R34,IF('VALOR POR PL'!Q34="",'VALOR POR PL'!C34,'VALOR POR PL'!Q34))</f>
        <v/>
      </c>
      <c r="B28" s="61">
        <f>'VALOR POR PL'!D34</f>
        <v/>
      </c>
      <c r="C28" s="70">
        <f>IFERROR(MATCH(A28,'CURVA PREVISION'!$B$1:$B$3000,0),"")</f>
        <v/>
      </c>
      <c r="D28" s="130">
        <f>IF(OR($C28="",$B$2="",$D$2=0),0,IF(D$3&lt;0,0,N(INDEX('CURVA PREVISION'!$A$1:$KZ$3000,$C28,10+3*MIN(D$3,$D$2-1)))))</f>
        <v/>
      </c>
      <c r="E28" s="130">
        <f>IF(OR($C28="",$B$2="",$D$2=0),0,IF(E$3&lt;0,0,N(INDEX('CURVA PREVISION'!$A$1:$KZ$3000,$C28,10+3*MIN(E$3,$D$2-1)))))</f>
        <v/>
      </c>
      <c r="F28" s="130">
        <f>IF(OR($C28="",$B$2="",$D$2=0),0,IF(F$3&lt;0,0,N(INDEX('CURVA PREVISION'!$A$1:$KZ$3000,$C28,10+3*MIN(F$3,$D$2-1)))))</f>
        <v/>
      </c>
      <c r="G28" s="130">
        <f>IF(OR($C28="",$B$2="",$D$2=0),0,IF(G$3&lt;0,0,N(INDEX('CURVA PREVISION'!$A$1:$KZ$3000,$C28,10+3*MIN(G$3,$D$2-1)))))</f>
        <v/>
      </c>
      <c r="H28" s="130">
        <f>IF(OR($C28="",$B$2="",$D$2=0),0,IF(H$3&lt;0,0,N(INDEX('CURVA PREVISION'!$A$1:$KZ$3000,$C28,10+3*MIN(H$3,$D$2-1)))))</f>
        <v/>
      </c>
      <c r="I28" s="130">
        <f>IF(OR($C28="",$B$2="",$D$2=0),0,IF(I$3&lt;0,0,N(INDEX('CURVA PREVISION'!$A$1:$KZ$3000,$C28,10+3*MIN(I$3,$D$2-1)))))</f>
        <v/>
      </c>
      <c r="J28" s="130">
        <f>IF(OR($C28="",$B$2="",$D$2=0),0,IF(J$3&lt;0,0,N(INDEX('CURVA PREVISION'!$A$1:$KZ$3000,$C28,10+3*MIN(J$3,$D$2-1)))))</f>
        <v/>
      </c>
      <c r="K28" s="130">
        <f>IF(OR($C28="",$B$2="",$D$2=0),0,IF(K$3&lt;0,0,N(INDEX('CURVA PREVISION'!$A$1:$KZ$3000,$C28,10+3*MIN(K$3,$D$2-1)))))</f>
        <v/>
      </c>
      <c r="L28" s="130">
        <f>IF(OR($C28="",$B$2="",$D$2=0),0,IF(L$3&lt;0,0,N(INDEX('CURVA PREVISION'!$A$1:$KZ$3000,$C28,10+3*MIN(L$3,$D$2-1)))))</f>
        <v/>
      </c>
      <c r="M28" s="130">
        <f>IF(OR($C28="",$B$2="",$D$2=0),0,IF(M$3&lt;0,0,N(INDEX('CURVA PREVISION'!$A$1:$KZ$3000,$C28,10+3*MIN(M$3,$D$2-1)))))</f>
        <v/>
      </c>
      <c r="N28" s="130">
        <f>IF(OR($C28="",$B$2="",$D$2=0),0,IF(N$3&lt;0,0,N(INDEX('CURVA PREVISION'!$A$1:$KZ$3000,$C28,10+3*MIN(N$3,$D$2-1)))))</f>
        <v/>
      </c>
      <c r="O28" s="130">
        <f>IF(OR($C28="",$B$2="",$D$2=0),0,IF(O$3&lt;0,0,N(INDEX('CURVA PREVISION'!$A$1:$KZ$3000,$C28,10+3*MIN(O$3,$D$2-1)))))</f>
        <v/>
      </c>
      <c r="P28" s="130">
        <f>IF(OR($C28="",$B$2="",$D$2=0),0,IF(P$3&lt;0,0,N(INDEX('CURVA PREVISION'!$A$1:$KZ$3000,$C28,10+3*MIN(P$3,$D$2-1)))))</f>
        <v/>
      </c>
      <c r="Q28" s="130">
        <f>IF(OR($C28="",$B$2="",$D$2=0),0,IF(Q$3&lt;0,0,N(INDEX('CURVA PREVISION'!$A$1:$KZ$3000,$C28,10+3*MIN(Q$3,$D$2-1)))))</f>
        <v/>
      </c>
      <c r="R28" s="130">
        <f>IF(OR($C28="",$B$2="",$D$2=0),0,IF(R$3&lt;0,0,N(INDEX('CURVA PREVISION'!$A$1:$KZ$3000,$C28,10+3*MIN(R$3,$D$2-1)))))</f>
        <v/>
      </c>
      <c r="S28" s="130">
        <f>IF(OR($C28="",$B$2="",$D$2=0),0,IF(S$3&lt;0,0,N(INDEX('CURVA PREVISION'!$A$1:$KZ$3000,$C28,10+3*MIN(S$3,$D$2-1)))))</f>
        <v/>
      </c>
      <c r="T28" s="130">
        <f>IF(OR($C28="",$B$2="",$D$2=0),0,IF(T$3&lt;0,0,N(INDEX('CURVA PREVISION'!$A$1:$KZ$3000,$C28,10+3*MIN(T$3,$D$2-1)))))</f>
        <v/>
      </c>
      <c r="U28" s="130">
        <f>IF(OR($C28="",$B$2="",$D$2=0),0,IF(U$3&lt;0,0,N(INDEX('CURVA PREVISION'!$A$1:$KZ$3000,$C28,10+3*MIN(U$3,$D$2-1)))))</f>
        <v/>
      </c>
      <c r="V28" s="130">
        <f>IF(OR($C28="",$B$2="",$D$2=0),0,IF(V$3&lt;0,0,N(INDEX('CURVA PREVISION'!$A$1:$KZ$3000,$C28,10+3*MIN(V$3,$D$2-1)))))</f>
        <v/>
      </c>
      <c r="W28" s="130">
        <f>IF(OR($C28="",$B$2="",$D$2=0),0,IF(W$3&lt;0,0,N(INDEX('CURVA PREVISION'!$A$1:$KZ$3000,$C28,10+3*MIN(W$3,$D$2-1)))))</f>
        <v/>
      </c>
      <c r="X28" s="130">
        <f>IF(OR($C28="",$B$2="",$D$2=0),0,IF(X$3&lt;0,0,N(INDEX('CURVA PREVISION'!$A$1:$KZ$3000,$C28,10+3*MIN(X$3,$D$2-1)))))</f>
        <v/>
      </c>
      <c r="Y28" s="130">
        <f>IF(OR($C28="",$B$2="",$D$2=0),0,IF(Y$3&lt;0,0,N(INDEX('CURVA PREVISION'!$A$1:$KZ$3000,$C28,10+3*MIN(Y$3,$D$2-1)))))</f>
        <v/>
      </c>
      <c r="Z28" s="130">
        <f>IF(OR($C28="",$B$2="",$D$2=0),0,IF(Z$3&lt;0,0,N(INDEX('CURVA PREVISION'!$A$1:$KZ$3000,$C28,10+3*MIN(Z$3,$D$2-1)))))</f>
        <v/>
      </c>
      <c r="AA28" s="130">
        <f>IF(OR($C28="",$B$2="",$D$2=0),0,IF(AA$3&lt;0,0,N(INDEX('CURVA PREVISION'!$A$1:$KZ$3000,$C28,10+3*MIN(AA$3,$D$2-1)))))</f>
        <v/>
      </c>
      <c r="AB28" s="130">
        <f>IF(OR($C28="",$B$2="",$D$2=0),0,IF(AB$3&lt;0,0,N(INDEX('CURVA PREVISION'!$A$1:$KZ$3000,$C28,10+3*MIN(AB$3,$D$2-1)))))</f>
        <v/>
      </c>
      <c r="AC28" s="130">
        <f>IF(OR($C28="",$B$2="",$D$2=0),0,IF(AC$3&lt;0,0,N(INDEX('CURVA PREVISION'!$A$1:$KZ$3000,$C28,10+3*MIN(AC$3,$D$2-1)))))</f>
        <v/>
      </c>
      <c r="AD28" s="130">
        <f>IF(OR($C28="",$B$2="",$D$2=0),0,IF(AD$3&lt;0,0,N(INDEX('CURVA PREVISION'!$A$1:$KZ$3000,$C28,10+3*MIN(AD$3,$D$2-1)))))</f>
        <v/>
      </c>
      <c r="AE28" s="130">
        <f>IF(OR($C28="",$B$2="",$D$2=0),0,IF(AE$3&lt;0,0,N(INDEX('CURVA PREVISION'!$A$1:$KZ$3000,$C28,10+3*MIN(AE$3,$D$2-1)))))</f>
        <v/>
      </c>
      <c r="AF28" s="130">
        <f>IF(OR($C28="",$B$2="",$D$2=0),0,IF(AF$3&lt;0,0,N(INDEX('CURVA PREVISION'!$A$1:$KZ$3000,$C28,10+3*MIN(AF$3,$D$2-1)))))</f>
        <v/>
      </c>
      <c r="AG28" s="130">
        <f>IF(OR($C28="",$B$2="",$D$2=0),0,IF(AG$3&lt;0,0,N(INDEX('CURVA PREVISION'!$A$1:$KZ$3000,$C28,10+3*MIN(AG$3,$D$2-1)))))</f>
        <v/>
      </c>
      <c r="AH28" s="130">
        <f>IF(OR($C28="",$B$2="",$D$2=0),0,IF(AH$3&lt;0,0,N(INDEX('CURVA PREVISION'!$A$1:$KZ$3000,$C28,10+3*MIN(AH$3,$D$2-1)))))</f>
        <v/>
      </c>
      <c r="AI28" s="130">
        <f>IF(OR($C28="",$B$2="",$D$2=0),0,IF(AI$3&lt;0,0,N(INDEX('CURVA PREVISION'!$A$1:$KZ$3000,$C28,10+3*MIN(AI$3,$D$2-1)))))</f>
        <v/>
      </c>
      <c r="AJ28" s="130">
        <f>IF(OR($C28="",$B$2="",$D$2=0),0,IF(AJ$3&lt;0,0,N(INDEX('CURVA PREVISION'!$A$1:$KZ$3000,$C28,10+3*MIN(AJ$3,$D$2-1)))))</f>
        <v/>
      </c>
      <c r="AK28" s="130">
        <f>IF(OR($C28="",$B$2="",$D$2=0),0,IF(AK$3&lt;0,0,N(INDEX('CURVA PREVISION'!$A$1:$KZ$3000,$C28,10+3*MIN(AK$3,$D$2-1)))))</f>
        <v/>
      </c>
      <c r="AL28" s="130">
        <f>IF(OR($C28="",$B$2="",$D$2=0),0,IF(AL$3&lt;0,0,N(INDEX('CURVA PREVISION'!$A$1:$KZ$3000,$C28,10+3*MIN(AL$3,$D$2-1)))))</f>
        <v/>
      </c>
      <c r="AM28" s="130">
        <f>IF(OR($C28="",$B$2="",$D$2=0),0,IF(AM$3&lt;0,0,N(INDEX('CURVA PREVISION'!$A$1:$KZ$3000,$C28,10+3*MIN(AM$3,$D$2-1)))))</f>
        <v/>
      </c>
      <c r="AN28" s="130">
        <f>IF(OR($C28="",$B$2="",$D$2=0),0,IF(AN$3&lt;0,0,N(INDEX('CURVA PREVISION'!$A$1:$KZ$3000,$C28,10+3*MIN(AN$3,$D$2-1)))))</f>
        <v/>
      </c>
      <c r="AO28" s="130">
        <f>IF(OR($C28="",$B$2="",$D$2=0),0,IF(AO$3&lt;0,0,N(INDEX('CURVA PREVISION'!$A$1:$KZ$3000,$C28,10+3*MIN(AO$3,$D$2-1)))))</f>
        <v/>
      </c>
      <c r="AP28" s="130">
        <f>IF(OR($C28="",$B$2="",$D$2=0),0,IF(AP$3&lt;0,0,N(INDEX('CURVA PREVISION'!$A$1:$KZ$3000,$C28,10+3*MIN(AP$3,$D$2-1)))))</f>
        <v/>
      </c>
      <c r="AQ28" s="130">
        <f>IF(OR($C28="",$B$2="",$D$2=0),0,IF(AQ$3&lt;0,0,N(INDEX('CURVA PREVISION'!$A$1:$KZ$3000,$C28,10+3*MIN(AQ$3,$D$2-1)))))</f>
        <v/>
      </c>
      <c r="AR28" s="130">
        <f>IF(OR($C28="",$B$2="",$D$2=0),0,IF(AR$3&lt;0,0,N(INDEX('CURVA PREVISION'!$A$1:$KZ$3000,$C28,10+3*MIN(AR$3,$D$2-1)))))</f>
        <v/>
      </c>
      <c r="AS28" s="130">
        <f>IF(OR($C28="",$B$2="",$D$2=0),0,IF(AS$3&lt;0,0,N(INDEX('CURVA PREVISION'!$A$1:$KZ$3000,$C28,10+3*MIN(AS$3,$D$2-1)))))</f>
        <v/>
      </c>
      <c r="AT28" s="130">
        <f>IF(OR($C28="",$B$2="",$D$2=0),0,IF(AT$3&lt;0,0,N(INDEX('CURVA PREVISION'!$A$1:$KZ$3000,$C28,10+3*MIN(AT$3,$D$2-1)))))</f>
        <v/>
      </c>
      <c r="AU28" s="130">
        <f>IF(OR($C28="",$B$2="",$D$2=0),0,IF(AU$3&lt;0,0,N(INDEX('CURVA PREVISION'!$A$1:$KZ$3000,$C28,10+3*MIN(AU$3,$D$2-1)))))</f>
        <v/>
      </c>
      <c r="AV28" s="130">
        <f>IF(OR($C28="",$B$2="",$D$2=0),0,IF(AV$3&lt;0,0,N(INDEX('CURVA PREVISION'!$A$1:$KZ$3000,$C28,10+3*MIN(AV$3,$D$2-1)))))</f>
        <v/>
      </c>
      <c r="AW28" s="130">
        <f>IF(OR($C28="",$B$2="",$D$2=0),0,IF(AW$3&lt;0,0,N(INDEX('CURVA PREVISION'!$A$1:$KZ$3000,$C28,10+3*MIN(AW$3,$D$2-1)))))</f>
        <v/>
      </c>
      <c r="AX28" s="130">
        <f>IF(OR($C28="",$B$2="",$D$2=0),0,IF(AX$3&lt;0,0,N(INDEX('CURVA PREVISION'!$A$1:$KZ$3000,$C28,10+3*MIN(AX$3,$D$2-1)))))</f>
        <v/>
      </c>
      <c r="AY28" s="130">
        <f>IF(OR($C28="",$B$2="",$D$2=0),0,IF(AY$3&lt;0,0,N(INDEX('CURVA PREVISION'!$A$1:$KZ$3000,$C28,10+3*MIN(AY$3,$D$2-1)))))</f>
        <v/>
      </c>
      <c r="AZ28" s="130">
        <f>IF(OR($C28="",$B$2="",$D$2=0),0,IF(AZ$3&lt;0,0,N(INDEX('CURVA PREVISION'!$A$1:$KZ$3000,$C28,10+3*MIN(AZ$3,$D$2-1)))))</f>
        <v/>
      </c>
      <c r="BA28" s="130">
        <f>IF(OR($C28="",$B$2="",$D$2=0),0,IF(BA$3&lt;0,0,N(INDEX('CURVA PREVISION'!$A$1:$KZ$3000,$C28,10+3*MIN(BA$3,$D$2-1)))))</f>
        <v/>
      </c>
      <c r="BB28" s="130">
        <f>IF(OR($C28="",$B$2="",$D$2=0),0,IF(BB$3&lt;0,0,N(INDEX('CURVA PREVISION'!$A$1:$KZ$3000,$C28,10+3*MIN(BB$3,$D$2-1)))))</f>
        <v/>
      </c>
      <c r="BC28" s="130">
        <f>IF(OR($C28="",$B$2="",$D$2=0),0,IF(BC$3&lt;0,0,N(INDEX('CURVA PREVISION'!$A$1:$KZ$3000,$C28,10+3*MIN(BC$3,$D$2-1)))))</f>
        <v/>
      </c>
      <c r="BD28" s="130">
        <f>IF(OR($C28="",$B$2="",$D$2=0),0,IF(BD$3&lt;0,0,N(INDEX('CURVA PREVISION'!$A$1:$KZ$3000,$C28,10+3*MIN(BD$3,$D$2-1)))))</f>
        <v/>
      </c>
      <c r="BE28" s="130">
        <f>IF(OR($C28="",$B$2="",$D$2=0),0,IF(BE$3&lt;0,0,N(INDEX('CURVA PREVISION'!$A$1:$KZ$3000,$C28,10+3*MIN(BE$3,$D$2-1)))))</f>
        <v/>
      </c>
      <c r="BF28" s="130">
        <f>IF(OR($C28="",$B$2="",$D$2=0),0,IF(BF$3&lt;0,0,N(INDEX('CURVA PREVISION'!$A$1:$KZ$3000,$C28,10+3*MIN(BF$3,$D$2-1)))))</f>
        <v/>
      </c>
      <c r="BG28" s="130">
        <f>IF(OR($C28="",$B$2="",$D$2=0),0,IF(BG$3&lt;0,0,N(INDEX('CURVA PREVISION'!$A$1:$KZ$3000,$C28,10+3*MIN(BG$3,$D$2-1)))))</f>
        <v/>
      </c>
      <c r="BH28" s="130">
        <f>IF(OR($C28="",$B$2="",$D$2=0),0,IF(BH$3&lt;0,0,N(INDEX('CURVA PREVISION'!$A$1:$KZ$3000,$C28,10+3*MIN(BH$3,$D$2-1)))))</f>
        <v/>
      </c>
      <c r="BI28" s="130">
        <f>IF(OR($C28="",$B$2="",$D$2=0),0,IF(BI$3&lt;0,0,N(INDEX('CURVA PREVISION'!$A$1:$KZ$3000,$C28,10+3*MIN(BI$3,$D$2-1)))))</f>
        <v/>
      </c>
      <c r="BJ28" s="130">
        <f>IF(OR($C28="",$B$2="",$D$2=0),0,IF(BJ$3&lt;0,0,N(INDEX('CURVA PREVISION'!$A$1:$KZ$3000,$C28,10+3*MIN(BJ$3,$D$2-1)))))</f>
        <v/>
      </c>
      <c r="BK28" s="130">
        <f>IF(OR($C28="",$B$2="",$D$2=0),0,IF(BK$3&lt;0,0,N(INDEX('CURVA PREVISION'!$A$1:$KZ$3000,$C28,10+3*MIN(BK$3,$D$2-1)))))</f>
        <v/>
      </c>
      <c r="BL28" s="130">
        <f>IF(OR($C28="",$B$2="",$D$2=0),0,IF(BL$3&lt;0,0,N(INDEX('CURVA PREVISION'!$A$1:$KZ$3000,$C28,10+3*MIN(BL$3,$D$2-1)))))</f>
        <v/>
      </c>
      <c r="BM28" s="130">
        <f>IF(OR($C28="",$B$2="",$D$2=0),0,IF(BM$3&lt;0,0,N(INDEX('CURVA PREVISION'!$A$1:$KZ$3000,$C28,10+3*MIN(BM$3,$D$2-1)))))</f>
        <v/>
      </c>
      <c r="BN28" s="130">
        <f>IF(OR($C28="",$B$2="",$D$2=0),0,IF(BN$3&lt;0,0,N(INDEX('CURVA PREVISION'!$A$1:$KZ$3000,$C28,10+3*MIN(BN$3,$D$2-1)))))</f>
        <v/>
      </c>
      <c r="BO28" s="130">
        <f>IF(OR($C28="",$B$2="",$D$2=0),0,IF(BO$3&lt;0,0,N(INDEX('CURVA PREVISION'!$A$1:$KZ$3000,$C28,10+3*MIN(BO$3,$D$2-1)))))</f>
        <v/>
      </c>
      <c r="BP28" s="130">
        <f>IF(OR($C28="",$B$2="",$D$2=0),0,IF(BP$3&lt;0,0,N(INDEX('CURVA PREVISION'!$A$1:$KZ$3000,$C28,10+3*MIN(BP$3,$D$2-1)))))</f>
        <v/>
      </c>
      <c r="BQ28" s="130">
        <f>IF(OR($C28="",$B$2="",$D$2=0),0,IF(BQ$3&lt;0,0,N(INDEX('CURVA PREVISION'!$A$1:$KZ$3000,$C28,10+3*MIN(BQ$3,$D$2-1)))))</f>
        <v/>
      </c>
      <c r="BR28" s="130">
        <f>IF(OR($C28="",$B$2="",$D$2=0),0,IF(BR$3&lt;0,0,N(INDEX('CURVA PREVISION'!$A$1:$KZ$3000,$C28,10+3*MIN(BR$3,$D$2-1)))))</f>
        <v/>
      </c>
      <c r="BS28" s="130">
        <f>IF(OR($C28="",$B$2="",$D$2=0),0,IF(BS$3&lt;0,0,N(INDEX('CURVA PREVISION'!$A$1:$KZ$3000,$C28,10+3*MIN(BS$3,$D$2-1)))))</f>
        <v/>
      </c>
      <c r="BT28" s="130">
        <f>IF(OR($C28="",$B$2="",$D$2=0),0,IF(BT$3&lt;0,0,N(INDEX('CURVA PREVISION'!$A$1:$KZ$3000,$C28,10+3*MIN(BT$3,$D$2-1)))))</f>
        <v/>
      </c>
      <c r="BU28" s="130">
        <f>IF(OR($C28="",$B$2="",$D$2=0),0,IF(BU$3&lt;0,0,N(INDEX('CURVA PREVISION'!$A$1:$KZ$3000,$C28,10+3*MIN(BU$3,$D$2-1)))))</f>
        <v/>
      </c>
      <c r="BV28" s="130">
        <f>IF(OR($C28="",$B$2="",$D$2=0),0,IF(BV$3&lt;0,0,N(INDEX('CURVA PREVISION'!$A$1:$KZ$3000,$C28,10+3*MIN(BV$3,$D$2-1)))))</f>
        <v/>
      </c>
      <c r="BW28" s="130">
        <f>IF(OR($C28="",$B$2="",$D$2=0),0,IF(BW$3&lt;0,0,N(INDEX('CURVA PREVISION'!$A$1:$KZ$3000,$C28,10+3*MIN(BW$3,$D$2-1)))))</f>
        <v/>
      </c>
    </row>
    <row r="29">
      <c r="A29" s="61">
        <f>IF('VALOR POR PL'!R35&lt;&gt;"",'VALOR POR PL'!R35,IF('VALOR POR PL'!Q35="",'VALOR POR PL'!C35,'VALOR POR PL'!Q35))</f>
        <v/>
      </c>
      <c r="B29" s="61">
        <f>'VALOR POR PL'!D35</f>
        <v/>
      </c>
      <c r="C29" s="70">
        <f>IFERROR(MATCH(A29,'CURVA PREVISION'!$B$1:$B$3000,0),"")</f>
        <v/>
      </c>
      <c r="D29" s="130">
        <f>IF(OR($C29="",$B$2="",$D$2=0),0,IF(D$3&lt;0,0,N(INDEX('CURVA PREVISION'!$A$1:$KZ$3000,$C29,10+3*MIN(D$3,$D$2-1)))))</f>
        <v/>
      </c>
      <c r="E29" s="130">
        <f>IF(OR($C29="",$B$2="",$D$2=0),0,IF(E$3&lt;0,0,N(INDEX('CURVA PREVISION'!$A$1:$KZ$3000,$C29,10+3*MIN(E$3,$D$2-1)))))</f>
        <v/>
      </c>
      <c r="F29" s="130">
        <f>IF(OR($C29="",$B$2="",$D$2=0),0,IF(F$3&lt;0,0,N(INDEX('CURVA PREVISION'!$A$1:$KZ$3000,$C29,10+3*MIN(F$3,$D$2-1)))))</f>
        <v/>
      </c>
      <c r="G29" s="130">
        <f>IF(OR($C29="",$B$2="",$D$2=0),0,IF(G$3&lt;0,0,N(INDEX('CURVA PREVISION'!$A$1:$KZ$3000,$C29,10+3*MIN(G$3,$D$2-1)))))</f>
        <v/>
      </c>
      <c r="H29" s="130">
        <f>IF(OR($C29="",$B$2="",$D$2=0),0,IF(H$3&lt;0,0,N(INDEX('CURVA PREVISION'!$A$1:$KZ$3000,$C29,10+3*MIN(H$3,$D$2-1)))))</f>
        <v/>
      </c>
      <c r="I29" s="130">
        <f>IF(OR($C29="",$B$2="",$D$2=0),0,IF(I$3&lt;0,0,N(INDEX('CURVA PREVISION'!$A$1:$KZ$3000,$C29,10+3*MIN(I$3,$D$2-1)))))</f>
        <v/>
      </c>
      <c r="J29" s="130">
        <f>IF(OR($C29="",$B$2="",$D$2=0),0,IF(J$3&lt;0,0,N(INDEX('CURVA PREVISION'!$A$1:$KZ$3000,$C29,10+3*MIN(J$3,$D$2-1)))))</f>
        <v/>
      </c>
      <c r="K29" s="130">
        <f>IF(OR($C29="",$B$2="",$D$2=0),0,IF(K$3&lt;0,0,N(INDEX('CURVA PREVISION'!$A$1:$KZ$3000,$C29,10+3*MIN(K$3,$D$2-1)))))</f>
        <v/>
      </c>
      <c r="L29" s="130">
        <f>IF(OR($C29="",$B$2="",$D$2=0),0,IF(L$3&lt;0,0,N(INDEX('CURVA PREVISION'!$A$1:$KZ$3000,$C29,10+3*MIN(L$3,$D$2-1)))))</f>
        <v/>
      </c>
      <c r="M29" s="130">
        <f>IF(OR($C29="",$B$2="",$D$2=0),0,IF(M$3&lt;0,0,N(INDEX('CURVA PREVISION'!$A$1:$KZ$3000,$C29,10+3*MIN(M$3,$D$2-1)))))</f>
        <v/>
      </c>
      <c r="N29" s="130">
        <f>IF(OR($C29="",$B$2="",$D$2=0),0,IF(N$3&lt;0,0,N(INDEX('CURVA PREVISION'!$A$1:$KZ$3000,$C29,10+3*MIN(N$3,$D$2-1)))))</f>
        <v/>
      </c>
      <c r="O29" s="130">
        <f>IF(OR($C29="",$B$2="",$D$2=0),0,IF(O$3&lt;0,0,N(INDEX('CURVA PREVISION'!$A$1:$KZ$3000,$C29,10+3*MIN(O$3,$D$2-1)))))</f>
        <v/>
      </c>
      <c r="P29" s="130">
        <f>IF(OR($C29="",$B$2="",$D$2=0),0,IF(P$3&lt;0,0,N(INDEX('CURVA PREVISION'!$A$1:$KZ$3000,$C29,10+3*MIN(P$3,$D$2-1)))))</f>
        <v/>
      </c>
      <c r="Q29" s="130">
        <f>IF(OR($C29="",$B$2="",$D$2=0),0,IF(Q$3&lt;0,0,N(INDEX('CURVA PREVISION'!$A$1:$KZ$3000,$C29,10+3*MIN(Q$3,$D$2-1)))))</f>
        <v/>
      </c>
      <c r="R29" s="130">
        <f>IF(OR($C29="",$B$2="",$D$2=0),0,IF(R$3&lt;0,0,N(INDEX('CURVA PREVISION'!$A$1:$KZ$3000,$C29,10+3*MIN(R$3,$D$2-1)))))</f>
        <v/>
      </c>
      <c r="S29" s="130">
        <f>IF(OR($C29="",$B$2="",$D$2=0),0,IF(S$3&lt;0,0,N(INDEX('CURVA PREVISION'!$A$1:$KZ$3000,$C29,10+3*MIN(S$3,$D$2-1)))))</f>
        <v/>
      </c>
      <c r="T29" s="130">
        <f>IF(OR($C29="",$B$2="",$D$2=0),0,IF(T$3&lt;0,0,N(INDEX('CURVA PREVISION'!$A$1:$KZ$3000,$C29,10+3*MIN(T$3,$D$2-1)))))</f>
        <v/>
      </c>
      <c r="U29" s="130">
        <f>IF(OR($C29="",$B$2="",$D$2=0),0,IF(U$3&lt;0,0,N(INDEX('CURVA PREVISION'!$A$1:$KZ$3000,$C29,10+3*MIN(U$3,$D$2-1)))))</f>
        <v/>
      </c>
      <c r="V29" s="130">
        <f>IF(OR($C29="",$B$2="",$D$2=0),0,IF(V$3&lt;0,0,N(INDEX('CURVA PREVISION'!$A$1:$KZ$3000,$C29,10+3*MIN(V$3,$D$2-1)))))</f>
        <v/>
      </c>
      <c r="W29" s="130">
        <f>IF(OR($C29="",$B$2="",$D$2=0),0,IF(W$3&lt;0,0,N(INDEX('CURVA PREVISION'!$A$1:$KZ$3000,$C29,10+3*MIN(W$3,$D$2-1)))))</f>
        <v/>
      </c>
      <c r="X29" s="130">
        <f>IF(OR($C29="",$B$2="",$D$2=0),0,IF(X$3&lt;0,0,N(INDEX('CURVA PREVISION'!$A$1:$KZ$3000,$C29,10+3*MIN(X$3,$D$2-1)))))</f>
        <v/>
      </c>
      <c r="Y29" s="130">
        <f>IF(OR($C29="",$B$2="",$D$2=0),0,IF(Y$3&lt;0,0,N(INDEX('CURVA PREVISION'!$A$1:$KZ$3000,$C29,10+3*MIN(Y$3,$D$2-1)))))</f>
        <v/>
      </c>
      <c r="Z29" s="130">
        <f>IF(OR($C29="",$B$2="",$D$2=0),0,IF(Z$3&lt;0,0,N(INDEX('CURVA PREVISION'!$A$1:$KZ$3000,$C29,10+3*MIN(Z$3,$D$2-1)))))</f>
        <v/>
      </c>
      <c r="AA29" s="130">
        <f>IF(OR($C29="",$B$2="",$D$2=0),0,IF(AA$3&lt;0,0,N(INDEX('CURVA PREVISION'!$A$1:$KZ$3000,$C29,10+3*MIN(AA$3,$D$2-1)))))</f>
        <v/>
      </c>
      <c r="AB29" s="130">
        <f>IF(OR($C29="",$B$2="",$D$2=0),0,IF(AB$3&lt;0,0,N(INDEX('CURVA PREVISION'!$A$1:$KZ$3000,$C29,10+3*MIN(AB$3,$D$2-1)))))</f>
        <v/>
      </c>
      <c r="AC29" s="130">
        <f>IF(OR($C29="",$B$2="",$D$2=0),0,IF(AC$3&lt;0,0,N(INDEX('CURVA PREVISION'!$A$1:$KZ$3000,$C29,10+3*MIN(AC$3,$D$2-1)))))</f>
        <v/>
      </c>
      <c r="AD29" s="130">
        <f>IF(OR($C29="",$B$2="",$D$2=0),0,IF(AD$3&lt;0,0,N(INDEX('CURVA PREVISION'!$A$1:$KZ$3000,$C29,10+3*MIN(AD$3,$D$2-1)))))</f>
        <v/>
      </c>
      <c r="AE29" s="130">
        <f>IF(OR($C29="",$B$2="",$D$2=0),0,IF(AE$3&lt;0,0,N(INDEX('CURVA PREVISION'!$A$1:$KZ$3000,$C29,10+3*MIN(AE$3,$D$2-1)))))</f>
        <v/>
      </c>
      <c r="AF29" s="130">
        <f>IF(OR($C29="",$B$2="",$D$2=0),0,IF(AF$3&lt;0,0,N(INDEX('CURVA PREVISION'!$A$1:$KZ$3000,$C29,10+3*MIN(AF$3,$D$2-1)))))</f>
        <v/>
      </c>
      <c r="AG29" s="130">
        <f>IF(OR($C29="",$B$2="",$D$2=0),0,IF(AG$3&lt;0,0,N(INDEX('CURVA PREVISION'!$A$1:$KZ$3000,$C29,10+3*MIN(AG$3,$D$2-1)))))</f>
        <v/>
      </c>
      <c r="AH29" s="130">
        <f>IF(OR($C29="",$B$2="",$D$2=0),0,IF(AH$3&lt;0,0,N(INDEX('CURVA PREVISION'!$A$1:$KZ$3000,$C29,10+3*MIN(AH$3,$D$2-1)))))</f>
        <v/>
      </c>
      <c r="AI29" s="130">
        <f>IF(OR($C29="",$B$2="",$D$2=0),0,IF(AI$3&lt;0,0,N(INDEX('CURVA PREVISION'!$A$1:$KZ$3000,$C29,10+3*MIN(AI$3,$D$2-1)))))</f>
        <v/>
      </c>
      <c r="AJ29" s="130">
        <f>IF(OR($C29="",$B$2="",$D$2=0),0,IF(AJ$3&lt;0,0,N(INDEX('CURVA PREVISION'!$A$1:$KZ$3000,$C29,10+3*MIN(AJ$3,$D$2-1)))))</f>
        <v/>
      </c>
      <c r="AK29" s="130">
        <f>IF(OR($C29="",$B$2="",$D$2=0),0,IF(AK$3&lt;0,0,N(INDEX('CURVA PREVISION'!$A$1:$KZ$3000,$C29,10+3*MIN(AK$3,$D$2-1)))))</f>
        <v/>
      </c>
      <c r="AL29" s="130">
        <f>IF(OR($C29="",$B$2="",$D$2=0),0,IF(AL$3&lt;0,0,N(INDEX('CURVA PREVISION'!$A$1:$KZ$3000,$C29,10+3*MIN(AL$3,$D$2-1)))))</f>
        <v/>
      </c>
      <c r="AM29" s="130">
        <f>IF(OR($C29="",$B$2="",$D$2=0),0,IF(AM$3&lt;0,0,N(INDEX('CURVA PREVISION'!$A$1:$KZ$3000,$C29,10+3*MIN(AM$3,$D$2-1)))))</f>
        <v/>
      </c>
      <c r="AN29" s="130">
        <f>IF(OR($C29="",$B$2="",$D$2=0),0,IF(AN$3&lt;0,0,N(INDEX('CURVA PREVISION'!$A$1:$KZ$3000,$C29,10+3*MIN(AN$3,$D$2-1)))))</f>
        <v/>
      </c>
      <c r="AO29" s="130">
        <f>IF(OR($C29="",$B$2="",$D$2=0),0,IF(AO$3&lt;0,0,N(INDEX('CURVA PREVISION'!$A$1:$KZ$3000,$C29,10+3*MIN(AO$3,$D$2-1)))))</f>
        <v/>
      </c>
      <c r="AP29" s="130">
        <f>IF(OR($C29="",$B$2="",$D$2=0),0,IF(AP$3&lt;0,0,N(INDEX('CURVA PREVISION'!$A$1:$KZ$3000,$C29,10+3*MIN(AP$3,$D$2-1)))))</f>
        <v/>
      </c>
      <c r="AQ29" s="130">
        <f>IF(OR($C29="",$B$2="",$D$2=0),0,IF(AQ$3&lt;0,0,N(INDEX('CURVA PREVISION'!$A$1:$KZ$3000,$C29,10+3*MIN(AQ$3,$D$2-1)))))</f>
        <v/>
      </c>
      <c r="AR29" s="130">
        <f>IF(OR($C29="",$B$2="",$D$2=0),0,IF(AR$3&lt;0,0,N(INDEX('CURVA PREVISION'!$A$1:$KZ$3000,$C29,10+3*MIN(AR$3,$D$2-1)))))</f>
        <v/>
      </c>
      <c r="AS29" s="130">
        <f>IF(OR($C29="",$B$2="",$D$2=0),0,IF(AS$3&lt;0,0,N(INDEX('CURVA PREVISION'!$A$1:$KZ$3000,$C29,10+3*MIN(AS$3,$D$2-1)))))</f>
        <v/>
      </c>
      <c r="AT29" s="130">
        <f>IF(OR($C29="",$B$2="",$D$2=0),0,IF(AT$3&lt;0,0,N(INDEX('CURVA PREVISION'!$A$1:$KZ$3000,$C29,10+3*MIN(AT$3,$D$2-1)))))</f>
        <v/>
      </c>
      <c r="AU29" s="130">
        <f>IF(OR($C29="",$B$2="",$D$2=0),0,IF(AU$3&lt;0,0,N(INDEX('CURVA PREVISION'!$A$1:$KZ$3000,$C29,10+3*MIN(AU$3,$D$2-1)))))</f>
        <v/>
      </c>
      <c r="AV29" s="130">
        <f>IF(OR($C29="",$B$2="",$D$2=0),0,IF(AV$3&lt;0,0,N(INDEX('CURVA PREVISION'!$A$1:$KZ$3000,$C29,10+3*MIN(AV$3,$D$2-1)))))</f>
        <v/>
      </c>
      <c r="AW29" s="130">
        <f>IF(OR($C29="",$B$2="",$D$2=0),0,IF(AW$3&lt;0,0,N(INDEX('CURVA PREVISION'!$A$1:$KZ$3000,$C29,10+3*MIN(AW$3,$D$2-1)))))</f>
        <v/>
      </c>
      <c r="AX29" s="130">
        <f>IF(OR($C29="",$B$2="",$D$2=0),0,IF(AX$3&lt;0,0,N(INDEX('CURVA PREVISION'!$A$1:$KZ$3000,$C29,10+3*MIN(AX$3,$D$2-1)))))</f>
        <v/>
      </c>
      <c r="AY29" s="130">
        <f>IF(OR($C29="",$B$2="",$D$2=0),0,IF(AY$3&lt;0,0,N(INDEX('CURVA PREVISION'!$A$1:$KZ$3000,$C29,10+3*MIN(AY$3,$D$2-1)))))</f>
        <v/>
      </c>
      <c r="AZ29" s="130">
        <f>IF(OR($C29="",$B$2="",$D$2=0),0,IF(AZ$3&lt;0,0,N(INDEX('CURVA PREVISION'!$A$1:$KZ$3000,$C29,10+3*MIN(AZ$3,$D$2-1)))))</f>
        <v/>
      </c>
      <c r="BA29" s="130">
        <f>IF(OR($C29="",$B$2="",$D$2=0),0,IF(BA$3&lt;0,0,N(INDEX('CURVA PREVISION'!$A$1:$KZ$3000,$C29,10+3*MIN(BA$3,$D$2-1)))))</f>
        <v/>
      </c>
      <c r="BB29" s="130">
        <f>IF(OR($C29="",$B$2="",$D$2=0),0,IF(BB$3&lt;0,0,N(INDEX('CURVA PREVISION'!$A$1:$KZ$3000,$C29,10+3*MIN(BB$3,$D$2-1)))))</f>
        <v/>
      </c>
      <c r="BC29" s="130">
        <f>IF(OR($C29="",$B$2="",$D$2=0),0,IF(BC$3&lt;0,0,N(INDEX('CURVA PREVISION'!$A$1:$KZ$3000,$C29,10+3*MIN(BC$3,$D$2-1)))))</f>
        <v/>
      </c>
      <c r="BD29" s="130">
        <f>IF(OR($C29="",$B$2="",$D$2=0),0,IF(BD$3&lt;0,0,N(INDEX('CURVA PREVISION'!$A$1:$KZ$3000,$C29,10+3*MIN(BD$3,$D$2-1)))))</f>
        <v/>
      </c>
      <c r="BE29" s="130">
        <f>IF(OR($C29="",$B$2="",$D$2=0),0,IF(BE$3&lt;0,0,N(INDEX('CURVA PREVISION'!$A$1:$KZ$3000,$C29,10+3*MIN(BE$3,$D$2-1)))))</f>
        <v/>
      </c>
      <c r="BF29" s="130">
        <f>IF(OR($C29="",$B$2="",$D$2=0),0,IF(BF$3&lt;0,0,N(INDEX('CURVA PREVISION'!$A$1:$KZ$3000,$C29,10+3*MIN(BF$3,$D$2-1)))))</f>
        <v/>
      </c>
      <c r="BG29" s="130">
        <f>IF(OR($C29="",$B$2="",$D$2=0),0,IF(BG$3&lt;0,0,N(INDEX('CURVA PREVISION'!$A$1:$KZ$3000,$C29,10+3*MIN(BG$3,$D$2-1)))))</f>
        <v/>
      </c>
      <c r="BH29" s="130">
        <f>IF(OR($C29="",$B$2="",$D$2=0),0,IF(BH$3&lt;0,0,N(INDEX('CURVA PREVISION'!$A$1:$KZ$3000,$C29,10+3*MIN(BH$3,$D$2-1)))))</f>
        <v/>
      </c>
      <c r="BI29" s="130">
        <f>IF(OR($C29="",$B$2="",$D$2=0),0,IF(BI$3&lt;0,0,N(INDEX('CURVA PREVISION'!$A$1:$KZ$3000,$C29,10+3*MIN(BI$3,$D$2-1)))))</f>
        <v/>
      </c>
      <c r="BJ29" s="130">
        <f>IF(OR($C29="",$B$2="",$D$2=0),0,IF(BJ$3&lt;0,0,N(INDEX('CURVA PREVISION'!$A$1:$KZ$3000,$C29,10+3*MIN(BJ$3,$D$2-1)))))</f>
        <v/>
      </c>
      <c r="BK29" s="130">
        <f>IF(OR($C29="",$B$2="",$D$2=0),0,IF(BK$3&lt;0,0,N(INDEX('CURVA PREVISION'!$A$1:$KZ$3000,$C29,10+3*MIN(BK$3,$D$2-1)))))</f>
        <v/>
      </c>
      <c r="BL29" s="130">
        <f>IF(OR($C29="",$B$2="",$D$2=0),0,IF(BL$3&lt;0,0,N(INDEX('CURVA PREVISION'!$A$1:$KZ$3000,$C29,10+3*MIN(BL$3,$D$2-1)))))</f>
        <v/>
      </c>
      <c r="BM29" s="130">
        <f>IF(OR($C29="",$B$2="",$D$2=0),0,IF(BM$3&lt;0,0,N(INDEX('CURVA PREVISION'!$A$1:$KZ$3000,$C29,10+3*MIN(BM$3,$D$2-1)))))</f>
        <v/>
      </c>
      <c r="BN29" s="130">
        <f>IF(OR($C29="",$B$2="",$D$2=0),0,IF(BN$3&lt;0,0,N(INDEX('CURVA PREVISION'!$A$1:$KZ$3000,$C29,10+3*MIN(BN$3,$D$2-1)))))</f>
        <v/>
      </c>
      <c r="BO29" s="130">
        <f>IF(OR($C29="",$B$2="",$D$2=0),0,IF(BO$3&lt;0,0,N(INDEX('CURVA PREVISION'!$A$1:$KZ$3000,$C29,10+3*MIN(BO$3,$D$2-1)))))</f>
        <v/>
      </c>
      <c r="BP29" s="130">
        <f>IF(OR($C29="",$B$2="",$D$2=0),0,IF(BP$3&lt;0,0,N(INDEX('CURVA PREVISION'!$A$1:$KZ$3000,$C29,10+3*MIN(BP$3,$D$2-1)))))</f>
        <v/>
      </c>
      <c r="BQ29" s="130">
        <f>IF(OR($C29="",$B$2="",$D$2=0),0,IF(BQ$3&lt;0,0,N(INDEX('CURVA PREVISION'!$A$1:$KZ$3000,$C29,10+3*MIN(BQ$3,$D$2-1)))))</f>
        <v/>
      </c>
      <c r="BR29" s="130">
        <f>IF(OR($C29="",$B$2="",$D$2=0),0,IF(BR$3&lt;0,0,N(INDEX('CURVA PREVISION'!$A$1:$KZ$3000,$C29,10+3*MIN(BR$3,$D$2-1)))))</f>
        <v/>
      </c>
      <c r="BS29" s="130">
        <f>IF(OR($C29="",$B$2="",$D$2=0),0,IF(BS$3&lt;0,0,N(INDEX('CURVA PREVISION'!$A$1:$KZ$3000,$C29,10+3*MIN(BS$3,$D$2-1)))))</f>
        <v/>
      </c>
      <c r="BT29" s="130">
        <f>IF(OR($C29="",$B$2="",$D$2=0),0,IF(BT$3&lt;0,0,N(INDEX('CURVA PREVISION'!$A$1:$KZ$3000,$C29,10+3*MIN(BT$3,$D$2-1)))))</f>
        <v/>
      </c>
      <c r="BU29" s="130">
        <f>IF(OR($C29="",$B$2="",$D$2=0),0,IF(BU$3&lt;0,0,N(INDEX('CURVA PREVISION'!$A$1:$KZ$3000,$C29,10+3*MIN(BU$3,$D$2-1)))))</f>
        <v/>
      </c>
      <c r="BV29" s="130">
        <f>IF(OR($C29="",$B$2="",$D$2=0),0,IF(BV$3&lt;0,0,N(INDEX('CURVA PREVISION'!$A$1:$KZ$3000,$C29,10+3*MIN(BV$3,$D$2-1)))))</f>
        <v/>
      </c>
      <c r="BW29" s="130">
        <f>IF(OR($C29="",$B$2="",$D$2=0),0,IF(BW$3&lt;0,0,N(INDEX('CURVA PREVISION'!$A$1:$KZ$3000,$C29,10+3*MIN(BW$3,$D$2-1)))))</f>
        <v/>
      </c>
    </row>
    <row r="30">
      <c r="A30" s="61">
        <f>IF('VALOR POR PL'!R36&lt;&gt;"",'VALOR POR PL'!R36,IF('VALOR POR PL'!Q36="",'VALOR POR PL'!C36,'VALOR POR PL'!Q36))</f>
        <v/>
      </c>
      <c r="B30" s="61">
        <f>'VALOR POR PL'!D36</f>
        <v/>
      </c>
      <c r="C30" s="70">
        <f>IFERROR(MATCH(A30,'CURVA PREVISION'!$B$1:$B$3000,0),"")</f>
        <v/>
      </c>
      <c r="D30" s="130">
        <f>IF(OR($C30="",$B$2="",$D$2=0),0,IF(D$3&lt;0,0,N(INDEX('CURVA PREVISION'!$A$1:$KZ$3000,$C30,10+3*MIN(D$3,$D$2-1)))))</f>
        <v/>
      </c>
      <c r="E30" s="130">
        <f>IF(OR($C30="",$B$2="",$D$2=0),0,IF(E$3&lt;0,0,N(INDEX('CURVA PREVISION'!$A$1:$KZ$3000,$C30,10+3*MIN(E$3,$D$2-1)))))</f>
        <v/>
      </c>
      <c r="F30" s="130">
        <f>IF(OR($C30="",$B$2="",$D$2=0),0,IF(F$3&lt;0,0,N(INDEX('CURVA PREVISION'!$A$1:$KZ$3000,$C30,10+3*MIN(F$3,$D$2-1)))))</f>
        <v/>
      </c>
      <c r="G30" s="130">
        <f>IF(OR($C30="",$B$2="",$D$2=0),0,IF(G$3&lt;0,0,N(INDEX('CURVA PREVISION'!$A$1:$KZ$3000,$C30,10+3*MIN(G$3,$D$2-1)))))</f>
        <v/>
      </c>
      <c r="H30" s="130">
        <f>IF(OR($C30="",$B$2="",$D$2=0),0,IF(H$3&lt;0,0,N(INDEX('CURVA PREVISION'!$A$1:$KZ$3000,$C30,10+3*MIN(H$3,$D$2-1)))))</f>
        <v/>
      </c>
      <c r="I30" s="130">
        <f>IF(OR($C30="",$B$2="",$D$2=0),0,IF(I$3&lt;0,0,N(INDEX('CURVA PREVISION'!$A$1:$KZ$3000,$C30,10+3*MIN(I$3,$D$2-1)))))</f>
        <v/>
      </c>
      <c r="J30" s="130">
        <f>IF(OR($C30="",$B$2="",$D$2=0),0,IF(J$3&lt;0,0,N(INDEX('CURVA PREVISION'!$A$1:$KZ$3000,$C30,10+3*MIN(J$3,$D$2-1)))))</f>
        <v/>
      </c>
      <c r="K30" s="130">
        <f>IF(OR($C30="",$B$2="",$D$2=0),0,IF(K$3&lt;0,0,N(INDEX('CURVA PREVISION'!$A$1:$KZ$3000,$C30,10+3*MIN(K$3,$D$2-1)))))</f>
        <v/>
      </c>
      <c r="L30" s="130">
        <f>IF(OR($C30="",$B$2="",$D$2=0),0,IF(L$3&lt;0,0,N(INDEX('CURVA PREVISION'!$A$1:$KZ$3000,$C30,10+3*MIN(L$3,$D$2-1)))))</f>
        <v/>
      </c>
      <c r="M30" s="130">
        <f>IF(OR($C30="",$B$2="",$D$2=0),0,IF(M$3&lt;0,0,N(INDEX('CURVA PREVISION'!$A$1:$KZ$3000,$C30,10+3*MIN(M$3,$D$2-1)))))</f>
        <v/>
      </c>
      <c r="N30" s="130">
        <f>IF(OR($C30="",$B$2="",$D$2=0),0,IF(N$3&lt;0,0,N(INDEX('CURVA PREVISION'!$A$1:$KZ$3000,$C30,10+3*MIN(N$3,$D$2-1)))))</f>
        <v/>
      </c>
      <c r="O30" s="130">
        <f>IF(OR($C30="",$B$2="",$D$2=0),0,IF(O$3&lt;0,0,N(INDEX('CURVA PREVISION'!$A$1:$KZ$3000,$C30,10+3*MIN(O$3,$D$2-1)))))</f>
        <v/>
      </c>
      <c r="P30" s="130">
        <f>IF(OR($C30="",$B$2="",$D$2=0),0,IF(P$3&lt;0,0,N(INDEX('CURVA PREVISION'!$A$1:$KZ$3000,$C30,10+3*MIN(P$3,$D$2-1)))))</f>
        <v/>
      </c>
      <c r="Q30" s="130">
        <f>IF(OR($C30="",$B$2="",$D$2=0),0,IF(Q$3&lt;0,0,N(INDEX('CURVA PREVISION'!$A$1:$KZ$3000,$C30,10+3*MIN(Q$3,$D$2-1)))))</f>
        <v/>
      </c>
      <c r="R30" s="130">
        <f>IF(OR($C30="",$B$2="",$D$2=0),0,IF(R$3&lt;0,0,N(INDEX('CURVA PREVISION'!$A$1:$KZ$3000,$C30,10+3*MIN(R$3,$D$2-1)))))</f>
        <v/>
      </c>
      <c r="S30" s="130">
        <f>IF(OR($C30="",$B$2="",$D$2=0),0,IF(S$3&lt;0,0,N(INDEX('CURVA PREVISION'!$A$1:$KZ$3000,$C30,10+3*MIN(S$3,$D$2-1)))))</f>
        <v/>
      </c>
      <c r="T30" s="130">
        <f>IF(OR($C30="",$B$2="",$D$2=0),0,IF(T$3&lt;0,0,N(INDEX('CURVA PREVISION'!$A$1:$KZ$3000,$C30,10+3*MIN(T$3,$D$2-1)))))</f>
        <v/>
      </c>
      <c r="U30" s="130">
        <f>IF(OR($C30="",$B$2="",$D$2=0),0,IF(U$3&lt;0,0,N(INDEX('CURVA PREVISION'!$A$1:$KZ$3000,$C30,10+3*MIN(U$3,$D$2-1)))))</f>
        <v/>
      </c>
      <c r="V30" s="130">
        <f>IF(OR($C30="",$B$2="",$D$2=0),0,IF(V$3&lt;0,0,N(INDEX('CURVA PREVISION'!$A$1:$KZ$3000,$C30,10+3*MIN(V$3,$D$2-1)))))</f>
        <v/>
      </c>
      <c r="W30" s="130">
        <f>IF(OR($C30="",$B$2="",$D$2=0),0,IF(W$3&lt;0,0,N(INDEX('CURVA PREVISION'!$A$1:$KZ$3000,$C30,10+3*MIN(W$3,$D$2-1)))))</f>
        <v/>
      </c>
      <c r="X30" s="130">
        <f>IF(OR($C30="",$B$2="",$D$2=0),0,IF(X$3&lt;0,0,N(INDEX('CURVA PREVISION'!$A$1:$KZ$3000,$C30,10+3*MIN(X$3,$D$2-1)))))</f>
        <v/>
      </c>
      <c r="Y30" s="130">
        <f>IF(OR($C30="",$B$2="",$D$2=0),0,IF(Y$3&lt;0,0,N(INDEX('CURVA PREVISION'!$A$1:$KZ$3000,$C30,10+3*MIN(Y$3,$D$2-1)))))</f>
        <v/>
      </c>
      <c r="Z30" s="130">
        <f>IF(OR($C30="",$B$2="",$D$2=0),0,IF(Z$3&lt;0,0,N(INDEX('CURVA PREVISION'!$A$1:$KZ$3000,$C30,10+3*MIN(Z$3,$D$2-1)))))</f>
        <v/>
      </c>
      <c r="AA30" s="130">
        <f>IF(OR($C30="",$B$2="",$D$2=0),0,IF(AA$3&lt;0,0,N(INDEX('CURVA PREVISION'!$A$1:$KZ$3000,$C30,10+3*MIN(AA$3,$D$2-1)))))</f>
        <v/>
      </c>
      <c r="AB30" s="130">
        <f>IF(OR($C30="",$B$2="",$D$2=0),0,IF(AB$3&lt;0,0,N(INDEX('CURVA PREVISION'!$A$1:$KZ$3000,$C30,10+3*MIN(AB$3,$D$2-1)))))</f>
        <v/>
      </c>
      <c r="AC30" s="130">
        <f>IF(OR($C30="",$B$2="",$D$2=0),0,IF(AC$3&lt;0,0,N(INDEX('CURVA PREVISION'!$A$1:$KZ$3000,$C30,10+3*MIN(AC$3,$D$2-1)))))</f>
        <v/>
      </c>
      <c r="AD30" s="130">
        <f>IF(OR($C30="",$B$2="",$D$2=0),0,IF(AD$3&lt;0,0,N(INDEX('CURVA PREVISION'!$A$1:$KZ$3000,$C30,10+3*MIN(AD$3,$D$2-1)))))</f>
        <v/>
      </c>
      <c r="AE30" s="130">
        <f>IF(OR($C30="",$B$2="",$D$2=0),0,IF(AE$3&lt;0,0,N(INDEX('CURVA PREVISION'!$A$1:$KZ$3000,$C30,10+3*MIN(AE$3,$D$2-1)))))</f>
        <v/>
      </c>
      <c r="AF30" s="130">
        <f>IF(OR($C30="",$B$2="",$D$2=0),0,IF(AF$3&lt;0,0,N(INDEX('CURVA PREVISION'!$A$1:$KZ$3000,$C30,10+3*MIN(AF$3,$D$2-1)))))</f>
        <v/>
      </c>
      <c r="AG30" s="130">
        <f>IF(OR($C30="",$B$2="",$D$2=0),0,IF(AG$3&lt;0,0,N(INDEX('CURVA PREVISION'!$A$1:$KZ$3000,$C30,10+3*MIN(AG$3,$D$2-1)))))</f>
        <v/>
      </c>
      <c r="AH30" s="130">
        <f>IF(OR($C30="",$B$2="",$D$2=0),0,IF(AH$3&lt;0,0,N(INDEX('CURVA PREVISION'!$A$1:$KZ$3000,$C30,10+3*MIN(AH$3,$D$2-1)))))</f>
        <v/>
      </c>
      <c r="AI30" s="130">
        <f>IF(OR($C30="",$B$2="",$D$2=0),0,IF(AI$3&lt;0,0,N(INDEX('CURVA PREVISION'!$A$1:$KZ$3000,$C30,10+3*MIN(AI$3,$D$2-1)))))</f>
        <v/>
      </c>
      <c r="AJ30" s="130">
        <f>IF(OR($C30="",$B$2="",$D$2=0),0,IF(AJ$3&lt;0,0,N(INDEX('CURVA PREVISION'!$A$1:$KZ$3000,$C30,10+3*MIN(AJ$3,$D$2-1)))))</f>
        <v/>
      </c>
      <c r="AK30" s="130">
        <f>IF(OR($C30="",$B$2="",$D$2=0),0,IF(AK$3&lt;0,0,N(INDEX('CURVA PREVISION'!$A$1:$KZ$3000,$C30,10+3*MIN(AK$3,$D$2-1)))))</f>
        <v/>
      </c>
      <c r="AL30" s="130">
        <f>IF(OR($C30="",$B$2="",$D$2=0),0,IF(AL$3&lt;0,0,N(INDEX('CURVA PREVISION'!$A$1:$KZ$3000,$C30,10+3*MIN(AL$3,$D$2-1)))))</f>
        <v/>
      </c>
      <c r="AM30" s="130">
        <f>IF(OR($C30="",$B$2="",$D$2=0),0,IF(AM$3&lt;0,0,N(INDEX('CURVA PREVISION'!$A$1:$KZ$3000,$C30,10+3*MIN(AM$3,$D$2-1)))))</f>
        <v/>
      </c>
      <c r="AN30" s="130">
        <f>IF(OR($C30="",$B$2="",$D$2=0),0,IF(AN$3&lt;0,0,N(INDEX('CURVA PREVISION'!$A$1:$KZ$3000,$C30,10+3*MIN(AN$3,$D$2-1)))))</f>
        <v/>
      </c>
      <c r="AO30" s="130">
        <f>IF(OR($C30="",$B$2="",$D$2=0),0,IF(AO$3&lt;0,0,N(INDEX('CURVA PREVISION'!$A$1:$KZ$3000,$C30,10+3*MIN(AO$3,$D$2-1)))))</f>
        <v/>
      </c>
      <c r="AP30" s="130">
        <f>IF(OR($C30="",$B$2="",$D$2=0),0,IF(AP$3&lt;0,0,N(INDEX('CURVA PREVISION'!$A$1:$KZ$3000,$C30,10+3*MIN(AP$3,$D$2-1)))))</f>
        <v/>
      </c>
      <c r="AQ30" s="130">
        <f>IF(OR($C30="",$B$2="",$D$2=0),0,IF(AQ$3&lt;0,0,N(INDEX('CURVA PREVISION'!$A$1:$KZ$3000,$C30,10+3*MIN(AQ$3,$D$2-1)))))</f>
        <v/>
      </c>
      <c r="AR30" s="130">
        <f>IF(OR($C30="",$B$2="",$D$2=0),0,IF(AR$3&lt;0,0,N(INDEX('CURVA PREVISION'!$A$1:$KZ$3000,$C30,10+3*MIN(AR$3,$D$2-1)))))</f>
        <v/>
      </c>
      <c r="AS30" s="130">
        <f>IF(OR($C30="",$B$2="",$D$2=0),0,IF(AS$3&lt;0,0,N(INDEX('CURVA PREVISION'!$A$1:$KZ$3000,$C30,10+3*MIN(AS$3,$D$2-1)))))</f>
        <v/>
      </c>
      <c r="AT30" s="130">
        <f>IF(OR($C30="",$B$2="",$D$2=0),0,IF(AT$3&lt;0,0,N(INDEX('CURVA PREVISION'!$A$1:$KZ$3000,$C30,10+3*MIN(AT$3,$D$2-1)))))</f>
        <v/>
      </c>
      <c r="AU30" s="130">
        <f>IF(OR($C30="",$B$2="",$D$2=0),0,IF(AU$3&lt;0,0,N(INDEX('CURVA PREVISION'!$A$1:$KZ$3000,$C30,10+3*MIN(AU$3,$D$2-1)))))</f>
        <v/>
      </c>
      <c r="AV30" s="130">
        <f>IF(OR($C30="",$B$2="",$D$2=0),0,IF(AV$3&lt;0,0,N(INDEX('CURVA PREVISION'!$A$1:$KZ$3000,$C30,10+3*MIN(AV$3,$D$2-1)))))</f>
        <v/>
      </c>
      <c r="AW30" s="130">
        <f>IF(OR($C30="",$B$2="",$D$2=0),0,IF(AW$3&lt;0,0,N(INDEX('CURVA PREVISION'!$A$1:$KZ$3000,$C30,10+3*MIN(AW$3,$D$2-1)))))</f>
        <v/>
      </c>
      <c r="AX30" s="130">
        <f>IF(OR($C30="",$B$2="",$D$2=0),0,IF(AX$3&lt;0,0,N(INDEX('CURVA PREVISION'!$A$1:$KZ$3000,$C30,10+3*MIN(AX$3,$D$2-1)))))</f>
        <v/>
      </c>
      <c r="AY30" s="130">
        <f>IF(OR($C30="",$B$2="",$D$2=0),0,IF(AY$3&lt;0,0,N(INDEX('CURVA PREVISION'!$A$1:$KZ$3000,$C30,10+3*MIN(AY$3,$D$2-1)))))</f>
        <v/>
      </c>
      <c r="AZ30" s="130">
        <f>IF(OR($C30="",$B$2="",$D$2=0),0,IF(AZ$3&lt;0,0,N(INDEX('CURVA PREVISION'!$A$1:$KZ$3000,$C30,10+3*MIN(AZ$3,$D$2-1)))))</f>
        <v/>
      </c>
      <c r="BA30" s="130">
        <f>IF(OR($C30="",$B$2="",$D$2=0),0,IF(BA$3&lt;0,0,N(INDEX('CURVA PREVISION'!$A$1:$KZ$3000,$C30,10+3*MIN(BA$3,$D$2-1)))))</f>
        <v/>
      </c>
      <c r="BB30" s="130">
        <f>IF(OR($C30="",$B$2="",$D$2=0),0,IF(BB$3&lt;0,0,N(INDEX('CURVA PREVISION'!$A$1:$KZ$3000,$C30,10+3*MIN(BB$3,$D$2-1)))))</f>
        <v/>
      </c>
      <c r="BC30" s="130">
        <f>IF(OR($C30="",$B$2="",$D$2=0),0,IF(BC$3&lt;0,0,N(INDEX('CURVA PREVISION'!$A$1:$KZ$3000,$C30,10+3*MIN(BC$3,$D$2-1)))))</f>
        <v/>
      </c>
      <c r="BD30" s="130">
        <f>IF(OR($C30="",$B$2="",$D$2=0),0,IF(BD$3&lt;0,0,N(INDEX('CURVA PREVISION'!$A$1:$KZ$3000,$C30,10+3*MIN(BD$3,$D$2-1)))))</f>
        <v/>
      </c>
      <c r="BE30" s="130">
        <f>IF(OR($C30="",$B$2="",$D$2=0),0,IF(BE$3&lt;0,0,N(INDEX('CURVA PREVISION'!$A$1:$KZ$3000,$C30,10+3*MIN(BE$3,$D$2-1)))))</f>
        <v/>
      </c>
      <c r="BF30" s="130">
        <f>IF(OR($C30="",$B$2="",$D$2=0),0,IF(BF$3&lt;0,0,N(INDEX('CURVA PREVISION'!$A$1:$KZ$3000,$C30,10+3*MIN(BF$3,$D$2-1)))))</f>
        <v/>
      </c>
      <c r="BG30" s="130">
        <f>IF(OR($C30="",$B$2="",$D$2=0),0,IF(BG$3&lt;0,0,N(INDEX('CURVA PREVISION'!$A$1:$KZ$3000,$C30,10+3*MIN(BG$3,$D$2-1)))))</f>
        <v/>
      </c>
      <c r="BH30" s="130">
        <f>IF(OR($C30="",$B$2="",$D$2=0),0,IF(BH$3&lt;0,0,N(INDEX('CURVA PREVISION'!$A$1:$KZ$3000,$C30,10+3*MIN(BH$3,$D$2-1)))))</f>
        <v/>
      </c>
      <c r="BI30" s="130">
        <f>IF(OR($C30="",$B$2="",$D$2=0),0,IF(BI$3&lt;0,0,N(INDEX('CURVA PREVISION'!$A$1:$KZ$3000,$C30,10+3*MIN(BI$3,$D$2-1)))))</f>
        <v/>
      </c>
      <c r="BJ30" s="130">
        <f>IF(OR($C30="",$B$2="",$D$2=0),0,IF(BJ$3&lt;0,0,N(INDEX('CURVA PREVISION'!$A$1:$KZ$3000,$C30,10+3*MIN(BJ$3,$D$2-1)))))</f>
        <v/>
      </c>
      <c r="BK30" s="130">
        <f>IF(OR($C30="",$B$2="",$D$2=0),0,IF(BK$3&lt;0,0,N(INDEX('CURVA PREVISION'!$A$1:$KZ$3000,$C30,10+3*MIN(BK$3,$D$2-1)))))</f>
        <v/>
      </c>
      <c r="BL30" s="130">
        <f>IF(OR($C30="",$B$2="",$D$2=0),0,IF(BL$3&lt;0,0,N(INDEX('CURVA PREVISION'!$A$1:$KZ$3000,$C30,10+3*MIN(BL$3,$D$2-1)))))</f>
        <v/>
      </c>
      <c r="BM30" s="130">
        <f>IF(OR($C30="",$B$2="",$D$2=0),0,IF(BM$3&lt;0,0,N(INDEX('CURVA PREVISION'!$A$1:$KZ$3000,$C30,10+3*MIN(BM$3,$D$2-1)))))</f>
        <v/>
      </c>
      <c r="BN30" s="130">
        <f>IF(OR($C30="",$B$2="",$D$2=0),0,IF(BN$3&lt;0,0,N(INDEX('CURVA PREVISION'!$A$1:$KZ$3000,$C30,10+3*MIN(BN$3,$D$2-1)))))</f>
        <v/>
      </c>
      <c r="BO30" s="130">
        <f>IF(OR($C30="",$B$2="",$D$2=0),0,IF(BO$3&lt;0,0,N(INDEX('CURVA PREVISION'!$A$1:$KZ$3000,$C30,10+3*MIN(BO$3,$D$2-1)))))</f>
        <v/>
      </c>
      <c r="BP30" s="130">
        <f>IF(OR($C30="",$B$2="",$D$2=0),0,IF(BP$3&lt;0,0,N(INDEX('CURVA PREVISION'!$A$1:$KZ$3000,$C30,10+3*MIN(BP$3,$D$2-1)))))</f>
        <v/>
      </c>
      <c r="BQ30" s="130">
        <f>IF(OR($C30="",$B$2="",$D$2=0),0,IF(BQ$3&lt;0,0,N(INDEX('CURVA PREVISION'!$A$1:$KZ$3000,$C30,10+3*MIN(BQ$3,$D$2-1)))))</f>
        <v/>
      </c>
      <c r="BR30" s="130">
        <f>IF(OR($C30="",$B$2="",$D$2=0),0,IF(BR$3&lt;0,0,N(INDEX('CURVA PREVISION'!$A$1:$KZ$3000,$C30,10+3*MIN(BR$3,$D$2-1)))))</f>
        <v/>
      </c>
      <c r="BS30" s="130">
        <f>IF(OR($C30="",$B$2="",$D$2=0),0,IF(BS$3&lt;0,0,N(INDEX('CURVA PREVISION'!$A$1:$KZ$3000,$C30,10+3*MIN(BS$3,$D$2-1)))))</f>
        <v/>
      </c>
      <c r="BT30" s="130">
        <f>IF(OR($C30="",$B$2="",$D$2=0),0,IF(BT$3&lt;0,0,N(INDEX('CURVA PREVISION'!$A$1:$KZ$3000,$C30,10+3*MIN(BT$3,$D$2-1)))))</f>
        <v/>
      </c>
      <c r="BU30" s="130">
        <f>IF(OR($C30="",$B$2="",$D$2=0),0,IF(BU$3&lt;0,0,N(INDEX('CURVA PREVISION'!$A$1:$KZ$3000,$C30,10+3*MIN(BU$3,$D$2-1)))))</f>
        <v/>
      </c>
      <c r="BV30" s="130">
        <f>IF(OR($C30="",$B$2="",$D$2=0),0,IF(BV$3&lt;0,0,N(INDEX('CURVA PREVISION'!$A$1:$KZ$3000,$C30,10+3*MIN(BV$3,$D$2-1)))))</f>
        <v/>
      </c>
      <c r="BW30" s="130">
        <f>IF(OR($C30="",$B$2="",$D$2=0),0,IF(BW$3&lt;0,0,N(INDEX('CURVA PREVISION'!$A$1:$KZ$3000,$C30,10+3*MIN(BW$3,$D$2-1)))))</f>
        <v/>
      </c>
    </row>
    <row r="31">
      <c r="A31" s="61">
        <f>IF('VALOR POR PL'!R37&lt;&gt;"",'VALOR POR PL'!R37,IF('VALOR POR PL'!Q37="",'VALOR POR PL'!C37,'VALOR POR PL'!Q37))</f>
        <v/>
      </c>
      <c r="B31" s="61">
        <f>'VALOR POR PL'!D37</f>
        <v/>
      </c>
      <c r="C31" s="70">
        <f>IFERROR(MATCH(A31,'CURVA PREVISION'!$B$1:$B$3000,0),"")</f>
        <v/>
      </c>
      <c r="D31" s="130">
        <f>IF(OR($C31="",$B$2="",$D$2=0),0,IF(D$3&lt;0,0,N(INDEX('CURVA PREVISION'!$A$1:$KZ$3000,$C31,10+3*MIN(D$3,$D$2-1)))))</f>
        <v/>
      </c>
      <c r="E31" s="130">
        <f>IF(OR($C31="",$B$2="",$D$2=0),0,IF(E$3&lt;0,0,N(INDEX('CURVA PREVISION'!$A$1:$KZ$3000,$C31,10+3*MIN(E$3,$D$2-1)))))</f>
        <v/>
      </c>
      <c r="F31" s="130">
        <f>IF(OR($C31="",$B$2="",$D$2=0),0,IF(F$3&lt;0,0,N(INDEX('CURVA PREVISION'!$A$1:$KZ$3000,$C31,10+3*MIN(F$3,$D$2-1)))))</f>
        <v/>
      </c>
      <c r="G31" s="130">
        <f>IF(OR($C31="",$B$2="",$D$2=0),0,IF(G$3&lt;0,0,N(INDEX('CURVA PREVISION'!$A$1:$KZ$3000,$C31,10+3*MIN(G$3,$D$2-1)))))</f>
        <v/>
      </c>
      <c r="H31" s="130">
        <f>IF(OR($C31="",$B$2="",$D$2=0),0,IF(H$3&lt;0,0,N(INDEX('CURVA PREVISION'!$A$1:$KZ$3000,$C31,10+3*MIN(H$3,$D$2-1)))))</f>
        <v/>
      </c>
      <c r="I31" s="130">
        <f>IF(OR($C31="",$B$2="",$D$2=0),0,IF(I$3&lt;0,0,N(INDEX('CURVA PREVISION'!$A$1:$KZ$3000,$C31,10+3*MIN(I$3,$D$2-1)))))</f>
        <v/>
      </c>
      <c r="J31" s="130">
        <f>IF(OR($C31="",$B$2="",$D$2=0),0,IF(J$3&lt;0,0,N(INDEX('CURVA PREVISION'!$A$1:$KZ$3000,$C31,10+3*MIN(J$3,$D$2-1)))))</f>
        <v/>
      </c>
      <c r="K31" s="130">
        <f>IF(OR($C31="",$B$2="",$D$2=0),0,IF(K$3&lt;0,0,N(INDEX('CURVA PREVISION'!$A$1:$KZ$3000,$C31,10+3*MIN(K$3,$D$2-1)))))</f>
        <v/>
      </c>
      <c r="L31" s="130">
        <f>IF(OR($C31="",$B$2="",$D$2=0),0,IF(L$3&lt;0,0,N(INDEX('CURVA PREVISION'!$A$1:$KZ$3000,$C31,10+3*MIN(L$3,$D$2-1)))))</f>
        <v/>
      </c>
      <c r="M31" s="130">
        <f>IF(OR($C31="",$B$2="",$D$2=0),0,IF(M$3&lt;0,0,N(INDEX('CURVA PREVISION'!$A$1:$KZ$3000,$C31,10+3*MIN(M$3,$D$2-1)))))</f>
        <v/>
      </c>
      <c r="N31" s="130">
        <f>IF(OR($C31="",$B$2="",$D$2=0),0,IF(N$3&lt;0,0,N(INDEX('CURVA PREVISION'!$A$1:$KZ$3000,$C31,10+3*MIN(N$3,$D$2-1)))))</f>
        <v/>
      </c>
      <c r="O31" s="130">
        <f>IF(OR($C31="",$B$2="",$D$2=0),0,IF(O$3&lt;0,0,N(INDEX('CURVA PREVISION'!$A$1:$KZ$3000,$C31,10+3*MIN(O$3,$D$2-1)))))</f>
        <v/>
      </c>
      <c r="P31" s="130">
        <f>IF(OR($C31="",$B$2="",$D$2=0),0,IF(P$3&lt;0,0,N(INDEX('CURVA PREVISION'!$A$1:$KZ$3000,$C31,10+3*MIN(P$3,$D$2-1)))))</f>
        <v/>
      </c>
      <c r="Q31" s="130">
        <f>IF(OR($C31="",$B$2="",$D$2=0),0,IF(Q$3&lt;0,0,N(INDEX('CURVA PREVISION'!$A$1:$KZ$3000,$C31,10+3*MIN(Q$3,$D$2-1)))))</f>
        <v/>
      </c>
      <c r="R31" s="130">
        <f>IF(OR($C31="",$B$2="",$D$2=0),0,IF(R$3&lt;0,0,N(INDEX('CURVA PREVISION'!$A$1:$KZ$3000,$C31,10+3*MIN(R$3,$D$2-1)))))</f>
        <v/>
      </c>
      <c r="S31" s="130">
        <f>IF(OR($C31="",$B$2="",$D$2=0),0,IF(S$3&lt;0,0,N(INDEX('CURVA PREVISION'!$A$1:$KZ$3000,$C31,10+3*MIN(S$3,$D$2-1)))))</f>
        <v/>
      </c>
      <c r="T31" s="130">
        <f>IF(OR($C31="",$B$2="",$D$2=0),0,IF(T$3&lt;0,0,N(INDEX('CURVA PREVISION'!$A$1:$KZ$3000,$C31,10+3*MIN(T$3,$D$2-1)))))</f>
        <v/>
      </c>
      <c r="U31" s="130">
        <f>IF(OR($C31="",$B$2="",$D$2=0),0,IF(U$3&lt;0,0,N(INDEX('CURVA PREVISION'!$A$1:$KZ$3000,$C31,10+3*MIN(U$3,$D$2-1)))))</f>
        <v/>
      </c>
      <c r="V31" s="130">
        <f>IF(OR($C31="",$B$2="",$D$2=0),0,IF(V$3&lt;0,0,N(INDEX('CURVA PREVISION'!$A$1:$KZ$3000,$C31,10+3*MIN(V$3,$D$2-1)))))</f>
        <v/>
      </c>
      <c r="W31" s="130">
        <f>IF(OR($C31="",$B$2="",$D$2=0),0,IF(W$3&lt;0,0,N(INDEX('CURVA PREVISION'!$A$1:$KZ$3000,$C31,10+3*MIN(W$3,$D$2-1)))))</f>
        <v/>
      </c>
      <c r="X31" s="130">
        <f>IF(OR($C31="",$B$2="",$D$2=0),0,IF(X$3&lt;0,0,N(INDEX('CURVA PREVISION'!$A$1:$KZ$3000,$C31,10+3*MIN(X$3,$D$2-1)))))</f>
        <v/>
      </c>
      <c r="Y31" s="130">
        <f>IF(OR($C31="",$B$2="",$D$2=0),0,IF(Y$3&lt;0,0,N(INDEX('CURVA PREVISION'!$A$1:$KZ$3000,$C31,10+3*MIN(Y$3,$D$2-1)))))</f>
        <v/>
      </c>
      <c r="Z31" s="130">
        <f>IF(OR($C31="",$B$2="",$D$2=0),0,IF(Z$3&lt;0,0,N(INDEX('CURVA PREVISION'!$A$1:$KZ$3000,$C31,10+3*MIN(Z$3,$D$2-1)))))</f>
        <v/>
      </c>
      <c r="AA31" s="130">
        <f>IF(OR($C31="",$B$2="",$D$2=0),0,IF(AA$3&lt;0,0,N(INDEX('CURVA PREVISION'!$A$1:$KZ$3000,$C31,10+3*MIN(AA$3,$D$2-1)))))</f>
        <v/>
      </c>
      <c r="AB31" s="130">
        <f>IF(OR($C31="",$B$2="",$D$2=0),0,IF(AB$3&lt;0,0,N(INDEX('CURVA PREVISION'!$A$1:$KZ$3000,$C31,10+3*MIN(AB$3,$D$2-1)))))</f>
        <v/>
      </c>
      <c r="AC31" s="130">
        <f>IF(OR($C31="",$B$2="",$D$2=0),0,IF(AC$3&lt;0,0,N(INDEX('CURVA PREVISION'!$A$1:$KZ$3000,$C31,10+3*MIN(AC$3,$D$2-1)))))</f>
        <v/>
      </c>
      <c r="AD31" s="130">
        <f>IF(OR($C31="",$B$2="",$D$2=0),0,IF(AD$3&lt;0,0,N(INDEX('CURVA PREVISION'!$A$1:$KZ$3000,$C31,10+3*MIN(AD$3,$D$2-1)))))</f>
        <v/>
      </c>
      <c r="AE31" s="130">
        <f>IF(OR($C31="",$B$2="",$D$2=0),0,IF(AE$3&lt;0,0,N(INDEX('CURVA PREVISION'!$A$1:$KZ$3000,$C31,10+3*MIN(AE$3,$D$2-1)))))</f>
        <v/>
      </c>
      <c r="AF31" s="130">
        <f>IF(OR($C31="",$B$2="",$D$2=0),0,IF(AF$3&lt;0,0,N(INDEX('CURVA PREVISION'!$A$1:$KZ$3000,$C31,10+3*MIN(AF$3,$D$2-1)))))</f>
        <v/>
      </c>
      <c r="AG31" s="130">
        <f>IF(OR($C31="",$B$2="",$D$2=0),0,IF(AG$3&lt;0,0,N(INDEX('CURVA PREVISION'!$A$1:$KZ$3000,$C31,10+3*MIN(AG$3,$D$2-1)))))</f>
        <v/>
      </c>
      <c r="AH31" s="130">
        <f>IF(OR($C31="",$B$2="",$D$2=0),0,IF(AH$3&lt;0,0,N(INDEX('CURVA PREVISION'!$A$1:$KZ$3000,$C31,10+3*MIN(AH$3,$D$2-1)))))</f>
        <v/>
      </c>
      <c r="AI31" s="130">
        <f>IF(OR($C31="",$B$2="",$D$2=0),0,IF(AI$3&lt;0,0,N(INDEX('CURVA PREVISION'!$A$1:$KZ$3000,$C31,10+3*MIN(AI$3,$D$2-1)))))</f>
        <v/>
      </c>
      <c r="AJ31" s="130">
        <f>IF(OR($C31="",$B$2="",$D$2=0),0,IF(AJ$3&lt;0,0,N(INDEX('CURVA PREVISION'!$A$1:$KZ$3000,$C31,10+3*MIN(AJ$3,$D$2-1)))))</f>
        <v/>
      </c>
      <c r="AK31" s="130">
        <f>IF(OR($C31="",$B$2="",$D$2=0),0,IF(AK$3&lt;0,0,N(INDEX('CURVA PREVISION'!$A$1:$KZ$3000,$C31,10+3*MIN(AK$3,$D$2-1)))))</f>
        <v/>
      </c>
      <c r="AL31" s="130">
        <f>IF(OR($C31="",$B$2="",$D$2=0),0,IF(AL$3&lt;0,0,N(INDEX('CURVA PREVISION'!$A$1:$KZ$3000,$C31,10+3*MIN(AL$3,$D$2-1)))))</f>
        <v/>
      </c>
      <c r="AM31" s="130">
        <f>IF(OR($C31="",$B$2="",$D$2=0),0,IF(AM$3&lt;0,0,N(INDEX('CURVA PREVISION'!$A$1:$KZ$3000,$C31,10+3*MIN(AM$3,$D$2-1)))))</f>
        <v/>
      </c>
      <c r="AN31" s="130">
        <f>IF(OR($C31="",$B$2="",$D$2=0),0,IF(AN$3&lt;0,0,N(INDEX('CURVA PREVISION'!$A$1:$KZ$3000,$C31,10+3*MIN(AN$3,$D$2-1)))))</f>
        <v/>
      </c>
      <c r="AO31" s="130">
        <f>IF(OR($C31="",$B$2="",$D$2=0),0,IF(AO$3&lt;0,0,N(INDEX('CURVA PREVISION'!$A$1:$KZ$3000,$C31,10+3*MIN(AO$3,$D$2-1)))))</f>
        <v/>
      </c>
      <c r="AP31" s="130">
        <f>IF(OR($C31="",$B$2="",$D$2=0),0,IF(AP$3&lt;0,0,N(INDEX('CURVA PREVISION'!$A$1:$KZ$3000,$C31,10+3*MIN(AP$3,$D$2-1)))))</f>
        <v/>
      </c>
      <c r="AQ31" s="130">
        <f>IF(OR($C31="",$B$2="",$D$2=0),0,IF(AQ$3&lt;0,0,N(INDEX('CURVA PREVISION'!$A$1:$KZ$3000,$C31,10+3*MIN(AQ$3,$D$2-1)))))</f>
        <v/>
      </c>
      <c r="AR31" s="130">
        <f>IF(OR($C31="",$B$2="",$D$2=0),0,IF(AR$3&lt;0,0,N(INDEX('CURVA PREVISION'!$A$1:$KZ$3000,$C31,10+3*MIN(AR$3,$D$2-1)))))</f>
        <v/>
      </c>
      <c r="AS31" s="130">
        <f>IF(OR($C31="",$B$2="",$D$2=0),0,IF(AS$3&lt;0,0,N(INDEX('CURVA PREVISION'!$A$1:$KZ$3000,$C31,10+3*MIN(AS$3,$D$2-1)))))</f>
        <v/>
      </c>
      <c r="AT31" s="130">
        <f>IF(OR($C31="",$B$2="",$D$2=0),0,IF(AT$3&lt;0,0,N(INDEX('CURVA PREVISION'!$A$1:$KZ$3000,$C31,10+3*MIN(AT$3,$D$2-1)))))</f>
        <v/>
      </c>
      <c r="AU31" s="130">
        <f>IF(OR($C31="",$B$2="",$D$2=0),0,IF(AU$3&lt;0,0,N(INDEX('CURVA PREVISION'!$A$1:$KZ$3000,$C31,10+3*MIN(AU$3,$D$2-1)))))</f>
        <v/>
      </c>
      <c r="AV31" s="130">
        <f>IF(OR($C31="",$B$2="",$D$2=0),0,IF(AV$3&lt;0,0,N(INDEX('CURVA PREVISION'!$A$1:$KZ$3000,$C31,10+3*MIN(AV$3,$D$2-1)))))</f>
        <v/>
      </c>
      <c r="AW31" s="130">
        <f>IF(OR($C31="",$B$2="",$D$2=0),0,IF(AW$3&lt;0,0,N(INDEX('CURVA PREVISION'!$A$1:$KZ$3000,$C31,10+3*MIN(AW$3,$D$2-1)))))</f>
        <v/>
      </c>
      <c r="AX31" s="130">
        <f>IF(OR($C31="",$B$2="",$D$2=0),0,IF(AX$3&lt;0,0,N(INDEX('CURVA PREVISION'!$A$1:$KZ$3000,$C31,10+3*MIN(AX$3,$D$2-1)))))</f>
        <v/>
      </c>
      <c r="AY31" s="130">
        <f>IF(OR($C31="",$B$2="",$D$2=0),0,IF(AY$3&lt;0,0,N(INDEX('CURVA PREVISION'!$A$1:$KZ$3000,$C31,10+3*MIN(AY$3,$D$2-1)))))</f>
        <v/>
      </c>
      <c r="AZ31" s="130">
        <f>IF(OR($C31="",$B$2="",$D$2=0),0,IF(AZ$3&lt;0,0,N(INDEX('CURVA PREVISION'!$A$1:$KZ$3000,$C31,10+3*MIN(AZ$3,$D$2-1)))))</f>
        <v/>
      </c>
      <c r="BA31" s="130">
        <f>IF(OR($C31="",$B$2="",$D$2=0),0,IF(BA$3&lt;0,0,N(INDEX('CURVA PREVISION'!$A$1:$KZ$3000,$C31,10+3*MIN(BA$3,$D$2-1)))))</f>
        <v/>
      </c>
      <c r="BB31" s="130">
        <f>IF(OR($C31="",$B$2="",$D$2=0),0,IF(BB$3&lt;0,0,N(INDEX('CURVA PREVISION'!$A$1:$KZ$3000,$C31,10+3*MIN(BB$3,$D$2-1)))))</f>
        <v/>
      </c>
      <c r="BC31" s="130">
        <f>IF(OR($C31="",$B$2="",$D$2=0),0,IF(BC$3&lt;0,0,N(INDEX('CURVA PREVISION'!$A$1:$KZ$3000,$C31,10+3*MIN(BC$3,$D$2-1)))))</f>
        <v/>
      </c>
      <c r="BD31" s="130">
        <f>IF(OR($C31="",$B$2="",$D$2=0),0,IF(BD$3&lt;0,0,N(INDEX('CURVA PREVISION'!$A$1:$KZ$3000,$C31,10+3*MIN(BD$3,$D$2-1)))))</f>
        <v/>
      </c>
      <c r="BE31" s="130">
        <f>IF(OR($C31="",$B$2="",$D$2=0),0,IF(BE$3&lt;0,0,N(INDEX('CURVA PREVISION'!$A$1:$KZ$3000,$C31,10+3*MIN(BE$3,$D$2-1)))))</f>
        <v/>
      </c>
      <c r="BF31" s="130">
        <f>IF(OR($C31="",$B$2="",$D$2=0),0,IF(BF$3&lt;0,0,N(INDEX('CURVA PREVISION'!$A$1:$KZ$3000,$C31,10+3*MIN(BF$3,$D$2-1)))))</f>
        <v/>
      </c>
      <c r="BG31" s="130">
        <f>IF(OR($C31="",$B$2="",$D$2=0),0,IF(BG$3&lt;0,0,N(INDEX('CURVA PREVISION'!$A$1:$KZ$3000,$C31,10+3*MIN(BG$3,$D$2-1)))))</f>
        <v/>
      </c>
      <c r="BH31" s="130">
        <f>IF(OR($C31="",$B$2="",$D$2=0),0,IF(BH$3&lt;0,0,N(INDEX('CURVA PREVISION'!$A$1:$KZ$3000,$C31,10+3*MIN(BH$3,$D$2-1)))))</f>
        <v/>
      </c>
      <c r="BI31" s="130">
        <f>IF(OR($C31="",$B$2="",$D$2=0),0,IF(BI$3&lt;0,0,N(INDEX('CURVA PREVISION'!$A$1:$KZ$3000,$C31,10+3*MIN(BI$3,$D$2-1)))))</f>
        <v/>
      </c>
      <c r="BJ31" s="130">
        <f>IF(OR($C31="",$B$2="",$D$2=0),0,IF(BJ$3&lt;0,0,N(INDEX('CURVA PREVISION'!$A$1:$KZ$3000,$C31,10+3*MIN(BJ$3,$D$2-1)))))</f>
        <v/>
      </c>
      <c r="BK31" s="130">
        <f>IF(OR($C31="",$B$2="",$D$2=0),0,IF(BK$3&lt;0,0,N(INDEX('CURVA PREVISION'!$A$1:$KZ$3000,$C31,10+3*MIN(BK$3,$D$2-1)))))</f>
        <v/>
      </c>
      <c r="BL31" s="130">
        <f>IF(OR($C31="",$B$2="",$D$2=0),0,IF(BL$3&lt;0,0,N(INDEX('CURVA PREVISION'!$A$1:$KZ$3000,$C31,10+3*MIN(BL$3,$D$2-1)))))</f>
        <v/>
      </c>
      <c r="BM31" s="130">
        <f>IF(OR($C31="",$B$2="",$D$2=0),0,IF(BM$3&lt;0,0,N(INDEX('CURVA PREVISION'!$A$1:$KZ$3000,$C31,10+3*MIN(BM$3,$D$2-1)))))</f>
        <v/>
      </c>
      <c r="BN31" s="130">
        <f>IF(OR($C31="",$B$2="",$D$2=0),0,IF(BN$3&lt;0,0,N(INDEX('CURVA PREVISION'!$A$1:$KZ$3000,$C31,10+3*MIN(BN$3,$D$2-1)))))</f>
        <v/>
      </c>
      <c r="BO31" s="130">
        <f>IF(OR($C31="",$B$2="",$D$2=0),0,IF(BO$3&lt;0,0,N(INDEX('CURVA PREVISION'!$A$1:$KZ$3000,$C31,10+3*MIN(BO$3,$D$2-1)))))</f>
        <v/>
      </c>
      <c r="BP31" s="130">
        <f>IF(OR($C31="",$B$2="",$D$2=0),0,IF(BP$3&lt;0,0,N(INDEX('CURVA PREVISION'!$A$1:$KZ$3000,$C31,10+3*MIN(BP$3,$D$2-1)))))</f>
        <v/>
      </c>
      <c r="BQ31" s="130">
        <f>IF(OR($C31="",$B$2="",$D$2=0),0,IF(BQ$3&lt;0,0,N(INDEX('CURVA PREVISION'!$A$1:$KZ$3000,$C31,10+3*MIN(BQ$3,$D$2-1)))))</f>
        <v/>
      </c>
      <c r="BR31" s="130">
        <f>IF(OR($C31="",$B$2="",$D$2=0),0,IF(BR$3&lt;0,0,N(INDEX('CURVA PREVISION'!$A$1:$KZ$3000,$C31,10+3*MIN(BR$3,$D$2-1)))))</f>
        <v/>
      </c>
      <c r="BS31" s="130">
        <f>IF(OR($C31="",$B$2="",$D$2=0),0,IF(BS$3&lt;0,0,N(INDEX('CURVA PREVISION'!$A$1:$KZ$3000,$C31,10+3*MIN(BS$3,$D$2-1)))))</f>
        <v/>
      </c>
      <c r="BT31" s="130">
        <f>IF(OR($C31="",$B$2="",$D$2=0),0,IF(BT$3&lt;0,0,N(INDEX('CURVA PREVISION'!$A$1:$KZ$3000,$C31,10+3*MIN(BT$3,$D$2-1)))))</f>
        <v/>
      </c>
      <c r="BU31" s="130">
        <f>IF(OR($C31="",$B$2="",$D$2=0),0,IF(BU$3&lt;0,0,N(INDEX('CURVA PREVISION'!$A$1:$KZ$3000,$C31,10+3*MIN(BU$3,$D$2-1)))))</f>
        <v/>
      </c>
      <c r="BV31" s="130">
        <f>IF(OR($C31="",$B$2="",$D$2=0),0,IF(BV$3&lt;0,0,N(INDEX('CURVA PREVISION'!$A$1:$KZ$3000,$C31,10+3*MIN(BV$3,$D$2-1)))))</f>
        <v/>
      </c>
      <c r="BW31" s="130">
        <f>IF(OR($C31="",$B$2="",$D$2=0),0,IF(BW$3&lt;0,0,N(INDEX('CURVA PREVISION'!$A$1:$KZ$3000,$C31,10+3*MIN(BW$3,$D$2-1)))))</f>
        <v/>
      </c>
    </row>
    <row r="32">
      <c r="A32" s="61">
        <f>IF('VALOR POR PL'!R38&lt;&gt;"",'VALOR POR PL'!R38,IF('VALOR POR PL'!Q38="",'VALOR POR PL'!C38,'VALOR POR PL'!Q38))</f>
        <v/>
      </c>
      <c r="B32" s="61">
        <f>'VALOR POR PL'!D38</f>
        <v/>
      </c>
      <c r="C32" s="70">
        <f>IFERROR(MATCH(A32,'CURVA PREVISION'!$B$1:$B$3000,0),"")</f>
        <v/>
      </c>
      <c r="D32" s="130">
        <f>IF(OR($C32="",$B$2="",$D$2=0),0,IF(D$3&lt;0,0,N(INDEX('CURVA PREVISION'!$A$1:$KZ$3000,$C32,10+3*MIN(D$3,$D$2-1)))))</f>
        <v/>
      </c>
      <c r="E32" s="130">
        <f>IF(OR($C32="",$B$2="",$D$2=0),0,IF(E$3&lt;0,0,N(INDEX('CURVA PREVISION'!$A$1:$KZ$3000,$C32,10+3*MIN(E$3,$D$2-1)))))</f>
        <v/>
      </c>
      <c r="F32" s="130">
        <f>IF(OR($C32="",$B$2="",$D$2=0),0,IF(F$3&lt;0,0,N(INDEX('CURVA PREVISION'!$A$1:$KZ$3000,$C32,10+3*MIN(F$3,$D$2-1)))))</f>
        <v/>
      </c>
      <c r="G32" s="130">
        <f>IF(OR($C32="",$B$2="",$D$2=0),0,IF(G$3&lt;0,0,N(INDEX('CURVA PREVISION'!$A$1:$KZ$3000,$C32,10+3*MIN(G$3,$D$2-1)))))</f>
        <v/>
      </c>
      <c r="H32" s="130">
        <f>IF(OR($C32="",$B$2="",$D$2=0),0,IF(H$3&lt;0,0,N(INDEX('CURVA PREVISION'!$A$1:$KZ$3000,$C32,10+3*MIN(H$3,$D$2-1)))))</f>
        <v/>
      </c>
      <c r="I32" s="130">
        <f>IF(OR($C32="",$B$2="",$D$2=0),0,IF(I$3&lt;0,0,N(INDEX('CURVA PREVISION'!$A$1:$KZ$3000,$C32,10+3*MIN(I$3,$D$2-1)))))</f>
        <v/>
      </c>
      <c r="J32" s="130">
        <f>IF(OR($C32="",$B$2="",$D$2=0),0,IF(J$3&lt;0,0,N(INDEX('CURVA PREVISION'!$A$1:$KZ$3000,$C32,10+3*MIN(J$3,$D$2-1)))))</f>
        <v/>
      </c>
      <c r="K32" s="130">
        <f>IF(OR($C32="",$B$2="",$D$2=0),0,IF(K$3&lt;0,0,N(INDEX('CURVA PREVISION'!$A$1:$KZ$3000,$C32,10+3*MIN(K$3,$D$2-1)))))</f>
        <v/>
      </c>
      <c r="L32" s="130">
        <f>IF(OR($C32="",$B$2="",$D$2=0),0,IF(L$3&lt;0,0,N(INDEX('CURVA PREVISION'!$A$1:$KZ$3000,$C32,10+3*MIN(L$3,$D$2-1)))))</f>
        <v/>
      </c>
      <c r="M32" s="130">
        <f>IF(OR($C32="",$B$2="",$D$2=0),0,IF(M$3&lt;0,0,N(INDEX('CURVA PREVISION'!$A$1:$KZ$3000,$C32,10+3*MIN(M$3,$D$2-1)))))</f>
        <v/>
      </c>
      <c r="N32" s="130">
        <f>IF(OR($C32="",$B$2="",$D$2=0),0,IF(N$3&lt;0,0,N(INDEX('CURVA PREVISION'!$A$1:$KZ$3000,$C32,10+3*MIN(N$3,$D$2-1)))))</f>
        <v/>
      </c>
      <c r="O32" s="130">
        <f>IF(OR($C32="",$B$2="",$D$2=0),0,IF(O$3&lt;0,0,N(INDEX('CURVA PREVISION'!$A$1:$KZ$3000,$C32,10+3*MIN(O$3,$D$2-1)))))</f>
        <v/>
      </c>
      <c r="P32" s="130">
        <f>IF(OR($C32="",$B$2="",$D$2=0),0,IF(P$3&lt;0,0,N(INDEX('CURVA PREVISION'!$A$1:$KZ$3000,$C32,10+3*MIN(P$3,$D$2-1)))))</f>
        <v/>
      </c>
      <c r="Q32" s="130">
        <f>IF(OR($C32="",$B$2="",$D$2=0),0,IF(Q$3&lt;0,0,N(INDEX('CURVA PREVISION'!$A$1:$KZ$3000,$C32,10+3*MIN(Q$3,$D$2-1)))))</f>
        <v/>
      </c>
      <c r="R32" s="130">
        <f>IF(OR($C32="",$B$2="",$D$2=0),0,IF(R$3&lt;0,0,N(INDEX('CURVA PREVISION'!$A$1:$KZ$3000,$C32,10+3*MIN(R$3,$D$2-1)))))</f>
        <v/>
      </c>
      <c r="S32" s="130">
        <f>IF(OR($C32="",$B$2="",$D$2=0),0,IF(S$3&lt;0,0,N(INDEX('CURVA PREVISION'!$A$1:$KZ$3000,$C32,10+3*MIN(S$3,$D$2-1)))))</f>
        <v/>
      </c>
      <c r="T32" s="130">
        <f>IF(OR($C32="",$B$2="",$D$2=0),0,IF(T$3&lt;0,0,N(INDEX('CURVA PREVISION'!$A$1:$KZ$3000,$C32,10+3*MIN(T$3,$D$2-1)))))</f>
        <v/>
      </c>
      <c r="U32" s="130">
        <f>IF(OR($C32="",$B$2="",$D$2=0),0,IF(U$3&lt;0,0,N(INDEX('CURVA PREVISION'!$A$1:$KZ$3000,$C32,10+3*MIN(U$3,$D$2-1)))))</f>
        <v/>
      </c>
      <c r="V32" s="130">
        <f>IF(OR($C32="",$B$2="",$D$2=0),0,IF(V$3&lt;0,0,N(INDEX('CURVA PREVISION'!$A$1:$KZ$3000,$C32,10+3*MIN(V$3,$D$2-1)))))</f>
        <v/>
      </c>
      <c r="W32" s="130">
        <f>IF(OR($C32="",$B$2="",$D$2=0),0,IF(W$3&lt;0,0,N(INDEX('CURVA PREVISION'!$A$1:$KZ$3000,$C32,10+3*MIN(W$3,$D$2-1)))))</f>
        <v/>
      </c>
      <c r="X32" s="130">
        <f>IF(OR($C32="",$B$2="",$D$2=0),0,IF(X$3&lt;0,0,N(INDEX('CURVA PREVISION'!$A$1:$KZ$3000,$C32,10+3*MIN(X$3,$D$2-1)))))</f>
        <v/>
      </c>
      <c r="Y32" s="130">
        <f>IF(OR($C32="",$B$2="",$D$2=0),0,IF(Y$3&lt;0,0,N(INDEX('CURVA PREVISION'!$A$1:$KZ$3000,$C32,10+3*MIN(Y$3,$D$2-1)))))</f>
        <v/>
      </c>
      <c r="Z32" s="130">
        <f>IF(OR($C32="",$B$2="",$D$2=0),0,IF(Z$3&lt;0,0,N(INDEX('CURVA PREVISION'!$A$1:$KZ$3000,$C32,10+3*MIN(Z$3,$D$2-1)))))</f>
        <v/>
      </c>
      <c r="AA32" s="130">
        <f>IF(OR($C32="",$B$2="",$D$2=0),0,IF(AA$3&lt;0,0,N(INDEX('CURVA PREVISION'!$A$1:$KZ$3000,$C32,10+3*MIN(AA$3,$D$2-1)))))</f>
        <v/>
      </c>
      <c r="AB32" s="130">
        <f>IF(OR($C32="",$B$2="",$D$2=0),0,IF(AB$3&lt;0,0,N(INDEX('CURVA PREVISION'!$A$1:$KZ$3000,$C32,10+3*MIN(AB$3,$D$2-1)))))</f>
        <v/>
      </c>
      <c r="AC32" s="130">
        <f>IF(OR($C32="",$B$2="",$D$2=0),0,IF(AC$3&lt;0,0,N(INDEX('CURVA PREVISION'!$A$1:$KZ$3000,$C32,10+3*MIN(AC$3,$D$2-1)))))</f>
        <v/>
      </c>
      <c r="AD32" s="130">
        <f>IF(OR($C32="",$B$2="",$D$2=0),0,IF(AD$3&lt;0,0,N(INDEX('CURVA PREVISION'!$A$1:$KZ$3000,$C32,10+3*MIN(AD$3,$D$2-1)))))</f>
        <v/>
      </c>
      <c r="AE32" s="130">
        <f>IF(OR($C32="",$B$2="",$D$2=0),0,IF(AE$3&lt;0,0,N(INDEX('CURVA PREVISION'!$A$1:$KZ$3000,$C32,10+3*MIN(AE$3,$D$2-1)))))</f>
        <v/>
      </c>
      <c r="AF32" s="130">
        <f>IF(OR($C32="",$B$2="",$D$2=0),0,IF(AF$3&lt;0,0,N(INDEX('CURVA PREVISION'!$A$1:$KZ$3000,$C32,10+3*MIN(AF$3,$D$2-1)))))</f>
        <v/>
      </c>
      <c r="AG32" s="130">
        <f>IF(OR($C32="",$B$2="",$D$2=0),0,IF(AG$3&lt;0,0,N(INDEX('CURVA PREVISION'!$A$1:$KZ$3000,$C32,10+3*MIN(AG$3,$D$2-1)))))</f>
        <v/>
      </c>
      <c r="AH32" s="130">
        <f>IF(OR($C32="",$B$2="",$D$2=0),0,IF(AH$3&lt;0,0,N(INDEX('CURVA PREVISION'!$A$1:$KZ$3000,$C32,10+3*MIN(AH$3,$D$2-1)))))</f>
        <v/>
      </c>
      <c r="AI32" s="130">
        <f>IF(OR($C32="",$B$2="",$D$2=0),0,IF(AI$3&lt;0,0,N(INDEX('CURVA PREVISION'!$A$1:$KZ$3000,$C32,10+3*MIN(AI$3,$D$2-1)))))</f>
        <v/>
      </c>
      <c r="AJ32" s="130">
        <f>IF(OR($C32="",$B$2="",$D$2=0),0,IF(AJ$3&lt;0,0,N(INDEX('CURVA PREVISION'!$A$1:$KZ$3000,$C32,10+3*MIN(AJ$3,$D$2-1)))))</f>
        <v/>
      </c>
      <c r="AK32" s="130">
        <f>IF(OR($C32="",$B$2="",$D$2=0),0,IF(AK$3&lt;0,0,N(INDEX('CURVA PREVISION'!$A$1:$KZ$3000,$C32,10+3*MIN(AK$3,$D$2-1)))))</f>
        <v/>
      </c>
      <c r="AL32" s="130">
        <f>IF(OR($C32="",$B$2="",$D$2=0),0,IF(AL$3&lt;0,0,N(INDEX('CURVA PREVISION'!$A$1:$KZ$3000,$C32,10+3*MIN(AL$3,$D$2-1)))))</f>
        <v/>
      </c>
      <c r="AM32" s="130">
        <f>IF(OR($C32="",$B$2="",$D$2=0),0,IF(AM$3&lt;0,0,N(INDEX('CURVA PREVISION'!$A$1:$KZ$3000,$C32,10+3*MIN(AM$3,$D$2-1)))))</f>
        <v/>
      </c>
      <c r="AN32" s="130">
        <f>IF(OR($C32="",$B$2="",$D$2=0),0,IF(AN$3&lt;0,0,N(INDEX('CURVA PREVISION'!$A$1:$KZ$3000,$C32,10+3*MIN(AN$3,$D$2-1)))))</f>
        <v/>
      </c>
      <c r="AO32" s="130">
        <f>IF(OR($C32="",$B$2="",$D$2=0),0,IF(AO$3&lt;0,0,N(INDEX('CURVA PREVISION'!$A$1:$KZ$3000,$C32,10+3*MIN(AO$3,$D$2-1)))))</f>
        <v/>
      </c>
      <c r="AP32" s="130">
        <f>IF(OR($C32="",$B$2="",$D$2=0),0,IF(AP$3&lt;0,0,N(INDEX('CURVA PREVISION'!$A$1:$KZ$3000,$C32,10+3*MIN(AP$3,$D$2-1)))))</f>
        <v/>
      </c>
      <c r="AQ32" s="130">
        <f>IF(OR($C32="",$B$2="",$D$2=0),0,IF(AQ$3&lt;0,0,N(INDEX('CURVA PREVISION'!$A$1:$KZ$3000,$C32,10+3*MIN(AQ$3,$D$2-1)))))</f>
        <v/>
      </c>
      <c r="AR32" s="130">
        <f>IF(OR($C32="",$B$2="",$D$2=0),0,IF(AR$3&lt;0,0,N(INDEX('CURVA PREVISION'!$A$1:$KZ$3000,$C32,10+3*MIN(AR$3,$D$2-1)))))</f>
        <v/>
      </c>
      <c r="AS32" s="130">
        <f>IF(OR($C32="",$B$2="",$D$2=0),0,IF(AS$3&lt;0,0,N(INDEX('CURVA PREVISION'!$A$1:$KZ$3000,$C32,10+3*MIN(AS$3,$D$2-1)))))</f>
        <v/>
      </c>
      <c r="AT32" s="130">
        <f>IF(OR($C32="",$B$2="",$D$2=0),0,IF(AT$3&lt;0,0,N(INDEX('CURVA PREVISION'!$A$1:$KZ$3000,$C32,10+3*MIN(AT$3,$D$2-1)))))</f>
        <v/>
      </c>
      <c r="AU32" s="130">
        <f>IF(OR($C32="",$B$2="",$D$2=0),0,IF(AU$3&lt;0,0,N(INDEX('CURVA PREVISION'!$A$1:$KZ$3000,$C32,10+3*MIN(AU$3,$D$2-1)))))</f>
        <v/>
      </c>
      <c r="AV32" s="130">
        <f>IF(OR($C32="",$B$2="",$D$2=0),0,IF(AV$3&lt;0,0,N(INDEX('CURVA PREVISION'!$A$1:$KZ$3000,$C32,10+3*MIN(AV$3,$D$2-1)))))</f>
        <v/>
      </c>
      <c r="AW32" s="130">
        <f>IF(OR($C32="",$B$2="",$D$2=0),0,IF(AW$3&lt;0,0,N(INDEX('CURVA PREVISION'!$A$1:$KZ$3000,$C32,10+3*MIN(AW$3,$D$2-1)))))</f>
        <v/>
      </c>
      <c r="AX32" s="130">
        <f>IF(OR($C32="",$B$2="",$D$2=0),0,IF(AX$3&lt;0,0,N(INDEX('CURVA PREVISION'!$A$1:$KZ$3000,$C32,10+3*MIN(AX$3,$D$2-1)))))</f>
        <v/>
      </c>
      <c r="AY32" s="130">
        <f>IF(OR($C32="",$B$2="",$D$2=0),0,IF(AY$3&lt;0,0,N(INDEX('CURVA PREVISION'!$A$1:$KZ$3000,$C32,10+3*MIN(AY$3,$D$2-1)))))</f>
        <v/>
      </c>
      <c r="AZ32" s="130">
        <f>IF(OR($C32="",$B$2="",$D$2=0),0,IF(AZ$3&lt;0,0,N(INDEX('CURVA PREVISION'!$A$1:$KZ$3000,$C32,10+3*MIN(AZ$3,$D$2-1)))))</f>
        <v/>
      </c>
      <c r="BA32" s="130">
        <f>IF(OR($C32="",$B$2="",$D$2=0),0,IF(BA$3&lt;0,0,N(INDEX('CURVA PREVISION'!$A$1:$KZ$3000,$C32,10+3*MIN(BA$3,$D$2-1)))))</f>
        <v/>
      </c>
      <c r="BB32" s="130">
        <f>IF(OR($C32="",$B$2="",$D$2=0),0,IF(BB$3&lt;0,0,N(INDEX('CURVA PREVISION'!$A$1:$KZ$3000,$C32,10+3*MIN(BB$3,$D$2-1)))))</f>
        <v/>
      </c>
      <c r="BC32" s="130">
        <f>IF(OR($C32="",$B$2="",$D$2=0),0,IF(BC$3&lt;0,0,N(INDEX('CURVA PREVISION'!$A$1:$KZ$3000,$C32,10+3*MIN(BC$3,$D$2-1)))))</f>
        <v/>
      </c>
      <c r="BD32" s="130">
        <f>IF(OR($C32="",$B$2="",$D$2=0),0,IF(BD$3&lt;0,0,N(INDEX('CURVA PREVISION'!$A$1:$KZ$3000,$C32,10+3*MIN(BD$3,$D$2-1)))))</f>
        <v/>
      </c>
      <c r="BE32" s="130">
        <f>IF(OR($C32="",$B$2="",$D$2=0),0,IF(BE$3&lt;0,0,N(INDEX('CURVA PREVISION'!$A$1:$KZ$3000,$C32,10+3*MIN(BE$3,$D$2-1)))))</f>
        <v/>
      </c>
      <c r="BF32" s="130">
        <f>IF(OR($C32="",$B$2="",$D$2=0),0,IF(BF$3&lt;0,0,N(INDEX('CURVA PREVISION'!$A$1:$KZ$3000,$C32,10+3*MIN(BF$3,$D$2-1)))))</f>
        <v/>
      </c>
      <c r="BG32" s="130">
        <f>IF(OR($C32="",$B$2="",$D$2=0),0,IF(BG$3&lt;0,0,N(INDEX('CURVA PREVISION'!$A$1:$KZ$3000,$C32,10+3*MIN(BG$3,$D$2-1)))))</f>
        <v/>
      </c>
      <c r="BH32" s="130">
        <f>IF(OR($C32="",$B$2="",$D$2=0),0,IF(BH$3&lt;0,0,N(INDEX('CURVA PREVISION'!$A$1:$KZ$3000,$C32,10+3*MIN(BH$3,$D$2-1)))))</f>
        <v/>
      </c>
      <c r="BI32" s="130">
        <f>IF(OR($C32="",$B$2="",$D$2=0),0,IF(BI$3&lt;0,0,N(INDEX('CURVA PREVISION'!$A$1:$KZ$3000,$C32,10+3*MIN(BI$3,$D$2-1)))))</f>
        <v/>
      </c>
      <c r="BJ32" s="130">
        <f>IF(OR($C32="",$B$2="",$D$2=0),0,IF(BJ$3&lt;0,0,N(INDEX('CURVA PREVISION'!$A$1:$KZ$3000,$C32,10+3*MIN(BJ$3,$D$2-1)))))</f>
        <v/>
      </c>
      <c r="BK32" s="130">
        <f>IF(OR($C32="",$B$2="",$D$2=0),0,IF(BK$3&lt;0,0,N(INDEX('CURVA PREVISION'!$A$1:$KZ$3000,$C32,10+3*MIN(BK$3,$D$2-1)))))</f>
        <v/>
      </c>
      <c r="BL32" s="130">
        <f>IF(OR($C32="",$B$2="",$D$2=0),0,IF(BL$3&lt;0,0,N(INDEX('CURVA PREVISION'!$A$1:$KZ$3000,$C32,10+3*MIN(BL$3,$D$2-1)))))</f>
        <v/>
      </c>
      <c r="BM32" s="130">
        <f>IF(OR($C32="",$B$2="",$D$2=0),0,IF(BM$3&lt;0,0,N(INDEX('CURVA PREVISION'!$A$1:$KZ$3000,$C32,10+3*MIN(BM$3,$D$2-1)))))</f>
        <v/>
      </c>
      <c r="BN32" s="130">
        <f>IF(OR($C32="",$B$2="",$D$2=0),0,IF(BN$3&lt;0,0,N(INDEX('CURVA PREVISION'!$A$1:$KZ$3000,$C32,10+3*MIN(BN$3,$D$2-1)))))</f>
        <v/>
      </c>
      <c r="BO32" s="130">
        <f>IF(OR($C32="",$B$2="",$D$2=0),0,IF(BO$3&lt;0,0,N(INDEX('CURVA PREVISION'!$A$1:$KZ$3000,$C32,10+3*MIN(BO$3,$D$2-1)))))</f>
        <v/>
      </c>
      <c r="BP32" s="130">
        <f>IF(OR($C32="",$B$2="",$D$2=0),0,IF(BP$3&lt;0,0,N(INDEX('CURVA PREVISION'!$A$1:$KZ$3000,$C32,10+3*MIN(BP$3,$D$2-1)))))</f>
        <v/>
      </c>
      <c r="BQ32" s="130">
        <f>IF(OR($C32="",$B$2="",$D$2=0),0,IF(BQ$3&lt;0,0,N(INDEX('CURVA PREVISION'!$A$1:$KZ$3000,$C32,10+3*MIN(BQ$3,$D$2-1)))))</f>
        <v/>
      </c>
      <c r="BR32" s="130">
        <f>IF(OR($C32="",$B$2="",$D$2=0),0,IF(BR$3&lt;0,0,N(INDEX('CURVA PREVISION'!$A$1:$KZ$3000,$C32,10+3*MIN(BR$3,$D$2-1)))))</f>
        <v/>
      </c>
      <c r="BS32" s="130">
        <f>IF(OR($C32="",$B$2="",$D$2=0),0,IF(BS$3&lt;0,0,N(INDEX('CURVA PREVISION'!$A$1:$KZ$3000,$C32,10+3*MIN(BS$3,$D$2-1)))))</f>
        <v/>
      </c>
      <c r="BT32" s="130">
        <f>IF(OR($C32="",$B$2="",$D$2=0),0,IF(BT$3&lt;0,0,N(INDEX('CURVA PREVISION'!$A$1:$KZ$3000,$C32,10+3*MIN(BT$3,$D$2-1)))))</f>
        <v/>
      </c>
      <c r="BU32" s="130">
        <f>IF(OR($C32="",$B$2="",$D$2=0),0,IF(BU$3&lt;0,0,N(INDEX('CURVA PREVISION'!$A$1:$KZ$3000,$C32,10+3*MIN(BU$3,$D$2-1)))))</f>
        <v/>
      </c>
      <c r="BV32" s="130">
        <f>IF(OR($C32="",$B$2="",$D$2=0),0,IF(BV$3&lt;0,0,N(INDEX('CURVA PREVISION'!$A$1:$KZ$3000,$C32,10+3*MIN(BV$3,$D$2-1)))))</f>
        <v/>
      </c>
      <c r="BW32" s="130">
        <f>IF(OR($C32="",$B$2="",$D$2=0),0,IF(BW$3&lt;0,0,N(INDEX('CURVA PREVISION'!$A$1:$KZ$3000,$C32,10+3*MIN(BW$3,$D$2-1)))))</f>
        <v/>
      </c>
    </row>
    <row r="33">
      <c r="A33" s="61">
        <f>IF('VALOR POR PL'!R39&lt;&gt;"",'VALOR POR PL'!R39,IF('VALOR POR PL'!Q39="",'VALOR POR PL'!C39,'VALOR POR PL'!Q39))</f>
        <v/>
      </c>
      <c r="B33" s="61">
        <f>'VALOR POR PL'!D39</f>
        <v/>
      </c>
      <c r="C33" s="70">
        <f>IFERROR(MATCH(A33,'CURVA PREVISION'!$B$1:$B$3000,0),"")</f>
        <v/>
      </c>
      <c r="D33" s="130">
        <f>IF(OR($C33="",$B$2="",$D$2=0),0,IF(D$3&lt;0,0,N(INDEX('CURVA PREVISION'!$A$1:$KZ$3000,$C33,10+3*MIN(D$3,$D$2-1)))))</f>
        <v/>
      </c>
      <c r="E33" s="130">
        <f>IF(OR($C33="",$B$2="",$D$2=0),0,IF(E$3&lt;0,0,N(INDEX('CURVA PREVISION'!$A$1:$KZ$3000,$C33,10+3*MIN(E$3,$D$2-1)))))</f>
        <v/>
      </c>
      <c r="F33" s="130">
        <f>IF(OR($C33="",$B$2="",$D$2=0),0,IF(F$3&lt;0,0,N(INDEX('CURVA PREVISION'!$A$1:$KZ$3000,$C33,10+3*MIN(F$3,$D$2-1)))))</f>
        <v/>
      </c>
      <c r="G33" s="130">
        <f>IF(OR($C33="",$B$2="",$D$2=0),0,IF(G$3&lt;0,0,N(INDEX('CURVA PREVISION'!$A$1:$KZ$3000,$C33,10+3*MIN(G$3,$D$2-1)))))</f>
        <v/>
      </c>
      <c r="H33" s="130">
        <f>IF(OR($C33="",$B$2="",$D$2=0),0,IF(H$3&lt;0,0,N(INDEX('CURVA PREVISION'!$A$1:$KZ$3000,$C33,10+3*MIN(H$3,$D$2-1)))))</f>
        <v/>
      </c>
      <c r="I33" s="130">
        <f>IF(OR($C33="",$B$2="",$D$2=0),0,IF(I$3&lt;0,0,N(INDEX('CURVA PREVISION'!$A$1:$KZ$3000,$C33,10+3*MIN(I$3,$D$2-1)))))</f>
        <v/>
      </c>
      <c r="J33" s="130">
        <f>IF(OR($C33="",$B$2="",$D$2=0),0,IF(J$3&lt;0,0,N(INDEX('CURVA PREVISION'!$A$1:$KZ$3000,$C33,10+3*MIN(J$3,$D$2-1)))))</f>
        <v/>
      </c>
      <c r="K33" s="130">
        <f>IF(OR($C33="",$B$2="",$D$2=0),0,IF(K$3&lt;0,0,N(INDEX('CURVA PREVISION'!$A$1:$KZ$3000,$C33,10+3*MIN(K$3,$D$2-1)))))</f>
        <v/>
      </c>
      <c r="L33" s="130">
        <f>IF(OR($C33="",$B$2="",$D$2=0),0,IF(L$3&lt;0,0,N(INDEX('CURVA PREVISION'!$A$1:$KZ$3000,$C33,10+3*MIN(L$3,$D$2-1)))))</f>
        <v/>
      </c>
      <c r="M33" s="130">
        <f>IF(OR($C33="",$B$2="",$D$2=0),0,IF(M$3&lt;0,0,N(INDEX('CURVA PREVISION'!$A$1:$KZ$3000,$C33,10+3*MIN(M$3,$D$2-1)))))</f>
        <v/>
      </c>
      <c r="N33" s="130">
        <f>IF(OR($C33="",$B$2="",$D$2=0),0,IF(N$3&lt;0,0,N(INDEX('CURVA PREVISION'!$A$1:$KZ$3000,$C33,10+3*MIN(N$3,$D$2-1)))))</f>
        <v/>
      </c>
      <c r="O33" s="130">
        <f>IF(OR($C33="",$B$2="",$D$2=0),0,IF(O$3&lt;0,0,N(INDEX('CURVA PREVISION'!$A$1:$KZ$3000,$C33,10+3*MIN(O$3,$D$2-1)))))</f>
        <v/>
      </c>
      <c r="P33" s="130">
        <f>IF(OR($C33="",$B$2="",$D$2=0),0,IF(P$3&lt;0,0,N(INDEX('CURVA PREVISION'!$A$1:$KZ$3000,$C33,10+3*MIN(P$3,$D$2-1)))))</f>
        <v/>
      </c>
      <c r="Q33" s="130">
        <f>IF(OR($C33="",$B$2="",$D$2=0),0,IF(Q$3&lt;0,0,N(INDEX('CURVA PREVISION'!$A$1:$KZ$3000,$C33,10+3*MIN(Q$3,$D$2-1)))))</f>
        <v/>
      </c>
      <c r="R33" s="130">
        <f>IF(OR($C33="",$B$2="",$D$2=0),0,IF(R$3&lt;0,0,N(INDEX('CURVA PREVISION'!$A$1:$KZ$3000,$C33,10+3*MIN(R$3,$D$2-1)))))</f>
        <v/>
      </c>
      <c r="S33" s="130">
        <f>IF(OR($C33="",$B$2="",$D$2=0),0,IF(S$3&lt;0,0,N(INDEX('CURVA PREVISION'!$A$1:$KZ$3000,$C33,10+3*MIN(S$3,$D$2-1)))))</f>
        <v/>
      </c>
      <c r="T33" s="130">
        <f>IF(OR($C33="",$B$2="",$D$2=0),0,IF(T$3&lt;0,0,N(INDEX('CURVA PREVISION'!$A$1:$KZ$3000,$C33,10+3*MIN(T$3,$D$2-1)))))</f>
        <v/>
      </c>
      <c r="U33" s="130">
        <f>IF(OR($C33="",$B$2="",$D$2=0),0,IF(U$3&lt;0,0,N(INDEX('CURVA PREVISION'!$A$1:$KZ$3000,$C33,10+3*MIN(U$3,$D$2-1)))))</f>
        <v/>
      </c>
      <c r="V33" s="130">
        <f>IF(OR($C33="",$B$2="",$D$2=0),0,IF(V$3&lt;0,0,N(INDEX('CURVA PREVISION'!$A$1:$KZ$3000,$C33,10+3*MIN(V$3,$D$2-1)))))</f>
        <v/>
      </c>
      <c r="W33" s="130">
        <f>IF(OR($C33="",$B$2="",$D$2=0),0,IF(W$3&lt;0,0,N(INDEX('CURVA PREVISION'!$A$1:$KZ$3000,$C33,10+3*MIN(W$3,$D$2-1)))))</f>
        <v/>
      </c>
      <c r="X33" s="130">
        <f>IF(OR($C33="",$B$2="",$D$2=0),0,IF(X$3&lt;0,0,N(INDEX('CURVA PREVISION'!$A$1:$KZ$3000,$C33,10+3*MIN(X$3,$D$2-1)))))</f>
        <v/>
      </c>
      <c r="Y33" s="130">
        <f>IF(OR($C33="",$B$2="",$D$2=0),0,IF(Y$3&lt;0,0,N(INDEX('CURVA PREVISION'!$A$1:$KZ$3000,$C33,10+3*MIN(Y$3,$D$2-1)))))</f>
        <v/>
      </c>
      <c r="Z33" s="130">
        <f>IF(OR($C33="",$B$2="",$D$2=0),0,IF(Z$3&lt;0,0,N(INDEX('CURVA PREVISION'!$A$1:$KZ$3000,$C33,10+3*MIN(Z$3,$D$2-1)))))</f>
        <v/>
      </c>
      <c r="AA33" s="130">
        <f>IF(OR($C33="",$B$2="",$D$2=0),0,IF(AA$3&lt;0,0,N(INDEX('CURVA PREVISION'!$A$1:$KZ$3000,$C33,10+3*MIN(AA$3,$D$2-1)))))</f>
        <v/>
      </c>
      <c r="AB33" s="130">
        <f>IF(OR($C33="",$B$2="",$D$2=0),0,IF(AB$3&lt;0,0,N(INDEX('CURVA PREVISION'!$A$1:$KZ$3000,$C33,10+3*MIN(AB$3,$D$2-1)))))</f>
        <v/>
      </c>
      <c r="AC33" s="130">
        <f>IF(OR($C33="",$B$2="",$D$2=0),0,IF(AC$3&lt;0,0,N(INDEX('CURVA PREVISION'!$A$1:$KZ$3000,$C33,10+3*MIN(AC$3,$D$2-1)))))</f>
        <v/>
      </c>
      <c r="AD33" s="130">
        <f>IF(OR($C33="",$B$2="",$D$2=0),0,IF(AD$3&lt;0,0,N(INDEX('CURVA PREVISION'!$A$1:$KZ$3000,$C33,10+3*MIN(AD$3,$D$2-1)))))</f>
        <v/>
      </c>
      <c r="AE33" s="130">
        <f>IF(OR($C33="",$B$2="",$D$2=0),0,IF(AE$3&lt;0,0,N(INDEX('CURVA PREVISION'!$A$1:$KZ$3000,$C33,10+3*MIN(AE$3,$D$2-1)))))</f>
        <v/>
      </c>
      <c r="AF33" s="130">
        <f>IF(OR($C33="",$B$2="",$D$2=0),0,IF(AF$3&lt;0,0,N(INDEX('CURVA PREVISION'!$A$1:$KZ$3000,$C33,10+3*MIN(AF$3,$D$2-1)))))</f>
        <v/>
      </c>
      <c r="AG33" s="130">
        <f>IF(OR($C33="",$B$2="",$D$2=0),0,IF(AG$3&lt;0,0,N(INDEX('CURVA PREVISION'!$A$1:$KZ$3000,$C33,10+3*MIN(AG$3,$D$2-1)))))</f>
        <v/>
      </c>
      <c r="AH33" s="130">
        <f>IF(OR($C33="",$B$2="",$D$2=0),0,IF(AH$3&lt;0,0,N(INDEX('CURVA PREVISION'!$A$1:$KZ$3000,$C33,10+3*MIN(AH$3,$D$2-1)))))</f>
        <v/>
      </c>
      <c r="AI33" s="130">
        <f>IF(OR($C33="",$B$2="",$D$2=0),0,IF(AI$3&lt;0,0,N(INDEX('CURVA PREVISION'!$A$1:$KZ$3000,$C33,10+3*MIN(AI$3,$D$2-1)))))</f>
        <v/>
      </c>
      <c r="AJ33" s="130">
        <f>IF(OR($C33="",$B$2="",$D$2=0),0,IF(AJ$3&lt;0,0,N(INDEX('CURVA PREVISION'!$A$1:$KZ$3000,$C33,10+3*MIN(AJ$3,$D$2-1)))))</f>
        <v/>
      </c>
      <c r="AK33" s="130">
        <f>IF(OR($C33="",$B$2="",$D$2=0),0,IF(AK$3&lt;0,0,N(INDEX('CURVA PREVISION'!$A$1:$KZ$3000,$C33,10+3*MIN(AK$3,$D$2-1)))))</f>
        <v/>
      </c>
      <c r="AL33" s="130">
        <f>IF(OR($C33="",$B$2="",$D$2=0),0,IF(AL$3&lt;0,0,N(INDEX('CURVA PREVISION'!$A$1:$KZ$3000,$C33,10+3*MIN(AL$3,$D$2-1)))))</f>
        <v/>
      </c>
      <c r="AM33" s="130">
        <f>IF(OR($C33="",$B$2="",$D$2=0),0,IF(AM$3&lt;0,0,N(INDEX('CURVA PREVISION'!$A$1:$KZ$3000,$C33,10+3*MIN(AM$3,$D$2-1)))))</f>
        <v/>
      </c>
      <c r="AN33" s="130">
        <f>IF(OR($C33="",$B$2="",$D$2=0),0,IF(AN$3&lt;0,0,N(INDEX('CURVA PREVISION'!$A$1:$KZ$3000,$C33,10+3*MIN(AN$3,$D$2-1)))))</f>
        <v/>
      </c>
      <c r="AO33" s="130">
        <f>IF(OR($C33="",$B$2="",$D$2=0),0,IF(AO$3&lt;0,0,N(INDEX('CURVA PREVISION'!$A$1:$KZ$3000,$C33,10+3*MIN(AO$3,$D$2-1)))))</f>
        <v/>
      </c>
      <c r="AP33" s="130">
        <f>IF(OR($C33="",$B$2="",$D$2=0),0,IF(AP$3&lt;0,0,N(INDEX('CURVA PREVISION'!$A$1:$KZ$3000,$C33,10+3*MIN(AP$3,$D$2-1)))))</f>
        <v/>
      </c>
      <c r="AQ33" s="130">
        <f>IF(OR($C33="",$B$2="",$D$2=0),0,IF(AQ$3&lt;0,0,N(INDEX('CURVA PREVISION'!$A$1:$KZ$3000,$C33,10+3*MIN(AQ$3,$D$2-1)))))</f>
        <v/>
      </c>
      <c r="AR33" s="130">
        <f>IF(OR($C33="",$B$2="",$D$2=0),0,IF(AR$3&lt;0,0,N(INDEX('CURVA PREVISION'!$A$1:$KZ$3000,$C33,10+3*MIN(AR$3,$D$2-1)))))</f>
        <v/>
      </c>
      <c r="AS33" s="130">
        <f>IF(OR($C33="",$B$2="",$D$2=0),0,IF(AS$3&lt;0,0,N(INDEX('CURVA PREVISION'!$A$1:$KZ$3000,$C33,10+3*MIN(AS$3,$D$2-1)))))</f>
        <v/>
      </c>
      <c r="AT33" s="130">
        <f>IF(OR($C33="",$B$2="",$D$2=0),0,IF(AT$3&lt;0,0,N(INDEX('CURVA PREVISION'!$A$1:$KZ$3000,$C33,10+3*MIN(AT$3,$D$2-1)))))</f>
        <v/>
      </c>
      <c r="AU33" s="130">
        <f>IF(OR($C33="",$B$2="",$D$2=0),0,IF(AU$3&lt;0,0,N(INDEX('CURVA PREVISION'!$A$1:$KZ$3000,$C33,10+3*MIN(AU$3,$D$2-1)))))</f>
        <v/>
      </c>
      <c r="AV33" s="130">
        <f>IF(OR($C33="",$B$2="",$D$2=0),0,IF(AV$3&lt;0,0,N(INDEX('CURVA PREVISION'!$A$1:$KZ$3000,$C33,10+3*MIN(AV$3,$D$2-1)))))</f>
        <v/>
      </c>
      <c r="AW33" s="130">
        <f>IF(OR($C33="",$B$2="",$D$2=0),0,IF(AW$3&lt;0,0,N(INDEX('CURVA PREVISION'!$A$1:$KZ$3000,$C33,10+3*MIN(AW$3,$D$2-1)))))</f>
        <v/>
      </c>
      <c r="AX33" s="130">
        <f>IF(OR($C33="",$B$2="",$D$2=0),0,IF(AX$3&lt;0,0,N(INDEX('CURVA PREVISION'!$A$1:$KZ$3000,$C33,10+3*MIN(AX$3,$D$2-1)))))</f>
        <v/>
      </c>
      <c r="AY33" s="130">
        <f>IF(OR($C33="",$B$2="",$D$2=0),0,IF(AY$3&lt;0,0,N(INDEX('CURVA PREVISION'!$A$1:$KZ$3000,$C33,10+3*MIN(AY$3,$D$2-1)))))</f>
        <v/>
      </c>
      <c r="AZ33" s="130">
        <f>IF(OR($C33="",$B$2="",$D$2=0),0,IF(AZ$3&lt;0,0,N(INDEX('CURVA PREVISION'!$A$1:$KZ$3000,$C33,10+3*MIN(AZ$3,$D$2-1)))))</f>
        <v/>
      </c>
      <c r="BA33" s="130">
        <f>IF(OR($C33="",$B$2="",$D$2=0),0,IF(BA$3&lt;0,0,N(INDEX('CURVA PREVISION'!$A$1:$KZ$3000,$C33,10+3*MIN(BA$3,$D$2-1)))))</f>
        <v/>
      </c>
      <c r="BB33" s="130">
        <f>IF(OR($C33="",$B$2="",$D$2=0),0,IF(BB$3&lt;0,0,N(INDEX('CURVA PREVISION'!$A$1:$KZ$3000,$C33,10+3*MIN(BB$3,$D$2-1)))))</f>
        <v/>
      </c>
      <c r="BC33" s="130">
        <f>IF(OR($C33="",$B$2="",$D$2=0),0,IF(BC$3&lt;0,0,N(INDEX('CURVA PREVISION'!$A$1:$KZ$3000,$C33,10+3*MIN(BC$3,$D$2-1)))))</f>
        <v/>
      </c>
      <c r="BD33" s="130">
        <f>IF(OR($C33="",$B$2="",$D$2=0),0,IF(BD$3&lt;0,0,N(INDEX('CURVA PREVISION'!$A$1:$KZ$3000,$C33,10+3*MIN(BD$3,$D$2-1)))))</f>
        <v/>
      </c>
      <c r="BE33" s="130">
        <f>IF(OR($C33="",$B$2="",$D$2=0),0,IF(BE$3&lt;0,0,N(INDEX('CURVA PREVISION'!$A$1:$KZ$3000,$C33,10+3*MIN(BE$3,$D$2-1)))))</f>
        <v/>
      </c>
      <c r="BF33" s="130">
        <f>IF(OR($C33="",$B$2="",$D$2=0),0,IF(BF$3&lt;0,0,N(INDEX('CURVA PREVISION'!$A$1:$KZ$3000,$C33,10+3*MIN(BF$3,$D$2-1)))))</f>
        <v/>
      </c>
      <c r="BG33" s="130">
        <f>IF(OR($C33="",$B$2="",$D$2=0),0,IF(BG$3&lt;0,0,N(INDEX('CURVA PREVISION'!$A$1:$KZ$3000,$C33,10+3*MIN(BG$3,$D$2-1)))))</f>
        <v/>
      </c>
      <c r="BH33" s="130">
        <f>IF(OR($C33="",$B$2="",$D$2=0),0,IF(BH$3&lt;0,0,N(INDEX('CURVA PREVISION'!$A$1:$KZ$3000,$C33,10+3*MIN(BH$3,$D$2-1)))))</f>
        <v/>
      </c>
      <c r="BI33" s="130">
        <f>IF(OR($C33="",$B$2="",$D$2=0),0,IF(BI$3&lt;0,0,N(INDEX('CURVA PREVISION'!$A$1:$KZ$3000,$C33,10+3*MIN(BI$3,$D$2-1)))))</f>
        <v/>
      </c>
      <c r="BJ33" s="130">
        <f>IF(OR($C33="",$B$2="",$D$2=0),0,IF(BJ$3&lt;0,0,N(INDEX('CURVA PREVISION'!$A$1:$KZ$3000,$C33,10+3*MIN(BJ$3,$D$2-1)))))</f>
        <v/>
      </c>
      <c r="BK33" s="130">
        <f>IF(OR($C33="",$B$2="",$D$2=0),0,IF(BK$3&lt;0,0,N(INDEX('CURVA PREVISION'!$A$1:$KZ$3000,$C33,10+3*MIN(BK$3,$D$2-1)))))</f>
        <v/>
      </c>
      <c r="BL33" s="130">
        <f>IF(OR($C33="",$B$2="",$D$2=0),0,IF(BL$3&lt;0,0,N(INDEX('CURVA PREVISION'!$A$1:$KZ$3000,$C33,10+3*MIN(BL$3,$D$2-1)))))</f>
        <v/>
      </c>
      <c r="BM33" s="130">
        <f>IF(OR($C33="",$B$2="",$D$2=0),0,IF(BM$3&lt;0,0,N(INDEX('CURVA PREVISION'!$A$1:$KZ$3000,$C33,10+3*MIN(BM$3,$D$2-1)))))</f>
        <v/>
      </c>
      <c r="BN33" s="130">
        <f>IF(OR($C33="",$B$2="",$D$2=0),0,IF(BN$3&lt;0,0,N(INDEX('CURVA PREVISION'!$A$1:$KZ$3000,$C33,10+3*MIN(BN$3,$D$2-1)))))</f>
        <v/>
      </c>
      <c r="BO33" s="130">
        <f>IF(OR($C33="",$B$2="",$D$2=0),0,IF(BO$3&lt;0,0,N(INDEX('CURVA PREVISION'!$A$1:$KZ$3000,$C33,10+3*MIN(BO$3,$D$2-1)))))</f>
        <v/>
      </c>
      <c r="BP33" s="130">
        <f>IF(OR($C33="",$B$2="",$D$2=0),0,IF(BP$3&lt;0,0,N(INDEX('CURVA PREVISION'!$A$1:$KZ$3000,$C33,10+3*MIN(BP$3,$D$2-1)))))</f>
        <v/>
      </c>
      <c r="BQ33" s="130">
        <f>IF(OR($C33="",$B$2="",$D$2=0),0,IF(BQ$3&lt;0,0,N(INDEX('CURVA PREVISION'!$A$1:$KZ$3000,$C33,10+3*MIN(BQ$3,$D$2-1)))))</f>
        <v/>
      </c>
      <c r="BR33" s="130">
        <f>IF(OR($C33="",$B$2="",$D$2=0),0,IF(BR$3&lt;0,0,N(INDEX('CURVA PREVISION'!$A$1:$KZ$3000,$C33,10+3*MIN(BR$3,$D$2-1)))))</f>
        <v/>
      </c>
      <c r="BS33" s="130">
        <f>IF(OR($C33="",$B$2="",$D$2=0),0,IF(BS$3&lt;0,0,N(INDEX('CURVA PREVISION'!$A$1:$KZ$3000,$C33,10+3*MIN(BS$3,$D$2-1)))))</f>
        <v/>
      </c>
      <c r="BT33" s="130">
        <f>IF(OR($C33="",$B$2="",$D$2=0),0,IF(BT$3&lt;0,0,N(INDEX('CURVA PREVISION'!$A$1:$KZ$3000,$C33,10+3*MIN(BT$3,$D$2-1)))))</f>
        <v/>
      </c>
      <c r="BU33" s="130">
        <f>IF(OR($C33="",$B$2="",$D$2=0),0,IF(BU$3&lt;0,0,N(INDEX('CURVA PREVISION'!$A$1:$KZ$3000,$C33,10+3*MIN(BU$3,$D$2-1)))))</f>
        <v/>
      </c>
      <c r="BV33" s="130">
        <f>IF(OR($C33="",$B$2="",$D$2=0),0,IF(BV$3&lt;0,0,N(INDEX('CURVA PREVISION'!$A$1:$KZ$3000,$C33,10+3*MIN(BV$3,$D$2-1)))))</f>
        <v/>
      </c>
      <c r="BW33" s="130">
        <f>IF(OR($C33="",$B$2="",$D$2=0),0,IF(BW$3&lt;0,0,N(INDEX('CURVA PREVISION'!$A$1:$KZ$3000,$C33,10+3*MIN(BW$3,$D$2-1)))))</f>
        <v/>
      </c>
    </row>
    <row r="34">
      <c r="A34" s="61">
        <f>IF('VALOR POR PL'!R40&lt;&gt;"",'VALOR POR PL'!R40,IF('VALOR POR PL'!Q40="",'VALOR POR PL'!C40,'VALOR POR PL'!Q40))</f>
        <v/>
      </c>
      <c r="B34" s="61">
        <f>'VALOR POR PL'!D40</f>
        <v/>
      </c>
      <c r="C34" s="70">
        <f>IFERROR(MATCH(A34,'CURVA PREVISION'!$B$1:$B$3000,0),"")</f>
        <v/>
      </c>
      <c r="D34" s="130">
        <f>IF(OR($C34="",$B$2="",$D$2=0),0,IF(D$3&lt;0,0,N(INDEX('CURVA PREVISION'!$A$1:$KZ$3000,$C34,10+3*MIN(D$3,$D$2-1)))))</f>
        <v/>
      </c>
      <c r="E34" s="130">
        <f>IF(OR($C34="",$B$2="",$D$2=0),0,IF(E$3&lt;0,0,N(INDEX('CURVA PREVISION'!$A$1:$KZ$3000,$C34,10+3*MIN(E$3,$D$2-1)))))</f>
        <v/>
      </c>
      <c r="F34" s="130">
        <f>IF(OR($C34="",$B$2="",$D$2=0),0,IF(F$3&lt;0,0,N(INDEX('CURVA PREVISION'!$A$1:$KZ$3000,$C34,10+3*MIN(F$3,$D$2-1)))))</f>
        <v/>
      </c>
      <c r="G34" s="130">
        <f>IF(OR($C34="",$B$2="",$D$2=0),0,IF(G$3&lt;0,0,N(INDEX('CURVA PREVISION'!$A$1:$KZ$3000,$C34,10+3*MIN(G$3,$D$2-1)))))</f>
        <v/>
      </c>
      <c r="H34" s="130">
        <f>IF(OR($C34="",$B$2="",$D$2=0),0,IF(H$3&lt;0,0,N(INDEX('CURVA PREVISION'!$A$1:$KZ$3000,$C34,10+3*MIN(H$3,$D$2-1)))))</f>
        <v/>
      </c>
      <c r="I34" s="130">
        <f>IF(OR($C34="",$B$2="",$D$2=0),0,IF(I$3&lt;0,0,N(INDEX('CURVA PREVISION'!$A$1:$KZ$3000,$C34,10+3*MIN(I$3,$D$2-1)))))</f>
        <v/>
      </c>
      <c r="J34" s="130">
        <f>IF(OR($C34="",$B$2="",$D$2=0),0,IF(J$3&lt;0,0,N(INDEX('CURVA PREVISION'!$A$1:$KZ$3000,$C34,10+3*MIN(J$3,$D$2-1)))))</f>
        <v/>
      </c>
      <c r="K34" s="130">
        <f>IF(OR($C34="",$B$2="",$D$2=0),0,IF(K$3&lt;0,0,N(INDEX('CURVA PREVISION'!$A$1:$KZ$3000,$C34,10+3*MIN(K$3,$D$2-1)))))</f>
        <v/>
      </c>
      <c r="L34" s="130">
        <f>IF(OR($C34="",$B$2="",$D$2=0),0,IF(L$3&lt;0,0,N(INDEX('CURVA PREVISION'!$A$1:$KZ$3000,$C34,10+3*MIN(L$3,$D$2-1)))))</f>
        <v/>
      </c>
      <c r="M34" s="130">
        <f>IF(OR($C34="",$B$2="",$D$2=0),0,IF(M$3&lt;0,0,N(INDEX('CURVA PREVISION'!$A$1:$KZ$3000,$C34,10+3*MIN(M$3,$D$2-1)))))</f>
        <v/>
      </c>
      <c r="N34" s="130">
        <f>IF(OR($C34="",$B$2="",$D$2=0),0,IF(N$3&lt;0,0,N(INDEX('CURVA PREVISION'!$A$1:$KZ$3000,$C34,10+3*MIN(N$3,$D$2-1)))))</f>
        <v/>
      </c>
      <c r="O34" s="130">
        <f>IF(OR($C34="",$B$2="",$D$2=0),0,IF(O$3&lt;0,0,N(INDEX('CURVA PREVISION'!$A$1:$KZ$3000,$C34,10+3*MIN(O$3,$D$2-1)))))</f>
        <v/>
      </c>
      <c r="P34" s="130">
        <f>IF(OR($C34="",$B$2="",$D$2=0),0,IF(P$3&lt;0,0,N(INDEX('CURVA PREVISION'!$A$1:$KZ$3000,$C34,10+3*MIN(P$3,$D$2-1)))))</f>
        <v/>
      </c>
      <c r="Q34" s="130">
        <f>IF(OR($C34="",$B$2="",$D$2=0),0,IF(Q$3&lt;0,0,N(INDEX('CURVA PREVISION'!$A$1:$KZ$3000,$C34,10+3*MIN(Q$3,$D$2-1)))))</f>
        <v/>
      </c>
      <c r="R34" s="130">
        <f>IF(OR($C34="",$B$2="",$D$2=0),0,IF(R$3&lt;0,0,N(INDEX('CURVA PREVISION'!$A$1:$KZ$3000,$C34,10+3*MIN(R$3,$D$2-1)))))</f>
        <v/>
      </c>
      <c r="S34" s="130">
        <f>IF(OR($C34="",$B$2="",$D$2=0),0,IF(S$3&lt;0,0,N(INDEX('CURVA PREVISION'!$A$1:$KZ$3000,$C34,10+3*MIN(S$3,$D$2-1)))))</f>
        <v/>
      </c>
      <c r="T34" s="130">
        <f>IF(OR($C34="",$B$2="",$D$2=0),0,IF(T$3&lt;0,0,N(INDEX('CURVA PREVISION'!$A$1:$KZ$3000,$C34,10+3*MIN(T$3,$D$2-1)))))</f>
        <v/>
      </c>
      <c r="U34" s="130">
        <f>IF(OR($C34="",$B$2="",$D$2=0),0,IF(U$3&lt;0,0,N(INDEX('CURVA PREVISION'!$A$1:$KZ$3000,$C34,10+3*MIN(U$3,$D$2-1)))))</f>
        <v/>
      </c>
      <c r="V34" s="130">
        <f>IF(OR($C34="",$B$2="",$D$2=0),0,IF(V$3&lt;0,0,N(INDEX('CURVA PREVISION'!$A$1:$KZ$3000,$C34,10+3*MIN(V$3,$D$2-1)))))</f>
        <v/>
      </c>
      <c r="W34" s="130">
        <f>IF(OR($C34="",$B$2="",$D$2=0),0,IF(W$3&lt;0,0,N(INDEX('CURVA PREVISION'!$A$1:$KZ$3000,$C34,10+3*MIN(W$3,$D$2-1)))))</f>
        <v/>
      </c>
      <c r="X34" s="130">
        <f>IF(OR($C34="",$B$2="",$D$2=0),0,IF(X$3&lt;0,0,N(INDEX('CURVA PREVISION'!$A$1:$KZ$3000,$C34,10+3*MIN(X$3,$D$2-1)))))</f>
        <v/>
      </c>
      <c r="Y34" s="130">
        <f>IF(OR($C34="",$B$2="",$D$2=0),0,IF(Y$3&lt;0,0,N(INDEX('CURVA PREVISION'!$A$1:$KZ$3000,$C34,10+3*MIN(Y$3,$D$2-1)))))</f>
        <v/>
      </c>
      <c r="Z34" s="130">
        <f>IF(OR($C34="",$B$2="",$D$2=0),0,IF(Z$3&lt;0,0,N(INDEX('CURVA PREVISION'!$A$1:$KZ$3000,$C34,10+3*MIN(Z$3,$D$2-1)))))</f>
        <v/>
      </c>
      <c r="AA34" s="130">
        <f>IF(OR($C34="",$B$2="",$D$2=0),0,IF(AA$3&lt;0,0,N(INDEX('CURVA PREVISION'!$A$1:$KZ$3000,$C34,10+3*MIN(AA$3,$D$2-1)))))</f>
        <v/>
      </c>
      <c r="AB34" s="130">
        <f>IF(OR($C34="",$B$2="",$D$2=0),0,IF(AB$3&lt;0,0,N(INDEX('CURVA PREVISION'!$A$1:$KZ$3000,$C34,10+3*MIN(AB$3,$D$2-1)))))</f>
        <v/>
      </c>
      <c r="AC34" s="130">
        <f>IF(OR($C34="",$B$2="",$D$2=0),0,IF(AC$3&lt;0,0,N(INDEX('CURVA PREVISION'!$A$1:$KZ$3000,$C34,10+3*MIN(AC$3,$D$2-1)))))</f>
        <v/>
      </c>
      <c r="AD34" s="130">
        <f>IF(OR($C34="",$B$2="",$D$2=0),0,IF(AD$3&lt;0,0,N(INDEX('CURVA PREVISION'!$A$1:$KZ$3000,$C34,10+3*MIN(AD$3,$D$2-1)))))</f>
        <v/>
      </c>
      <c r="AE34" s="130">
        <f>IF(OR($C34="",$B$2="",$D$2=0),0,IF(AE$3&lt;0,0,N(INDEX('CURVA PREVISION'!$A$1:$KZ$3000,$C34,10+3*MIN(AE$3,$D$2-1)))))</f>
        <v/>
      </c>
      <c r="AF34" s="130">
        <f>IF(OR($C34="",$B$2="",$D$2=0),0,IF(AF$3&lt;0,0,N(INDEX('CURVA PREVISION'!$A$1:$KZ$3000,$C34,10+3*MIN(AF$3,$D$2-1)))))</f>
        <v/>
      </c>
      <c r="AG34" s="130">
        <f>IF(OR($C34="",$B$2="",$D$2=0),0,IF(AG$3&lt;0,0,N(INDEX('CURVA PREVISION'!$A$1:$KZ$3000,$C34,10+3*MIN(AG$3,$D$2-1)))))</f>
        <v/>
      </c>
      <c r="AH34" s="130">
        <f>IF(OR($C34="",$B$2="",$D$2=0),0,IF(AH$3&lt;0,0,N(INDEX('CURVA PREVISION'!$A$1:$KZ$3000,$C34,10+3*MIN(AH$3,$D$2-1)))))</f>
        <v/>
      </c>
      <c r="AI34" s="130">
        <f>IF(OR($C34="",$B$2="",$D$2=0),0,IF(AI$3&lt;0,0,N(INDEX('CURVA PREVISION'!$A$1:$KZ$3000,$C34,10+3*MIN(AI$3,$D$2-1)))))</f>
        <v/>
      </c>
      <c r="AJ34" s="130">
        <f>IF(OR($C34="",$B$2="",$D$2=0),0,IF(AJ$3&lt;0,0,N(INDEX('CURVA PREVISION'!$A$1:$KZ$3000,$C34,10+3*MIN(AJ$3,$D$2-1)))))</f>
        <v/>
      </c>
      <c r="AK34" s="130">
        <f>IF(OR($C34="",$B$2="",$D$2=0),0,IF(AK$3&lt;0,0,N(INDEX('CURVA PREVISION'!$A$1:$KZ$3000,$C34,10+3*MIN(AK$3,$D$2-1)))))</f>
        <v/>
      </c>
      <c r="AL34" s="130">
        <f>IF(OR($C34="",$B$2="",$D$2=0),0,IF(AL$3&lt;0,0,N(INDEX('CURVA PREVISION'!$A$1:$KZ$3000,$C34,10+3*MIN(AL$3,$D$2-1)))))</f>
        <v/>
      </c>
      <c r="AM34" s="130">
        <f>IF(OR($C34="",$B$2="",$D$2=0),0,IF(AM$3&lt;0,0,N(INDEX('CURVA PREVISION'!$A$1:$KZ$3000,$C34,10+3*MIN(AM$3,$D$2-1)))))</f>
        <v/>
      </c>
      <c r="AN34" s="130">
        <f>IF(OR($C34="",$B$2="",$D$2=0),0,IF(AN$3&lt;0,0,N(INDEX('CURVA PREVISION'!$A$1:$KZ$3000,$C34,10+3*MIN(AN$3,$D$2-1)))))</f>
        <v/>
      </c>
      <c r="AO34" s="130">
        <f>IF(OR($C34="",$B$2="",$D$2=0),0,IF(AO$3&lt;0,0,N(INDEX('CURVA PREVISION'!$A$1:$KZ$3000,$C34,10+3*MIN(AO$3,$D$2-1)))))</f>
        <v/>
      </c>
      <c r="AP34" s="130">
        <f>IF(OR($C34="",$B$2="",$D$2=0),0,IF(AP$3&lt;0,0,N(INDEX('CURVA PREVISION'!$A$1:$KZ$3000,$C34,10+3*MIN(AP$3,$D$2-1)))))</f>
        <v/>
      </c>
      <c r="AQ34" s="130">
        <f>IF(OR($C34="",$B$2="",$D$2=0),0,IF(AQ$3&lt;0,0,N(INDEX('CURVA PREVISION'!$A$1:$KZ$3000,$C34,10+3*MIN(AQ$3,$D$2-1)))))</f>
        <v/>
      </c>
      <c r="AR34" s="130">
        <f>IF(OR($C34="",$B$2="",$D$2=0),0,IF(AR$3&lt;0,0,N(INDEX('CURVA PREVISION'!$A$1:$KZ$3000,$C34,10+3*MIN(AR$3,$D$2-1)))))</f>
        <v/>
      </c>
      <c r="AS34" s="130">
        <f>IF(OR($C34="",$B$2="",$D$2=0),0,IF(AS$3&lt;0,0,N(INDEX('CURVA PREVISION'!$A$1:$KZ$3000,$C34,10+3*MIN(AS$3,$D$2-1)))))</f>
        <v/>
      </c>
      <c r="AT34" s="130">
        <f>IF(OR($C34="",$B$2="",$D$2=0),0,IF(AT$3&lt;0,0,N(INDEX('CURVA PREVISION'!$A$1:$KZ$3000,$C34,10+3*MIN(AT$3,$D$2-1)))))</f>
        <v/>
      </c>
      <c r="AU34" s="130">
        <f>IF(OR($C34="",$B$2="",$D$2=0),0,IF(AU$3&lt;0,0,N(INDEX('CURVA PREVISION'!$A$1:$KZ$3000,$C34,10+3*MIN(AU$3,$D$2-1)))))</f>
        <v/>
      </c>
      <c r="AV34" s="130">
        <f>IF(OR($C34="",$B$2="",$D$2=0),0,IF(AV$3&lt;0,0,N(INDEX('CURVA PREVISION'!$A$1:$KZ$3000,$C34,10+3*MIN(AV$3,$D$2-1)))))</f>
        <v/>
      </c>
      <c r="AW34" s="130">
        <f>IF(OR($C34="",$B$2="",$D$2=0),0,IF(AW$3&lt;0,0,N(INDEX('CURVA PREVISION'!$A$1:$KZ$3000,$C34,10+3*MIN(AW$3,$D$2-1)))))</f>
        <v/>
      </c>
      <c r="AX34" s="130">
        <f>IF(OR($C34="",$B$2="",$D$2=0),0,IF(AX$3&lt;0,0,N(INDEX('CURVA PREVISION'!$A$1:$KZ$3000,$C34,10+3*MIN(AX$3,$D$2-1)))))</f>
        <v/>
      </c>
      <c r="AY34" s="130">
        <f>IF(OR($C34="",$B$2="",$D$2=0),0,IF(AY$3&lt;0,0,N(INDEX('CURVA PREVISION'!$A$1:$KZ$3000,$C34,10+3*MIN(AY$3,$D$2-1)))))</f>
        <v/>
      </c>
      <c r="AZ34" s="130">
        <f>IF(OR($C34="",$B$2="",$D$2=0),0,IF(AZ$3&lt;0,0,N(INDEX('CURVA PREVISION'!$A$1:$KZ$3000,$C34,10+3*MIN(AZ$3,$D$2-1)))))</f>
        <v/>
      </c>
      <c r="BA34" s="130">
        <f>IF(OR($C34="",$B$2="",$D$2=0),0,IF(BA$3&lt;0,0,N(INDEX('CURVA PREVISION'!$A$1:$KZ$3000,$C34,10+3*MIN(BA$3,$D$2-1)))))</f>
        <v/>
      </c>
      <c r="BB34" s="130">
        <f>IF(OR($C34="",$B$2="",$D$2=0),0,IF(BB$3&lt;0,0,N(INDEX('CURVA PREVISION'!$A$1:$KZ$3000,$C34,10+3*MIN(BB$3,$D$2-1)))))</f>
        <v/>
      </c>
      <c r="BC34" s="130">
        <f>IF(OR($C34="",$B$2="",$D$2=0),0,IF(BC$3&lt;0,0,N(INDEX('CURVA PREVISION'!$A$1:$KZ$3000,$C34,10+3*MIN(BC$3,$D$2-1)))))</f>
        <v/>
      </c>
      <c r="BD34" s="130">
        <f>IF(OR($C34="",$B$2="",$D$2=0),0,IF(BD$3&lt;0,0,N(INDEX('CURVA PREVISION'!$A$1:$KZ$3000,$C34,10+3*MIN(BD$3,$D$2-1)))))</f>
        <v/>
      </c>
      <c r="BE34" s="130">
        <f>IF(OR($C34="",$B$2="",$D$2=0),0,IF(BE$3&lt;0,0,N(INDEX('CURVA PREVISION'!$A$1:$KZ$3000,$C34,10+3*MIN(BE$3,$D$2-1)))))</f>
        <v/>
      </c>
      <c r="BF34" s="130">
        <f>IF(OR($C34="",$B$2="",$D$2=0),0,IF(BF$3&lt;0,0,N(INDEX('CURVA PREVISION'!$A$1:$KZ$3000,$C34,10+3*MIN(BF$3,$D$2-1)))))</f>
        <v/>
      </c>
      <c r="BG34" s="130">
        <f>IF(OR($C34="",$B$2="",$D$2=0),0,IF(BG$3&lt;0,0,N(INDEX('CURVA PREVISION'!$A$1:$KZ$3000,$C34,10+3*MIN(BG$3,$D$2-1)))))</f>
        <v/>
      </c>
      <c r="BH34" s="130">
        <f>IF(OR($C34="",$B$2="",$D$2=0),0,IF(BH$3&lt;0,0,N(INDEX('CURVA PREVISION'!$A$1:$KZ$3000,$C34,10+3*MIN(BH$3,$D$2-1)))))</f>
        <v/>
      </c>
      <c r="BI34" s="130">
        <f>IF(OR($C34="",$B$2="",$D$2=0),0,IF(BI$3&lt;0,0,N(INDEX('CURVA PREVISION'!$A$1:$KZ$3000,$C34,10+3*MIN(BI$3,$D$2-1)))))</f>
        <v/>
      </c>
      <c r="BJ34" s="130">
        <f>IF(OR($C34="",$B$2="",$D$2=0),0,IF(BJ$3&lt;0,0,N(INDEX('CURVA PREVISION'!$A$1:$KZ$3000,$C34,10+3*MIN(BJ$3,$D$2-1)))))</f>
        <v/>
      </c>
      <c r="BK34" s="130">
        <f>IF(OR($C34="",$B$2="",$D$2=0),0,IF(BK$3&lt;0,0,N(INDEX('CURVA PREVISION'!$A$1:$KZ$3000,$C34,10+3*MIN(BK$3,$D$2-1)))))</f>
        <v/>
      </c>
      <c r="BL34" s="130">
        <f>IF(OR($C34="",$B$2="",$D$2=0),0,IF(BL$3&lt;0,0,N(INDEX('CURVA PREVISION'!$A$1:$KZ$3000,$C34,10+3*MIN(BL$3,$D$2-1)))))</f>
        <v/>
      </c>
      <c r="BM34" s="130">
        <f>IF(OR($C34="",$B$2="",$D$2=0),0,IF(BM$3&lt;0,0,N(INDEX('CURVA PREVISION'!$A$1:$KZ$3000,$C34,10+3*MIN(BM$3,$D$2-1)))))</f>
        <v/>
      </c>
      <c r="BN34" s="130">
        <f>IF(OR($C34="",$B$2="",$D$2=0),0,IF(BN$3&lt;0,0,N(INDEX('CURVA PREVISION'!$A$1:$KZ$3000,$C34,10+3*MIN(BN$3,$D$2-1)))))</f>
        <v/>
      </c>
      <c r="BO34" s="130">
        <f>IF(OR($C34="",$B$2="",$D$2=0),0,IF(BO$3&lt;0,0,N(INDEX('CURVA PREVISION'!$A$1:$KZ$3000,$C34,10+3*MIN(BO$3,$D$2-1)))))</f>
        <v/>
      </c>
      <c r="BP34" s="130">
        <f>IF(OR($C34="",$B$2="",$D$2=0),0,IF(BP$3&lt;0,0,N(INDEX('CURVA PREVISION'!$A$1:$KZ$3000,$C34,10+3*MIN(BP$3,$D$2-1)))))</f>
        <v/>
      </c>
      <c r="BQ34" s="130">
        <f>IF(OR($C34="",$B$2="",$D$2=0),0,IF(BQ$3&lt;0,0,N(INDEX('CURVA PREVISION'!$A$1:$KZ$3000,$C34,10+3*MIN(BQ$3,$D$2-1)))))</f>
        <v/>
      </c>
      <c r="BR34" s="130">
        <f>IF(OR($C34="",$B$2="",$D$2=0),0,IF(BR$3&lt;0,0,N(INDEX('CURVA PREVISION'!$A$1:$KZ$3000,$C34,10+3*MIN(BR$3,$D$2-1)))))</f>
        <v/>
      </c>
      <c r="BS34" s="130">
        <f>IF(OR($C34="",$B$2="",$D$2=0),0,IF(BS$3&lt;0,0,N(INDEX('CURVA PREVISION'!$A$1:$KZ$3000,$C34,10+3*MIN(BS$3,$D$2-1)))))</f>
        <v/>
      </c>
      <c r="BT34" s="130">
        <f>IF(OR($C34="",$B$2="",$D$2=0),0,IF(BT$3&lt;0,0,N(INDEX('CURVA PREVISION'!$A$1:$KZ$3000,$C34,10+3*MIN(BT$3,$D$2-1)))))</f>
        <v/>
      </c>
      <c r="BU34" s="130">
        <f>IF(OR($C34="",$B$2="",$D$2=0),0,IF(BU$3&lt;0,0,N(INDEX('CURVA PREVISION'!$A$1:$KZ$3000,$C34,10+3*MIN(BU$3,$D$2-1)))))</f>
        <v/>
      </c>
      <c r="BV34" s="130">
        <f>IF(OR($C34="",$B$2="",$D$2=0),0,IF(BV$3&lt;0,0,N(INDEX('CURVA PREVISION'!$A$1:$KZ$3000,$C34,10+3*MIN(BV$3,$D$2-1)))))</f>
        <v/>
      </c>
      <c r="BW34" s="130">
        <f>IF(OR($C34="",$B$2="",$D$2=0),0,IF(BW$3&lt;0,0,N(INDEX('CURVA PREVISION'!$A$1:$KZ$3000,$C34,10+3*MIN(BW$3,$D$2-1)))))</f>
        <v/>
      </c>
    </row>
    <row r="35">
      <c r="A35" s="61">
        <f>IF('VALOR POR PL'!R41&lt;&gt;"",'VALOR POR PL'!R41,IF('VALOR POR PL'!Q41="",'VALOR POR PL'!C41,'VALOR POR PL'!Q41))</f>
        <v/>
      </c>
      <c r="B35" s="61">
        <f>'VALOR POR PL'!D41</f>
        <v/>
      </c>
      <c r="C35" s="70">
        <f>IFERROR(MATCH(A35,'CURVA PREVISION'!$B$1:$B$3000,0),"")</f>
        <v/>
      </c>
      <c r="D35" s="130">
        <f>IF(OR($C35="",$B$2="",$D$2=0),0,IF(D$3&lt;0,0,N(INDEX('CURVA PREVISION'!$A$1:$KZ$3000,$C35,10+3*MIN(D$3,$D$2-1)))))</f>
        <v/>
      </c>
      <c r="E35" s="130">
        <f>IF(OR($C35="",$B$2="",$D$2=0),0,IF(E$3&lt;0,0,N(INDEX('CURVA PREVISION'!$A$1:$KZ$3000,$C35,10+3*MIN(E$3,$D$2-1)))))</f>
        <v/>
      </c>
      <c r="F35" s="130">
        <f>IF(OR($C35="",$B$2="",$D$2=0),0,IF(F$3&lt;0,0,N(INDEX('CURVA PREVISION'!$A$1:$KZ$3000,$C35,10+3*MIN(F$3,$D$2-1)))))</f>
        <v/>
      </c>
      <c r="G35" s="130">
        <f>IF(OR($C35="",$B$2="",$D$2=0),0,IF(G$3&lt;0,0,N(INDEX('CURVA PREVISION'!$A$1:$KZ$3000,$C35,10+3*MIN(G$3,$D$2-1)))))</f>
        <v/>
      </c>
      <c r="H35" s="130">
        <f>IF(OR($C35="",$B$2="",$D$2=0),0,IF(H$3&lt;0,0,N(INDEX('CURVA PREVISION'!$A$1:$KZ$3000,$C35,10+3*MIN(H$3,$D$2-1)))))</f>
        <v/>
      </c>
      <c r="I35" s="130">
        <f>IF(OR($C35="",$B$2="",$D$2=0),0,IF(I$3&lt;0,0,N(INDEX('CURVA PREVISION'!$A$1:$KZ$3000,$C35,10+3*MIN(I$3,$D$2-1)))))</f>
        <v/>
      </c>
      <c r="J35" s="130">
        <f>IF(OR($C35="",$B$2="",$D$2=0),0,IF(J$3&lt;0,0,N(INDEX('CURVA PREVISION'!$A$1:$KZ$3000,$C35,10+3*MIN(J$3,$D$2-1)))))</f>
        <v/>
      </c>
      <c r="K35" s="130">
        <f>IF(OR($C35="",$B$2="",$D$2=0),0,IF(K$3&lt;0,0,N(INDEX('CURVA PREVISION'!$A$1:$KZ$3000,$C35,10+3*MIN(K$3,$D$2-1)))))</f>
        <v/>
      </c>
      <c r="L35" s="130">
        <f>IF(OR($C35="",$B$2="",$D$2=0),0,IF(L$3&lt;0,0,N(INDEX('CURVA PREVISION'!$A$1:$KZ$3000,$C35,10+3*MIN(L$3,$D$2-1)))))</f>
        <v/>
      </c>
      <c r="M35" s="130">
        <f>IF(OR($C35="",$B$2="",$D$2=0),0,IF(M$3&lt;0,0,N(INDEX('CURVA PREVISION'!$A$1:$KZ$3000,$C35,10+3*MIN(M$3,$D$2-1)))))</f>
        <v/>
      </c>
      <c r="N35" s="130">
        <f>IF(OR($C35="",$B$2="",$D$2=0),0,IF(N$3&lt;0,0,N(INDEX('CURVA PREVISION'!$A$1:$KZ$3000,$C35,10+3*MIN(N$3,$D$2-1)))))</f>
        <v/>
      </c>
      <c r="O35" s="130">
        <f>IF(OR($C35="",$B$2="",$D$2=0),0,IF(O$3&lt;0,0,N(INDEX('CURVA PREVISION'!$A$1:$KZ$3000,$C35,10+3*MIN(O$3,$D$2-1)))))</f>
        <v/>
      </c>
      <c r="P35" s="130">
        <f>IF(OR($C35="",$B$2="",$D$2=0),0,IF(P$3&lt;0,0,N(INDEX('CURVA PREVISION'!$A$1:$KZ$3000,$C35,10+3*MIN(P$3,$D$2-1)))))</f>
        <v/>
      </c>
      <c r="Q35" s="130">
        <f>IF(OR($C35="",$B$2="",$D$2=0),0,IF(Q$3&lt;0,0,N(INDEX('CURVA PREVISION'!$A$1:$KZ$3000,$C35,10+3*MIN(Q$3,$D$2-1)))))</f>
        <v/>
      </c>
      <c r="R35" s="130">
        <f>IF(OR($C35="",$B$2="",$D$2=0),0,IF(R$3&lt;0,0,N(INDEX('CURVA PREVISION'!$A$1:$KZ$3000,$C35,10+3*MIN(R$3,$D$2-1)))))</f>
        <v/>
      </c>
      <c r="S35" s="130">
        <f>IF(OR($C35="",$B$2="",$D$2=0),0,IF(S$3&lt;0,0,N(INDEX('CURVA PREVISION'!$A$1:$KZ$3000,$C35,10+3*MIN(S$3,$D$2-1)))))</f>
        <v/>
      </c>
      <c r="T35" s="130">
        <f>IF(OR($C35="",$B$2="",$D$2=0),0,IF(T$3&lt;0,0,N(INDEX('CURVA PREVISION'!$A$1:$KZ$3000,$C35,10+3*MIN(T$3,$D$2-1)))))</f>
        <v/>
      </c>
      <c r="U35" s="130">
        <f>IF(OR($C35="",$B$2="",$D$2=0),0,IF(U$3&lt;0,0,N(INDEX('CURVA PREVISION'!$A$1:$KZ$3000,$C35,10+3*MIN(U$3,$D$2-1)))))</f>
        <v/>
      </c>
      <c r="V35" s="130">
        <f>IF(OR($C35="",$B$2="",$D$2=0),0,IF(V$3&lt;0,0,N(INDEX('CURVA PREVISION'!$A$1:$KZ$3000,$C35,10+3*MIN(V$3,$D$2-1)))))</f>
        <v/>
      </c>
      <c r="W35" s="130">
        <f>IF(OR($C35="",$B$2="",$D$2=0),0,IF(W$3&lt;0,0,N(INDEX('CURVA PREVISION'!$A$1:$KZ$3000,$C35,10+3*MIN(W$3,$D$2-1)))))</f>
        <v/>
      </c>
      <c r="X35" s="130">
        <f>IF(OR($C35="",$B$2="",$D$2=0),0,IF(X$3&lt;0,0,N(INDEX('CURVA PREVISION'!$A$1:$KZ$3000,$C35,10+3*MIN(X$3,$D$2-1)))))</f>
        <v/>
      </c>
      <c r="Y35" s="130">
        <f>IF(OR($C35="",$B$2="",$D$2=0),0,IF(Y$3&lt;0,0,N(INDEX('CURVA PREVISION'!$A$1:$KZ$3000,$C35,10+3*MIN(Y$3,$D$2-1)))))</f>
        <v/>
      </c>
      <c r="Z35" s="130">
        <f>IF(OR($C35="",$B$2="",$D$2=0),0,IF(Z$3&lt;0,0,N(INDEX('CURVA PREVISION'!$A$1:$KZ$3000,$C35,10+3*MIN(Z$3,$D$2-1)))))</f>
        <v/>
      </c>
      <c r="AA35" s="130">
        <f>IF(OR($C35="",$B$2="",$D$2=0),0,IF(AA$3&lt;0,0,N(INDEX('CURVA PREVISION'!$A$1:$KZ$3000,$C35,10+3*MIN(AA$3,$D$2-1)))))</f>
        <v/>
      </c>
      <c r="AB35" s="130">
        <f>IF(OR($C35="",$B$2="",$D$2=0),0,IF(AB$3&lt;0,0,N(INDEX('CURVA PREVISION'!$A$1:$KZ$3000,$C35,10+3*MIN(AB$3,$D$2-1)))))</f>
        <v/>
      </c>
      <c r="AC35" s="130">
        <f>IF(OR($C35="",$B$2="",$D$2=0),0,IF(AC$3&lt;0,0,N(INDEX('CURVA PREVISION'!$A$1:$KZ$3000,$C35,10+3*MIN(AC$3,$D$2-1)))))</f>
        <v/>
      </c>
      <c r="AD35" s="130">
        <f>IF(OR($C35="",$B$2="",$D$2=0),0,IF(AD$3&lt;0,0,N(INDEX('CURVA PREVISION'!$A$1:$KZ$3000,$C35,10+3*MIN(AD$3,$D$2-1)))))</f>
        <v/>
      </c>
      <c r="AE35" s="130">
        <f>IF(OR($C35="",$B$2="",$D$2=0),0,IF(AE$3&lt;0,0,N(INDEX('CURVA PREVISION'!$A$1:$KZ$3000,$C35,10+3*MIN(AE$3,$D$2-1)))))</f>
        <v/>
      </c>
      <c r="AF35" s="130">
        <f>IF(OR($C35="",$B$2="",$D$2=0),0,IF(AF$3&lt;0,0,N(INDEX('CURVA PREVISION'!$A$1:$KZ$3000,$C35,10+3*MIN(AF$3,$D$2-1)))))</f>
        <v/>
      </c>
      <c r="AG35" s="130">
        <f>IF(OR($C35="",$B$2="",$D$2=0),0,IF(AG$3&lt;0,0,N(INDEX('CURVA PREVISION'!$A$1:$KZ$3000,$C35,10+3*MIN(AG$3,$D$2-1)))))</f>
        <v/>
      </c>
      <c r="AH35" s="130">
        <f>IF(OR($C35="",$B$2="",$D$2=0),0,IF(AH$3&lt;0,0,N(INDEX('CURVA PREVISION'!$A$1:$KZ$3000,$C35,10+3*MIN(AH$3,$D$2-1)))))</f>
        <v/>
      </c>
      <c r="AI35" s="130">
        <f>IF(OR($C35="",$B$2="",$D$2=0),0,IF(AI$3&lt;0,0,N(INDEX('CURVA PREVISION'!$A$1:$KZ$3000,$C35,10+3*MIN(AI$3,$D$2-1)))))</f>
        <v/>
      </c>
      <c r="AJ35" s="130">
        <f>IF(OR($C35="",$B$2="",$D$2=0),0,IF(AJ$3&lt;0,0,N(INDEX('CURVA PREVISION'!$A$1:$KZ$3000,$C35,10+3*MIN(AJ$3,$D$2-1)))))</f>
        <v/>
      </c>
      <c r="AK35" s="130">
        <f>IF(OR($C35="",$B$2="",$D$2=0),0,IF(AK$3&lt;0,0,N(INDEX('CURVA PREVISION'!$A$1:$KZ$3000,$C35,10+3*MIN(AK$3,$D$2-1)))))</f>
        <v/>
      </c>
      <c r="AL35" s="130">
        <f>IF(OR($C35="",$B$2="",$D$2=0),0,IF(AL$3&lt;0,0,N(INDEX('CURVA PREVISION'!$A$1:$KZ$3000,$C35,10+3*MIN(AL$3,$D$2-1)))))</f>
        <v/>
      </c>
      <c r="AM35" s="130">
        <f>IF(OR($C35="",$B$2="",$D$2=0),0,IF(AM$3&lt;0,0,N(INDEX('CURVA PREVISION'!$A$1:$KZ$3000,$C35,10+3*MIN(AM$3,$D$2-1)))))</f>
        <v/>
      </c>
      <c r="AN35" s="130">
        <f>IF(OR($C35="",$B$2="",$D$2=0),0,IF(AN$3&lt;0,0,N(INDEX('CURVA PREVISION'!$A$1:$KZ$3000,$C35,10+3*MIN(AN$3,$D$2-1)))))</f>
        <v/>
      </c>
      <c r="AO35" s="130">
        <f>IF(OR($C35="",$B$2="",$D$2=0),0,IF(AO$3&lt;0,0,N(INDEX('CURVA PREVISION'!$A$1:$KZ$3000,$C35,10+3*MIN(AO$3,$D$2-1)))))</f>
        <v/>
      </c>
      <c r="AP35" s="130">
        <f>IF(OR($C35="",$B$2="",$D$2=0),0,IF(AP$3&lt;0,0,N(INDEX('CURVA PREVISION'!$A$1:$KZ$3000,$C35,10+3*MIN(AP$3,$D$2-1)))))</f>
        <v/>
      </c>
      <c r="AQ35" s="130">
        <f>IF(OR($C35="",$B$2="",$D$2=0),0,IF(AQ$3&lt;0,0,N(INDEX('CURVA PREVISION'!$A$1:$KZ$3000,$C35,10+3*MIN(AQ$3,$D$2-1)))))</f>
        <v/>
      </c>
      <c r="AR35" s="130">
        <f>IF(OR($C35="",$B$2="",$D$2=0),0,IF(AR$3&lt;0,0,N(INDEX('CURVA PREVISION'!$A$1:$KZ$3000,$C35,10+3*MIN(AR$3,$D$2-1)))))</f>
        <v/>
      </c>
      <c r="AS35" s="130">
        <f>IF(OR($C35="",$B$2="",$D$2=0),0,IF(AS$3&lt;0,0,N(INDEX('CURVA PREVISION'!$A$1:$KZ$3000,$C35,10+3*MIN(AS$3,$D$2-1)))))</f>
        <v/>
      </c>
      <c r="AT35" s="130">
        <f>IF(OR($C35="",$B$2="",$D$2=0),0,IF(AT$3&lt;0,0,N(INDEX('CURVA PREVISION'!$A$1:$KZ$3000,$C35,10+3*MIN(AT$3,$D$2-1)))))</f>
        <v/>
      </c>
      <c r="AU35" s="130">
        <f>IF(OR($C35="",$B$2="",$D$2=0),0,IF(AU$3&lt;0,0,N(INDEX('CURVA PREVISION'!$A$1:$KZ$3000,$C35,10+3*MIN(AU$3,$D$2-1)))))</f>
        <v/>
      </c>
      <c r="AV35" s="130">
        <f>IF(OR($C35="",$B$2="",$D$2=0),0,IF(AV$3&lt;0,0,N(INDEX('CURVA PREVISION'!$A$1:$KZ$3000,$C35,10+3*MIN(AV$3,$D$2-1)))))</f>
        <v/>
      </c>
      <c r="AW35" s="130">
        <f>IF(OR($C35="",$B$2="",$D$2=0),0,IF(AW$3&lt;0,0,N(INDEX('CURVA PREVISION'!$A$1:$KZ$3000,$C35,10+3*MIN(AW$3,$D$2-1)))))</f>
        <v/>
      </c>
      <c r="AX35" s="130">
        <f>IF(OR($C35="",$B$2="",$D$2=0),0,IF(AX$3&lt;0,0,N(INDEX('CURVA PREVISION'!$A$1:$KZ$3000,$C35,10+3*MIN(AX$3,$D$2-1)))))</f>
        <v/>
      </c>
      <c r="AY35" s="130">
        <f>IF(OR($C35="",$B$2="",$D$2=0),0,IF(AY$3&lt;0,0,N(INDEX('CURVA PREVISION'!$A$1:$KZ$3000,$C35,10+3*MIN(AY$3,$D$2-1)))))</f>
        <v/>
      </c>
      <c r="AZ35" s="130">
        <f>IF(OR($C35="",$B$2="",$D$2=0),0,IF(AZ$3&lt;0,0,N(INDEX('CURVA PREVISION'!$A$1:$KZ$3000,$C35,10+3*MIN(AZ$3,$D$2-1)))))</f>
        <v/>
      </c>
      <c r="BA35" s="130">
        <f>IF(OR($C35="",$B$2="",$D$2=0),0,IF(BA$3&lt;0,0,N(INDEX('CURVA PREVISION'!$A$1:$KZ$3000,$C35,10+3*MIN(BA$3,$D$2-1)))))</f>
        <v/>
      </c>
      <c r="BB35" s="130">
        <f>IF(OR($C35="",$B$2="",$D$2=0),0,IF(BB$3&lt;0,0,N(INDEX('CURVA PREVISION'!$A$1:$KZ$3000,$C35,10+3*MIN(BB$3,$D$2-1)))))</f>
        <v/>
      </c>
      <c r="BC35" s="130">
        <f>IF(OR($C35="",$B$2="",$D$2=0),0,IF(BC$3&lt;0,0,N(INDEX('CURVA PREVISION'!$A$1:$KZ$3000,$C35,10+3*MIN(BC$3,$D$2-1)))))</f>
        <v/>
      </c>
      <c r="BD35" s="130">
        <f>IF(OR($C35="",$B$2="",$D$2=0),0,IF(BD$3&lt;0,0,N(INDEX('CURVA PREVISION'!$A$1:$KZ$3000,$C35,10+3*MIN(BD$3,$D$2-1)))))</f>
        <v/>
      </c>
      <c r="BE35" s="130">
        <f>IF(OR($C35="",$B$2="",$D$2=0),0,IF(BE$3&lt;0,0,N(INDEX('CURVA PREVISION'!$A$1:$KZ$3000,$C35,10+3*MIN(BE$3,$D$2-1)))))</f>
        <v/>
      </c>
      <c r="BF35" s="130">
        <f>IF(OR($C35="",$B$2="",$D$2=0),0,IF(BF$3&lt;0,0,N(INDEX('CURVA PREVISION'!$A$1:$KZ$3000,$C35,10+3*MIN(BF$3,$D$2-1)))))</f>
        <v/>
      </c>
      <c r="BG35" s="130">
        <f>IF(OR($C35="",$B$2="",$D$2=0),0,IF(BG$3&lt;0,0,N(INDEX('CURVA PREVISION'!$A$1:$KZ$3000,$C35,10+3*MIN(BG$3,$D$2-1)))))</f>
        <v/>
      </c>
      <c r="BH35" s="130">
        <f>IF(OR($C35="",$B$2="",$D$2=0),0,IF(BH$3&lt;0,0,N(INDEX('CURVA PREVISION'!$A$1:$KZ$3000,$C35,10+3*MIN(BH$3,$D$2-1)))))</f>
        <v/>
      </c>
      <c r="BI35" s="130">
        <f>IF(OR($C35="",$B$2="",$D$2=0),0,IF(BI$3&lt;0,0,N(INDEX('CURVA PREVISION'!$A$1:$KZ$3000,$C35,10+3*MIN(BI$3,$D$2-1)))))</f>
        <v/>
      </c>
      <c r="BJ35" s="130">
        <f>IF(OR($C35="",$B$2="",$D$2=0),0,IF(BJ$3&lt;0,0,N(INDEX('CURVA PREVISION'!$A$1:$KZ$3000,$C35,10+3*MIN(BJ$3,$D$2-1)))))</f>
        <v/>
      </c>
      <c r="BK35" s="130">
        <f>IF(OR($C35="",$B$2="",$D$2=0),0,IF(BK$3&lt;0,0,N(INDEX('CURVA PREVISION'!$A$1:$KZ$3000,$C35,10+3*MIN(BK$3,$D$2-1)))))</f>
        <v/>
      </c>
      <c r="BL35" s="130">
        <f>IF(OR($C35="",$B$2="",$D$2=0),0,IF(BL$3&lt;0,0,N(INDEX('CURVA PREVISION'!$A$1:$KZ$3000,$C35,10+3*MIN(BL$3,$D$2-1)))))</f>
        <v/>
      </c>
      <c r="BM35" s="130">
        <f>IF(OR($C35="",$B$2="",$D$2=0),0,IF(BM$3&lt;0,0,N(INDEX('CURVA PREVISION'!$A$1:$KZ$3000,$C35,10+3*MIN(BM$3,$D$2-1)))))</f>
        <v/>
      </c>
      <c r="BN35" s="130">
        <f>IF(OR($C35="",$B$2="",$D$2=0),0,IF(BN$3&lt;0,0,N(INDEX('CURVA PREVISION'!$A$1:$KZ$3000,$C35,10+3*MIN(BN$3,$D$2-1)))))</f>
        <v/>
      </c>
      <c r="BO35" s="130">
        <f>IF(OR($C35="",$B$2="",$D$2=0),0,IF(BO$3&lt;0,0,N(INDEX('CURVA PREVISION'!$A$1:$KZ$3000,$C35,10+3*MIN(BO$3,$D$2-1)))))</f>
        <v/>
      </c>
      <c r="BP35" s="130">
        <f>IF(OR($C35="",$B$2="",$D$2=0),0,IF(BP$3&lt;0,0,N(INDEX('CURVA PREVISION'!$A$1:$KZ$3000,$C35,10+3*MIN(BP$3,$D$2-1)))))</f>
        <v/>
      </c>
      <c r="BQ35" s="130">
        <f>IF(OR($C35="",$B$2="",$D$2=0),0,IF(BQ$3&lt;0,0,N(INDEX('CURVA PREVISION'!$A$1:$KZ$3000,$C35,10+3*MIN(BQ$3,$D$2-1)))))</f>
        <v/>
      </c>
      <c r="BR35" s="130">
        <f>IF(OR($C35="",$B$2="",$D$2=0),0,IF(BR$3&lt;0,0,N(INDEX('CURVA PREVISION'!$A$1:$KZ$3000,$C35,10+3*MIN(BR$3,$D$2-1)))))</f>
        <v/>
      </c>
      <c r="BS35" s="130">
        <f>IF(OR($C35="",$B$2="",$D$2=0),0,IF(BS$3&lt;0,0,N(INDEX('CURVA PREVISION'!$A$1:$KZ$3000,$C35,10+3*MIN(BS$3,$D$2-1)))))</f>
        <v/>
      </c>
      <c r="BT35" s="130">
        <f>IF(OR($C35="",$B$2="",$D$2=0),0,IF(BT$3&lt;0,0,N(INDEX('CURVA PREVISION'!$A$1:$KZ$3000,$C35,10+3*MIN(BT$3,$D$2-1)))))</f>
        <v/>
      </c>
      <c r="BU35" s="130">
        <f>IF(OR($C35="",$B$2="",$D$2=0),0,IF(BU$3&lt;0,0,N(INDEX('CURVA PREVISION'!$A$1:$KZ$3000,$C35,10+3*MIN(BU$3,$D$2-1)))))</f>
        <v/>
      </c>
      <c r="BV35" s="130">
        <f>IF(OR($C35="",$B$2="",$D$2=0),0,IF(BV$3&lt;0,0,N(INDEX('CURVA PREVISION'!$A$1:$KZ$3000,$C35,10+3*MIN(BV$3,$D$2-1)))))</f>
        <v/>
      </c>
      <c r="BW35" s="130">
        <f>IF(OR($C35="",$B$2="",$D$2=0),0,IF(BW$3&lt;0,0,N(INDEX('CURVA PREVISION'!$A$1:$KZ$3000,$C35,10+3*MIN(BW$3,$D$2-1)))))</f>
        <v/>
      </c>
    </row>
    <row r="36">
      <c r="A36" s="61">
        <f>IF('VALOR POR PL'!R42&lt;&gt;"",'VALOR POR PL'!R42,IF('VALOR POR PL'!Q42="",'VALOR POR PL'!C42,'VALOR POR PL'!Q42))</f>
        <v/>
      </c>
      <c r="B36" s="61">
        <f>'VALOR POR PL'!D42</f>
        <v/>
      </c>
      <c r="C36" s="70">
        <f>IFERROR(MATCH(A36,'CURVA PREVISION'!$B$1:$B$3000,0),"")</f>
        <v/>
      </c>
      <c r="D36" s="130">
        <f>IF(OR($C36="",$B$2="",$D$2=0),0,IF(D$3&lt;0,0,N(INDEX('CURVA PREVISION'!$A$1:$KZ$3000,$C36,10+3*MIN(D$3,$D$2-1)))))</f>
        <v/>
      </c>
      <c r="E36" s="130">
        <f>IF(OR($C36="",$B$2="",$D$2=0),0,IF(E$3&lt;0,0,N(INDEX('CURVA PREVISION'!$A$1:$KZ$3000,$C36,10+3*MIN(E$3,$D$2-1)))))</f>
        <v/>
      </c>
      <c r="F36" s="130">
        <f>IF(OR($C36="",$B$2="",$D$2=0),0,IF(F$3&lt;0,0,N(INDEX('CURVA PREVISION'!$A$1:$KZ$3000,$C36,10+3*MIN(F$3,$D$2-1)))))</f>
        <v/>
      </c>
      <c r="G36" s="130">
        <f>IF(OR($C36="",$B$2="",$D$2=0),0,IF(G$3&lt;0,0,N(INDEX('CURVA PREVISION'!$A$1:$KZ$3000,$C36,10+3*MIN(G$3,$D$2-1)))))</f>
        <v/>
      </c>
      <c r="H36" s="130">
        <f>IF(OR($C36="",$B$2="",$D$2=0),0,IF(H$3&lt;0,0,N(INDEX('CURVA PREVISION'!$A$1:$KZ$3000,$C36,10+3*MIN(H$3,$D$2-1)))))</f>
        <v/>
      </c>
      <c r="I36" s="130">
        <f>IF(OR($C36="",$B$2="",$D$2=0),0,IF(I$3&lt;0,0,N(INDEX('CURVA PREVISION'!$A$1:$KZ$3000,$C36,10+3*MIN(I$3,$D$2-1)))))</f>
        <v/>
      </c>
      <c r="J36" s="130">
        <f>IF(OR($C36="",$B$2="",$D$2=0),0,IF(J$3&lt;0,0,N(INDEX('CURVA PREVISION'!$A$1:$KZ$3000,$C36,10+3*MIN(J$3,$D$2-1)))))</f>
        <v/>
      </c>
      <c r="K36" s="130">
        <f>IF(OR($C36="",$B$2="",$D$2=0),0,IF(K$3&lt;0,0,N(INDEX('CURVA PREVISION'!$A$1:$KZ$3000,$C36,10+3*MIN(K$3,$D$2-1)))))</f>
        <v/>
      </c>
      <c r="L36" s="130">
        <f>IF(OR($C36="",$B$2="",$D$2=0),0,IF(L$3&lt;0,0,N(INDEX('CURVA PREVISION'!$A$1:$KZ$3000,$C36,10+3*MIN(L$3,$D$2-1)))))</f>
        <v/>
      </c>
      <c r="M36" s="130">
        <f>IF(OR($C36="",$B$2="",$D$2=0),0,IF(M$3&lt;0,0,N(INDEX('CURVA PREVISION'!$A$1:$KZ$3000,$C36,10+3*MIN(M$3,$D$2-1)))))</f>
        <v/>
      </c>
      <c r="N36" s="130">
        <f>IF(OR($C36="",$B$2="",$D$2=0),0,IF(N$3&lt;0,0,N(INDEX('CURVA PREVISION'!$A$1:$KZ$3000,$C36,10+3*MIN(N$3,$D$2-1)))))</f>
        <v/>
      </c>
      <c r="O36" s="130">
        <f>IF(OR($C36="",$B$2="",$D$2=0),0,IF(O$3&lt;0,0,N(INDEX('CURVA PREVISION'!$A$1:$KZ$3000,$C36,10+3*MIN(O$3,$D$2-1)))))</f>
        <v/>
      </c>
      <c r="P36" s="130">
        <f>IF(OR($C36="",$B$2="",$D$2=0),0,IF(P$3&lt;0,0,N(INDEX('CURVA PREVISION'!$A$1:$KZ$3000,$C36,10+3*MIN(P$3,$D$2-1)))))</f>
        <v/>
      </c>
      <c r="Q36" s="130">
        <f>IF(OR($C36="",$B$2="",$D$2=0),0,IF(Q$3&lt;0,0,N(INDEX('CURVA PREVISION'!$A$1:$KZ$3000,$C36,10+3*MIN(Q$3,$D$2-1)))))</f>
        <v/>
      </c>
      <c r="R36" s="130">
        <f>IF(OR($C36="",$B$2="",$D$2=0),0,IF(R$3&lt;0,0,N(INDEX('CURVA PREVISION'!$A$1:$KZ$3000,$C36,10+3*MIN(R$3,$D$2-1)))))</f>
        <v/>
      </c>
      <c r="S36" s="130">
        <f>IF(OR($C36="",$B$2="",$D$2=0),0,IF(S$3&lt;0,0,N(INDEX('CURVA PREVISION'!$A$1:$KZ$3000,$C36,10+3*MIN(S$3,$D$2-1)))))</f>
        <v/>
      </c>
      <c r="T36" s="130">
        <f>IF(OR($C36="",$B$2="",$D$2=0),0,IF(T$3&lt;0,0,N(INDEX('CURVA PREVISION'!$A$1:$KZ$3000,$C36,10+3*MIN(T$3,$D$2-1)))))</f>
        <v/>
      </c>
      <c r="U36" s="130">
        <f>IF(OR($C36="",$B$2="",$D$2=0),0,IF(U$3&lt;0,0,N(INDEX('CURVA PREVISION'!$A$1:$KZ$3000,$C36,10+3*MIN(U$3,$D$2-1)))))</f>
        <v/>
      </c>
      <c r="V36" s="130">
        <f>IF(OR($C36="",$B$2="",$D$2=0),0,IF(V$3&lt;0,0,N(INDEX('CURVA PREVISION'!$A$1:$KZ$3000,$C36,10+3*MIN(V$3,$D$2-1)))))</f>
        <v/>
      </c>
      <c r="W36" s="130">
        <f>IF(OR($C36="",$B$2="",$D$2=0),0,IF(W$3&lt;0,0,N(INDEX('CURVA PREVISION'!$A$1:$KZ$3000,$C36,10+3*MIN(W$3,$D$2-1)))))</f>
        <v/>
      </c>
      <c r="X36" s="130">
        <f>IF(OR($C36="",$B$2="",$D$2=0),0,IF(X$3&lt;0,0,N(INDEX('CURVA PREVISION'!$A$1:$KZ$3000,$C36,10+3*MIN(X$3,$D$2-1)))))</f>
        <v/>
      </c>
      <c r="Y36" s="130">
        <f>IF(OR($C36="",$B$2="",$D$2=0),0,IF(Y$3&lt;0,0,N(INDEX('CURVA PREVISION'!$A$1:$KZ$3000,$C36,10+3*MIN(Y$3,$D$2-1)))))</f>
        <v/>
      </c>
      <c r="Z36" s="130">
        <f>IF(OR($C36="",$B$2="",$D$2=0),0,IF(Z$3&lt;0,0,N(INDEX('CURVA PREVISION'!$A$1:$KZ$3000,$C36,10+3*MIN(Z$3,$D$2-1)))))</f>
        <v/>
      </c>
      <c r="AA36" s="130">
        <f>IF(OR($C36="",$B$2="",$D$2=0),0,IF(AA$3&lt;0,0,N(INDEX('CURVA PREVISION'!$A$1:$KZ$3000,$C36,10+3*MIN(AA$3,$D$2-1)))))</f>
        <v/>
      </c>
      <c r="AB36" s="130">
        <f>IF(OR($C36="",$B$2="",$D$2=0),0,IF(AB$3&lt;0,0,N(INDEX('CURVA PREVISION'!$A$1:$KZ$3000,$C36,10+3*MIN(AB$3,$D$2-1)))))</f>
        <v/>
      </c>
      <c r="AC36" s="130">
        <f>IF(OR($C36="",$B$2="",$D$2=0),0,IF(AC$3&lt;0,0,N(INDEX('CURVA PREVISION'!$A$1:$KZ$3000,$C36,10+3*MIN(AC$3,$D$2-1)))))</f>
        <v/>
      </c>
      <c r="AD36" s="130">
        <f>IF(OR($C36="",$B$2="",$D$2=0),0,IF(AD$3&lt;0,0,N(INDEX('CURVA PREVISION'!$A$1:$KZ$3000,$C36,10+3*MIN(AD$3,$D$2-1)))))</f>
        <v/>
      </c>
      <c r="AE36" s="130">
        <f>IF(OR($C36="",$B$2="",$D$2=0),0,IF(AE$3&lt;0,0,N(INDEX('CURVA PREVISION'!$A$1:$KZ$3000,$C36,10+3*MIN(AE$3,$D$2-1)))))</f>
        <v/>
      </c>
      <c r="AF36" s="130">
        <f>IF(OR($C36="",$B$2="",$D$2=0),0,IF(AF$3&lt;0,0,N(INDEX('CURVA PREVISION'!$A$1:$KZ$3000,$C36,10+3*MIN(AF$3,$D$2-1)))))</f>
        <v/>
      </c>
      <c r="AG36" s="130">
        <f>IF(OR($C36="",$B$2="",$D$2=0),0,IF(AG$3&lt;0,0,N(INDEX('CURVA PREVISION'!$A$1:$KZ$3000,$C36,10+3*MIN(AG$3,$D$2-1)))))</f>
        <v/>
      </c>
      <c r="AH36" s="130">
        <f>IF(OR($C36="",$B$2="",$D$2=0),0,IF(AH$3&lt;0,0,N(INDEX('CURVA PREVISION'!$A$1:$KZ$3000,$C36,10+3*MIN(AH$3,$D$2-1)))))</f>
        <v/>
      </c>
      <c r="AI36" s="130">
        <f>IF(OR($C36="",$B$2="",$D$2=0),0,IF(AI$3&lt;0,0,N(INDEX('CURVA PREVISION'!$A$1:$KZ$3000,$C36,10+3*MIN(AI$3,$D$2-1)))))</f>
        <v/>
      </c>
      <c r="AJ36" s="130">
        <f>IF(OR($C36="",$B$2="",$D$2=0),0,IF(AJ$3&lt;0,0,N(INDEX('CURVA PREVISION'!$A$1:$KZ$3000,$C36,10+3*MIN(AJ$3,$D$2-1)))))</f>
        <v/>
      </c>
      <c r="AK36" s="130">
        <f>IF(OR($C36="",$B$2="",$D$2=0),0,IF(AK$3&lt;0,0,N(INDEX('CURVA PREVISION'!$A$1:$KZ$3000,$C36,10+3*MIN(AK$3,$D$2-1)))))</f>
        <v/>
      </c>
      <c r="AL36" s="130">
        <f>IF(OR($C36="",$B$2="",$D$2=0),0,IF(AL$3&lt;0,0,N(INDEX('CURVA PREVISION'!$A$1:$KZ$3000,$C36,10+3*MIN(AL$3,$D$2-1)))))</f>
        <v/>
      </c>
      <c r="AM36" s="130">
        <f>IF(OR($C36="",$B$2="",$D$2=0),0,IF(AM$3&lt;0,0,N(INDEX('CURVA PREVISION'!$A$1:$KZ$3000,$C36,10+3*MIN(AM$3,$D$2-1)))))</f>
        <v/>
      </c>
      <c r="AN36" s="130">
        <f>IF(OR($C36="",$B$2="",$D$2=0),0,IF(AN$3&lt;0,0,N(INDEX('CURVA PREVISION'!$A$1:$KZ$3000,$C36,10+3*MIN(AN$3,$D$2-1)))))</f>
        <v/>
      </c>
      <c r="AO36" s="130">
        <f>IF(OR($C36="",$B$2="",$D$2=0),0,IF(AO$3&lt;0,0,N(INDEX('CURVA PREVISION'!$A$1:$KZ$3000,$C36,10+3*MIN(AO$3,$D$2-1)))))</f>
        <v/>
      </c>
      <c r="AP36" s="130">
        <f>IF(OR($C36="",$B$2="",$D$2=0),0,IF(AP$3&lt;0,0,N(INDEX('CURVA PREVISION'!$A$1:$KZ$3000,$C36,10+3*MIN(AP$3,$D$2-1)))))</f>
        <v/>
      </c>
      <c r="AQ36" s="130">
        <f>IF(OR($C36="",$B$2="",$D$2=0),0,IF(AQ$3&lt;0,0,N(INDEX('CURVA PREVISION'!$A$1:$KZ$3000,$C36,10+3*MIN(AQ$3,$D$2-1)))))</f>
        <v/>
      </c>
      <c r="AR36" s="130">
        <f>IF(OR($C36="",$B$2="",$D$2=0),0,IF(AR$3&lt;0,0,N(INDEX('CURVA PREVISION'!$A$1:$KZ$3000,$C36,10+3*MIN(AR$3,$D$2-1)))))</f>
        <v/>
      </c>
      <c r="AS36" s="130">
        <f>IF(OR($C36="",$B$2="",$D$2=0),0,IF(AS$3&lt;0,0,N(INDEX('CURVA PREVISION'!$A$1:$KZ$3000,$C36,10+3*MIN(AS$3,$D$2-1)))))</f>
        <v/>
      </c>
      <c r="AT36" s="130">
        <f>IF(OR($C36="",$B$2="",$D$2=0),0,IF(AT$3&lt;0,0,N(INDEX('CURVA PREVISION'!$A$1:$KZ$3000,$C36,10+3*MIN(AT$3,$D$2-1)))))</f>
        <v/>
      </c>
      <c r="AU36" s="130">
        <f>IF(OR($C36="",$B$2="",$D$2=0),0,IF(AU$3&lt;0,0,N(INDEX('CURVA PREVISION'!$A$1:$KZ$3000,$C36,10+3*MIN(AU$3,$D$2-1)))))</f>
        <v/>
      </c>
      <c r="AV36" s="130">
        <f>IF(OR($C36="",$B$2="",$D$2=0),0,IF(AV$3&lt;0,0,N(INDEX('CURVA PREVISION'!$A$1:$KZ$3000,$C36,10+3*MIN(AV$3,$D$2-1)))))</f>
        <v/>
      </c>
      <c r="AW36" s="130">
        <f>IF(OR($C36="",$B$2="",$D$2=0),0,IF(AW$3&lt;0,0,N(INDEX('CURVA PREVISION'!$A$1:$KZ$3000,$C36,10+3*MIN(AW$3,$D$2-1)))))</f>
        <v/>
      </c>
      <c r="AX36" s="130">
        <f>IF(OR($C36="",$B$2="",$D$2=0),0,IF(AX$3&lt;0,0,N(INDEX('CURVA PREVISION'!$A$1:$KZ$3000,$C36,10+3*MIN(AX$3,$D$2-1)))))</f>
        <v/>
      </c>
      <c r="AY36" s="130">
        <f>IF(OR($C36="",$B$2="",$D$2=0),0,IF(AY$3&lt;0,0,N(INDEX('CURVA PREVISION'!$A$1:$KZ$3000,$C36,10+3*MIN(AY$3,$D$2-1)))))</f>
        <v/>
      </c>
      <c r="AZ36" s="130">
        <f>IF(OR($C36="",$B$2="",$D$2=0),0,IF(AZ$3&lt;0,0,N(INDEX('CURVA PREVISION'!$A$1:$KZ$3000,$C36,10+3*MIN(AZ$3,$D$2-1)))))</f>
        <v/>
      </c>
      <c r="BA36" s="130">
        <f>IF(OR($C36="",$B$2="",$D$2=0),0,IF(BA$3&lt;0,0,N(INDEX('CURVA PREVISION'!$A$1:$KZ$3000,$C36,10+3*MIN(BA$3,$D$2-1)))))</f>
        <v/>
      </c>
      <c r="BB36" s="130">
        <f>IF(OR($C36="",$B$2="",$D$2=0),0,IF(BB$3&lt;0,0,N(INDEX('CURVA PREVISION'!$A$1:$KZ$3000,$C36,10+3*MIN(BB$3,$D$2-1)))))</f>
        <v/>
      </c>
      <c r="BC36" s="130">
        <f>IF(OR($C36="",$B$2="",$D$2=0),0,IF(BC$3&lt;0,0,N(INDEX('CURVA PREVISION'!$A$1:$KZ$3000,$C36,10+3*MIN(BC$3,$D$2-1)))))</f>
        <v/>
      </c>
      <c r="BD36" s="130">
        <f>IF(OR($C36="",$B$2="",$D$2=0),0,IF(BD$3&lt;0,0,N(INDEX('CURVA PREVISION'!$A$1:$KZ$3000,$C36,10+3*MIN(BD$3,$D$2-1)))))</f>
        <v/>
      </c>
      <c r="BE36" s="130">
        <f>IF(OR($C36="",$B$2="",$D$2=0),0,IF(BE$3&lt;0,0,N(INDEX('CURVA PREVISION'!$A$1:$KZ$3000,$C36,10+3*MIN(BE$3,$D$2-1)))))</f>
        <v/>
      </c>
      <c r="BF36" s="130">
        <f>IF(OR($C36="",$B$2="",$D$2=0),0,IF(BF$3&lt;0,0,N(INDEX('CURVA PREVISION'!$A$1:$KZ$3000,$C36,10+3*MIN(BF$3,$D$2-1)))))</f>
        <v/>
      </c>
      <c r="BG36" s="130">
        <f>IF(OR($C36="",$B$2="",$D$2=0),0,IF(BG$3&lt;0,0,N(INDEX('CURVA PREVISION'!$A$1:$KZ$3000,$C36,10+3*MIN(BG$3,$D$2-1)))))</f>
        <v/>
      </c>
      <c r="BH36" s="130">
        <f>IF(OR($C36="",$B$2="",$D$2=0),0,IF(BH$3&lt;0,0,N(INDEX('CURVA PREVISION'!$A$1:$KZ$3000,$C36,10+3*MIN(BH$3,$D$2-1)))))</f>
        <v/>
      </c>
      <c r="BI36" s="130">
        <f>IF(OR($C36="",$B$2="",$D$2=0),0,IF(BI$3&lt;0,0,N(INDEX('CURVA PREVISION'!$A$1:$KZ$3000,$C36,10+3*MIN(BI$3,$D$2-1)))))</f>
        <v/>
      </c>
      <c r="BJ36" s="130">
        <f>IF(OR($C36="",$B$2="",$D$2=0),0,IF(BJ$3&lt;0,0,N(INDEX('CURVA PREVISION'!$A$1:$KZ$3000,$C36,10+3*MIN(BJ$3,$D$2-1)))))</f>
        <v/>
      </c>
      <c r="BK36" s="130">
        <f>IF(OR($C36="",$B$2="",$D$2=0),0,IF(BK$3&lt;0,0,N(INDEX('CURVA PREVISION'!$A$1:$KZ$3000,$C36,10+3*MIN(BK$3,$D$2-1)))))</f>
        <v/>
      </c>
      <c r="BL36" s="130">
        <f>IF(OR($C36="",$B$2="",$D$2=0),0,IF(BL$3&lt;0,0,N(INDEX('CURVA PREVISION'!$A$1:$KZ$3000,$C36,10+3*MIN(BL$3,$D$2-1)))))</f>
        <v/>
      </c>
      <c r="BM36" s="130">
        <f>IF(OR($C36="",$B$2="",$D$2=0),0,IF(BM$3&lt;0,0,N(INDEX('CURVA PREVISION'!$A$1:$KZ$3000,$C36,10+3*MIN(BM$3,$D$2-1)))))</f>
        <v/>
      </c>
      <c r="BN36" s="130">
        <f>IF(OR($C36="",$B$2="",$D$2=0),0,IF(BN$3&lt;0,0,N(INDEX('CURVA PREVISION'!$A$1:$KZ$3000,$C36,10+3*MIN(BN$3,$D$2-1)))))</f>
        <v/>
      </c>
      <c r="BO36" s="130">
        <f>IF(OR($C36="",$B$2="",$D$2=0),0,IF(BO$3&lt;0,0,N(INDEX('CURVA PREVISION'!$A$1:$KZ$3000,$C36,10+3*MIN(BO$3,$D$2-1)))))</f>
        <v/>
      </c>
      <c r="BP36" s="130">
        <f>IF(OR($C36="",$B$2="",$D$2=0),0,IF(BP$3&lt;0,0,N(INDEX('CURVA PREVISION'!$A$1:$KZ$3000,$C36,10+3*MIN(BP$3,$D$2-1)))))</f>
        <v/>
      </c>
      <c r="BQ36" s="130">
        <f>IF(OR($C36="",$B$2="",$D$2=0),0,IF(BQ$3&lt;0,0,N(INDEX('CURVA PREVISION'!$A$1:$KZ$3000,$C36,10+3*MIN(BQ$3,$D$2-1)))))</f>
        <v/>
      </c>
      <c r="BR36" s="130">
        <f>IF(OR($C36="",$B$2="",$D$2=0),0,IF(BR$3&lt;0,0,N(INDEX('CURVA PREVISION'!$A$1:$KZ$3000,$C36,10+3*MIN(BR$3,$D$2-1)))))</f>
        <v/>
      </c>
      <c r="BS36" s="130">
        <f>IF(OR($C36="",$B$2="",$D$2=0),0,IF(BS$3&lt;0,0,N(INDEX('CURVA PREVISION'!$A$1:$KZ$3000,$C36,10+3*MIN(BS$3,$D$2-1)))))</f>
        <v/>
      </c>
      <c r="BT36" s="130">
        <f>IF(OR($C36="",$B$2="",$D$2=0),0,IF(BT$3&lt;0,0,N(INDEX('CURVA PREVISION'!$A$1:$KZ$3000,$C36,10+3*MIN(BT$3,$D$2-1)))))</f>
        <v/>
      </c>
      <c r="BU36" s="130">
        <f>IF(OR($C36="",$B$2="",$D$2=0),0,IF(BU$3&lt;0,0,N(INDEX('CURVA PREVISION'!$A$1:$KZ$3000,$C36,10+3*MIN(BU$3,$D$2-1)))))</f>
        <v/>
      </c>
      <c r="BV36" s="130">
        <f>IF(OR($C36="",$B$2="",$D$2=0),0,IF(BV$3&lt;0,0,N(INDEX('CURVA PREVISION'!$A$1:$KZ$3000,$C36,10+3*MIN(BV$3,$D$2-1)))))</f>
        <v/>
      </c>
      <c r="BW36" s="130">
        <f>IF(OR($C36="",$B$2="",$D$2=0),0,IF(BW$3&lt;0,0,N(INDEX('CURVA PREVISION'!$A$1:$KZ$3000,$C36,10+3*MIN(BW$3,$D$2-1)))))</f>
        <v/>
      </c>
    </row>
    <row r="37">
      <c r="A37" s="61">
        <f>IF('VALOR POR PL'!R43&lt;&gt;"",'VALOR POR PL'!R43,IF('VALOR POR PL'!Q43="",'VALOR POR PL'!C43,'VALOR POR PL'!Q43))</f>
        <v/>
      </c>
      <c r="B37" s="61">
        <f>'VALOR POR PL'!D43</f>
        <v/>
      </c>
      <c r="C37" s="70">
        <f>IFERROR(MATCH(A37,'CURVA PREVISION'!$B$1:$B$3000,0),"")</f>
        <v/>
      </c>
      <c r="D37" s="130">
        <f>IF(OR($C37="",$B$2="",$D$2=0),0,IF(D$3&lt;0,0,N(INDEX('CURVA PREVISION'!$A$1:$KZ$3000,$C37,10+3*MIN(D$3,$D$2-1)))))</f>
        <v/>
      </c>
      <c r="E37" s="130">
        <f>IF(OR($C37="",$B$2="",$D$2=0),0,IF(E$3&lt;0,0,N(INDEX('CURVA PREVISION'!$A$1:$KZ$3000,$C37,10+3*MIN(E$3,$D$2-1)))))</f>
        <v/>
      </c>
      <c r="F37" s="130">
        <f>IF(OR($C37="",$B$2="",$D$2=0),0,IF(F$3&lt;0,0,N(INDEX('CURVA PREVISION'!$A$1:$KZ$3000,$C37,10+3*MIN(F$3,$D$2-1)))))</f>
        <v/>
      </c>
      <c r="G37" s="130">
        <f>IF(OR($C37="",$B$2="",$D$2=0),0,IF(G$3&lt;0,0,N(INDEX('CURVA PREVISION'!$A$1:$KZ$3000,$C37,10+3*MIN(G$3,$D$2-1)))))</f>
        <v/>
      </c>
      <c r="H37" s="130">
        <f>IF(OR($C37="",$B$2="",$D$2=0),0,IF(H$3&lt;0,0,N(INDEX('CURVA PREVISION'!$A$1:$KZ$3000,$C37,10+3*MIN(H$3,$D$2-1)))))</f>
        <v/>
      </c>
      <c r="I37" s="130">
        <f>IF(OR($C37="",$B$2="",$D$2=0),0,IF(I$3&lt;0,0,N(INDEX('CURVA PREVISION'!$A$1:$KZ$3000,$C37,10+3*MIN(I$3,$D$2-1)))))</f>
        <v/>
      </c>
      <c r="J37" s="130">
        <f>IF(OR($C37="",$B$2="",$D$2=0),0,IF(J$3&lt;0,0,N(INDEX('CURVA PREVISION'!$A$1:$KZ$3000,$C37,10+3*MIN(J$3,$D$2-1)))))</f>
        <v/>
      </c>
      <c r="K37" s="130">
        <f>IF(OR($C37="",$B$2="",$D$2=0),0,IF(K$3&lt;0,0,N(INDEX('CURVA PREVISION'!$A$1:$KZ$3000,$C37,10+3*MIN(K$3,$D$2-1)))))</f>
        <v/>
      </c>
      <c r="L37" s="130">
        <f>IF(OR($C37="",$B$2="",$D$2=0),0,IF(L$3&lt;0,0,N(INDEX('CURVA PREVISION'!$A$1:$KZ$3000,$C37,10+3*MIN(L$3,$D$2-1)))))</f>
        <v/>
      </c>
      <c r="M37" s="130">
        <f>IF(OR($C37="",$B$2="",$D$2=0),0,IF(M$3&lt;0,0,N(INDEX('CURVA PREVISION'!$A$1:$KZ$3000,$C37,10+3*MIN(M$3,$D$2-1)))))</f>
        <v/>
      </c>
      <c r="N37" s="130">
        <f>IF(OR($C37="",$B$2="",$D$2=0),0,IF(N$3&lt;0,0,N(INDEX('CURVA PREVISION'!$A$1:$KZ$3000,$C37,10+3*MIN(N$3,$D$2-1)))))</f>
        <v/>
      </c>
      <c r="O37" s="130">
        <f>IF(OR($C37="",$B$2="",$D$2=0),0,IF(O$3&lt;0,0,N(INDEX('CURVA PREVISION'!$A$1:$KZ$3000,$C37,10+3*MIN(O$3,$D$2-1)))))</f>
        <v/>
      </c>
      <c r="P37" s="130">
        <f>IF(OR($C37="",$B$2="",$D$2=0),0,IF(P$3&lt;0,0,N(INDEX('CURVA PREVISION'!$A$1:$KZ$3000,$C37,10+3*MIN(P$3,$D$2-1)))))</f>
        <v/>
      </c>
      <c r="Q37" s="130">
        <f>IF(OR($C37="",$B$2="",$D$2=0),0,IF(Q$3&lt;0,0,N(INDEX('CURVA PREVISION'!$A$1:$KZ$3000,$C37,10+3*MIN(Q$3,$D$2-1)))))</f>
        <v/>
      </c>
      <c r="R37" s="130">
        <f>IF(OR($C37="",$B$2="",$D$2=0),0,IF(R$3&lt;0,0,N(INDEX('CURVA PREVISION'!$A$1:$KZ$3000,$C37,10+3*MIN(R$3,$D$2-1)))))</f>
        <v/>
      </c>
      <c r="S37" s="130">
        <f>IF(OR($C37="",$B$2="",$D$2=0),0,IF(S$3&lt;0,0,N(INDEX('CURVA PREVISION'!$A$1:$KZ$3000,$C37,10+3*MIN(S$3,$D$2-1)))))</f>
        <v/>
      </c>
      <c r="T37" s="130">
        <f>IF(OR($C37="",$B$2="",$D$2=0),0,IF(T$3&lt;0,0,N(INDEX('CURVA PREVISION'!$A$1:$KZ$3000,$C37,10+3*MIN(T$3,$D$2-1)))))</f>
        <v/>
      </c>
      <c r="U37" s="130">
        <f>IF(OR($C37="",$B$2="",$D$2=0),0,IF(U$3&lt;0,0,N(INDEX('CURVA PREVISION'!$A$1:$KZ$3000,$C37,10+3*MIN(U$3,$D$2-1)))))</f>
        <v/>
      </c>
      <c r="V37" s="130">
        <f>IF(OR($C37="",$B$2="",$D$2=0),0,IF(V$3&lt;0,0,N(INDEX('CURVA PREVISION'!$A$1:$KZ$3000,$C37,10+3*MIN(V$3,$D$2-1)))))</f>
        <v/>
      </c>
      <c r="W37" s="130">
        <f>IF(OR($C37="",$B$2="",$D$2=0),0,IF(W$3&lt;0,0,N(INDEX('CURVA PREVISION'!$A$1:$KZ$3000,$C37,10+3*MIN(W$3,$D$2-1)))))</f>
        <v/>
      </c>
      <c r="X37" s="130">
        <f>IF(OR($C37="",$B$2="",$D$2=0),0,IF(X$3&lt;0,0,N(INDEX('CURVA PREVISION'!$A$1:$KZ$3000,$C37,10+3*MIN(X$3,$D$2-1)))))</f>
        <v/>
      </c>
      <c r="Y37" s="130">
        <f>IF(OR($C37="",$B$2="",$D$2=0),0,IF(Y$3&lt;0,0,N(INDEX('CURVA PREVISION'!$A$1:$KZ$3000,$C37,10+3*MIN(Y$3,$D$2-1)))))</f>
        <v/>
      </c>
      <c r="Z37" s="130">
        <f>IF(OR($C37="",$B$2="",$D$2=0),0,IF(Z$3&lt;0,0,N(INDEX('CURVA PREVISION'!$A$1:$KZ$3000,$C37,10+3*MIN(Z$3,$D$2-1)))))</f>
        <v/>
      </c>
      <c r="AA37" s="130">
        <f>IF(OR($C37="",$B$2="",$D$2=0),0,IF(AA$3&lt;0,0,N(INDEX('CURVA PREVISION'!$A$1:$KZ$3000,$C37,10+3*MIN(AA$3,$D$2-1)))))</f>
        <v/>
      </c>
      <c r="AB37" s="130">
        <f>IF(OR($C37="",$B$2="",$D$2=0),0,IF(AB$3&lt;0,0,N(INDEX('CURVA PREVISION'!$A$1:$KZ$3000,$C37,10+3*MIN(AB$3,$D$2-1)))))</f>
        <v/>
      </c>
      <c r="AC37" s="130">
        <f>IF(OR($C37="",$B$2="",$D$2=0),0,IF(AC$3&lt;0,0,N(INDEX('CURVA PREVISION'!$A$1:$KZ$3000,$C37,10+3*MIN(AC$3,$D$2-1)))))</f>
        <v/>
      </c>
      <c r="AD37" s="130">
        <f>IF(OR($C37="",$B$2="",$D$2=0),0,IF(AD$3&lt;0,0,N(INDEX('CURVA PREVISION'!$A$1:$KZ$3000,$C37,10+3*MIN(AD$3,$D$2-1)))))</f>
        <v/>
      </c>
      <c r="AE37" s="130">
        <f>IF(OR($C37="",$B$2="",$D$2=0),0,IF(AE$3&lt;0,0,N(INDEX('CURVA PREVISION'!$A$1:$KZ$3000,$C37,10+3*MIN(AE$3,$D$2-1)))))</f>
        <v/>
      </c>
      <c r="AF37" s="130">
        <f>IF(OR($C37="",$B$2="",$D$2=0),0,IF(AF$3&lt;0,0,N(INDEX('CURVA PREVISION'!$A$1:$KZ$3000,$C37,10+3*MIN(AF$3,$D$2-1)))))</f>
        <v/>
      </c>
      <c r="AG37" s="130">
        <f>IF(OR($C37="",$B$2="",$D$2=0),0,IF(AG$3&lt;0,0,N(INDEX('CURVA PREVISION'!$A$1:$KZ$3000,$C37,10+3*MIN(AG$3,$D$2-1)))))</f>
        <v/>
      </c>
      <c r="AH37" s="130">
        <f>IF(OR($C37="",$B$2="",$D$2=0),0,IF(AH$3&lt;0,0,N(INDEX('CURVA PREVISION'!$A$1:$KZ$3000,$C37,10+3*MIN(AH$3,$D$2-1)))))</f>
        <v/>
      </c>
      <c r="AI37" s="130">
        <f>IF(OR($C37="",$B$2="",$D$2=0),0,IF(AI$3&lt;0,0,N(INDEX('CURVA PREVISION'!$A$1:$KZ$3000,$C37,10+3*MIN(AI$3,$D$2-1)))))</f>
        <v/>
      </c>
      <c r="AJ37" s="130">
        <f>IF(OR($C37="",$B$2="",$D$2=0),0,IF(AJ$3&lt;0,0,N(INDEX('CURVA PREVISION'!$A$1:$KZ$3000,$C37,10+3*MIN(AJ$3,$D$2-1)))))</f>
        <v/>
      </c>
      <c r="AK37" s="130">
        <f>IF(OR($C37="",$B$2="",$D$2=0),0,IF(AK$3&lt;0,0,N(INDEX('CURVA PREVISION'!$A$1:$KZ$3000,$C37,10+3*MIN(AK$3,$D$2-1)))))</f>
        <v/>
      </c>
      <c r="AL37" s="130">
        <f>IF(OR($C37="",$B$2="",$D$2=0),0,IF(AL$3&lt;0,0,N(INDEX('CURVA PREVISION'!$A$1:$KZ$3000,$C37,10+3*MIN(AL$3,$D$2-1)))))</f>
        <v/>
      </c>
      <c r="AM37" s="130">
        <f>IF(OR($C37="",$B$2="",$D$2=0),0,IF(AM$3&lt;0,0,N(INDEX('CURVA PREVISION'!$A$1:$KZ$3000,$C37,10+3*MIN(AM$3,$D$2-1)))))</f>
        <v/>
      </c>
      <c r="AN37" s="130">
        <f>IF(OR($C37="",$B$2="",$D$2=0),0,IF(AN$3&lt;0,0,N(INDEX('CURVA PREVISION'!$A$1:$KZ$3000,$C37,10+3*MIN(AN$3,$D$2-1)))))</f>
        <v/>
      </c>
      <c r="AO37" s="130">
        <f>IF(OR($C37="",$B$2="",$D$2=0),0,IF(AO$3&lt;0,0,N(INDEX('CURVA PREVISION'!$A$1:$KZ$3000,$C37,10+3*MIN(AO$3,$D$2-1)))))</f>
        <v/>
      </c>
      <c r="AP37" s="130">
        <f>IF(OR($C37="",$B$2="",$D$2=0),0,IF(AP$3&lt;0,0,N(INDEX('CURVA PREVISION'!$A$1:$KZ$3000,$C37,10+3*MIN(AP$3,$D$2-1)))))</f>
        <v/>
      </c>
      <c r="AQ37" s="130">
        <f>IF(OR($C37="",$B$2="",$D$2=0),0,IF(AQ$3&lt;0,0,N(INDEX('CURVA PREVISION'!$A$1:$KZ$3000,$C37,10+3*MIN(AQ$3,$D$2-1)))))</f>
        <v/>
      </c>
      <c r="AR37" s="130">
        <f>IF(OR($C37="",$B$2="",$D$2=0),0,IF(AR$3&lt;0,0,N(INDEX('CURVA PREVISION'!$A$1:$KZ$3000,$C37,10+3*MIN(AR$3,$D$2-1)))))</f>
        <v/>
      </c>
      <c r="AS37" s="130">
        <f>IF(OR($C37="",$B$2="",$D$2=0),0,IF(AS$3&lt;0,0,N(INDEX('CURVA PREVISION'!$A$1:$KZ$3000,$C37,10+3*MIN(AS$3,$D$2-1)))))</f>
        <v/>
      </c>
      <c r="AT37" s="130">
        <f>IF(OR($C37="",$B$2="",$D$2=0),0,IF(AT$3&lt;0,0,N(INDEX('CURVA PREVISION'!$A$1:$KZ$3000,$C37,10+3*MIN(AT$3,$D$2-1)))))</f>
        <v/>
      </c>
      <c r="AU37" s="130">
        <f>IF(OR($C37="",$B$2="",$D$2=0),0,IF(AU$3&lt;0,0,N(INDEX('CURVA PREVISION'!$A$1:$KZ$3000,$C37,10+3*MIN(AU$3,$D$2-1)))))</f>
        <v/>
      </c>
      <c r="AV37" s="130">
        <f>IF(OR($C37="",$B$2="",$D$2=0),0,IF(AV$3&lt;0,0,N(INDEX('CURVA PREVISION'!$A$1:$KZ$3000,$C37,10+3*MIN(AV$3,$D$2-1)))))</f>
        <v/>
      </c>
      <c r="AW37" s="130">
        <f>IF(OR($C37="",$B$2="",$D$2=0),0,IF(AW$3&lt;0,0,N(INDEX('CURVA PREVISION'!$A$1:$KZ$3000,$C37,10+3*MIN(AW$3,$D$2-1)))))</f>
        <v/>
      </c>
      <c r="AX37" s="130">
        <f>IF(OR($C37="",$B$2="",$D$2=0),0,IF(AX$3&lt;0,0,N(INDEX('CURVA PREVISION'!$A$1:$KZ$3000,$C37,10+3*MIN(AX$3,$D$2-1)))))</f>
        <v/>
      </c>
      <c r="AY37" s="130">
        <f>IF(OR($C37="",$B$2="",$D$2=0),0,IF(AY$3&lt;0,0,N(INDEX('CURVA PREVISION'!$A$1:$KZ$3000,$C37,10+3*MIN(AY$3,$D$2-1)))))</f>
        <v/>
      </c>
      <c r="AZ37" s="130">
        <f>IF(OR($C37="",$B$2="",$D$2=0),0,IF(AZ$3&lt;0,0,N(INDEX('CURVA PREVISION'!$A$1:$KZ$3000,$C37,10+3*MIN(AZ$3,$D$2-1)))))</f>
        <v/>
      </c>
      <c r="BA37" s="130">
        <f>IF(OR($C37="",$B$2="",$D$2=0),0,IF(BA$3&lt;0,0,N(INDEX('CURVA PREVISION'!$A$1:$KZ$3000,$C37,10+3*MIN(BA$3,$D$2-1)))))</f>
        <v/>
      </c>
      <c r="BB37" s="130">
        <f>IF(OR($C37="",$B$2="",$D$2=0),0,IF(BB$3&lt;0,0,N(INDEX('CURVA PREVISION'!$A$1:$KZ$3000,$C37,10+3*MIN(BB$3,$D$2-1)))))</f>
        <v/>
      </c>
      <c r="BC37" s="130">
        <f>IF(OR($C37="",$B$2="",$D$2=0),0,IF(BC$3&lt;0,0,N(INDEX('CURVA PREVISION'!$A$1:$KZ$3000,$C37,10+3*MIN(BC$3,$D$2-1)))))</f>
        <v/>
      </c>
      <c r="BD37" s="130">
        <f>IF(OR($C37="",$B$2="",$D$2=0),0,IF(BD$3&lt;0,0,N(INDEX('CURVA PREVISION'!$A$1:$KZ$3000,$C37,10+3*MIN(BD$3,$D$2-1)))))</f>
        <v/>
      </c>
      <c r="BE37" s="130">
        <f>IF(OR($C37="",$B$2="",$D$2=0),0,IF(BE$3&lt;0,0,N(INDEX('CURVA PREVISION'!$A$1:$KZ$3000,$C37,10+3*MIN(BE$3,$D$2-1)))))</f>
        <v/>
      </c>
      <c r="BF37" s="130">
        <f>IF(OR($C37="",$B$2="",$D$2=0),0,IF(BF$3&lt;0,0,N(INDEX('CURVA PREVISION'!$A$1:$KZ$3000,$C37,10+3*MIN(BF$3,$D$2-1)))))</f>
        <v/>
      </c>
      <c r="BG37" s="130">
        <f>IF(OR($C37="",$B$2="",$D$2=0),0,IF(BG$3&lt;0,0,N(INDEX('CURVA PREVISION'!$A$1:$KZ$3000,$C37,10+3*MIN(BG$3,$D$2-1)))))</f>
        <v/>
      </c>
      <c r="BH37" s="130">
        <f>IF(OR($C37="",$B$2="",$D$2=0),0,IF(BH$3&lt;0,0,N(INDEX('CURVA PREVISION'!$A$1:$KZ$3000,$C37,10+3*MIN(BH$3,$D$2-1)))))</f>
        <v/>
      </c>
      <c r="BI37" s="130">
        <f>IF(OR($C37="",$B$2="",$D$2=0),0,IF(BI$3&lt;0,0,N(INDEX('CURVA PREVISION'!$A$1:$KZ$3000,$C37,10+3*MIN(BI$3,$D$2-1)))))</f>
        <v/>
      </c>
      <c r="BJ37" s="130">
        <f>IF(OR($C37="",$B$2="",$D$2=0),0,IF(BJ$3&lt;0,0,N(INDEX('CURVA PREVISION'!$A$1:$KZ$3000,$C37,10+3*MIN(BJ$3,$D$2-1)))))</f>
        <v/>
      </c>
      <c r="BK37" s="130">
        <f>IF(OR($C37="",$B$2="",$D$2=0),0,IF(BK$3&lt;0,0,N(INDEX('CURVA PREVISION'!$A$1:$KZ$3000,$C37,10+3*MIN(BK$3,$D$2-1)))))</f>
        <v/>
      </c>
      <c r="BL37" s="130">
        <f>IF(OR($C37="",$B$2="",$D$2=0),0,IF(BL$3&lt;0,0,N(INDEX('CURVA PREVISION'!$A$1:$KZ$3000,$C37,10+3*MIN(BL$3,$D$2-1)))))</f>
        <v/>
      </c>
      <c r="BM37" s="130">
        <f>IF(OR($C37="",$B$2="",$D$2=0),0,IF(BM$3&lt;0,0,N(INDEX('CURVA PREVISION'!$A$1:$KZ$3000,$C37,10+3*MIN(BM$3,$D$2-1)))))</f>
        <v/>
      </c>
      <c r="BN37" s="130">
        <f>IF(OR($C37="",$B$2="",$D$2=0),0,IF(BN$3&lt;0,0,N(INDEX('CURVA PREVISION'!$A$1:$KZ$3000,$C37,10+3*MIN(BN$3,$D$2-1)))))</f>
        <v/>
      </c>
      <c r="BO37" s="130">
        <f>IF(OR($C37="",$B$2="",$D$2=0),0,IF(BO$3&lt;0,0,N(INDEX('CURVA PREVISION'!$A$1:$KZ$3000,$C37,10+3*MIN(BO$3,$D$2-1)))))</f>
        <v/>
      </c>
      <c r="BP37" s="130">
        <f>IF(OR($C37="",$B$2="",$D$2=0),0,IF(BP$3&lt;0,0,N(INDEX('CURVA PREVISION'!$A$1:$KZ$3000,$C37,10+3*MIN(BP$3,$D$2-1)))))</f>
        <v/>
      </c>
      <c r="BQ37" s="130">
        <f>IF(OR($C37="",$B$2="",$D$2=0),0,IF(BQ$3&lt;0,0,N(INDEX('CURVA PREVISION'!$A$1:$KZ$3000,$C37,10+3*MIN(BQ$3,$D$2-1)))))</f>
        <v/>
      </c>
      <c r="BR37" s="130">
        <f>IF(OR($C37="",$B$2="",$D$2=0),0,IF(BR$3&lt;0,0,N(INDEX('CURVA PREVISION'!$A$1:$KZ$3000,$C37,10+3*MIN(BR$3,$D$2-1)))))</f>
        <v/>
      </c>
      <c r="BS37" s="130">
        <f>IF(OR($C37="",$B$2="",$D$2=0),0,IF(BS$3&lt;0,0,N(INDEX('CURVA PREVISION'!$A$1:$KZ$3000,$C37,10+3*MIN(BS$3,$D$2-1)))))</f>
        <v/>
      </c>
      <c r="BT37" s="130">
        <f>IF(OR($C37="",$B$2="",$D$2=0),0,IF(BT$3&lt;0,0,N(INDEX('CURVA PREVISION'!$A$1:$KZ$3000,$C37,10+3*MIN(BT$3,$D$2-1)))))</f>
        <v/>
      </c>
      <c r="BU37" s="130">
        <f>IF(OR($C37="",$B$2="",$D$2=0),0,IF(BU$3&lt;0,0,N(INDEX('CURVA PREVISION'!$A$1:$KZ$3000,$C37,10+3*MIN(BU$3,$D$2-1)))))</f>
        <v/>
      </c>
      <c r="BV37" s="130">
        <f>IF(OR($C37="",$B$2="",$D$2=0),0,IF(BV$3&lt;0,0,N(INDEX('CURVA PREVISION'!$A$1:$KZ$3000,$C37,10+3*MIN(BV$3,$D$2-1)))))</f>
        <v/>
      </c>
      <c r="BW37" s="130">
        <f>IF(OR($C37="",$B$2="",$D$2=0),0,IF(BW$3&lt;0,0,N(INDEX('CURVA PREVISION'!$A$1:$KZ$3000,$C37,10+3*MIN(BW$3,$D$2-1)))))</f>
        <v/>
      </c>
    </row>
    <row r="38">
      <c r="A38" s="61">
        <f>IF('VALOR POR PL'!R44&lt;&gt;"",'VALOR POR PL'!R44,IF('VALOR POR PL'!Q44="",'VALOR POR PL'!C44,'VALOR POR PL'!Q44))</f>
        <v/>
      </c>
      <c r="B38" s="61">
        <f>'VALOR POR PL'!D44</f>
        <v/>
      </c>
      <c r="C38" s="70">
        <f>IFERROR(MATCH(A38,'CURVA PREVISION'!$B$1:$B$3000,0),"")</f>
        <v/>
      </c>
      <c r="D38" s="130">
        <f>IF(OR($C38="",$B$2="",$D$2=0),0,IF(D$3&lt;0,0,N(INDEX('CURVA PREVISION'!$A$1:$KZ$3000,$C38,10+3*MIN(D$3,$D$2-1)))))</f>
        <v/>
      </c>
      <c r="E38" s="130">
        <f>IF(OR($C38="",$B$2="",$D$2=0),0,IF(E$3&lt;0,0,N(INDEX('CURVA PREVISION'!$A$1:$KZ$3000,$C38,10+3*MIN(E$3,$D$2-1)))))</f>
        <v/>
      </c>
      <c r="F38" s="130">
        <f>IF(OR($C38="",$B$2="",$D$2=0),0,IF(F$3&lt;0,0,N(INDEX('CURVA PREVISION'!$A$1:$KZ$3000,$C38,10+3*MIN(F$3,$D$2-1)))))</f>
        <v/>
      </c>
      <c r="G38" s="130">
        <f>IF(OR($C38="",$B$2="",$D$2=0),0,IF(G$3&lt;0,0,N(INDEX('CURVA PREVISION'!$A$1:$KZ$3000,$C38,10+3*MIN(G$3,$D$2-1)))))</f>
        <v/>
      </c>
      <c r="H38" s="130">
        <f>IF(OR($C38="",$B$2="",$D$2=0),0,IF(H$3&lt;0,0,N(INDEX('CURVA PREVISION'!$A$1:$KZ$3000,$C38,10+3*MIN(H$3,$D$2-1)))))</f>
        <v/>
      </c>
      <c r="I38" s="130">
        <f>IF(OR($C38="",$B$2="",$D$2=0),0,IF(I$3&lt;0,0,N(INDEX('CURVA PREVISION'!$A$1:$KZ$3000,$C38,10+3*MIN(I$3,$D$2-1)))))</f>
        <v/>
      </c>
      <c r="J38" s="130">
        <f>IF(OR($C38="",$B$2="",$D$2=0),0,IF(J$3&lt;0,0,N(INDEX('CURVA PREVISION'!$A$1:$KZ$3000,$C38,10+3*MIN(J$3,$D$2-1)))))</f>
        <v/>
      </c>
      <c r="K38" s="130">
        <f>IF(OR($C38="",$B$2="",$D$2=0),0,IF(K$3&lt;0,0,N(INDEX('CURVA PREVISION'!$A$1:$KZ$3000,$C38,10+3*MIN(K$3,$D$2-1)))))</f>
        <v/>
      </c>
      <c r="L38" s="130">
        <f>IF(OR($C38="",$B$2="",$D$2=0),0,IF(L$3&lt;0,0,N(INDEX('CURVA PREVISION'!$A$1:$KZ$3000,$C38,10+3*MIN(L$3,$D$2-1)))))</f>
        <v/>
      </c>
      <c r="M38" s="130">
        <f>IF(OR($C38="",$B$2="",$D$2=0),0,IF(M$3&lt;0,0,N(INDEX('CURVA PREVISION'!$A$1:$KZ$3000,$C38,10+3*MIN(M$3,$D$2-1)))))</f>
        <v/>
      </c>
      <c r="N38" s="130">
        <f>IF(OR($C38="",$B$2="",$D$2=0),0,IF(N$3&lt;0,0,N(INDEX('CURVA PREVISION'!$A$1:$KZ$3000,$C38,10+3*MIN(N$3,$D$2-1)))))</f>
        <v/>
      </c>
      <c r="O38" s="130">
        <f>IF(OR($C38="",$B$2="",$D$2=0),0,IF(O$3&lt;0,0,N(INDEX('CURVA PREVISION'!$A$1:$KZ$3000,$C38,10+3*MIN(O$3,$D$2-1)))))</f>
        <v/>
      </c>
      <c r="P38" s="130">
        <f>IF(OR($C38="",$B$2="",$D$2=0),0,IF(P$3&lt;0,0,N(INDEX('CURVA PREVISION'!$A$1:$KZ$3000,$C38,10+3*MIN(P$3,$D$2-1)))))</f>
        <v/>
      </c>
      <c r="Q38" s="130">
        <f>IF(OR($C38="",$B$2="",$D$2=0),0,IF(Q$3&lt;0,0,N(INDEX('CURVA PREVISION'!$A$1:$KZ$3000,$C38,10+3*MIN(Q$3,$D$2-1)))))</f>
        <v/>
      </c>
      <c r="R38" s="130">
        <f>IF(OR($C38="",$B$2="",$D$2=0),0,IF(R$3&lt;0,0,N(INDEX('CURVA PREVISION'!$A$1:$KZ$3000,$C38,10+3*MIN(R$3,$D$2-1)))))</f>
        <v/>
      </c>
      <c r="S38" s="130">
        <f>IF(OR($C38="",$B$2="",$D$2=0),0,IF(S$3&lt;0,0,N(INDEX('CURVA PREVISION'!$A$1:$KZ$3000,$C38,10+3*MIN(S$3,$D$2-1)))))</f>
        <v/>
      </c>
      <c r="T38" s="130">
        <f>IF(OR($C38="",$B$2="",$D$2=0),0,IF(T$3&lt;0,0,N(INDEX('CURVA PREVISION'!$A$1:$KZ$3000,$C38,10+3*MIN(T$3,$D$2-1)))))</f>
        <v/>
      </c>
      <c r="U38" s="130">
        <f>IF(OR($C38="",$B$2="",$D$2=0),0,IF(U$3&lt;0,0,N(INDEX('CURVA PREVISION'!$A$1:$KZ$3000,$C38,10+3*MIN(U$3,$D$2-1)))))</f>
        <v/>
      </c>
      <c r="V38" s="130">
        <f>IF(OR($C38="",$B$2="",$D$2=0),0,IF(V$3&lt;0,0,N(INDEX('CURVA PREVISION'!$A$1:$KZ$3000,$C38,10+3*MIN(V$3,$D$2-1)))))</f>
        <v/>
      </c>
      <c r="W38" s="130">
        <f>IF(OR($C38="",$B$2="",$D$2=0),0,IF(W$3&lt;0,0,N(INDEX('CURVA PREVISION'!$A$1:$KZ$3000,$C38,10+3*MIN(W$3,$D$2-1)))))</f>
        <v/>
      </c>
      <c r="X38" s="130">
        <f>IF(OR($C38="",$B$2="",$D$2=0),0,IF(X$3&lt;0,0,N(INDEX('CURVA PREVISION'!$A$1:$KZ$3000,$C38,10+3*MIN(X$3,$D$2-1)))))</f>
        <v/>
      </c>
      <c r="Y38" s="130">
        <f>IF(OR($C38="",$B$2="",$D$2=0),0,IF(Y$3&lt;0,0,N(INDEX('CURVA PREVISION'!$A$1:$KZ$3000,$C38,10+3*MIN(Y$3,$D$2-1)))))</f>
        <v/>
      </c>
      <c r="Z38" s="130">
        <f>IF(OR($C38="",$B$2="",$D$2=0),0,IF(Z$3&lt;0,0,N(INDEX('CURVA PREVISION'!$A$1:$KZ$3000,$C38,10+3*MIN(Z$3,$D$2-1)))))</f>
        <v/>
      </c>
      <c r="AA38" s="130">
        <f>IF(OR($C38="",$B$2="",$D$2=0),0,IF(AA$3&lt;0,0,N(INDEX('CURVA PREVISION'!$A$1:$KZ$3000,$C38,10+3*MIN(AA$3,$D$2-1)))))</f>
        <v/>
      </c>
      <c r="AB38" s="130">
        <f>IF(OR($C38="",$B$2="",$D$2=0),0,IF(AB$3&lt;0,0,N(INDEX('CURVA PREVISION'!$A$1:$KZ$3000,$C38,10+3*MIN(AB$3,$D$2-1)))))</f>
        <v/>
      </c>
      <c r="AC38" s="130">
        <f>IF(OR($C38="",$B$2="",$D$2=0),0,IF(AC$3&lt;0,0,N(INDEX('CURVA PREVISION'!$A$1:$KZ$3000,$C38,10+3*MIN(AC$3,$D$2-1)))))</f>
        <v/>
      </c>
      <c r="AD38" s="130">
        <f>IF(OR($C38="",$B$2="",$D$2=0),0,IF(AD$3&lt;0,0,N(INDEX('CURVA PREVISION'!$A$1:$KZ$3000,$C38,10+3*MIN(AD$3,$D$2-1)))))</f>
        <v/>
      </c>
      <c r="AE38" s="130">
        <f>IF(OR($C38="",$B$2="",$D$2=0),0,IF(AE$3&lt;0,0,N(INDEX('CURVA PREVISION'!$A$1:$KZ$3000,$C38,10+3*MIN(AE$3,$D$2-1)))))</f>
        <v/>
      </c>
      <c r="AF38" s="130">
        <f>IF(OR($C38="",$B$2="",$D$2=0),0,IF(AF$3&lt;0,0,N(INDEX('CURVA PREVISION'!$A$1:$KZ$3000,$C38,10+3*MIN(AF$3,$D$2-1)))))</f>
        <v/>
      </c>
      <c r="AG38" s="130">
        <f>IF(OR($C38="",$B$2="",$D$2=0),0,IF(AG$3&lt;0,0,N(INDEX('CURVA PREVISION'!$A$1:$KZ$3000,$C38,10+3*MIN(AG$3,$D$2-1)))))</f>
        <v/>
      </c>
      <c r="AH38" s="130">
        <f>IF(OR($C38="",$B$2="",$D$2=0),0,IF(AH$3&lt;0,0,N(INDEX('CURVA PREVISION'!$A$1:$KZ$3000,$C38,10+3*MIN(AH$3,$D$2-1)))))</f>
        <v/>
      </c>
      <c r="AI38" s="130">
        <f>IF(OR($C38="",$B$2="",$D$2=0),0,IF(AI$3&lt;0,0,N(INDEX('CURVA PREVISION'!$A$1:$KZ$3000,$C38,10+3*MIN(AI$3,$D$2-1)))))</f>
        <v/>
      </c>
      <c r="AJ38" s="130">
        <f>IF(OR($C38="",$B$2="",$D$2=0),0,IF(AJ$3&lt;0,0,N(INDEX('CURVA PREVISION'!$A$1:$KZ$3000,$C38,10+3*MIN(AJ$3,$D$2-1)))))</f>
        <v/>
      </c>
      <c r="AK38" s="130">
        <f>IF(OR($C38="",$B$2="",$D$2=0),0,IF(AK$3&lt;0,0,N(INDEX('CURVA PREVISION'!$A$1:$KZ$3000,$C38,10+3*MIN(AK$3,$D$2-1)))))</f>
        <v/>
      </c>
      <c r="AL38" s="130">
        <f>IF(OR($C38="",$B$2="",$D$2=0),0,IF(AL$3&lt;0,0,N(INDEX('CURVA PREVISION'!$A$1:$KZ$3000,$C38,10+3*MIN(AL$3,$D$2-1)))))</f>
        <v/>
      </c>
      <c r="AM38" s="130">
        <f>IF(OR($C38="",$B$2="",$D$2=0),0,IF(AM$3&lt;0,0,N(INDEX('CURVA PREVISION'!$A$1:$KZ$3000,$C38,10+3*MIN(AM$3,$D$2-1)))))</f>
        <v/>
      </c>
      <c r="AN38" s="130">
        <f>IF(OR($C38="",$B$2="",$D$2=0),0,IF(AN$3&lt;0,0,N(INDEX('CURVA PREVISION'!$A$1:$KZ$3000,$C38,10+3*MIN(AN$3,$D$2-1)))))</f>
        <v/>
      </c>
      <c r="AO38" s="130">
        <f>IF(OR($C38="",$B$2="",$D$2=0),0,IF(AO$3&lt;0,0,N(INDEX('CURVA PREVISION'!$A$1:$KZ$3000,$C38,10+3*MIN(AO$3,$D$2-1)))))</f>
        <v/>
      </c>
      <c r="AP38" s="130">
        <f>IF(OR($C38="",$B$2="",$D$2=0),0,IF(AP$3&lt;0,0,N(INDEX('CURVA PREVISION'!$A$1:$KZ$3000,$C38,10+3*MIN(AP$3,$D$2-1)))))</f>
        <v/>
      </c>
      <c r="AQ38" s="130">
        <f>IF(OR($C38="",$B$2="",$D$2=0),0,IF(AQ$3&lt;0,0,N(INDEX('CURVA PREVISION'!$A$1:$KZ$3000,$C38,10+3*MIN(AQ$3,$D$2-1)))))</f>
        <v/>
      </c>
      <c r="AR38" s="130">
        <f>IF(OR($C38="",$B$2="",$D$2=0),0,IF(AR$3&lt;0,0,N(INDEX('CURVA PREVISION'!$A$1:$KZ$3000,$C38,10+3*MIN(AR$3,$D$2-1)))))</f>
        <v/>
      </c>
      <c r="AS38" s="130">
        <f>IF(OR($C38="",$B$2="",$D$2=0),0,IF(AS$3&lt;0,0,N(INDEX('CURVA PREVISION'!$A$1:$KZ$3000,$C38,10+3*MIN(AS$3,$D$2-1)))))</f>
        <v/>
      </c>
      <c r="AT38" s="130">
        <f>IF(OR($C38="",$B$2="",$D$2=0),0,IF(AT$3&lt;0,0,N(INDEX('CURVA PREVISION'!$A$1:$KZ$3000,$C38,10+3*MIN(AT$3,$D$2-1)))))</f>
        <v/>
      </c>
      <c r="AU38" s="130">
        <f>IF(OR($C38="",$B$2="",$D$2=0),0,IF(AU$3&lt;0,0,N(INDEX('CURVA PREVISION'!$A$1:$KZ$3000,$C38,10+3*MIN(AU$3,$D$2-1)))))</f>
        <v/>
      </c>
      <c r="AV38" s="130">
        <f>IF(OR($C38="",$B$2="",$D$2=0),0,IF(AV$3&lt;0,0,N(INDEX('CURVA PREVISION'!$A$1:$KZ$3000,$C38,10+3*MIN(AV$3,$D$2-1)))))</f>
        <v/>
      </c>
      <c r="AW38" s="130">
        <f>IF(OR($C38="",$B$2="",$D$2=0),0,IF(AW$3&lt;0,0,N(INDEX('CURVA PREVISION'!$A$1:$KZ$3000,$C38,10+3*MIN(AW$3,$D$2-1)))))</f>
        <v/>
      </c>
      <c r="AX38" s="130">
        <f>IF(OR($C38="",$B$2="",$D$2=0),0,IF(AX$3&lt;0,0,N(INDEX('CURVA PREVISION'!$A$1:$KZ$3000,$C38,10+3*MIN(AX$3,$D$2-1)))))</f>
        <v/>
      </c>
      <c r="AY38" s="130">
        <f>IF(OR($C38="",$B$2="",$D$2=0),0,IF(AY$3&lt;0,0,N(INDEX('CURVA PREVISION'!$A$1:$KZ$3000,$C38,10+3*MIN(AY$3,$D$2-1)))))</f>
        <v/>
      </c>
      <c r="AZ38" s="130">
        <f>IF(OR($C38="",$B$2="",$D$2=0),0,IF(AZ$3&lt;0,0,N(INDEX('CURVA PREVISION'!$A$1:$KZ$3000,$C38,10+3*MIN(AZ$3,$D$2-1)))))</f>
        <v/>
      </c>
      <c r="BA38" s="130">
        <f>IF(OR($C38="",$B$2="",$D$2=0),0,IF(BA$3&lt;0,0,N(INDEX('CURVA PREVISION'!$A$1:$KZ$3000,$C38,10+3*MIN(BA$3,$D$2-1)))))</f>
        <v/>
      </c>
      <c r="BB38" s="130">
        <f>IF(OR($C38="",$B$2="",$D$2=0),0,IF(BB$3&lt;0,0,N(INDEX('CURVA PREVISION'!$A$1:$KZ$3000,$C38,10+3*MIN(BB$3,$D$2-1)))))</f>
        <v/>
      </c>
      <c r="BC38" s="130">
        <f>IF(OR($C38="",$B$2="",$D$2=0),0,IF(BC$3&lt;0,0,N(INDEX('CURVA PREVISION'!$A$1:$KZ$3000,$C38,10+3*MIN(BC$3,$D$2-1)))))</f>
        <v/>
      </c>
      <c r="BD38" s="130">
        <f>IF(OR($C38="",$B$2="",$D$2=0),0,IF(BD$3&lt;0,0,N(INDEX('CURVA PREVISION'!$A$1:$KZ$3000,$C38,10+3*MIN(BD$3,$D$2-1)))))</f>
        <v/>
      </c>
      <c r="BE38" s="130">
        <f>IF(OR($C38="",$B$2="",$D$2=0),0,IF(BE$3&lt;0,0,N(INDEX('CURVA PREVISION'!$A$1:$KZ$3000,$C38,10+3*MIN(BE$3,$D$2-1)))))</f>
        <v/>
      </c>
      <c r="BF38" s="130">
        <f>IF(OR($C38="",$B$2="",$D$2=0),0,IF(BF$3&lt;0,0,N(INDEX('CURVA PREVISION'!$A$1:$KZ$3000,$C38,10+3*MIN(BF$3,$D$2-1)))))</f>
        <v/>
      </c>
      <c r="BG38" s="130">
        <f>IF(OR($C38="",$B$2="",$D$2=0),0,IF(BG$3&lt;0,0,N(INDEX('CURVA PREVISION'!$A$1:$KZ$3000,$C38,10+3*MIN(BG$3,$D$2-1)))))</f>
        <v/>
      </c>
      <c r="BH38" s="130">
        <f>IF(OR($C38="",$B$2="",$D$2=0),0,IF(BH$3&lt;0,0,N(INDEX('CURVA PREVISION'!$A$1:$KZ$3000,$C38,10+3*MIN(BH$3,$D$2-1)))))</f>
        <v/>
      </c>
      <c r="BI38" s="130">
        <f>IF(OR($C38="",$B$2="",$D$2=0),0,IF(BI$3&lt;0,0,N(INDEX('CURVA PREVISION'!$A$1:$KZ$3000,$C38,10+3*MIN(BI$3,$D$2-1)))))</f>
        <v/>
      </c>
      <c r="BJ38" s="130">
        <f>IF(OR($C38="",$B$2="",$D$2=0),0,IF(BJ$3&lt;0,0,N(INDEX('CURVA PREVISION'!$A$1:$KZ$3000,$C38,10+3*MIN(BJ$3,$D$2-1)))))</f>
        <v/>
      </c>
      <c r="BK38" s="130">
        <f>IF(OR($C38="",$B$2="",$D$2=0),0,IF(BK$3&lt;0,0,N(INDEX('CURVA PREVISION'!$A$1:$KZ$3000,$C38,10+3*MIN(BK$3,$D$2-1)))))</f>
        <v/>
      </c>
      <c r="BL38" s="130">
        <f>IF(OR($C38="",$B$2="",$D$2=0),0,IF(BL$3&lt;0,0,N(INDEX('CURVA PREVISION'!$A$1:$KZ$3000,$C38,10+3*MIN(BL$3,$D$2-1)))))</f>
        <v/>
      </c>
      <c r="BM38" s="130">
        <f>IF(OR($C38="",$B$2="",$D$2=0),0,IF(BM$3&lt;0,0,N(INDEX('CURVA PREVISION'!$A$1:$KZ$3000,$C38,10+3*MIN(BM$3,$D$2-1)))))</f>
        <v/>
      </c>
      <c r="BN38" s="130">
        <f>IF(OR($C38="",$B$2="",$D$2=0),0,IF(BN$3&lt;0,0,N(INDEX('CURVA PREVISION'!$A$1:$KZ$3000,$C38,10+3*MIN(BN$3,$D$2-1)))))</f>
        <v/>
      </c>
      <c r="BO38" s="130">
        <f>IF(OR($C38="",$B$2="",$D$2=0),0,IF(BO$3&lt;0,0,N(INDEX('CURVA PREVISION'!$A$1:$KZ$3000,$C38,10+3*MIN(BO$3,$D$2-1)))))</f>
        <v/>
      </c>
      <c r="BP38" s="130">
        <f>IF(OR($C38="",$B$2="",$D$2=0),0,IF(BP$3&lt;0,0,N(INDEX('CURVA PREVISION'!$A$1:$KZ$3000,$C38,10+3*MIN(BP$3,$D$2-1)))))</f>
        <v/>
      </c>
      <c r="BQ38" s="130">
        <f>IF(OR($C38="",$B$2="",$D$2=0),0,IF(BQ$3&lt;0,0,N(INDEX('CURVA PREVISION'!$A$1:$KZ$3000,$C38,10+3*MIN(BQ$3,$D$2-1)))))</f>
        <v/>
      </c>
      <c r="BR38" s="130">
        <f>IF(OR($C38="",$B$2="",$D$2=0),0,IF(BR$3&lt;0,0,N(INDEX('CURVA PREVISION'!$A$1:$KZ$3000,$C38,10+3*MIN(BR$3,$D$2-1)))))</f>
        <v/>
      </c>
      <c r="BS38" s="130">
        <f>IF(OR($C38="",$B$2="",$D$2=0),0,IF(BS$3&lt;0,0,N(INDEX('CURVA PREVISION'!$A$1:$KZ$3000,$C38,10+3*MIN(BS$3,$D$2-1)))))</f>
        <v/>
      </c>
      <c r="BT38" s="130">
        <f>IF(OR($C38="",$B$2="",$D$2=0),0,IF(BT$3&lt;0,0,N(INDEX('CURVA PREVISION'!$A$1:$KZ$3000,$C38,10+3*MIN(BT$3,$D$2-1)))))</f>
        <v/>
      </c>
      <c r="BU38" s="130">
        <f>IF(OR($C38="",$B$2="",$D$2=0),0,IF(BU$3&lt;0,0,N(INDEX('CURVA PREVISION'!$A$1:$KZ$3000,$C38,10+3*MIN(BU$3,$D$2-1)))))</f>
        <v/>
      </c>
      <c r="BV38" s="130">
        <f>IF(OR($C38="",$B$2="",$D$2=0),0,IF(BV$3&lt;0,0,N(INDEX('CURVA PREVISION'!$A$1:$KZ$3000,$C38,10+3*MIN(BV$3,$D$2-1)))))</f>
        <v/>
      </c>
      <c r="BW38" s="130">
        <f>IF(OR($C38="",$B$2="",$D$2=0),0,IF(BW$3&lt;0,0,N(INDEX('CURVA PREVISION'!$A$1:$KZ$3000,$C38,10+3*MIN(BW$3,$D$2-1)))))</f>
        <v/>
      </c>
    </row>
    <row r="39">
      <c r="A39" s="61">
        <f>IF('VALOR POR PL'!R45&lt;&gt;"",'VALOR POR PL'!R45,IF('VALOR POR PL'!Q45="",'VALOR POR PL'!C45,'VALOR POR PL'!Q45))</f>
        <v/>
      </c>
      <c r="B39" s="61">
        <f>'VALOR POR PL'!D45</f>
        <v/>
      </c>
      <c r="C39" s="70">
        <f>IFERROR(MATCH(A39,'CURVA PREVISION'!$B$1:$B$3000,0),"")</f>
        <v/>
      </c>
      <c r="D39" s="130">
        <f>IF(OR($C39="",$B$2="",$D$2=0),0,IF(D$3&lt;0,0,N(INDEX('CURVA PREVISION'!$A$1:$KZ$3000,$C39,10+3*MIN(D$3,$D$2-1)))))</f>
        <v/>
      </c>
      <c r="E39" s="130">
        <f>IF(OR($C39="",$B$2="",$D$2=0),0,IF(E$3&lt;0,0,N(INDEX('CURVA PREVISION'!$A$1:$KZ$3000,$C39,10+3*MIN(E$3,$D$2-1)))))</f>
        <v/>
      </c>
      <c r="F39" s="130">
        <f>IF(OR($C39="",$B$2="",$D$2=0),0,IF(F$3&lt;0,0,N(INDEX('CURVA PREVISION'!$A$1:$KZ$3000,$C39,10+3*MIN(F$3,$D$2-1)))))</f>
        <v/>
      </c>
      <c r="G39" s="130">
        <f>IF(OR($C39="",$B$2="",$D$2=0),0,IF(G$3&lt;0,0,N(INDEX('CURVA PREVISION'!$A$1:$KZ$3000,$C39,10+3*MIN(G$3,$D$2-1)))))</f>
        <v/>
      </c>
      <c r="H39" s="130">
        <f>IF(OR($C39="",$B$2="",$D$2=0),0,IF(H$3&lt;0,0,N(INDEX('CURVA PREVISION'!$A$1:$KZ$3000,$C39,10+3*MIN(H$3,$D$2-1)))))</f>
        <v/>
      </c>
      <c r="I39" s="130">
        <f>IF(OR($C39="",$B$2="",$D$2=0),0,IF(I$3&lt;0,0,N(INDEX('CURVA PREVISION'!$A$1:$KZ$3000,$C39,10+3*MIN(I$3,$D$2-1)))))</f>
        <v/>
      </c>
      <c r="J39" s="130">
        <f>IF(OR($C39="",$B$2="",$D$2=0),0,IF(J$3&lt;0,0,N(INDEX('CURVA PREVISION'!$A$1:$KZ$3000,$C39,10+3*MIN(J$3,$D$2-1)))))</f>
        <v/>
      </c>
      <c r="K39" s="130">
        <f>IF(OR($C39="",$B$2="",$D$2=0),0,IF(K$3&lt;0,0,N(INDEX('CURVA PREVISION'!$A$1:$KZ$3000,$C39,10+3*MIN(K$3,$D$2-1)))))</f>
        <v/>
      </c>
      <c r="L39" s="130">
        <f>IF(OR($C39="",$B$2="",$D$2=0),0,IF(L$3&lt;0,0,N(INDEX('CURVA PREVISION'!$A$1:$KZ$3000,$C39,10+3*MIN(L$3,$D$2-1)))))</f>
        <v/>
      </c>
      <c r="M39" s="130">
        <f>IF(OR($C39="",$B$2="",$D$2=0),0,IF(M$3&lt;0,0,N(INDEX('CURVA PREVISION'!$A$1:$KZ$3000,$C39,10+3*MIN(M$3,$D$2-1)))))</f>
        <v/>
      </c>
      <c r="N39" s="130">
        <f>IF(OR($C39="",$B$2="",$D$2=0),0,IF(N$3&lt;0,0,N(INDEX('CURVA PREVISION'!$A$1:$KZ$3000,$C39,10+3*MIN(N$3,$D$2-1)))))</f>
        <v/>
      </c>
      <c r="O39" s="130">
        <f>IF(OR($C39="",$B$2="",$D$2=0),0,IF(O$3&lt;0,0,N(INDEX('CURVA PREVISION'!$A$1:$KZ$3000,$C39,10+3*MIN(O$3,$D$2-1)))))</f>
        <v/>
      </c>
      <c r="P39" s="130">
        <f>IF(OR($C39="",$B$2="",$D$2=0),0,IF(P$3&lt;0,0,N(INDEX('CURVA PREVISION'!$A$1:$KZ$3000,$C39,10+3*MIN(P$3,$D$2-1)))))</f>
        <v/>
      </c>
      <c r="Q39" s="130">
        <f>IF(OR($C39="",$B$2="",$D$2=0),0,IF(Q$3&lt;0,0,N(INDEX('CURVA PREVISION'!$A$1:$KZ$3000,$C39,10+3*MIN(Q$3,$D$2-1)))))</f>
        <v/>
      </c>
      <c r="R39" s="130">
        <f>IF(OR($C39="",$B$2="",$D$2=0),0,IF(R$3&lt;0,0,N(INDEX('CURVA PREVISION'!$A$1:$KZ$3000,$C39,10+3*MIN(R$3,$D$2-1)))))</f>
        <v/>
      </c>
      <c r="S39" s="130">
        <f>IF(OR($C39="",$B$2="",$D$2=0),0,IF(S$3&lt;0,0,N(INDEX('CURVA PREVISION'!$A$1:$KZ$3000,$C39,10+3*MIN(S$3,$D$2-1)))))</f>
        <v/>
      </c>
      <c r="T39" s="130">
        <f>IF(OR($C39="",$B$2="",$D$2=0),0,IF(T$3&lt;0,0,N(INDEX('CURVA PREVISION'!$A$1:$KZ$3000,$C39,10+3*MIN(T$3,$D$2-1)))))</f>
        <v/>
      </c>
      <c r="U39" s="130">
        <f>IF(OR($C39="",$B$2="",$D$2=0),0,IF(U$3&lt;0,0,N(INDEX('CURVA PREVISION'!$A$1:$KZ$3000,$C39,10+3*MIN(U$3,$D$2-1)))))</f>
        <v/>
      </c>
      <c r="V39" s="130">
        <f>IF(OR($C39="",$B$2="",$D$2=0),0,IF(V$3&lt;0,0,N(INDEX('CURVA PREVISION'!$A$1:$KZ$3000,$C39,10+3*MIN(V$3,$D$2-1)))))</f>
        <v/>
      </c>
      <c r="W39" s="130">
        <f>IF(OR($C39="",$B$2="",$D$2=0),0,IF(W$3&lt;0,0,N(INDEX('CURVA PREVISION'!$A$1:$KZ$3000,$C39,10+3*MIN(W$3,$D$2-1)))))</f>
        <v/>
      </c>
      <c r="X39" s="130">
        <f>IF(OR($C39="",$B$2="",$D$2=0),0,IF(X$3&lt;0,0,N(INDEX('CURVA PREVISION'!$A$1:$KZ$3000,$C39,10+3*MIN(X$3,$D$2-1)))))</f>
        <v/>
      </c>
      <c r="Y39" s="130">
        <f>IF(OR($C39="",$B$2="",$D$2=0),0,IF(Y$3&lt;0,0,N(INDEX('CURVA PREVISION'!$A$1:$KZ$3000,$C39,10+3*MIN(Y$3,$D$2-1)))))</f>
        <v/>
      </c>
      <c r="Z39" s="130">
        <f>IF(OR($C39="",$B$2="",$D$2=0),0,IF(Z$3&lt;0,0,N(INDEX('CURVA PREVISION'!$A$1:$KZ$3000,$C39,10+3*MIN(Z$3,$D$2-1)))))</f>
        <v/>
      </c>
      <c r="AA39" s="130">
        <f>IF(OR($C39="",$B$2="",$D$2=0),0,IF(AA$3&lt;0,0,N(INDEX('CURVA PREVISION'!$A$1:$KZ$3000,$C39,10+3*MIN(AA$3,$D$2-1)))))</f>
        <v/>
      </c>
      <c r="AB39" s="130">
        <f>IF(OR($C39="",$B$2="",$D$2=0),0,IF(AB$3&lt;0,0,N(INDEX('CURVA PREVISION'!$A$1:$KZ$3000,$C39,10+3*MIN(AB$3,$D$2-1)))))</f>
        <v/>
      </c>
      <c r="AC39" s="130">
        <f>IF(OR($C39="",$B$2="",$D$2=0),0,IF(AC$3&lt;0,0,N(INDEX('CURVA PREVISION'!$A$1:$KZ$3000,$C39,10+3*MIN(AC$3,$D$2-1)))))</f>
        <v/>
      </c>
      <c r="AD39" s="130">
        <f>IF(OR($C39="",$B$2="",$D$2=0),0,IF(AD$3&lt;0,0,N(INDEX('CURVA PREVISION'!$A$1:$KZ$3000,$C39,10+3*MIN(AD$3,$D$2-1)))))</f>
        <v/>
      </c>
      <c r="AE39" s="130">
        <f>IF(OR($C39="",$B$2="",$D$2=0),0,IF(AE$3&lt;0,0,N(INDEX('CURVA PREVISION'!$A$1:$KZ$3000,$C39,10+3*MIN(AE$3,$D$2-1)))))</f>
        <v/>
      </c>
      <c r="AF39" s="130">
        <f>IF(OR($C39="",$B$2="",$D$2=0),0,IF(AF$3&lt;0,0,N(INDEX('CURVA PREVISION'!$A$1:$KZ$3000,$C39,10+3*MIN(AF$3,$D$2-1)))))</f>
        <v/>
      </c>
      <c r="AG39" s="130">
        <f>IF(OR($C39="",$B$2="",$D$2=0),0,IF(AG$3&lt;0,0,N(INDEX('CURVA PREVISION'!$A$1:$KZ$3000,$C39,10+3*MIN(AG$3,$D$2-1)))))</f>
        <v/>
      </c>
      <c r="AH39" s="130">
        <f>IF(OR($C39="",$B$2="",$D$2=0),0,IF(AH$3&lt;0,0,N(INDEX('CURVA PREVISION'!$A$1:$KZ$3000,$C39,10+3*MIN(AH$3,$D$2-1)))))</f>
        <v/>
      </c>
      <c r="AI39" s="130">
        <f>IF(OR($C39="",$B$2="",$D$2=0),0,IF(AI$3&lt;0,0,N(INDEX('CURVA PREVISION'!$A$1:$KZ$3000,$C39,10+3*MIN(AI$3,$D$2-1)))))</f>
        <v/>
      </c>
      <c r="AJ39" s="130">
        <f>IF(OR($C39="",$B$2="",$D$2=0),0,IF(AJ$3&lt;0,0,N(INDEX('CURVA PREVISION'!$A$1:$KZ$3000,$C39,10+3*MIN(AJ$3,$D$2-1)))))</f>
        <v/>
      </c>
      <c r="AK39" s="130">
        <f>IF(OR($C39="",$B$2="",$D$2=0),0,IF(AK$3&lt;0,0,N(INDEX('CURVA PREVISION'!$A$1:$KZ$3000,$C39,10+3*MIN(AK$3,$D$2-1)))))</f>
        <v/>
      </c>
      <c r="AL39" s="130">
        <f>IF(OR($C39="",$B$2="",$D$2=0),0,IF(AL$3&lt;0,0,N(INDEX('CURVA PREVISION'!$A$1:$KZ$3000,$C39,10+3*MIN(AL$3,$D$2-1)))))</f>
        <v/>
      </c>
      <c r="AM39" s="130">
        <f>IF(OR($C39="",$B$2="",$D$2=0),0,IF(AM$3&lt;0,0,N(INDEX('CURVA PREVISION'!$A$1:$KZ$3000,$C39,10+3*MIN(AM$3,$D$2-1)))))</f>
        <v/>
      </c>
      <c r="AN39" s="130">
        <f>IF(OR($C39="",$B$2="",$D$2=0),0,IF(AN$3&lt;0,0,N(INDEX('CURVA PREVISION'!$A$1:$KZ$3000,$C39,10+3*MIN(AN$3,$D$2-1)))))</f>
        <v/>
      </c>
      <c r="AO39" s="130">
        <f>IF(OR($C39="",$B$2="",$D$2=0),0,IF(AO$3&lt;0,0,N(INDEX('CURVA PREVISION'!$A$1:$KZ$3000,$C39,10+3*MIN(AO$3,$D$2-1)))))</f>
        <v/>
      </c>
      <c r="AP39" s="130">
        <f>IF(OR($C39="",$B$2="",$D$2=0),0,IF(AP$3&lt;0,0,N(INDEX('CURVA PREVISION'!$A$1:$KZ$3000,$C39,10+3*MIN(AP$3,$D$2-1)))))</f>
        <v/>
      </c>
      <c r="AQ39" s="130">
        <f>IF(OR($C39="",$B$2="",$D$2=0),0,IF(AQ$3&lt;0,0,N(INDEX('CURVA PREVISION'!$A$1:$KZ$3000,$C39,10+3*MIN(AQ$3,$D$2-1)))))</f>
        <v/>
      </c>
      <c r="AR39" s="130">
        <f>IF(OR($C39="",$B$2="",$D$2=0),0,IF(AR$3&lt;0,0,N(INDEX('CURVA PREVISION'!$A$1:$KZ$3000,$C39,10+3*MIN(AR$3,$D$2-1)))))</f>
        <v/>
      </c>
      <c r="AS39" s="130">
        <f>IF(OR($C39="",$B$2="",$D$2=0),0,IF(AS$3&lt;0,0,N(INDEX('CURVA PREVISION'!$A$1:$KZ$3000,$C39,10+3*MIN(AS$3,$D$2-1)))))</f>
        <v/>
      </c>
      <c r="AT39" s="130">
        <f>IF(OR($C39="",$B$2="",$D$2=0),0,IF(AT$3&lt;0,0,N(INDEX('CURVA PREVISION'!$A$1:$KZ$3000,$C39,10+3*MIN(AT$3,$D$2-1)))))</f>
        <v/>
      </c>
      <c r="AU39" s="130">
        <f>IF(OR($C39="",$B$2="",$D$2=0),0,IF(AU$3&lt;0,0,N(INDEX('CURVA PREVISION'!$A$1:$KZ$3000,$C39,10+3*MIN(AU$3,$D$2-1)))))</f>
        <v/>
      </c>
      <c r="AV39" s="130">
        <f>IF(OR($C39="",$B$2="",$D$2=0),0,IF(AV$3&lt;0,0,N(INDEX('CURVA PREVISION'!$A$1:$KZ$3000,$C39,10+3*MIN(AV$3,$D$2-1)))))</f>
        <v/>
      </c>
      <c r="AW39" s="130">
        <f>IF(OR($C39="",$B$2="",$D$2=0),0,IF(AW$3&lt;0,0,N(INDEX('CURVA PREVISION'!$A$1:$KZ$3000,$C39,10+3*MIN(AW$3,$D$2-1)))))</f>
        <v/>
      </c>
      <c r="AX39" s="130">
        <f>IF(OR($C39="",$B$2="",$D$2=0),0,IF(AX$3&lt;0,0,N(INDEX('CURVA PREVISION'!$A$1:$KZ$3000,$C39,10+3*MIN(AX$3,$D$2-1)))))</f>
        <v/>
      </c>
      <c r="AY39" s="130">
        <f>IF(OR($C39="",$B$2="",$D$2=0),0,IF(AY$3&lt;0,0,N(INDEX('CURVA PREVISION'!$A$1:$KZ$3000,$C39,10+3*MIN(AY$3,$D$2-1)))))</f>
        <v/>
      </c>
      <c r="AZ39" s="130">
        <f>IF(OR($C39="",$B$2="",$D$2=0),0,IF(AZ$3&lt;0,0,N(INDEX('CURVA PREVISION'!$A$1:$KZ$3000,$C39,10+3*MIN(AZ$3,$D$2-1)))))</f>
        <v/>
      </c>
      <c r="BA39" s="130">
        <f>IF(OR($C39="",$B$2="",$D$2=0),0,IF(BA$3&lt;0,0,N(INDEX('CURVA PREVISION'!$A$1:$KZ$3000,$C39,10+3*MIN(BA$3,$D$2-1)))))</f>
        <v/>
      </c>
      <c r="BB39" s="130">
        <f>IF(OR($C39="",$B$2="",$D$2=0),0,IF(BB$3&lt;0,0,N(INDEX('CURVA PREVISION'!$A$1:$KZ$3000,$C39,10+3*MIN(BB$3,$D$2-1)))))</f>
        <v/>
      </c>
      <c r="BC39" s="130">
        <f>IF(OR($C39="",$B$2="",$D$2=0),0,IF(BC$3&lt;0,0,N(INDEX('CURVA PREVISION'!$A$1:$KZ$3000,$C39,10+3*MIN(BC$3,$D$2-1)))))</f>
        <v/>
      </c>
      <c r="BD39" s="130">
        <f>IF(OR($C39="",$B$2="",$D$2=0),0,IF(BD$3&lt;0,0,N(INDEX('CURVA PREVISION'!$A$1:$KZ$3000,$C39,10+3*MIN(BD$3,$D$2-1)))))</f>
        <v/>
      </c>
      <c r="BE39" s="130">
        <f>IF(OR($C39="",$B$2="",$D$2=0),0,IF(BE$3&lt;0,0,N(INDEX('CURVA PREVISION'!$A$1:$KZ$3000,$C39,10+3*MIN(BE$3,$D$2-1)))))</f>
        <v/>
      </c>
      <c r="BF39" s="130">
        <f>IF(OR($C39="",$B$2="",$D$2=0),0,IF(BF$3&lt;0,0,N(INDEX('CURVA PREVISION'!$A$1:$KZ$3000,$C39,10+3*MIN(BF$3,$D$2-1)))))</f>
        <v/>
      </c>
      <c r="BG39" s="130">
        <f>IF(OR($C39="",$B$2="",$D$2=0),0,IF(BG$3&lt;0,0,N(INDEX('CURVA PREVISION'!$A$1:$KZ$3000,$C39,10+3*MIN(BG$3,$D$2-1)))))</f>
        <v/>
      </c>
      <c r="BH39" s="130">
        <f>IF(OR($C39="",$B$2="",$D$2=0),0,IF(BH$3&lt;0,0,N(INDEX('CURVA PREVISION'!$A$1:$KZ$3000,$C39,10+3*MIN(BH$3,$D$2-1)))))</f>
        <v/>
      </c>
      <c r="BI39" s="130">
        <f>IF(OR($C39="",$B$2="",$D$2=0),0,IF(BI$3&lt;0,0,N(INDEX('CURVA PREVISION'!$A$1:$KZ$3000,$C39,10+3*MIN(BI$3,$D$2-1)))))</f>
        <v/>
      </c>
      <c r="BJ39" s="130">
        <f>IF(OR($C39="",$B$2="",$D$2=0),0,IF(BJ$3&lt;0,0,N(INDEX('CURVA PREVISION'!$A$1:$KZ$3000,$C39,10+3*MIN(BJ$3,$D$2-1)))))</f>
        <v/>
      </c>
      <c r="BK39" s="130">
        <f>IF(OR($C39="",$B$2="",$D$2=0),0,IF(BK$3&lt;0,0,N(INDEX('CURVA PREVISION'!$A$1:$KZ$3000,$C39,10+3*MIN(BK$3,$D$2-1)))))</f>
        <v/>
      </c>
      <c r="BL39" s="130">
        <f>IF(OR($C39="",$B$2="",$D$2=0),0,IF(BL$3&lt;0,0,N(INDEX('CURVA PREVISION'!$A$1:$KZ$3000,$C39,10+3*MIN(BL$3,$D$2-1)))))</f>
        <v/>
      </c>
      <c r="BM39" s="130">
        <f>IF(OR($C39="",$B$2="",$D$2=0),0,IF(BM$3&lt;0,0,N(INDEX('CURVA PREVISION'!$A$1:$KZ$3000,$C39,10+3*MIN(BM$3,$D$2-1)))))</f>
        <v/>
      </c>
      <c r="BN39" s="130">
        <f>IF(OR($C39="",$B$2="",$D$2=0),0,IF(BN$3&lt;0,0,N(INDEX('CURVA PREVISION'!$A$1:$KZ$3000,$C39,10+3*MIN(BN$3,$D$2-1)))))</f>
        <v/>
      </c>
      <c r="BO39" s="130">
        <f>IF(OR($C39="",$B$2="",$D$2=0),0,IF(BO$3&lt;0,0,N(INDEX('CURVA PREVISION'!$A$1:$KZ$3000,$C39,10+3*MIN(BO$3,$D$2-1)))))</f>
        <v/>
      </c>
      <c r="BP39" s="130">
        <f>IF(OR($C39="",$B$2="",$D$2=0),0,IF(BP$3&lt;0,0,N(INDEX('CURVA PREVISION'!$A$1:$KZ$3000,$C39,10+3*MIN(BP$3,$D$2-1)))))</f>
        <v/>
      </c>
      <c r="BQ39" s="130">
        <f>IF(OR($C39="",$B$2="",$D$2=0),0,IF(BQ$3&lt;0,0,N(INDEX('CURVA PREVISION'!$A$1:$KZ$3000,$C39,10+3*MIN(BQ$3,$D$2-1)))))</f>
        <v/>
      </c>
      <c r="BR39" s="130">
        <f>IF(OR($C39="",$B$2="",$D$2=0),0,IF(BR$3&lt;0,0,N(INDEX('CURVA PREVISION'!$A$1:$KZ$3000,$C39,10+3*MIN(BR$3,$D$2-1)))))</f>
        <v/>
      </c>
      <c r="BS39" s="130">
        <f>IF(OR($C39="",$B$2="",$D$2=0),0,IF(BS$3&lt;0,0,N(INDEX('CURVA PREVISION'!$A$1:$KZ$3000,$C39,10+3*MIN(BS$3,$D$2-1)))))</f>
        <v/>
      </c>
      <c r="BT39" s="130">
        <f>IF(OR($C39="",$B$2="",$D$2=0),0,IF(BT$3&lt;0,0,N(INDEX('CURVA PREVISION'!$A$1:$KZ$3000,$C39,10+3*MIN(BT$3,$D$2-1)))))</f>
        <v/>
      </c>
      <c r="BU39" s="130">
        <f>IF(OR($C39="",$B$2="",$D$2=0),0,IF(BU$3&lt;0,0,N(INDEX('CURVA PREVISION'!$A$1:$KZ$3000,$C39,10+3*MIN(BU$3,$D$2-1)))))</f>
        <v/>
      </c>
      <c r="BV39" s="130">
        <f>IF(OR($C39="",$B$2="",$D$2=0),0,IF(BV$3&lt;0,0,N(INDEX('CURVA PREVISION'!$A$1:$KZ$3000,$C39,10+3*MIN(BV$3,$D$2-1)))))</f>
        <v/>
      </c>
      <c r="BW39" s="130">
        <f>IF(OR($C39="",$B$2="",$D$2=0),0,IF(BW$3&lt;0,0,N(INDEX('CURVA PREVISION'!$A$1:$KZ$3000,$C39,10+3*MIN(BW$3,$D$2-1)))))</f>
        <v/>
      </c>
    </row>
    <row r="40">
      <c r="A40" s="61">
        <f>IF('VALOR POR PL'!R46&lt;&gt;"",'VALOR POR PL'!R46,IF('VALOR POR PL'!Q46="",'VALOR POR PL'!C46,'VALOR POR PL'!Q46))</f>
        <v/>
      </c>
      <c r="B40" s="61">
        <f>'VALOR POR PL'!D46</f>
        <v/>
      </c>
      <c r="C40" s="70">
        <f>IFERROR(MATCH(A40,'CURVA PREVISION'!$B$1:$B$3000,0),"")</f>
        <v/>
      </c>
      <c r="D40" s="130">
        <f>IF(OR($C40="",$B$2="",$D$2=0),0,IF(D$3&lt;0,0,N(INDEX('CURVA PREVISION'!$A$1:$KZ$3000,$C40,10+3*MIN(D$3,$D$2-1)))))</f>
        <v/>
      </c>
      <c r="E40" s="130">
        <f>IF(OR($C40="",$B$2="",$D$2=0),0,IF(E$3&lt;0,0,N(INDEX('CURVA PREVISION'!$A$1:$KZ$3000,$C40,10+3*MIN(E$3,$D$2-1)))))</f>
        <v/>
      </c>
      <c r="F40" s="130">
        <f>IF(OR($C40="",$B$2="",$D$2=0),0,IF(F$3&lt;0,0,N(INDEX('CURVA PREVISION'!$A$1:$KZ$3000,$C40,10+3*MIN(F$3,$D$2-1)))))</f>
        <v/>
      </c>
      <c r="G40" s="130">
        <f>IF(OR($C40="",$B$2="",$D$2=0),0,IF(G$3&lt;0,0,N(INDEX('CURVA PREVISION'!$A$1:$KZ$3000,$C40,10+3*MIN(G$3,$D$2-1)))))</f>
        <v/>
      </c>
      <c r="H40" s="130">
        <f>IF(OR($C40="",$B$2="",$D$2=0),0,IF(H$3&lt;0,0,N(INDEX('CURVA PREVISION'!$A$1:$KZ$3000,$C40,10+3*MIN(H$3,$D$2-1)))))</f>
        <v/>
      </c>
      <c r="I40" s="130">
        <f>IF(OR($C40="",$B$2="",$D$2=0),0,IF(I$3&lt;0,0,N(INDEX('CURVA PREVISION'!$A$1:$KZ$3000,$C40,10+3*MIN(I$3,$D$2-1)))))</f>
        <v/>
      </c>
      <c r="J40" s="130">
        <f>IF(OR($C40="",$B$2="",$D$2=0),0,IF(J$3&lt;0,0,N(INDEX('CURVA PREVISION'!$A$1:$KZ$3000,$C40,10+3*MIN(J$3,$D$2-1)))))</f>
        <v/>
      </c>
      <c r="K40" s="130">
        <f>IF(OR($C40="",$B$2="",$D$2=0),0,IF(K$3&lt;0,0,N(INDEX('CURVA PREVISION'!$A$1:$KZ$3000,$C40,10+3*MIN(K$3,$D$2-1)))))</f>
        <v/>
      </c>
      <c r="L40" s="130">
        <f>IF(OR($C40="",$B$2="",$D$2=0),0,IF(L$3&lt;0,0,N(INDEX('CURVA PREVISION'!$A$1:$KZ$3000,$C40,10+3*MIN(L$3,$D$2-1)))))</f>
        <v/>
      </c>
      <c r="M40" s="130">
        <f>IF(OR($C40="",$B$2="",$D$2=0),0,IF(M$3&lt;0,0,N(INDEX('CURVA PREVISION'!$A$1:$KZ$3000,$C40,10+3*MIN(M$3,$D$2-1)))))</f>
        <v/>
      </c>
      <c r="N40" s="130">
        <f>IF(OR($C40="",$B$2="",$D$2=0),0,IF(N$3&lt;0,0,N(INDEX('CURVA PREVISION'!$A$1:$KZ$3000,$C40,10+3*MIN(N$3,$D$2-1)))))</f>
        <v/>
      </c>
      <c r="O40" s="130">
        <f>IF(OR($C40="",$B$2="",$D$2=0),0,IF(O$3&lt;0,0,N(INDEX('CURVA PREVISION'!$A$1:$KZ$3000,$C40,10+3*MIN(O$3,$D$2-1)))))</f>
        <v/>
      </c>
      <c r="P40" s="130">
        <f>IF(OR($C40="",$B$2="",$D$2=0),0,IF(P$3&lt;0,0,N(INDEX('CURVA PREVISION'!$A$1:$KZ$3000,$C40,10+3*MIN(P$3,$D$2-1)))))</f>
        <v/>
      </c>
      <c r="Q40" s="130">
        <f>IF(OR($C40="",$B$2="",$D$2=0),0,IF(Q$3&lt;0,0,N(INDEX('CURVA PREVISION'!$A$1:$KZ$3000,$C40,10+3*MIN(Q$3,$D$2-1)))))</f>
        <v/>
      </c>
      <c r="R40" s="130">
        <f>IF(OR($C40="",$B$2="",$D$2=0),0,IF(R$3&lt;0,0,N(INDEX('CURVA PREVISION'!$A$1:$KZ$3000,$C40,10+3*MIN(R$3,$D$2-1)))))</f>
        <v/>
      </c>
      <c r="S40" s="130">
        <f>IF(OR($C40="",$B$2="",$D$2=0),0,IF(S$3&lt;0,0,N(INDEX('CURVA PREVISION'!$A$1:$KZ$3000,$C40,10+3*MIN(S$3,$D$2-1)))))</f>
        <v/>
      </c>
      <c r="T40" s="130">
        <f>IF(OR($C40="",$B$2="",$D$2=0),0,IF(T$3&lt;0,0,N(INDEX('CURVA PREVISION'!$A$1:$KZ$3000,$C40,10+3*MIN(T$3,$D$2-1)))))</f>
        <v/>
      </c>
      <c r="U40" s="130">
        <f>IF(OR($C40="",$B$2="",$D$2=0),0,IF(U$3&lt;0,0,N(INDEX('CURVA PREVISION'!$A$1:$KZ$3000,$C40,10+3*MIN(U$3,$D$2-1)))))</f>
        <v/>
      </c>
      <c r="V40" s="130">
        <f>IF(OR($C40="",$B$2="",$D$2=0),0,IF(V$3&lt;0,0,N(INDEX('CURVA PREVISION'!$A$1:$KZ$3000,$C40,10+3*MIN(V$3,$D$2-1)))))</f>
        <v/>
      </c>
      <c r="W40" s="130">
        <f>IF(OR($C40="",$B$2="",$D$2=0),0,IF(W$3&lt;0,0,N(INDEX('CURVA PREVISION'!$A$1:$KZ$3000,$C40,10+3*MIN(W$3,$D$2-1)))))</f>
        <v/>
      </c>
      <c r="X40" s="130">
        <f>IF(OR($C40="",$B$2="",$D$2=0),0,IF(X$3&lt;0,0,N(INDEX('CURVA PREVISION'!$A$1:$KZ$3000,$C40,10+3*MIN(X$3,$D$2-1)))))</f>
        <v/>
      </c>
      <c r="Y40" s="130">
        <f>IF(OR($C40="",$B$2="",$D$2=0),0,IF(Y$3&lt;0,0,N(INDEX('CURVA PREVISION'!$A$1:$KZ$3000,$C40,10+3*MIN(Y$3,$D$2-1)))))</f>
        <v/>
      </c>
      <c r="Z40" s="130">
        <f>IF(OR($C40="",$B$2="",$D$2=0),0,IF(Z$3&lt;0,0,N(INDEX('CURVA PREVISION'!$A$1:$KZ$3000,$C40,10+3*MIN(Z$3,$D$2-1)))))</f>
        <v/>
      </c>
      <c r="AA40" s="130">
        <f>IF(OR($C40="",$B$2="",$D$2=0),0,IF(AA$3&lt;0,0,N(INDEX('CURVA PREVISION'!$A$1:$KZ$3000,$C40,10+3*MIN(AA$3,$D$2-1)))))</f>
        <v/>
      </c>
      <c r="AB40" s="130">
        <f>IF(OR($C40="",$B$2="",$D$2=0),0,IF(AB$3&lt;0,0,N(INDEX('CURVA PREVISION'!$A$1:$KZ$3000,$C40,10+3*MIN(AB$3,$D$2-1)))))</f>
        <v/>
      </c>
      <c r="AC40" s="130">
        <f>IF(OR($C40="",$B$2="",$D$2=0),0,IF(AC$3&lt;0,0,N(INDEX('CURVA PREVISION'!$A$1:$KZ$3000,$C40,10+3*MIN(AC$3,$D$2-1)))))</f>
        <v/>
      </c>
      <c r="AD40" s="130">
        <f>IF(OR($C40="",$B$2="",$D$2=0),0,IF(AD$3&lt;0,0,N(INDEX('CURVA PREVISION'!$A$1:$KZ$3000,$C40,10+3*MIN(AD$3,$D$2-1)))))</f>
        <v/>
      </c>
      <c r="AE40" s="130">
        <f>IF(OR($C40="",$B$2="",$D$2=0),0,IF(AE$3&lt;0,0,N(INDEX('CURVA PREVISION'!$A$1:$KZ$3000,$C40,10+3*MIN(AE$3,$D$2-1)))))</f>
        <v/>
      </c>
      <c r="AF40" s="130">
        <f>IF(OR($C40="",$B$2="",$D$2=0),0,IF(AF$3&lt;0,0,N(INDEX('CURVA PREVISION'!$A$1:$KZ$3000,$C40,10+3*MIN(AF$3,$D$2-1)))))</f>
        <v/>
      </c>
      <c r="AG40" s="130">
        <f>IF(OR($C40="",$B$2="",$D$2=0),0,IF(AG$3&lt;0,0,N(INDEX('CURVA PREVISION'!$A$1:$KZ$3000,$C40,10+3*MIN(AG$3,$D$2-1)))))</f>
        <v/>
      </c>
      <c r="AH40" s="130">
        <f>IF(OR($C40="",$B$2="",$D$2=0),0,IF(AH$3&lt;0,0,N(INDEX('CURVA PREVISION'!$A$1:$KZ$3000,$C40,10+3*MIN(AH$3,$D$2-1)))))</f>
        <v/>
      </c>
      <c r="AI40" s="130">
        <f>IF(OR($C40="",$B$2="",$D$2=0),0,IF(AI$3&lt;0,0,N(INDEX('CURVA PREVISION'!$A$1:$KZ$3000,$C40,10+3*MIN(AI$3,$D$2-1)))))</f>
        <v/>
      </c>
      <c r="AJ40" s="130">
        <f>IF(OR($C40="",$B$2="",$D$2=0),0,IF(AJ$3&lt;0,0,N(INDEX('CURVA PREVISION'!$A$1:$KZ$3000,$C40,10+3*MIN(AJ$3,$D$2-1)))))</f>
        <v/>
      </c>
      <c r="AK40" s="130">
        <f>IF(OR($C40="",$B$2="",$D$2=0),0,IF(AK$3&lt;0,0,N(INDEX('CURVA PREVISION'!$A$1:$KZ$3000,$C40,10+3*MIN(AK$3,$D$2-1)))))</f>
        <v/>
      </c>
      <c r="AL40" s="130">
        <f>IF(OR($C40="",$B$2="",$D$2=0),0,IF(AL$3&lt;0,0,N(INDEX('CURVA PREVISION'!$A$1:$KZ$3000,$C40,10+3*MIN(AL$3,$D$2-1)))))</f>
        <v/>
      </c>
      <c r="AM40" s="130">
        <f>IF(OR($C40="",$B$2="",$D$2=0),0,IF(AM$3&lt;0,0,N(INDEX('CURVA PREVISION'!$A$1:$KZ$3000,$C40,10+3*MIN(AM$3,$D$2-1)))))</f>
        <v/>
      </c>
      <c r="AN40" s="130">
        <f>IF(OR($C40="",$B$2="",$D$2=0),0,IF(AN$3&lt;0,0,N(INDEX('CURVA PREVISION'!$A$1:$KZ$3000,$C40,10+3*MIN(AN$3,$D$2-1)))))</f>
        <v/>
      </c>
      <c r="AO40" s="130">
        <f>IF(OR($C40="",$B$2="",$D$2=0),0,IF(AO$3&lt;0,0,N(INDEX('CURVA PREVISION'!$A$1:$KZ$3000,$C40,10+3*MIN(AO$3,$D$2-1)))))</f>
        <v/>
      </c>
      <c r="AP40" s="130">
        <f>IF(OR($C40="",$B$2="",$D$2=0),0,IF(AP$3&lt;0,0,N(INDEX('CURVA PREVISION'!$A$1:$KZ$3000,$C40,10+3*MIN(AP$3,$D$2-1)))))</f>
        <v/>
      </c>
      <c r="AQ40" s="130">
        <f>IF(OR($C40="",$B$2="",$D$2=0),0,IF(AQ$3&lt;0,0,N(INDEX('CURVA PREVISION'!$A$1:$KZ$3000,$C40,10+3*MIN(AQ$3,$D$2-1)))))</f>
        <v/>
      </c>
      <c r="AR40" s="130">
        <f>IF(OR($C40="",$B$2="",$D$2=0),0,IF(AR$3&lt;0,0,N(INDEX('CURVA PREVISION'!$A$1:$KZ$3000,$C40,10+3*MIN(AR$3,$D$2-1)))))</f>
        <v/>
      </c>
      <c r="AS40" s="130">
        <f>IF(OR($C40="",$B$2="",$D$2=0),0,IF(AS$3&lt;0,0,N(INDEX('CURVA PREVISION'!$A$1:$KZ$3000,$C40,10+3*MIN(AS$3,$D$2-1)))))</f>
        <v/>
      </c>
      <c r="AT40" s="130">
        <f>IF(OR($C40="",$B$2="",$D$2=0),0,IF(AT$3&lt;0,0,N(INDEX('CURVA PREVISION'!$A$1:$KZ$3000,$C40,10+3*MIN(AT$3,$D$2-1)))))</f>
        <v/>
      </c>
      <c r="AU40" s="130">
        <f>IF(OR($C40="",$B$2="",$D$2=0),0,IF(AU$3&lt;0,0,N(INDEX('CURVA PREVISION'!$A$1:$KZ$3000,$C40,10+3*MIN(AU$3,$D$2-1)))))</f>
        <v/>
      </c>
      <c r="AV40" s="130">
        <f>IF(OR($C40="",$B$2="",$D$2=0),0,IF(AV$3&lt;0,0,N(INDEX('CURVA PREVISION'!$A$1:$KZ$3000,$C40,10+3*MIN(AV$3,$D$2-1)))))</f>
        <v/>
      </c>
      <c r="AW40" s="130">
        <f>IF(OR($C40="",$B$2="",$D$2=0),0,IF(AW$3&lt;0,0,N(INDEX('CURVA PREVISION'!$A$1:$KZ$3000,$C40,10+3*MIN(AW$3,$D$2-1)))))</f>
        <v/>
      </c>
      <c r="AX40" s="130">
        <f>IF(OR($C40="",$B$2="",$D$2=0),0,IF(AX$3&lt;0,0,N(INDEX('CURVA PREVISION'!$A$1:$KZ$3000,$C40,10+3*MIN(AX$3,$D$2-1)))))</f>
        <v/>
      </c>
      <c r="AY40" s="130">
        <f>IF(OR($C40="",$B$2="",$D$2=0),0,IF(AY$3&lt;0,0,N(INDEX('CURVA PREVISION'!$A$1:$KZ$3000,$C40,10+3*MIN(AY$3,$D$2-1)))))</f>
        <v/>
      </c>
      <c r="AZ40" s="130">
        <f>IF(OR($C40="",$B$2="",$D$2=0),0,IF(AZ$3&lt;0,0,N(INDEX('CURVA PREVISION'!$A$1:$KZ$3000,$C40,10+3*MIN(AZ$3,$D$2-1)))))</f>
        <v/>
      </c>
      <c r="BA40" s="130">
        <f>IF(OR($C40="",$B$2="",$D$2=0),0,IF(BA$3&lt;0,0,N(INDEX('CURVA PREVISION'!$A$1:$KZ$3000,$C40,10+3*MIN(BA$3,$D$2-1)))))</f>
        <v/>
      </c>
      <c r="BB40" s="130">
        <f>IF(OR($C40="",$B$2="",$D$2=0),0,IF(BB$3&lt;0,0,N(INDEX('CURVA PREVISION'!$A$1:$KZ$3000,$C40,10+3*MIN(BB$3,$D$2-1)))))</f>
        <v/>
      </c>
      <c r="BC40" s="130">
        <f>IF(OR($C40="",$B$2="",$D$2=0),0,IF(BC$3&lt;0,0,N(INDEX('CURVA PREVISION'!$A$1:$KZ$3000,$C40,10+3*MIN(BC$3,$D$2-1)))))</f>
        <v/>
      </c>
      <c r="BD40" s="130">
        <f>IF(OR($C40="",$B$2="",$D$2=0),0,IF(BD$3&lt;0,0,N(INDEX('CURVA PREVISION'!$A$1:$KZ$3000,$C40,10+3*MIN(BD$3,$D$2-1)))))</f>
        <v/>
      </c>
      <c r="BE40" s="130">
        <f>IF(OR($C40="",$B$2="",$D$2=0),0,IF(BE$3&lt;0,0,N(INDEX('CURVA PREVISION'!$A$1:$KZ$3000,$C40,10+3*MIN(BE$3,$D$2-1)))))</f>
        <v/>
      </c>
      <c r="BF40" s="130">
        <f>IF(OR($C40="",$B$2="",$D$2=0),0,IF(BF$3&lt;0,0,N(INDEX('CURVA PREVISION'!$A$1:$KZ$3000,$C40,10+3*MIN(BF$3,$D$2-1)))))</f>
        <v/>
      </c>
      <c r="BG40" s="130">
        <f>IF(OR($C40="",$B$2="",$D$2=0),0,IF(BG$3&lt;0,0,N(INDEX('CURVA PREVISION'!$A$1:$KZ$3000,$C40,10+3*MIN(BG$3,$D$2-1)))))</f>
        <v/>
      </c>
      <c r="BH40" s="130">
        <f>IF(OR($C40="",$B$2="",$D$2=0),0,IF(BH$3&lt;0,0,N(INDEX('CURVA PREVISION'!$A$1:$KZ$3000,$C40,10+3*MIN(BH$3,$D$2-1)))))</f>
        <v/>
      </c>
      <c r="BI40" s="130">
        <f>IF(OR($C40="",$B$2="",$D$2=0),0,IF(BI$3&lt;0,0,N(INDEX('CURVA PREVISION'!$A$1:$KZ$3000,$C40,10+3*MIN(BI$3,$D$2-1)))))</f>
        <v/>
      </c>
      <c r="BJ40" s="130">
        <f>IF(OR($C40="",$B$2="",$D$2=0),0,IF(BJ$3&lt;0,0,N(INDEX('CURVA PREVISION'!$A$1:$KZ$3000,$C40,10+3*MIN(BJ$3,$D$2-1)))))</f>
        <v/>
      </c>
      <c r="BK40" s="130">
        <f>IF(OR($C40="",$B$2="",$D$2=0),0,IF(BK$3&lt;0,0,N(INDEX('CURVA PREVISION'!$A$1:$KZ$3000,$C40,10+3*MIN(BK$3,$D$2-1)))))</f>
        <v/>
      </c>
      <c r="BL40" s="130">
        <f>IF(OR($C40="",$B$2="",$D$2=0),0,IF(BL$3&lt;0,0,N(INDEX('CURVA PREVISION'!$A$1:$KZ$3000,$C40,10+3*MIN(BL$3,$D$2-1)))))</f>
        <v/>
      </c>
      <c r="BM40" s="130">
        <f>IF(OR($C40="",$B$2="",$D$2=0),0,IF(BM$3&lt;0,0,N(INDEX('CURVA PREVISION'!$A$1:$KZ$3000,$C40,10+3*MIN(BM$3,$D$2-1)))))</f>
        <v/>
      </c>
      <c r="BN40" s="130">
        <f>IF(OR($C40="",$B$2="",$D$2=0),0,IF(BN$3&lt;0,0,N(INDEX('CURVA PREVISION'!$A$1:$KZ$3000,$C40,10+3*MIN(BN$3,$D$2-1)))))</f>
        <v/>
      </c>
      <c r="BO40" s="130">
        <f>IF(OR($C40="",$B$2="",$D$2=0),0,IF(BO$3&lt;0,0,N(INDEX('CURVA PREVISION'!$A$1:$KZ$3000,$C40,10+3*MIN(BO$3,$D$2-1)))))</f>
        <v/>
      </c>
      <c r="BP40" s="130">
        <f>IF(OR($C40="",$B$2="",$D$2=0),0,IF(BP$3&lt;0,0,N(INDEX('CURVA PREVISION'!$A$1:$KZ$3000,$C40,10+3*MIN(BP$3,$D$2-1)))))</f>
        <v/>
      </c>
      <c r="BQ40" s="130">
        <f>IF(OR($C40="",$B$2="",$D$2=0),0,IF(BQ$3&lt;0,0,N(INDEX('CURVA PREVISION'!$A$1:$KZ$3000,$C40,10+3*MIN(BQ$3,$D$2-1)))))</f>
        <v/>
      </c>
      <c r="BR40" s="130">
        <f>IF(OR($C40="",$B$2="",$D$2=0),0,IF(BR$3&lt;0,0,N(INDEX('CURVA PREVISION'!$A$1:$KZ$3000,$C40,10+3*MIN(BR$3,$D$2-1)))))</f>
        <v/>
      </c>
      <c r="BS40" s="130">
        <f>IF(OR($C40="",$B$2="",$D$2=0),0,IF(BS$3&lt;0,0,N(INDEX('CURVA PREVISION'!$A$1:$KZ$3000,$C40,10+3*MIN(BS$3,$D$2-1)))))</f>
        <v/>
      </c>
      <c r="BT40" s="130">
        <f>IF(OR($C40="",$B$2="",$D$2=0),0,IF(BT$3&lt;0,0,N(INDEX('CURVA PREVISION'!$A$1:$KZ$3000,$C40,10+3*MIN(BT$3,$D$2-1)))))</f>
        <v/>
      </c>
      <c r="BU40" s="130">
        <f>IF(OR($C40="",$B$2="",$D$2=0),0,IF(BU$3&lt;0,0,N(INDEX('CURVA PREVISION'!$A$1:$KZ$3000,$C40,10+3*MIN(BU$3,$D$2-1)))))</f>
        <v/>
      </c>
      <c r="BV40" s="130">
        <f>IF(OR($C40="",$B$2="",$D$2=0),0,IF(BV$3&lt;0,0,N(INDEX('CURVA PREVISION'!$A$1:$KZ$3000,$C40,10+3*MIN(BV$3,$D$2-1)))))</f>
        <v/>
      </c>
      <c r="BW40" s="130">
        <f>IF(OR($C40="",$B$2="",$D$2=0),0,IF(BW$3&lt;0,0,N(INDEX('CURVA PREVISION'!$A$1:$KZ$3000,$C40,10+3*MIN(BW$3,$D$2-1)))))</f>
        <v/>
      </c>
    </row>
    <row r="41">
      <c r="A41" s="61">
        <f>IF('VALOR POR PL'!R47&lt;&gt;"",'VALOR POR PL'!R47,IF('VALOR POR PL'!Q47="",'VALOR POR PL'!C47,'VALOR POR PL'!Q47))</f>
        <v/>
      </c>
      <c r="B41" s="61">
        <f>'VALOR POR PL'!D47</f>
        <v/>
      </c>
      <c r="C41" s="70">
        <f>IFERROR(MATCH(A41,'CURVA PREVISION'!$B$1:$B$3000,0),"")</f>
        <v/>
      </c>
      <c r="D41" s="130">
        <f>IF(OR($C41="",$B$2="",$D$2=0),0,IF(D$3&lt;0,0,N(INDEX('CURVA PREVISION'!$A$1:$KZ$3000,$C41,10+3*MIN(D$3,$D$2-1)))))</f>
        <v/>
      </c>
      <c r="E41" s="130">
        <f>IF(OR($C41="",$B$2="",$D$2=0),0,IF(E$3&lt;0,0,N(INDEX('CURVA PREVISION'!$A$1:$KZ$3000,$C41,10+3*MIN(E$3,$D$2-1)))))</f>
        <v/>
      </c>
      <c r="F41" s="130">
        <f>IF(OR($C41="",$B$2="",$D$2=0),0,IF(F$3&lt;0,0,N(INDEX('CURVA PREVISION'!$A$1:$KZ$3000,$C41,10+3*MIN(F$3,$D$2-1)))))</f>
        <v/>
      </c>
      <c r="G41" s="130">
        <f>IF(OR($C41="",$B$2="",$D$2=0),0,IF(G$3&lt;0,0,N(INDEX('CURVA PREVISION'!$A$1:$KZ$3000,$C41,10+3*MIN(G$3,$D$2-1)))))</f>
        <v/>
      </c>
      <c r="H41" s="130">
        <f>IF(OR($C41="",$B$2="",$D$2=0),0,IF(H$3&lt;0,0,N(INDEX('CURVA PREVISION'!$A$1:$KZ$3000,$C41,10+3*MIN(H$3,$D$2-1)))))</f>
        <v/>
      </c>
      <c r="I41" s="130">
        <f>IF(OR($C41="",$B$2="",$D$2=0),0,IF(I$3&lt;0,0,N(INDEX('CURVA PREVISION'!$A$1:$KZ$3000,$C41,10+3*MIN(I$3,$D$2-1)))))</f>
        <v/>
      </c>
      <c r="J41" s="130">
        <f>IF(OR($C41="",$B$2="",$D$2=0),0,IF(J$3&lt;0,0,N(INDEX('CURVA PREVISION'!$A$1:$KZ$3000,$C41,10+3*MIN(J$3,$D$2-1)))))</f>
        <v/>
      </c>
      <c r="K41" s="130">
        <f>IF(OR($C41="",$B$2="",$D$2=0),0,IF(K$3&lt;0,0,N(INDEX('CURVA PREVISION'!$A$1:$KZ$3000,$C41,10+3*MIN(K$3,$D$2-1)))))</f>
        <v/>
      </c>
      <c r="L41" s="130">
        <f>IF(OR($C41="",$B$2="",$D$2=0),0,IF(L$3&lt;0,0,N(INDEX('CURVA PREVISION'!$A$1:$KZ$3000,$C41,10+3*MIN(L$3,$D$2-1)))))</f>
        <v/>
      </c>
      <c r="M41" s="130">
        <f>IF(OR($C41="",$B$2="",$D$2=0),0,IF(M$3&lt;0,0,N(INDEX('CURVA PREVISION'!$A$1:$KZ$3000,$C41,10+3*MIN(M$3,$D$2-1)))))</f>
        <v/>
      </c>
      <c r="N41" s="130">
        <f>IF(OR($C41="",$B$2="",$D$2=0),0,IF(N$3&lt;0,0,N(INDEX('CURVA PREVISION'!$A$1:$KZ$3000,$C41,10+3*MIN(N$3,$D$2-1)))))</f>
        <v/>
      </c>
      <c r="O41" s="130">
        <f>IF(OR($C41="",$B$2="",$D$2=0),0,IF(O$3&lt;0,0,N(INDEX('CURVA PREVISION'!$A$1:$KZ$3000,$C41,10+3*MIN(O$3,$D$2-1)))))</f>
        <v/>
      </c>
      <c r="P41" s="130">
        <f>IF(OR($C41="",$B$2="",$D$2=0),0,IF(P$3&lt;0,0,N(INDEX('CURVA PREVISION'!$A$1:$KZ$3000,$C41,10+3*MIN(P$3,$D$2-1)))))</f>
        <v/>
      </c>
      <c r="Q41" s="130">
        <f>IF(OR($C41="",$B$2="",$D$2=0),0,IF(Q$3&lt;0,0,N(INDEX('CURVA PREVISION'!$A$1:$KZ$3000,$C41,10+3*MIN(Q$3,$D$2-1)))))</f>
        <v/>
      </c>
      <c r="R41" s="130">
        <f>IF(OR($C41="",$B$2="",$D$2=0),0,IF(R$3&lt;0,0,N(INDEX('CURVA PREVISION'!$A$1:$KZ$3000,$C41,10+3*MIN(R$3,$D$2-1)))))</f>
        <v/>
      </c>
      <c r="S41" s="130">
        <f>IF(OR($C41="",$B$2="",$D$2=0),0,IF(S$3&lt;0,0,N(INDEX('CURVA PREVISION'!$A$1:$KZ$3000,$C41,10+3*MIN(S$3,$D$2-1)))))</f>
        <v/>
      </c>
      <c r="T41" s="130">
        <f>IF(OR($C41="",$B$2="",$D$2=0),0,IF(T$3&lt;0,0,N(INDEX('CURVA PREVISION'!$A$1:$KZ$3000,$C41,10+3*MIN(T$3,$D$2-1)))))</f>
        <v/>
      </c>
      <c r="U41" s="130">
        <f>IF(OR($C41="",$B$2="",$D$2=0),0,IF(U$3&lt;0,0,N(INDEX('CURVA PREVISION'!$A$1:$KZ$3000,$C41,10+3*MIN(U$3,$D$2-1)))))</f>
        <v/>
      </c>
      <c r="V41" s="130">
        <f>IF(OR($C41="",$B$2="",$D$2=0),0,IF(V$3&lt;0,0,N(INDEX('CURVA PREVISION'!$A$1:$KZ$3000,$C41,10+3*MIN(V$3,$D$2-1)))))</f>
        <v/>
      </c>
      <c r="W41" s="130">
        <f>IF(OR($C41="",$B$2="",$D$2=0),0,IF(W$3&lt;0,0,N(INDEX('CURVA PREVISION'!$A$1:$KZ$3000,$C41,10+3*MIN(W$3,$D$2-1)))))</f>
        <v/>
      </c>
      <c r="X41" s="130">
        <f>IF(OR($C41="",$B$2="",$D$2=0),0,IF(X$3&lt;0,0,N(INDEX('CURVA PREVISION'!$A$1:$KZ$3000,$C41,10+3*MIN(X$3,$D$2-1)))))</f>
        <v/>
      </c>
      <c r="Y41" s="130">
        <f>IF(OR($C41="",$B$2="",$D$2=0),0,IF(Y$3&lt;0,0,N(INDEX('CURVA PREVISION'!$A$1:$KZ$3000,$C41,10+3*MIN(Y$3,$D$2-1)))))</f>
        <v/>
      </c>
      <c r="Z41" s="130">
        <f>IF(OR($C41="",$B$2="",$D$2=0),0,IF(Z$3&lt;0,0,N(INDEX('CURVA PREVISION'!$A$1:$KZ$3000,$C41,10+3*MIN(Z$3,$D$2-1)))))</f>
        <v/>
      </c>
      <c r="AA41" s="130">
        <f>IF(OR($C41="",$B$2="",$D$2=0),0,IF(AA$3&lt;0,0,N(INDEX('CURVA PREVISION'!$A$1:$KZ$3000,$C41,10+3*MIN(AA$3,$D$2-1)))))</f>
        <v/>
      </c>
      <c r="AB41" s="130">
        <f>IF(OR($C41="",$B$2="",$D$2=0),0,IF(AB$3&lt;0,0,N(INDEX('CURVA PREVISION'!$A$1:$KZ$3000,$C41,10+3*MIN(AB$3,$D$2-1)))))</f>
        <v/>
      </c>
      <c r="AC41" s="130">
        <f>IF(OR($C41="",$B$2="",$D$2=0),0,IF(AC$3&lt;0,0,N(INDEX('CURVA PREVISION'!$A$1:$KZ$3000,$C41,10+3*MIN(AC$3,$D$2-1)))))</f>
        <v/>
      </c>
      <c r="AD41" s="130">
        <f>IF(OR($C41="",$B$2="",$D$2=0),0,IF(AD$3&lt;0,0,N(INDEX('CURVA PREVISION'!$A$1:$KZ$3000,$C41,10+3*MIN(AD$3,$D$2-1)))))</f>
        <v/>
      </c>
      <c r="AE41" s="130">
        <f>IF(OR($C41="",$B$2="",$D$2=0),0,IF(AE$3&lt;0,0,N(INDEX('CURVA PREVISION'!$A$1:$KZ$3000,$C41,10+3*MIN(AE$3,$D$2-1)))))</f>
        <v/>
      </c>
      <c r="AF41" s="130">
        <f>IF(OR($C41="",$B$2="",$D$2=0),0,IF(AF$3&lt;0,0,N(INDEX('CURVA PREVISION'!$A$1:$KZ$3000,$C41,10+3*MIN(AF$3,$D$2-1)))))</f>
        <v/>
      </c>
      <c r="AG41" s="130">
        <f>IF(OR($C41="",$B$2="",$D$2=0),0,IF(AG$3&lt;0,0,N(INDEX('CURVA PREVISION'!$A$1:$KZ$3000,$C41,10+3*MIN(AG$3,$D$2-1)))))</f>
        <v/>
      </c>
      <c r="AH41" s="130">
        <f>IF(OR($C41="",$B$2="",$D$2=0),0,IF(AH$3&lt;0,0,N(INDEX('CURVA PREVISION'!$A$1:$KZ$3000,$C41,10+3*MIN(AH$3,$D$2-1)))))</f>
        <v/>
      </c>
      <c r="AI41" s="130">
        <f>IF(OR($C41="",$B$2="",$D$2=0),0,IF(AI$3&lt;0,0,N(INDEX('CURVA PREVISION'!$A$1:$KZ$3000,$C41,10+3*MIN(AI$3,$D$2-1)))))</f>
        <v/>
      </c>
      <c r="AJ41" s="130">
        <f>IF(OR($C41="",$B$2="",$D$2=0),0,IF(AJ$3&lt;0,0,N(INDEX('CURVA PREVISION'!$A$1:$KZ$3000,$C41,10+3*MIN(AJ$3,$D$2-1)))))</f>
        <v/>
      </c>
      <c r="AK41" s="130">
        <f>IF(OR($C41="",$B$2="",$D$2=0),0,IF(AK$3&lt;0,0,N(INDEX('CURVA PREVISION'!$A$1:$KZ$3000,$C41,10+3*MIN(AK$3,$D$2-1)))))</f>
        <v/>
      </c>
      <c r="AL41" s="130">
        <f>IF(OR($C41="",$B$2="",$D$2=0),0,IF(AL$3&lt;0,0,N(INDEX('CURVA PREVISION'!$A$1:$KZ$3000,$C41,10+3*MIN(AL$3,$D$2-1)))))</f>
        <v/>
      </c>
      <c r="AM41" s="130">
        <f>IF(OR($C41="",$B$2="",$D$2=0),0,IF(AM$3&lt;0,0,N(INDEX('CURVA PREVISION'!$A$1:$KZ$3000,$C41,10+3*MIN(AM$3,$D$2-1)))))</f>
        <v/>
      </c>
      <c r="AN41" s="130">
        <f>IF(OR($C41="",$B$2="",$D$2=0),0,IF(AN$3&lt;0,0,N(INDEX('CURVA PREVISION'!$A$1:$KZ$3000,$C41,10+3*MIN(AN$3,$D$2-1)))))</f>
        <v/>
      </c>
      <c r="AO41" s="130">
        <f>IF(OR($C41="",$B$2="",$D$2=0),0,IF(AO$3&lt;0,0,N(INDEX('CURVA PREVISION'!$A$1:$KZ$3000,$C41,10+3*MIN(AO$3,$D$2-1)))))</f>
        <v/>
      </c>
      <c r="AP41" s="130">
        <f>IF(OR($C41="",$B$2="",$D$2=0),0,IF(AP$3&lt;0,0,N(INDEX('CURVA PREVISION'!$A$1:$KZ$3000,$C41,10+3*MIN(AP$3,$D$2-1)))))</f>
        <v/>
      </c>
      <c r="AQ41" s="130">
        <f>IF(OR($C41="",$B$2="",$D$2=0),0,IF(AQ$3&lt;0,0,N(INDEX('CURVA PREVISION'!$A$1:$KZ$3000,$C41,10+3*MIN(AQ$3,$D$2-1)))))</f>
        <v/>
      </c>
      <c r="AR41" s="130">
        <f>IF(OR($C41="",$B$2="",$D$2=0),0,IF(AR$3&lt;0,0,N(INDEX('CURVA PREVISION'!$A$1:$KZ$3000,$C41,10+3*MIN(AR$3,$D$2-1)))))</f>
        <v/>
      </c>
      <c r="AS41" s="130">
        <f>IF(OR($C41="",$B$2="",$D$2=0),0,IF(AS$3&lt;0,0,N(INDEX('CURVA PREVISION'!$A$1:$KZ$3000,$C41,10+3*MIN(AS$3,$D$2-1)))))</f>
        <v/>
      </c>
      <c r="AT41" s="130">
        <f>IF(OR($C41="",$B$2="",$D$2=0),0,IF(AT$3&lt;0,0,N(INDEX('CURVA PREVISION'!$A$1:$KZ$3000,$C41,10+3*MIN(AT$3,$D$2-1)))))</f>
        <v/>
      </c>
      <c r="AU41" s="130">
        <f>IF(OR($C41="",$B$2="",$D$2=0),0,IF(AU$3&lt;0,0,N(INDEX('CURVA PREVISION'!$A$1:$KZ$3000,$C41,10+3*MIN(AU$3,$D$2-1)))))</f>
        <v/>
      </c>
      <c r="AV41" s="130">
        <f>IF(OR($C41="",$B$2="",$D$2=0),0,IF(AV$3&lt;0,0,N(INDEX('CURVA PREVISION'!$A$1:$KZ$3000,$C41,10+3*MIN(AV$3,$D$2-1)))))</f>
        <v/>
      </c>
      <c r="AW41" s="130">
        <f>IF(OR($C41="",$B$2="",$D$2=0),0,IF(AW$3&lt;0,0,N(INDEX('CURVA PREVISION'!$A$1:$KZ$3000,$C41,10+3*MIN(AW$3,$D$2-1)))))</f>
        <v/>
      </c>
      <c r="AX41" s="130">
        <f>IF(OR($C41="",$B$2="",$D$2=0),0,IF(AX$3&lt;0,0,N(INDEX('CURVA PREVISION'!$A$1:$KZ$3000,$C41,10+3*MIN(AX$3,$D$2-1)))))</f>
        <v/>
      </c>
      <c r="AY41" s="130">
        <f>IF(OR($C41="",$B$2="",$D$2=0),0,IF(AY$3&lt;0,0,N(INDEX('CURVA PREVISION'!$A$1:$KZ$3000,$C41,10+3*MIN(AY$3,$D$2-1)))))</f>
        <v/>
      </c>
      <c r="AZ41" s="130">
        <f>IF(OR($C41="",$B$2="",$D$2=0),0,IF(AZ$3&lt;0,0,N(INDEX('CURVA PREVISION'!$A$1:$KZ$3000,$C41,10+3*MIN(AZ$3,$D$2-1)))))</f>
        <v/>
      </c>
      <c r="BA41" s="130">
        <f>IF(OR($C41="",$B$2="",$D$2=0),0,IF(BA$3&lt;0,0,N(INDEX('CURVA PREVISION'!$A$1:$KZ$3000,$C41,10+3*MIN(BA$3,$D$2-1)))))</f>
        <v/>
      </c>
      <c r="BB41" s="130">
        <f>IF(OR($C41="",$B$2="",$D$2=0),0,IF(BB$3&lt;0,0,N(INDEX('CURVA PREVISION'!$A$1:$KZ$3000,$C41,10+3*MIN(BB$3,$D$2-1)))))</f>
        <v/>
      </c>
      <c r="BC41" s="130">
        <f>IF(OR($C41="",$B$2="",$D$2=0),0,IF(BC$3&lt;0,0,N(INDEX('CURVA PREVISION'!$A$1:$KZ$3000,$C41,10+3*MIN(BC$3,$D$2-1)))))</f>
        <v/>
      </c>
      <c r="BD41" s="130">
        <f>IF(OR($C41="",$B$2="",$D$2=0),0,IF(BD$3&lt;0,0,N(INDEX('CURVA PREVISION'!$A$1:$KZ$3000,$C41,10+3*MIN(BD$3,$D$2-1)))))</f>
        <v/>
      </c>
      <c r="BE41" s="130">
        <f>IF(OR($C41="",$B$2="",$D$2=0),0,IF(BE$3&lt;0,0,N(INDEX('CURVA PREVISION'!$A$1:$KZ$3000,$C41,10+3*MIN(BE$3,$D$2-1)))))</f>
        <v/>
      </c>
      <c r="BF41" s="130">
        <f>IF(OR($C41="",$B$2="",$D$2=0),0,IF(BF$3&lt;0,0,N(INDEX('CURVA PREVISION'!$A$1:$KZ$3000,$C41,10+3*MIN(BF$3,$D$2-1)))))</f>
        <v/>
      </c>
      <c r="BG41" s="130">
        <f>IF(OR($C41="",$B$2="",$D$2=0),0,IF(BG$3&lt;0,0,N(INDEX('CURVA PREVISION'!$A$1:$KZ$3000,$C41,10+3*MIN(BG$3,$D$2-1)))))</f>
        <v/>
      </c>
      <c r="BH41" s="130">
        <f>IF(OR($C41="",$B$2="",$D$2=0),0,IF(BH$3&lt;0,0,N(INDEX('CURVA PREVISION'!$A$1:$KZ$3000,$C41,10+3*MIN(BH$3,$D$2-1)))))</f>
        <v/>
      </c>
      <c r="BI41" s="130">
        <f>IF(OR($C41="",$B$2="",$D$2=0),0,IF(BI$3&lt;0,0,N(INDEX('CURVA PREVISION'!$A$1:$KZ$3000,$C41,10+3*MIN(BI$3,$D$2-1)))))</f>
        <v/>
      </c>
      <c r="BJ41" s="130">
        <f>IF(OR($C41="",$B$2="",$D$2=0),0,IF(BJ$3&lt;0,0,N(INDEX('CURVA PREVISION'!$A$1:$KZ$3000,$C41,10+3*MIN(BJ$3,$D$2-1)))))</f>
        <v/>
      </c>
      <c r="BK41" s="130">
        <f>IF(OR($C41="",$B$2="",$D$2=0),0,IF(BK$3&lt;0,0,N(INDEX('CURVA PREVISION'!$A$1:$KZ$3000,$C41,10+3*MIN(BK$3,$D$2-1)))))</f>
        <v/>
      </c>
      <c r="BL41" s="130">
        <f>IF(OR($C41="",$B$2="",$D$2=0),0,IF(BL$3&lt;0,0,N(INDEX('CURVA PREVISION'!$A$1:$KZ$3000,$C41,10+3*MIN(BL$3,$D$2-1)))))</f>
        <v/>
      </c>
      <c r="BM41" s="130">
        <f>IF(OR($C41="",$B$2="",$D$2=0),0,IF(BM$3&lt;0,0,N(INDEX('CURVA PREVISION'!$A$1:$KZ$3000,$C41,10+3*MIN(BM$3,$D$2-1)))))</f>
        <v/>
      </c>
      <c r="BN41" s="130">
        <f>IF(OR($C41="",$B$2="",$D$2=0),0,IF(BN$3&lt;0,0,N(INDEX('CURVA PREVISION'!$A$1:$KZ$3000,$C41,10+3*MIN(BN$3,$D$2-1)))))</f>
        <v/>
      </c>
      <c r="BO41" s="130">
        <f>IF(OR($C41="",$B$2="",$D$2=0),0,IF(BO$3&lt;0,0,N(INDEX('CURVA PREVISION'!$A$1:$KZ$3000,$C41,10+3*MIN(BO$3,$D$2-1)))))</f>
        <v/>
      </c>
      <c r="BP41" s="130">
        <f>IF(OR($C41="",$B$2="",$D$2=0),0,IF(BP$3&lt;0,0,N(INDEX('CURVA PREVISION'!$A$1:$KZ$3000,$C41,10+3*MIN(BP$3,$D$2-1)))))</f>
        <v/>
      </c>
      <c r="BQ41" s="130">
        <f>IF(OR($C41="",$B$2="",$D$2=0),0,IF(BQ$3&lt;0,0,N(INDEX('CURVA PREVISION'!$A$1:$KZ$3000,$C41,10+3*MIN(BQ$3,$D$2-1)))))</f>
        <v/>
      </c>
      <c r="BR41" s="130">
        <f>IF(OR($C41="",$B$2="",$D$2=0),0,IF(BR$3&lt;0,0,N(INDEX('CURVA PREVISION'!$A$1:$KZ$3000,$C41,10+3*MIN(BR$3,$D$2-1)))))</f>
        <v/>
      </c>
      <c r="BS41" s="130">
        <f>IF(OR($C41="",$B$2="",$D$2=0),0,IF(BS$3&lt;0,0,N(INDEX('CURVA PREVISION'!$A$1:$KZ$3000,$C41,10+3*MIN(BS$3,$D$2-1)))))</f>
        <v/>
      </c>
      <c r="BT41" s="130">
        <f>IF(OR($C41="",$B$2="",$D$2=0),0,IF(BT$3&lt;0,0,N(INDEX('CURVA PREVISION'!$A$1:$KZ$3000,$C41,10+3*MIN(BT$3,$D$2-1)))))</f>
        <v/>
      </c>
      <c r="BU41" s="130">
        <f>IF(OR($C41="",$B$2="",$D$2=0),0,IF(BU$3&lt;0,0,N(INDEX('CURVA PREVISION'!$A$1:$KZ$3000,$C41,10+3*MIN(BU$3,$D$2-1)))))</f>
        <v/>
      </c>
      <c r="BV41" s="130">
        <f>IF(OR($C41="",$B$2="",$D$2=0),0,IF(BV$3&lt;0,0,N(INDEX('CURVA PREVISION'!$A$1:$KZ$3000,$C41,10+3*MIN(BV$3,$D$2-1)))))</f>
        <v/>
      </c>
      <c r="BW41" s="130">
        <f>IF(OR($C41="",$B$2="",$D$2=0),0,IF(BW$3&lt;0,0,N(INDEX('CURVA PREVISION'!$A$1:$KZ$3000,$C41,10+3*MIN(BW$3,$D$2-1)))))</f>
        <v/>
      </c>
    </row>
    <row r="42">
      <c r="A42" s="61">
        <f>IF('VALOR POR PL'!R48&lt;&gt;"",'VALOR POR PL'!R48,IF('VALOR POR PL'!Q48="",'VALOR POR PL'!C48,'VALOR POR PL'!Q48))</f>
        <v/>
      </c>
      <c r="B42" s="61">
        <f>'VALOR POR PL'!D48</f>
        <v/>
      </c>
      <c r="C42" s="70">
        <f>IFERROR(MATCH(A42,'CURVA PREVISION'!$B$1:$B$3000,0),"")</f>
        <v/>
      </c>
      <c r="D42" s="130">
        <f>IF(OR($C42="",$B$2="",$D$2=0),0,IF(D$3&lt;0,0,N(INDEX('CURVA PREVISION'!$A$1:$KZ$3000,$C42,10+3*MIN(D$3,$D$2-1)))))</f>
        <v/>
      </c>
      <c r="E42" s="130">
        <f>IF(OR($C42="",$B$2="",$D$2=0),0,IF(E$3&lt;0,0,N(INDEX('CURVA PREVISION'!$A$1:$KZ$3000,$C42,10+3*MIN(E$3,$D$2-1)))))</f>
        <v/>
      </c>
      <c r="F42" s="130">
        <f>IF(OR($C42="",$B$2="",$D$2=0),0,IF(F$3&lt;0,0,N(INDEX('CURVA PREVISION'!$A$1:$KZ$3000,$C42,10+3*MIN(F$3,$D$2-1)))))</f>
        <v/>
      </c>
      <c r="G42" s="130">
        <f>IF(OR($C42="",$B$2="",$D$2=0),0,IF(G$3&lt;0,0,N(INDEX('CURVA PREVISION'!$A$1:$KZ$3000,$C42,10+3*MIN(G$3,$D$2-1)))))</f>
        <v/>
      </c>
      <c r="H42" s="130">
        <f>IF(OR($C42="",$B$2="",$D$2=0),0,IF(H$3&lt;0,0,N(INDEX('CURVA PREVISION'!$A$1:$KZ$3000,$C42,10+3*MIN(H$3,$D$2-1)))))</f>
        <v/>
      </c>
      <c r="I42" s="130">
        <f>IF(OR($C42="",$B$2="",$D$2=0),0,IF(I$3&lt;0,0,N(INDEX('CURVA PREVISION'!$A$1:$KZ$3000,$C42,10+3*MIN(I$3,$D$2-1)))))</f>
        <v/>
      </c>
      <c r="J42" s="130">
        <f>IF(OR($C42="",$B$2="",$D$2=0),0,IF(J$3&lt;0,0,N(INDEX('CURVA PREVISION'!$A$1:$KZ$3000,$C42,10+3*MIN(J$3,$D$2-1)))))</f>
        <v/>
      </c>
      <c r="K42" s="130">
        <f>IF(OR($C42="",$B$2="",$D$2=0),0,IF(K$3&lt;0,0,N(INDEX('CURVA PREVISION'!$A$1:$KZ$3000,$C42,10+3*MIN(K$3,$D$2-1)))))</f>
        <v/>
      </c>
      <c r="L42" s="130">
        <f>IF(OR($C42="",$B$2="",$D$2=0),0,IF(L$3&lt;0,0,N(INDEX('CURVA PREVISION'!$A$1:$KZ$3000,$C42,10+3*MIN(L$3,$D$2-1)))))</f>
        <v/>
      </c>
      <c r="M42" s="130">
        <f>IF(OR($C42="",$B$2="",$D$2=0),0,IF(M$3&lt;0,0,N(INDEX('CURVA PREVISION'!$A$1:$KZ$3000,$C42,10+3*MIN(M$3,$D$2-1)))))</f>
        <v/>
      </c>
      <c r="N42" s="130">
        <f>IF(OR($C42="",$B$2="",$D$2=0),0,IF(N$3&lt;0,0,N(INDEX('CURVA PREVISION'!$A$1:$KZ$3000,$C42,10+3*MIN(N$3,$D$2-1)))))</f>
        <v/>
      </c>
      <c r="O42" s="130">
        <f>IF(OR($C42="",$B$2="",$D$2=0),0,IF(O$3&lt;0,0,N(INDEX('CURVA PREVISION'!$A$1:$KZ$3000,$C42,10+3*MIN(O$3,$D$2-1)))))</f>
        <v/>
      </c>
      <c r="P42" s="130">
        <f>IF(OR($C42="",$B$2="",$D$2=0),0,IF(P$3&lt;0,0,N(INDEX('CURVA PREVISION'!$A$1:$KZ$3000,$C42,10+3*MIN(P$3,$D$2-1)))))</f>
        <v/>
      </c>
      <c r="Q42" s="130">
        <f>IF(OR($C42="",$B$2="",$D$2=0),0,IF(Q$3&lt;0,0,N(INDEX('CURVA PREVISION'!$A$1:$KZ$3000,$C42,10+3*MIN(Q$3,$D$2-1)))))</f>
        <v/>
      </c>
      <c r="R42" s="130">
        <f>IF(OR($C42="",$B$2="",$D$2=0),0,IF(R$3&lt;0,0,N(INDEX('CURVA PREVISION'!$A$1:$KZ$3000,$C42,10+3*MIN(R$3,$D$2-1)))))</f>
        <v/>
      </c>
      <c r="S42" s="130">
        <f>IF(OR($C42="",$B$2="",$D$2=0),0,IF(S$3&lt;0,0,N(INDEX('CURVA PREVISION'!$A$1:$KZ$3000,$C42,10+3*MIN(S$3,$D$2-1)))))</f>
        <v/>
      </c>
      <c r="T42" s="130">
        <f>IF(OR($C42="",$B$2="",$D$2=0),0,IF(T$3&lt;0,0,N(INDEX('CURVA PREVISION'!$A$1:$KZ$3000,$C42,10+3*MIN(T$3,$D$2-1)))))</f>
        <v/>
      </c>
      <c r="U42" s="130">
        <f>IF(OR($C42="",$B$2="",$D$2=0),0,IF(U$3&lt;0,0,N(INDEX('CURVA PREVISION'!$A$1:$KZ$3000,$C42,10+3*MIN(U$3,$D$2-1)))))</f>
        <v/>
      </c>
      <c r="V42" s="130">
        <f>IF(OR($C42="",$B$2="",$D$2=0),0,IF(V$3&lt;0,0,N(INDEX('CURVA PREVISION'!$A$1:$KZ$3000,$C42,10+3*MIN(V$3,$D$2-1)))))</f>
        <v/>
      </c>
      <c r="W42" s="130">
        <f>IF(OR($C42="",$B$2="",$D$2=0),0,IF(W$3&lt;0,0,N(INDEX('CURVA PREVISION'!$A$1:$KZ$3000,$C42,10+3*MIN(W$3,$D$2-1)))))</f>
        <v/>
      </c>
      <c r="X42" s="130">
        <f>IF(OR($C42="",$B$2="",$D$2=0),0,IF(X$3&lt;0,0,N(INDEX('CURVA PREVISION'!$A$1:$KZ$3000,$C42,10+3*MIN(X$3,$D$2-1)))))</f>
        <v/>
      </c>
      <c r="Y42" s="130">
        <f>IF(OR($C42="",$B$2="",$D$2=0),0,IF(Y$3&lt;0,0,N(INDEX('CURVA PREVISION'!$A$1:$KZ$3000,$C42,10+3*MIN(Y$3,$D$2-1)))))</f>
        <v/>
      </c>
      <c r="Z42" s="130">
        <f>IF(OR($C42="",$B$2="",$D$2=0),0,IF(Z$3&lt;0,0,N(INDEX('CURVA PREVISION'!$A$1:$KZ$3000,$C42,10+3*MIN(Z$3,$D$2-1)))))</f>
        <v/>
      </c>
      <c r="AA42" s="130">
        <f>IF(OR($C42="",$B$2="",$D$2=0),0,IF(AA$3&lt;0,0,N(INDEX('CURVA PREVISION'!$A$1:$KZ$3000,$C42,10+3*MIN(AA$3,$D$2-1)))))</f>
        <v/>
      </c>
      <c r="AB42" s="130">
        <f>IF(OR($C42="",$B$2="",$D$2=0),0,IF(AB$3&lt;0,0,N(INDEX('CURVA PREVISION'!$A$1:$KZ$3000,$C42,10+3*MIN(AB$3,$D$2-1)))))</f>
        <v/>
      </c>
      <c r="AC42" s="130">
        <f>IF(OR($C42="",$B$2="",$D$2=0),0,IF(AC$3&lt;0,0,N(INDEX('CURVA PREVISION'!$A$1:$KZ$3000,$C42,10+3*MIN(AC$3,$D$2-1)))))</f>
        <v/>
      </c>
      <c r="AD42" s="130">
        <f>IF(OR($C42="",$B$2="",$D$2=0),0,IF(AD$3&lt;0,0,N(INDEX('CURVA PREVISION'!$A$1:$KZ$3000,$C42,10+3*MIN(AD$3,$D$2-1)))))</f>
        <v/>
      </c>
      <c r="AE42" s="130">
        <f>IF(OR($C42="",$B$2="",$D$2=0),0,IF(AE$3&lt;0,0,N(INDEX('CURVA PREVISION'!$A$1:$KZ$3000,$C42,10+3*MIN(AE$3,$D$2-1)))))</f>
        <v/>
      </c>
      <c r="AF42" s="130">
        <f>IF(OR($C42="",$B$2="",$D$2=0),0,IF(AF$3&lt;0,0,N(INDEX('CURVA PREVISION'!$A$1:$KZ$3000,$C42,10+3*MIN(AF$3,$D$2-1)))))</f>
        <v/>
      </c>
      <c r="AG42" s="130">
        <f>IF(OR($C42="",$B$2="",$D$2=0),0,IF(AG$3&lt;0,0,N(INDEX('CURVA PREVISION'!$A$1:$KZ$3000,$C42,10+3*MIN(AG$3,$D$2-1)))))</f>
        <v/>
      </c>
      <c r="AH42" s="130">
        <f>IF(OR($C42="",$B$2="",$D$2=0),0,IF(AH$3&lt;0,0,N(INDEX('CURVA PREVISION'!$A$1:$KZ$3000,$C42,10+3*MIN(AH$3,$D$2-1)))))</f>
        <v/>
      </c>
      <c r="AI42" s="130">
        <f>IF(OR($C42="",$B$2="",$D$2=0),0,IF(AI$3&lt;0,0,N(INDEX('CURVA PREVISION'!$A$1:$KZ$3000,$C42,10+3*MIN(AI$3,$D$2-1)))))</f>
        <v/>
      </c>
      <c r="AJ42" s="130">
        <f>IF(OR($C42="",$B$2="",$D$2=0),0,IF(AJ$3&lt;0,0,N(INDEX('CURVA PREVISION'!$A$1:$KZ$3000,$C42,10+3*MIN(AJ$3,$D$2-1)))))</f>
        <v/>
      </c>
      <c r="AK42" s="130">
        <f>IF(OR($C42="",$B$2="",$D$2=0),0,IF(AK$3&lt;0,0,N(INDEX('CURVA PREVISION'!$A$1:$KZ$3000,$C42,10+3*MIN(AK$3,$D$2-1)))))</f>
        <v/>
      </c>
      <c r="AL42" s="130">
        <f>IF(OR($C42="",$B$2="",$D$2=0),0,IF(AL$3&lt;0,0,N(INDEX('CURVA PREVISION'!$A$1:$KZ$3000,$C42,10+3*MIN(AL$3,$D$2-1)))))</f>
        <v/>
      </c>
      <c r="AM42" s="130">
        <f>IF(OR($C42="",$B$2="",$D$2=0),0,IF(AM$3&lt;0,0,N(INDEX('CURVA PREVISION'!$A$1:$KZ$3000,$C42,10+3*MIN(AM$3,$D$2-1)))))</f>
        <v/>
      </c>
      <c r="AN42" s="130">
        <f>IF(OR($C42="",$B$2="",$D$2=0),0,IF(AN$3&lt;0,0,N(INDEX('CURVA PREVISION'!$A$1:$KZ$3000,$C42,10+3*MIN(AN$3,$D$2-1)))))</f>
        <v/>
      </c>
      <c r="AO42" s="130">
        <f>IF(OR($C42="",$B$2="",$D$2=0),0,IF(AO$3&lt;0,0,N(INDEX('CURVA PREVISION'!$A$1:$KZ$3000,$C42,10+3*MIN(AO$3,$D$2-1)))))</f>
        <v/>
      </c>
      <c r="AP42" s="130">
        <f>IF(OR($C42="",$B$2="",$D$2=0),0,IF(AP$3&lt;0,0,N(INDEX('CURVA PREVISION'!$A$1:$KZ$3000,$C42,10+3*MIN(AP$3,$D$2-1)))))</f>
        <v/>
      </c>
      <c r="AQ42" s="130">
        <f>IF(OR($C42="",$B$2="",$D$2=0),0,IF(AQ$3&lt;0,0,N(INDEX('CURVA PREVISION'!$A$1:$KZ$3000,$C42,10+3*MIN(AQ$3,$D$2-1)))))</f>
        <v/>
      </c>
      <c r="AR42" s="130">
        <f>IF(OR($C42="",$B$2="",$D$2=0),0,IF(AR$3&lt;0,0,N(INDEX('CURVA PREVISION'!$A$1:$KZ$3000,$C42,10+3*MIN(AR$3,$D$2-1)))))</f>
        <v/>
      </c>
      <c r="AS42" s="130">
        <f>IF(OR($C42="",$B$2="",$D$2=0),0,IF(AS$3&lt;0,0,N(INDEX('CURVA PREVISION'!$A$1:$KZ$3000,$C42,10+3*MIN(AS$3,$D$2-1)))))</f>
        <v/>
      </c>
      <c r="AT42" s="130">
        <f>IF(OR($C42="",$B$2="",$D$2=0),0,IF(AT$3&lt;0,0,N(INDEX('CURVA PREVISION'!$A$1:$KZ$3000,$C42,10+3*MIN(AT$3,$D$2-1)))))</f>
        <v/>
      </c>
      <c r="AU42" s="130">
        <f>IF(OR($C42="",$B$2="",$D$2=0),0,IF(AU$3&lt;0,0,N(INDEX('CURVA PREVISION'!$A$1:$KZ$3000,$C42,10+3*MIN(AU$3,$D$2-1)))))</f>
        <v/>
      </c>
      <c r="AV42" s="130">
        <f>IF(OR($C42="",$B$2="",$D$2=0),0,IF(AV$3&lt;0,0,N(INDEX('CURVA PREVISION'!$A$1:$KZ$3000,$C42,10+3*MIN(AV$3,$D$2-1)))))</f>
        <v/>
      </c>
      <c r="AW42" s="130">
        <f>IF(OR($C42="",$B$2="",$D$2=0),0,IF(AW$3&lt;0,0,N(INDEX('CURVA PREVISION'!$A$1:$KZ$3000,$C42,10+3*MIN(AW$3,$D$2-1)))))</f>
        <v/>
      </c>
      <c r="AX42" s="130">
        <f>IF(OR($C42="",$B$2="",$D$2=0),0,IF(AX$3&lt;0,0,N(INDEX('CURVA PREVISION'!$A$1:$KZ$3000,$C42,10+3*MIN(AX$3,$D$2-1)))))</f>
        <v/>
      </c>
      <c r="AY42" s="130">
        <f>IF(OR($C42="",$B$2="",$D$2=0),0,IF(AY$3&lt;0,0,N(INDEX('CURVA PREVISION'!$A$1:$KZ$3000,$C42,10+3*MIN(AY$3,$D$2-1)))))</f>
        <v/>
      </c>
      <c r="AZ42" s="130">
        <f>IF(OR($C42="",$B$2="",$D$2=0),0,IF(AZ$3&lt;0,0,N(INDEX('CURVA PREVISION'!$A$1:$KZ$3000,$C42,10+3*MIN(AZ$3,$D$2-1)))))</f>
        <v/>
      </c>
      <c r="BA42" s="130">
        <f>IF(OR($C42="",$B$2="",$D$2=0),0,IF(BA$3&lt;0,0,N(INDEX('CURVA PREVISION'!$A$1:$KZ$3000,$C42,10+3*MIN(BA$3,$D$2-1)))))</f>
        <v/>
      </c>
      <c r="BB42" s="130">
        <f>IF(OR($C42="",$B$2="",$D$2=0),0,IF(BB$3&lt;0,0,N(INDEX('CURVA PREVISION'!$A$1:$KZ$3000,$C42,10+3*MIN(BB$3,$D$2-1)))))</f>
        <v/>
      </c>
      <c r="BC42" s="130">
        <f>IF(OR($C42="",$B$2="",$D$2=0),0,IF(BC$3&lt;0,0,N(INDEX('CURVA PREVISION'!$A$1:$KZ$3000,$C42,10+3*MIN(BC$3,$D$2-1)))))</f>
        <v/>
      </c>
      <c r="BD42" s="130">
        <f>IF(OR($C42="",$B$2="",$D$2=0),0,IF(BD$3&lt;0,0,N(INDEX('CURVA PREVISION'!$A$1:$KZ$3000,$C42,10+3*MIN(BD$3,$D$2-1)))))</f>
        <v/>
      </c>
      <c r="BE42" s="130">
        <f>IF(OR($C42="",$B$2="",$D$2=0),0,IF(BE$3&lt;0,0,N(INDEX('CURVA PREVISION'!$A$1:$KZ$3000,$C42,10+3*MIN(BE$3,$D$2-1)))))</f>
        <v/>
      </c>
      <c r="BF42" s="130">
        <f>IF(OR($C42="",$B$2="",$D$2=0),0,IF(BF$3&lt;0,0,N(INDEX('CURVA PREVISION'!$A$1:$KZ$3000,$C42,10+3*MIN(BF$3,$D$2-1)))))</f>
        <v/>
      </c>
      <c r="BG42" s="130">
        <f>IF(OR($C42="",$B$2="",$D$2=0),0,IF(BG$3&lt;0,0,N(INDEX('CURVA PREVISION'!$A$1:$KZ$3000,$C42,10+3*MIN(BG$3,$D$2-1)))))</f>
        <v/>
      </c>
      <c r="BH42" s="130">
        <f>IF(OR($C42="",$B$2="",$D$2=0),0,IF(BH$3&lt;0,0,N(INDEX('CURVA PREVISION'!$A$1:$KZ$3000,$C42,10+3*MIN(BH$3,$D$2-1)))))</f>
        <v/>
      </c>
      <c r="BI42" s="130">
        <f>IF(OR($C42="",$B$2="",$D$2=0),0,IF(BI$3&lt;0,0,N(INDEX('CURVA PREVISION'!$A$1:$KZ$3000,$C42,10+3*MIN(BI$3,$D$2-1)))))</f>
        <v/>
      </c>
      <c r="BJ42" s="130">
        <f>IF(OR($C42="",$B$2="",$D$2=0),0,IF(BJ$3&lt;0,0,N(INDEX('CURVA PREVISION'!$A$1:$KZ$3000,$C42,10+3*MIN(BJ$3,$D$2-1)))))</f>
        <v/>
      </c>
      <c r="BK42" s="130">
        <f>IF(OR($C42="",$B$2="",$D$2=0),0,IF(BK$3&lt;0,0,N(INDEX('CURVA PREVISION'!$A$1:$KZ$3000,$C42,10+3*MIN(BK$3,$D$2-1)))))</f>
        <v/>
      </c>
      <c r="BL42" s="130">
        <f>IF(OR($C42="",$B$2="",$D$2=0),0,IF(BL$3&lt;0,0,N(INDEX('CURVA PREVISION'!$A$1:$KZ$3000,$C42,10+3*MIN(BL$3,$D$2-1)))))</f>
        <v/>
      </c>
      <c r="BM42" s="130">
        <f>IF(OR($C42="",$B$2="",$D$2=0),0,IF(BM$3&lt;0,0,N(INDEX('CURVA PREVISION'!$A$1:$KZ$3000,$C42,10+3*MIN(BM$3,$D$2-1)))))</f>
        <v/>
      </c>
      <c r="BN42" s="130">
        <f>IF(OR($C42="",$B$2="",$D$2=0),0,IF(BN$3&lt;0,0,N(INDEX('CURVA PREVISION'!$A$1:$KZ$3000,$C42,10+3*MIN(BN$3,$D$2-1)))))</f>
        <v/>
      </c>
      <c r="BO42" s="130">
        <f>IF(OR($C42="",$B$2="",$D$2=0),0,IF(BO$3&lt;0,0,N(INDEX('CURVA PREVISION'!$A$1:$KZ$3000,$C42,10+3*MIN(BO$3,$D$2-1)))))</f>
        <v/>
      </c>
      <c r="BP42" s="130">
        <f>IF(OR($C42="",$B$2="",$D$2=0),0,IF(BP$3&lt;0,0,N(INDEX('CURVA PREVISION'!$A$1:$KZ$3000,$C42,10+3*MIN(BP$3,$D$2-1)))))</f>
        <v/>
      </c>
      <c r="BQ42" s="130">
        <f>IF(OR($C42="",$B$2="",$D$2=0),0,IF(BQ$3&lt;0,0,N(INDEX('CURVA PREVISION'!$A$1:$KZ$3000,$C42,10+3*MIN(BQ$3,$D$2-1)))))</f>
        <v/>
      </c>
      <c r="BR42" s="130">
        <f>IF(OR($C42="",$B$2="",$D$2=0),0,IF(BR$3&lt;0,0,N(INDEX('CURVA PREVISION'!$A$1:$KZ$3000,$C42,10+3*MIN(BR$3,$D$2-1)))))</f>
        <v/>
      </c>
      <c r="BS42" s="130">
        <f>IF(OR($C42="",$B$2="",$D$2=0),0,IF(BS$3&lt;0,0,N(INDEX('CURVA PREVISION'!$A$1:$KZ$3000,$C42,10+3*MIN(BS$3,$D$2-1)))))</f>
        <v/>
      </c>
      <c r="BT42" s="130">
        <f>IF(OR($C42="",$B$2="",$D$2=0),0,IF(BT$3&lt;0,0,N(INDEX('CURVA PREVISION'!$A$1:$KZ$3000,$C42,10+3*MIN(BT$3,$D$2-1)))))</f>
        <v/>
      </c>
      <c r="BU42" s="130">
        <f>IF(OR($C42="",$B$2="",$D$2=0),0,IF(BU$3&lt;0,0,N(INDEX('CURVA PREVISION'!$A$1:$KZ$3000,$C42,10+3*MIN(BU$3,$D$2-1)))))</f>
        <v/>
      </c>
      <c r="BV42" s="130">
        <f>IF(OR($C42="",$B$2="",$D$2=0),0,IF(BV$3&lt;0,0,N(INDEX('CURVA PREVISION'!$A$1:$KZ$3000,$C42,10+3*MIN(BV$3,$D$2-1)))))</f>
        <v/>
      </c>
      <c r="BW42" s="130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9">
        <f>D4</f>
        <v/>
      </c>
      <c r="E46" s="129">
        <f>E4</f>
        <v/>
      </c>
      <c r="F46" s="129">
        <f>F4</f>
        <v/>
      </c>
      <c r="G46" s="129">
        <f>G4</f>
        <v/>
      </c>
      <c r="H46" s="129">
        <f>H4</f>
        <v/>
      </c>
      <c r="I46" s="129">
        <f>I4</f>
        <v/>
      </c>
      <c r="J46" s="129">
        <f>J4</f>
        <v/>
      </c>
      <c r="K46" s="129">
        <f>K4</f>
        <v/>
      </c>
      <c r="L46" s="129">
        <f>L4</f>
        <v/>
      </c>
      <c r="M46" s="129">
        <f>M4</f>
        <v/>
      </c>
      <c r="N46" s="129">
        <f>N4</f>
        <v/>
      </c>
      <c r="O46" s="129">
        <f>O4</f>
        <v/>
      </c>
      <c r="P46" s="129">
        <f>P4</f>
        <v/>
      </c>
      <c r="Q46" s="129">
        <f>Q4</f>
        <v/>
      </c>
      <c r="R46" s="129">
        <f>R4</f>
        <v/>
      </c>
      <c r="S46" s="129">
        <f>S4</f>
        <v/>
      </c>
      <c r="T46" s="129">
        <f>T4</f>
        <v/>
      </c>
      <c r="U46" s="129">
        <f>U4</f>
        <v/>
      </c>
      <c r="V46" s="129">
        <f>V4</f>
        <v/>
      </c>
      <c r="W46" s="129">
        <f>W4</f>
        <v/>
      </c>
      <c r="X46" s="129">
        <f>X4</f>
        <v/>
      </c>
      <c r="Y46" s="129">
        <f>Y4</f>
        <v/>
      </c>
      <c r="Z46" s="129">
        <f>Z4</f>
        <v/>
      </c>
      <c r="AA46" s="129">
        <f>AA4</f>
        <v/>
      </c>
      <c r="AB46" s="129">
        <f>AB4</f>
        <v/>
      </c>
      <c r="AC46" s="129">
        <f>AC4</f>
        <v/>
      </c>
      <c r="AD46" s="129">
        <f>AD4</f>
        <v/>
      </c>
      <c r="AE46" s="129">
        <f>AE4</f>
        <v/>
      </c>
      <c r="AF46" s="129">
        <f>AF4</f>
        <v/>
      </c>
      <c r="AG46" s="129">
        <f>AG4</f>
        <v/>
      </c>
      <c r="AH46" s="129">
        <f>AH4</f>
        <v/>
      </c>
      <c r="AI46" s="129">
        <f>AI4</f>
        <v/>
      </c>
      <c r="AJ46" s="129">
        <f>AJ4</f>
        <v/>
      </c>
      <c r="AK46" s="129">
        <f>AK4</f>
        <v/>
      </c>
      <c r="AL46" s="129">
        <f>AL4</f>
        <v/>
      </c>
      <c r="AM46" s="129">
        <f>AM4</f>
        <v/>
      </c>
      <c r="AN46" s="129">
        <f>AN4</f>
        <v/>
      </c>
      <c r="AO46" s="129">
        <f>AO4</f>
        <v/>
      </c>
      <c r="AP46" s="129">
        <f>AP4</f>
        <v/>
      </c>
      <c r="AQ46" s="129">
        <f>AQ4</f>
        <v/>
      </c>
      <c r="AR46" s="129">
        <f>AR4</f>
        <v/>
      </c>
      <c r="AS46" s="129">
        <f>AS4</f>
        <v/>
      </c>
      <c r="AT46" s="129">
        <f>AT4</f>
        <v/>
      </c>
      <c r="AU46" s="129">
        <f>AU4</f>
        <v/>
      </c>
      <c r="AV46" s="129">
        <f>AV4</f>
        <v/>
      </c>
      <c r="AW46" s="129">
        <f>AW4</f>
        <v/>
      </c>
      <c r="AX46" s="129">
        <f>AX4</f>
        <v/>
      </c>
      <c r="AY46" s="129">
        <f>AY4</f>
        <v/>
      </c>
      <c r="AZ46" s="129">
        <f>AZ4</f>
        <v/>
      </c>
      <c r="BA46" s="129">
        <f>BA4</f>
        <v/>
      </c>
      <c r="BB46" s="129">
        <f>BB4</f>
        <v/>
      </c>
      <c r="BC46" s="129">
        <f>BC4</f>
        <v/>
      </c>
      <c r="BD46" s="129">
        <f>BD4</f>
        <v/>
      </c>
      <c r="BE46" s="129">
        <f>BE4</f>
        <v/>
      </c>
      <c r="BF46" s="129">
        <f>BF4</f>
        <v/>
      </c>
      <c r="BG46" s="129">
        <f>BG4</f>
        <v/>
      </c>
      <c r="BH46" s="129">
        <f>BH4</f>
        <v/>
      </c>
      <c r="BI46" s="129">
        <f>BI4</f>
        <v/>
      </c>
      <c r="BJ46" s="129">
        <f>BJ4</f>
        <v/>
      </c>
      <c r="BK46" s="129">
        <f>BK4</f>
        <v/>
      </c>
      <c r="BL46" s="129">
        <f>BL4</f>
        <v/>
      </c>
      <c r="BM46" s="129">
        <f>BM4</f>
        <v/>
      </c>
      <c r="BN46" s="129">
        <f>BN4</f>
        <v/>
      </c>
      <c r="BO46" s="129">
        <f>BO4</f>
        <v/>
      </c>
      <c r="BP46" s="129">
        <f>BP4</f>
        <v/>
      </c>
      <c r="BQ46" s="129">
        <f>BQ4</f>
        <v/>
      </c>
      <c r="BR46" s="129">
        <f>BR4</f>
        <v/>
      </c>
      <c r="BS46" s="129">
        <f>BS4</f>
        <v/>
      </c>
      <c r="BT46" s="129">
        <f>BT4</f>
        <v/>
      </c>
      <c r="BU46" s="129">
        <f>BU4</f>
        <v/>
      </c>
      <c r="BV46" s="129">
        <f>BV4</f>
        <v/>
      </c>
      <c r="BW46" s="129">
        <f>BW4</f>
        <v/>
      </c>
    </row>
    <row r="47">
      <c r="A47" s="61">
        <f>IF('VALOR POR PL'!Q11="",'VALOR POR PL'!C11,'VALOR POR PL'!Q11)</f>
        <v/>
      </c>
      <c r="B47" s="51">
        <f>B5</f>
        <v/>
      </c>
      <c r="C47" s="70">
        <f>IFERROR(MATCH(A47,'CURVA PREVISION'!$B$1:$B$3000,0),"")</f>
        <v/>
      </c>
      <c r="D47" s="130">
        <f>IF(OR($C47="",$B$2="",$D$2=0),0,IF(D$3&lt;0,0,N(INDEX('CURVA PREVISION'!$A$1:$KZ$3000,$C47,11+3*MIN(D$3,$D$2-1)))))</f>
        <v/>
      </c>
      <c r="E47" s="130">
        <f>IF(OR($C47="",$B$2="",$D$2=0),0,IF(E$3&lt;0,0,N(INDEX('CURVA PREVISION'!$A$1:$KZ$3000,$C47,11+3*MIN(E$3,$D$2-1)))))</f>
        <v/>
      </c>
      <c r="F47" s="130">
        <f>IF(OR($C47="",$B$2="",$D$2=0),0,IF(F$3&lt;0,0,N(INDEX('CURVA PREVISION'!$A$1:$KZ$3000,$C47,11+3*MIN(F$3,$D$2-1)))))</f>
        <v/>
      </c>
      <c r="G47" s="130">
        <f>IF(OR($C47="",$B$2="",$D$2=0),0,IF(G$3&lt;0,0,N(INDEX('CURVA PREVISION'!$A$1:$KZ$3000,$C47,11+3*MIN(G$3,$D$2-1)))))</f>
        <v/>
      </c>
      <c r="H47" s="130">
        <f>IF(OR($C47="",$B$2="",$D$2=0),0,IF(H$3&lt;0,0,N(INDEX('CURVA PREVISION'!$A$1:$KZ$3000,$C47,11+3*MIN(H$3,$D$2-1)))))</f>
        <v/>
      </c>
      <c r="I47" s="130">
        <f>IF(OR($C47="",$B$2="",$D$2=0),0,IF(I$3&lt;0,0,N(INDEX('CURVA PREVISION'!$A$1:$KZ$3000,$C47,11+3*MIN(I$3,$D$2-1)))))</f>
        <v/>
      </c>
      <c r="J47" s="130">
        <f>IF(OR($C47="",$B$2="",$D$2=0),0,IF(J$3&lt;0,0,N(INDEX('CURVA PREVISION'!$A$1:$KZ$3000,$C47,11+3*MIN(J$3,$D$2-1)))))</f>
        <v/>
      </c>
      <c r="K47" s="130">
        <f>IF(OR($C47="",$B$2="",$D$2=0),0,IF(K$3&lt;0,0,N(INDEX('CURVA PREVISION'!$A$1:$KZ$3000,$C47,11+3*MIN(K$3,$D$2-1)))))</f>
        <v/>
      </c>
      <c r="L47" s="130">
        <f>IF(OR($C47="",$B$2="",$D$2=0),0,IF(L$3&lt;0,0,N(INDEX('CURVA PREVISION'!$A$1:$KZ$3000,$C47,11+3*MIN(L$3,$D$2-1)))))</f>
        <v/>
      </c>
      <c r="M47" s="130">
        <f>IF(OR($C47="",$B$2="",$D$2=0),0,IF(M$3&lt;0,0,N(INDEX('CURVA PREVISION'!$A$1:$KZ$3000,$C47,11+3*MIN(M$3,$D$2-1)))))</f>
        <v/>
      </c>
      <c r="N47" s="130">
        <f>IF(OR($C47="",$B$2="",$D$2=0),0,IF(N$3&lt;0,0,N(INDEX('CURVA PREVISION'!$A$1:$KZ$3000,$C47,11+3*MIN(N$3,$D$2-1)))))</f>
        <v/>
      </c>
      <c r="O47" s="130">
        <f>IF(OR($C47="",$B$2="",$D$2=0),0,IF(O$3&lt;0,0,N(INDEX('CURVA PREVISION'!$A$1:$KZ$3000,$C47,11+3*MIN(O$3,$D$2-1)))))</f>
        <v/>
      </c>
      <c r="P47" s="130">
        <f>IF(OR($C47="",$B$2="",$D$2=0),0,IF(P$3&lt;0,0,N(INDEX('CURVA PREVISION'!$A$1:$KZ$3000,$C47,11+3*MIN(P$3,$D$2-1)))))</f>
        <v/>
      </c>
      <c r="Q47" s="130">
        <f>IF(OR($C47="",$B$2="",$D$2=0),0,IF(Q$3&lt;0,0,N(INDEX('CURVA PREVISION'!$A$1:$KZ$3000,$C47,11+3*MIN(Q$3,$D$2-1)))))</f>
        <v/>
      </c>
      <c r="R47" s="130">
        <f>IF(OR($C47="",$B$2="",$D$2=0),0,IF(R$3&lt;0,0,N(INDEX('CURVA PREVISION'!$A$1:$KZ$3000,$C47,11+3*MIN(R$3,$D$2-1)))))</f>
        <v/>
      </c>
      <c r="S47" s="130">
        <f>IF(OR($C47="",$B$2="",$D$2=0),0,IF(S$3&lt;0,0,N(INDEX('CURVA PREVISION'!$A$1:$KZ$3000,$C47,11+3*MIN(S$3,$D$2-1)))))</f>
        <v/>
      </c>
      <c r="T47" s="130">
        <f>IF(OR($C47="",$B$2="",$D$2=0),0,IF(T$3&lt;0,0,N(INDEX('CURVA PREVISION'!$A$1:$KZ$3000,$C47,11+3*MIN(T$3,$D$2-1)))))</f>
        <v/>
      </c>
      <c r="U47" s="130">
        <f>IF(OR($C47="",$B$2="",$D$2=0),0,IF(U$3&lt;0,0,N(INDEX('CURVA PREVISION'!$A$1:$KZ$3000,$C47,11+3*MIN(U$3,$D$2-1)))))</f>
        <v/>
      </c>
      <c r="V47" s="130">
        <f>IF(OR($C47="",$B$2="",$D$2=0),0,IF(V$3&lt;0,0,N(INDEX('CURVA PREVISION'!$A$1:$KZ$3000,$C47,11+3*MIN(V$3,$D$2-1)))))</f>
        <v/>
      </c>
      <c r="W47" s="130">
        <f>IF(OR($C47="",$B$2="",$D$2=0),0,IF(W$3&lt;0,0,N(INDEX('CURVA PREVISION'!$A$1:$KZ$3000,$C47,11+3*MIN(W$3,$D$2-1)))))</f>
        <v/>
      </c>
      <c r="X47" s="130">
        <f>IF(OR($C47="",$B$2="",$D$2=0),0,IF(X$3&lt;0,0,N(INDEX('CURVA PREVISION'!$A$1:$KZ$3000,$C47,11+3*MIN(X$3,$D$2-1)))))</f>
        <v/>
      </c>
      <c r="Y47" s="130">
        <f>IF(OR($C47="",$B$2="",$D$2=0),0,IF(Y$3&lt;0,0,N(INDEX('CURVA PREVISION'!$A$1:$KZ$3000,$C47,11+3*MIN(Y$3,$D$2-1)))))</f>
        <v/>
      </c>
      <c r="Z47" s="130">
        <f>IF(OR($C47="",$B$2="",$D$2=0),0,IF(Z$3&lt;0,0,N(INDEX('CURVA PREVISION'!$A$1:$KZ$3000,$C47,11+3*MIN(Z$3,$D$2-1)))))</f>
        <v/>
      </c>
      <c r="AA47" s="130">
        <f>IF(OR($C47="",$B$2="",$D$2=0),0,IF(AA$3&lt;0,0,N(INDEX('CURVA PREVISION'!$A$1:$KZ$3000,$C47,11+3*MIN(AA$3,$D$2-1)))))</f>
        <v/>
      </c>
      <c r="AB47" s="130">
        <f>IF(OR($C47="",$B$2="",$D$2=0),0,IF(AB$3&lt;0,0,N(INDEX('CURVA PREVISION'!$A$1:$KZ$3000,$C47,11+3*MIN(AB$3,$D$2-1)))))</f>
        <v/>
      </c>
      <c r="AC47" s="130">
        <f>IF(OR($C47="",$B$2="",$D$2=0),0,IF(AC$3&lt;0,0,N(INDEX('CURVA PREVISION'!$A$1:$KZ$3000,$C47,11+3*MIN(AC$3,$D$2-1)))))</f>
        <v/>
      </c>
      <c r="AD47" s="130">
        <f>IF(OR($C47="",$B$2="",$D$2=0),0,IF(AD$3&lt;0,0,N(INDEX('CURVA PREVISION'!$A$1:$KZ$3000,$C47,11+3*MIN(AD$3,$D$2-1)))))</f>
        <v/>
      </c>
      <c r="AE47" s="130">
        <f>IF(OR($C47="",$B$2="",$D$2=0),0,IF(AE$3&lt;0,0,N(INDEX('CURVA PREVISION'!$A$1:$KZ$3000,$C47,11+3*MIN(AE$3,$D$2-1)))))</f>
        <v/>
      </c>
      <c r="AF47" s="130">
        <f>IF(OR($C47="",$B$2="",$D$2=0),0,IF(AF$3&lt;0,0,N(INDEX('CURVA PREVISION'!$A$1:$KZ$3000,$C47,11+3*MIN(AF$3,$D$2-1)))))</f>
        <v/>
      </c>
      <c r="AG47" s="130">
        <f>IF(OR($C47="",$B$2="",$D$2=0),0,IF(AG$3&lt;0,0,N(INDEX('CURVA PREVISION'!$A$1:$KZ$3000,$C47,11+3*MIN(AG$3,$D$2-1)))))</f>
        <v/>
      </c>
      <c r="AH47" s="130">
        <f>IF(OR($C47="",$B$2="",$D$2=0),0,IF(AH$3&lt;0,0,N(INDEX('CURVA PREVISION'!$A$1:$KZ$3000,$C47,11+3*MIN(AH$3,$D$2-1)))))</f>
        <v/>
      </c>
      <c r="AI47" s="130">
        <f>IF(OR($C47="",$B$2="",$D$2=0),0,IF(AI$3&lt;0,0,N(INDEX('CURVA PREVISION'!$A$1:$KZ$3000,$C47,11+3*MIN(AI$3,$D$2-1)))))</f>
        <v/>
      </c>
      <c r="AJ47" s="130">
        <f>IF(OR($C47="",$B$2="",$D$2=0),0,IF(AJ$3&lt;0,0,N(INDEX('CURVA PREVISION'!$A$1:$KZ$3000,$C47,11+3*MIN(AJ$3,$D$2-1)))))</f>
        <v/>
      </c>
      <c r="AK47" s="130">
        <f>IF(OR($C47="",$B$2="",$D$2=0),0,IF(AK$3&lt;0,0,N(INDEX('CURVA PREVISION'!$A$1:$KZ$3000,$C47,11+3*MIN(AK$3,$D$2-1)))))</f>
        <v/>
      </c>
      <c r="AL47" s="130">
        <f>IF(OR($C47="",$B$2="",$D$2=0),0,IF(AL$3&lt;0,0,N(INDEX('CURVA PREVISION'!$A$1:$KZ$3000,$C47,11+3*MIN(AL$3,$D$2-1)))))</f>
        <v/>
      </c>
      <c r="AM47" s="130">
        <f>IF(OR($C47="",$B$2="",$D$2=0),0,IF(AM$3&lt;0,0,N(INDEX('CURVA PREVISION'!$A$1:$KZ$3000,$C47,11+3*MIN(AM$3,$D$2-1)))))</f>
        <v/>
      </c>
      <c r="AN47" s="130">
        <f>IF(OR($C47="",$B$2="",$D$2=0),0,IF(AN$3&lt;0,0,N(INDEX('CURVA PREVISION'!$A$1:$KZ$3000,$C47,11+3*MIN(AN$3,$D$2-1)))))</f>
        <v/>
      </c>
      <c r="AO47" s="130">
        <f>IF(OR($C47="",$B$2="",$D$2=0),0,IF(AO$3&lt;0,0,N(INDEX('CURVA PREVISION'!$A$1:$KZ$3000,$C47,11+3*MIN(AO$3,$D$2-1)))))</f>
        <v/>
      </c>
      <c r="AP47" s="130">
        <f>IF(OR($C47="",$B$2="",$D$2=0),0,IF(AP$3&lt;0,0,N(INDEX('CURVA PREVISION'!$A$1:$KZ$3000,$C47,11+3*MIN(AP$3,$D$2-1)))))</f>
        <v/>
      </c>
      <c r="AQ47" s="130">
        <f>IF(OR($C47="",$B$2="",$D$2=0),0,IF(AQ$3&lt;0,0,N(INDEX('CURVA PREVISION'!$A$1:$KZ$3000,$C47,11+3*MIN(AQ$3,$D$2-1)))))</f>
        <v/>
      </c>
      <c r="AR47" s="130">
        <f>IF(OR($C47="",$B$2="",$D$2=0),0,IF(AR$3&lt;0,0,N(INDEX('CURVA PREVISION'!$A$1:$KZ$3000,$C47,11+3*MIN(AR$3,$D$2-1)))))</f>
        <v/>
      </c>
      <c r="AS47" s="130">
        <f>IF(OR($C47="",$B$2="",$D$2=0),0,IF(AS$3&lt;0,0,N(INDEX('CURVA PREVISION'!$A$1:$KZ$3000,$C47,11+3*MIN(AS$3,$D$2-1)))))</f>
        <v/>
      </c>
      <c r="AT47" s="130">
        <f>IF(OR($C47="",$B$2="",$D$2=0),0,IF(AT$3&lt;0,0,N(INDEX('CURVA PREVISION'!$A$1:$KZ$3000,$C47,11+3*MIN(AT$3,$D$2-1)))))</f>
        <v/>
      </c>
      <c r="AU47" s="130">
        <f>IF(OR($C47="",$B$2="",$D$2=0),0,IF(AU$3&lt;0,0,N(INDEX('CURVA PREVISION'!$A$1:$KZ$3000,$C47,11+3*MIN(AU$3,$D$2-1)))))</f>
        <v/>
      </c>
      <c r="AV47" s="130">
        <f>IF(OR($C47="",$B$2="",$D$2=0),0,IF(AV$3&lt;0,0,N(INDEX('CURVA PREVISION'!$A$1:$KZ$3000,$C47,11+3*MIN(AV$3,$D$2-1)))))</f>
        <v/>
      </c>
      <c r="AW47" s="130">
        <f>IF(OR($C47="",$B$2="",$D$2=0),0,IF(AW$3&lt;0,0,N(INDEX('CURVA PREVISION'!$A$1:$KZ$3000,$C47,11+3*MIN(AW$3,$D$2-1)))))</f>
        <v/>
      </c>
      <c r="AX47" s="130">
        <f>IF(OR($C47="",$B$2="",$D$2=0),0,IF(AX$3&lt;0,0,N(INDEX('CURVA PREVISION'!$A$1:$KZ$3000,$C47,11+3*MIN(AX$3,$D$2-1)))))</f>
        <v/>
      </c>
      <c r="AY47" s="130">
        <f>IF(OR($C47="",$B$2="",$D$2=0),0,IF(AY$3&lt;0,0,N(INDEX('CURVA PREVISION'!$A$1:$KZ$3000,$C47,11+3*MIN(AY$3,$D$2-1)))))</f>
        <v/>
      </c>
      <c r="AZ47" s="130">
        <f>IF(OR($C47="",$B$2="",$D$2=0),0,IF(AZ$3&lt;0,0,N(INDEX('CURVA PREVISION'!$A$1:$KZ$3000,$C47,11+3*MIN(AZ$3,$D$2-1)))))</f>
        <v/>
      </c>
      <c r="BA47" s="130">
        <f>IF(OR($C47="",$B$2="",$D$2=0),0,IF(BA$3&lt;0,0,N(INDEX('CURVA PREVISION'!$A$1:$KZ$3000,$C47,11+3*MIN(BA$3,$D$2-1)))))</f>
        <v/>
      </c>
      <c r="BB47" s="130">
        <f>IF(OR($C47="",$B$2="",$D$2=0),0,IF(BB$3&lt;0,0,N(INDEX('CURVA PREVISION'!$A$1:$KZ$3000,$C47,11+3*MIN(BB$3,$D$2-1)))))</f>
        <v/>
      </c>
      <c r="BC47" s="130">
        <f>IF(OR($C47="",$B$2="",$D$2=0),0,IF(BC$3&lt;0,0,N(INDEX('CURVA PREVISION'!$A$1:$KZ$3000,$C47,11+3*MIN(BC$3,$D$2-1)))))</f>
        <v/>
      </c>
      <c r="BD47" s="130">
        <f>IF(OR($C47="",$B$2="",$D$2=0),0,IF(BD$3&lt;0,0,N(INDEX('CURVA PREVISION'!$A$1:$KZ$3000,$C47,11+3*MIN(BD$3,$D$2-1)))))</f>
        <v/>
      </c>
      <c r="BE47" s="130">
        <f>IF(OR($C47="",$B$2="",$D$2=0),0,IF(BE$3&lt;0,0,N(INDEX('CURVA PREVISION'!$A$1:$KZ$3000,$C47,11+3*MIN(BE$3,$D$2-1)))))</f>
        <v/>
      </c>
      <c r="BF47" s="130">
        <f>IF(OR($C47="",$B$2="",$D$2=0),0,IF(BF$3&lt;0,0,N(INDEX('CURVA PREVISION'!$A$1:$KZ$3000,$C47,11+3*MIN(BF$3,$D$2-1)))))</f>
        <v/>
      </c>
      <c r="BG47" s="130">
        <f>IF(OR($C47="",$B$2="",$D$2=0),0,IF(BG$3&lt;0,0,N(INDEX('CURVA PREVISION'!$A$1:$KZ$3000,$C47,11+3*MIN(BG$3,$D$2-1)))))</f>
        <v/>
      </c>
      <c r="BH47" s="130">
        <f>IF(OR($C47="",$B$2="",$D$2=0),0,IF(BH$3&lt;0,0,N(INDEX('CURVA PREVISION'!$A$1:$KZ$3000,$C47,11+3*MIN(BH$3,$D$2-1)))))</f>
        <v/>
      </c>
      <c r="BI47" s="130">
        <f>IF(OR($C47="",$B$2="",$D$2=0),0,IF(BI$3&lt;0,0,N(INDEX('CURVA PREVISION'!$A$1:$KZ$3000,$C47,11+3*MIN(BI$3,$D$2-1)))))</f>
        <v/>
      </c>
      <c r="BJ47" s="130">
        <f>IF(OR($C47="",$B$2="",$D$2=0),0,IF(BJ$3&lt;0,0,N(INDEX('CURVA PREVISION'!$A$1:$KZ$3000,$C47,11+3*MIN(BJ$3,$D$2-1)))))</f>
        <v/>
      </c>
      <c r="BK47" s="130">
        <f>IF(OR($C47="",$B$2="",$D$2=0),0,IF(BK$3&lt;0,0,N(INDEX('CURVA PREVISION'!$A$1:$KZ$3000,$C47,11+3*MIN(BK$3,$D$2-1)))))</f>
        <v/>
      </c>
      <c r="BL47" s="130">
        <f>IF(OR($C47="",$B$2="",$D$2=0),0,IF(BL$3&lt;0,0,N(INDEX('CURVA PREVISION'!$A$1:$KZ$3000,$C47,11+3*MIN(BL$3,$D$2-1)))))</f>
        <v/>
      </c>
      <c r="BM47" s="130">
        <f>IF(OR($C47="",$B$2="",$D$2=0),0,IF(BM$3&lt;0,0,N(INDEX('CURVA PREVISION'!$A$1:$KZ$3000,$C47,11+3*MIN(BM$3,$D$2-1)))))</f>
        <v/>
      </c>
      <c r="BN47" s="130">
        <f>IF(OR($C47="",$B$2="",$D$2=0),0,IF(BN$3&lt;0,0,N(INDEX('CURVA PREVISION'!$A$1:$KZ$3000,$C47,11+3*MIN(BN$3,$D$2-1)))))</f>
        <v/>
      </c>
      <c r="BO47" s="130">
        <f>IF(OR($C47="",$B$2="",$D$2=0),0,IF(BO$3&lt;0,0,N(INDEX('CURVA PREVISION'!$A$1:$KZ$3000,$C47,11+3*MIN(BO$3,$D$2-1)))))</f>
        <v/>
      </c>
      <c r="BP47" s="130">
        <f>IF(OR($C47="",$B$2="",$D$2=0),0,IF(BP$3&lt;0,0,N(INDEX('CURVA PREVISION'!$A$1:$KZ$3000,$C47,11+3*MIN(BP$3,$D$2-1)))))</f>
        <v/>
      </c>
      <c r="BQ47" s="130">
        <f>IF(OR($C47="",$B$2="",$D$2=0),0,IF(BQ$3&lt;0,0,N(INDEX('CURVA PREVISION'!$A$1:$KZ$3000,$C47,11+3*MIN(BQ$3,$D$2-1)))))</f>
        <v/>
      </c>
      <c r="BR47" s="130">
        <f>IF(OR($C47="",$B$2="",$D$2=0),0,IF(BR$3&lt;0,0,N(INDEX('CURVA PREVISION'!$A$1:$KZ$3000,$C47,11+3*MIN(BR$3,$D$2-1)))))</f>
        <v/>
      </c>
      <c r="BS47" s="130">
        <f>IF(OR($C47="",$B$2="",$D$2=0),0,IF(BS$3&lt;0,0,N(INDEX('CURVA PREVISION'!$A$1:$KZ$3000,$C47,11+3*MIN(BS$3,$D$2-1)))))</f>
        <v/>
      </c>
      <c r="BT47" s="130">
        <f>IF(OR($C47="",$B$2="",$D$2=0),0,IF(BT$3&lt;0,0,N(INDEX('CURVA PREVISION'!$A$1:$KZ$3000,$C47,11+3*MIN(BT$3,$D$2-1)))))</f>
        <v/>
      </c>
      <c r="BU47" s="130">
        <f>IF(OR($C47="",$B$2="",$D$2=0),0,IF(BU$3&lt;0,0,N(INDEX('CURVA PREVISION'!$A$1:$KZ$3000,$C47,11+3*MIN(BU$3,$D$2-1)))))</f>
        <v/>
      </c>
      <c r="BV47" s="130">
        <f>IF(OR($C47="",$B$2="",$D$2=0),0,IF(BV$3&lt;0,0,N(INDEX('CURVA PREVISION'!$A$1:$KZ$3000,$C47,11+3*MIN(BV$3,$D$2-1)))))</f>
        <v/>
      </c>
      <c r="BW47" s="130">
        <f>IF(OR($C47="",$B$2="",$D$2=0),0,IF(BW$3&lt;0,0,N(INDEX('CURVA PREVISION'!$A$1:$KZ$3000,$C47,11+3*MIN(BW$3,$D$2-1)))))</f>
        <v/>
      </c>
    </row>
    <row r="48">
      <c r="A48" s="61">
        <f>IF('VALOR POR PL'!Q12="",'VALOR POR PL'!C12,'VALOR POR PL'!Q12)</f>
        <v/>
      </c>
      <c r="B48" s="51">
        <f>B6</f>
        <v/>
      </c>
      <c r="C48" s="70">
        <f>IFERROR(MATCH(A48,'CURVA PREVISION'!$B$1:$B$3000,0),"")</f>
        <v/>
      </c>
      <c r="D48" s="130">
        <f>IF(OR($C48="",$B$2="",$D$2=0),0,IF(D$3&lt;0,0,N(INDEX('CURVA PREVISION'!$A$1:$KZ$3000,$C48,11+3*MIN(D$3,$D$2-1)))))</f>
        <v/>
      </c>
      <c r="E48" s="130">
        <f>IF(OR($C48="",$B$2="",$D$2=0),0,IF(E$3&lt;0,0,N(INDEX('CURVA PREVISION'!$A$1:$KZ$3000,$C48,11+3*MIN(E$3,$D$2-1)))))</f>
        <v/>
      </c>
      <c r="F48" s="130">
        <f>IF(OR($C48="",$B$2="",$D$2=0),0,IF(F$3&lt;0,0,N(INDEX('CURVA PREVISION'!$A$1:$KZ$3000,$C48,11+3*MIN(F$3,$D$2-1)))))</f>
        <v/>
      </c>
      <c r="G48" s="130">
        <f>IF(OR($C48="",$B$2="",$D$2=0),0,IF(G$3&lt;0,0,N(INDEX('CURVA PREVISION'!$A$1:$KZ$3000,$C48,11+3*MIN(G$3,$D$2-1)))))</f>
        <v/>
      </c>
      <c r="H48" s="130">
        <f>IF(OR($C48="",$B$2="",$D$2=0),0,IF(H$3&lt;0,0,N(INDEX('CURVA PREVISION'!$A$1:$KZ$3000,$C48,11+3*MIN(H$3,$D$2-1)))))</f>
        <v/>
      </c>
      <c r="I48" s="130">
        <f>IF(OR($C48="",$B$2="",$D$2=0),0,IF(I$3&lt;0,0,N(INDEX('CURVA PREVISION'!$A$1:$KZ$3000,$C48,11+3*MIN(I$3,$D$2-1)))))</f>
        <v/>
      </c>
      <c r="J48" s="130">
        <f>IF(OR($C48="",$B$2="",$D$2=0),0,IF(J$3&lt;0,0,N(INDEX('CURVA PREVISION'!$A$1:$KZ$3000,$C48,11+3*MIN(J$3,$D$2-1)))))</f>
        <v/>
      </c>
      <c r="K48" s="130">
        <f>IF(OR($C48="",$B$2="",$D$2=0),0,IF(K$3&lt;0,0,N(INDEX('CURVA PREVISION'!$A$1:$KZ$3000,$C48,11+3*MIN(K$3,$D$2-1)))))</f>
        <v/>
      </c>
      <c r="L48" s="130">
        <f>IF(OR($C48="",$B$2="",$D$2=0),0,IF(L$3&lt;0,0,N(INDEX('CURVA PREVISION'!$A$1:$KZ$3000,$C48,11+3*MIN(L$3,$D$2-1)))))</f>
        <v/>
      </c>
      <c r="M48" s="130">
        <f>IF(OR($C48="",$B$2="",$D$2=0),0,IF(M$3&lt;0,0,N(INDEX('CURVA PREVISION'!$A$1:$KZ$3000,$C48,11+3*MIN(M$3,$D$2-1)))))</f>
        <v/>
      </c>
      <c r="N48" s="130">
        <f>IF(OR($C48="",$B$2="",$D$2=0),0,IF(N$3&lt;0,0,N(INDEX('CURVA PREVISION'!$A$1:$KZ$3000,$C48,11+3*MIN(N$3,$D$2-1)))))</f>
        <v/>
      </c>
      <c r="O48" s="130">
        <f>IF(OR($C48="",$B$2="",$D$2=0),0,IF(O$3&lt;0,0,N(INDEX('CURVA PREVISION'!$A$1:$KZ$3000,$C48,11+3*MIN(O$3,$D$2-1)))))</f>
        <v/>
      </c>
      <c r="P48" s="130">
        <f>IF(OR($C48="",$B$2="",$D$2=0),0,IF(P$3&lt;0,0,N(INDEX('CURVA PREVISION'!$A$1:$KZ$3000,$C48,11+3*MIN(P$3,$D$2-1)))))</f>
        <v/>
      </c>
      <c r="Q48" s="130">
        <f>IF(OR($C48="",$B$2="",$D$2=0),0,IF(Q$3&lt;0,0,N(INDEX('CURVA PREVISION'!$A$1:$KZ$3000,$C48,11+3*MIN(Q$3,$D$2-1)))))</f>
        <v/>
      </c>
      <c r="R48" s="130">
        <f>IF(OR($C48="",$B$2="",$D$2=0),0,IF(R$3&lt;0,0,N(INDEX('CURVA PREVISION'!$A$1:$KZ$3000,$C48,11+3*MIN(R$3,$D$2-1)))))</f>
        <v/>
      </c>
      <c r="S48" s="130">
        <f>IF(OR($C48="",$B$2="",$D$2=0),0,IF(S$3&lt;0,0,N(INDEX('CURVA PREVISION'!$A$1:$KZ$3000,$C48,11+3*MIN(S$3,$D$2-1)))))</f>
        <v/>
      </c>
      <c r="T48" s="130">
        <f>IF(OR($C48="",$B$2="",$D$2=0),0,IF(T$3&lt;0,0,N(INDEX('CURVA PREVISION'!$A$1:$KZ$3000,$C48,11+3*MIN(T$3,$D$2-1)))))</f>
        <v/>
      </c>
      <c r="U48" s="130">
        <f>IF(OR($C48="",$B$2="",$D$2=0),0,IF(U$3&lt;0,0,N(INDEX('CURVA PREVISION'!$A$1:$KZ$3000,$C48,11+3*MIN(U$3,$D$2-1)))))</f>
        <v/>
      </c>
      <c r="V48" s="130">
        <f>IF(OR($C48="",$B$2="",$D$2=0),0,IF(V$3&lt;0,0,N(INDEX('CURVA PREVISION'!$A$1:$KZ$3000,$C48,11+3*MIN(V$3,$D$2-1)))))</f>
        <v/>
      </c>
      <c r="W48" s="130">
        <f>IF(OR($C48="",$B$2="",$D$2=0),0,IF(W$3&lt;0,0,N(INDEX('CURVA PREVISION'!$A$1:$KZ$3000,$C48,11+3*MIN(W$3,$D$2-1)))))</f>
        <v/>
      </c>
      <c r="X48" s="130">
        <f>IF(OR($C48="",$B$2="",$D$2=0),0,IF(X$3&lt;0,0,N(INDEX('CURVA PREVISION'!$A$1:$KZ$3000,$C48,11+3*MIN(X$3,$D$2-1)))))</f>
        <v/>
      </c>
      <c r="Y48" s="130">
        <f>IF(OR($C48="",$B$2="",$D$2=0),0,IF(Y$3&lt;0,0,N(INDEX('CURVA PREVISION'!$A$1:$KZ$3000,$C48,11+3*MIN(Y$3,$D$2-1)))))</f>
        <v/>
      </c>
      <c r="Z48" s="130">
        <f>IF(OR($C48="",$B$2="",$D$2=0),0,IF(Z$3&lt;0,0,N(INDEX('CURVA PREVISION'!$A$1:$KZ$3000,$C48,11+3*MIN(Z$3,$D$2-1)))))</f>
        <v/>
      </c>
      <c r="AA48" s="130">
        <f>IF(OR($C48="",$B$2="",$D$2=0),0,IF(AA$3&lt;0,0,N(INDEX('CURVA PREVISION'!$A$1:$KZ$3000,$C48,11+3*MIN(AA$3,$D$2-1)))))</f>
        <v/>
      </c>
      <c r="AB48" s="130">
        <f>IF(OR($C48="",$B$2="",$D$2=0),0,IF(AB$3&lt;0,0,N(INDEX('CURVA PREVISION'!$A$1:$KZ$3000,$C48,11+3*MIN(AB$3,$D$2-1)))))</f>
        <v/>
      </c>
      <c r="AC48" s="130">
        <f>IF(OR($C48="",$B$2="",$D$2=0),0,IF(AC$3&lt;0,0,N(INDEX('CURVA PREVISION'!$A$1:$KZ$3000,$C48,11+3*MIN(AC$3,$D$2-1)))))</f>
        <v/>
      </c>
      <c r="AD48" s="130">
        <f>IF(OR($C48="",$B$2="",$D$2=0),0,IF(AD$3&lt;0,0,N(INDEX('CURVA PREVISION'!$A$1:$KZ$3000,$C48,11+3*MIN(AD$3,$D$2-1)))))</f>
        <v/>
      </c>
      <c r="AE48" s="130">
        <f>IF(OR($C48="",$B$2="",$D$2=0),0,IF(AE$3&lt;0,0,N(INDEX('CURVA PREVISION'!$A$1:$KZ$3000,$C48,11+3*MIN(AE$3,$D$2-1)))))</f>
        <v/>
      </c>
      <c r="AF48" s="130">
        <f>IF(OR($C48="",$B$2="",$D$2=0),0,IF(AF$3&lt;0,0,N(INDEX('CURVA PREVISION'!$A$1:$KZ$3000,$C48,11+3*MIN(AF$3,$D$2-1)))))</f>
        <v/>
      </c>
      <c r="AG48" s="130">
        <f>IF(OR($C48="",$B$2="",$D$2=0),0,IF(AG$3&lt;0,0,N(INDEX('CURVA PREVISION'!$A$1:$KZ$3000,$C48,11+3*MIN(AG$3,$D$2-1)))))</f>
        <v/>
      </c>
      <c r="AH48" s="130">
        <f>IF(OR($C48="",$B$2="",$D$2=0),0,IF(AH$3&lt;0,0,N(INDEX('CURVA PREVISION'!$A$1:$KZ$3000,$C48,11+3*MIN(AH$3,$D$2-1)))))</f>
        <v/>
      </c>
      <c r="AI48" s="130">
        <f>IF(OR($C48="",$B$2="",$D$2=0),0,IF(AI$3&lt;0,0,N(INDEX('CURVA PREVISION'!$A$1:$KZ$3000,$C48,11+3*MIN(AI$3,$D$2-1)))))</f>
        <v/>
      </c>
      <c r="AJ48" s="130">
        <f>IF(OR($C48="",$B$2="",$D$2=0),0,IF(AJ$3&lt;0,0,N(INDEX('CURVA PREVISION'!$A$1:$KZ$3000,$C48,11+3*MIN(AJ$3,$D$2-1)))))</f>
        <v/>
      </c>
      <c r="AK48" s="130">
        <f>IF(OR($C48="",$B$2="",$D$2=0),0,IF(AK$3&lt;0,0,N(INDEX('CURVA PREVISION'!$A$1:$KZ$3000,$C48,11+3*MIN(AK$3,$D$2-1)))))</f>
        <v/>
      </c>
      <c r="AL48" s="130">
        <f>IF(OR($C48="",$B$2="",$D$2=0),0,IF(AL$3&lt;0,0,N(INDEX('CURVA PREVISION'!$A$1:$KZ$3000,$C48,11+3*MIN(AL$3,$D$2-1)))))</f>
        <v/>
      </c>
      <c r="AM48" s="130">
        <f>IF(OR($C48="",$B$2="",$D$2=0),0,IF(AM$3&lt;0,0,N(INDEX('CURVA PREVISION'!$A$1:$KZ$3000,$C48,11+3*MIN(AM$3,$D$2-1)))))</f>
        <v/>
      </c>
      <c r="AN48" s="130">
        <f>IF(OR($C48="",$B$2="",$D$2=0),0,IF(AN$3&lt;0,0,N(INDEX('CURVA PREVISION'!$A$1:$KZ$3000,$C48,11+3*MIN(AN$3,$D$2-1)))))</f>
        <v/>
      </c>
      <c r="AO48" s="130">
        <f>IF(OR($C48="",$B$2="",$D$2=0),0,IF(AO$3&lt;0,0,N(INDEX('CURVA PREVISION'!$A$1:$KZ$3000,$C48,11+3*MIN(AO$3,$D$2-1)))))</f>
        <v/>
      </c>
      <c r="AP48" s="130">
        <f>IF(OR($C48="",$B$2="",$D$2=0),0,IF(AP$3&lt;0,0,N(INDEX('CURVA PREVISION'!$A$1:$KZ$3000,$C48,11+3*MIN(AP$3,$D$2-1)))))</f>
        <v/>
      </c>
      <c r="AQ48" s="130">
        <f>IF(OR($C48="",$B$2="",$D$2=0),0,IF(AQ$3&lt;0,0,N(INDEX('CURVA PREVISION'!$A$1:$KZ$3000,$C48,11+3*MIN(AQ$3,$D$2-1)))))</f>
        <v/>
      </c>
      <c r="AR48" s="130">
        <f>IF(OR($C48="",$B$2="",$D$2=0),0,IF(AR$3&lt;0,0,N(INDEX('CURVA PREVISION'!$A$1:$KZ$3000,$C48,11+3*MIN(AR$3,$D$2-1)))))</f>
        <v/>
      </c>
      <c r="AS48" s="130">
        <f>IF(OR($C48="",$B$2="",$D$2=0),0,IF(AS$3&lt;0,0,N(INDEX('CURVA PREVISION'!$A$1:$KZ$3000,$C48,11+3*MIN(AS$3,$D$2-1)))))</f>
        <v/>
      </c>
      <c r="AT48" s="130">
        <f>IF(OR($C48="",$B$2="",$D$2=0),0,IF(AT$3&lt;0,0,N(INDEX('CURVA PREVISION'!$A$1:$KZ$3000,$C48,11+3*MIN(AT$3,$D$2-1)))))</f>
        <v/>
      </c>
      <c r="AU48" s="130">
        <f>IF(OR($C48="",$B$2="",$D$2=0),0,IF(AU$3&lt;0,0,N(INDEX('CURVA PREVISION'!$A$1:$KZ$3000,$C48,11+3*MIN(AU$3,$D$2-1)))))</f>
        <v/>
      </c>
      <c r="AV48" s="130">
        <f>IF(OR($C48="",$B$2="",$D$2=0),0,IF(AV$3&lt;0,0,N(INDEX('CURVA PREVISION'!$A$1:$KZ$3000,$C48,11+3*MIN(AV$3,$D$2-1)))))</f>
        <v/>
      </c>
      <c r="AW48" s="130">
        <f>IF(OR($C48="",$B$2="",$D$2=0),0,IF(AW$3&lt;0,0,N(INDEX('CURVA PREVISION'!$A$1:$KZ$3000,$C48,11+3*MIN(AW$3,$D$2-1)))))</f>
        <v/>
      </c>
      <c r="AX48" s="130">
        <f>IF(OR($C48="",$B$2="",$D$2=0),0,IF(AX$3&lt;0,0,N(INDEX('CURVA PREVISION'!$A$1:$KZ$3000,$C48,11+3*MIN(AX$3,$D$2-1)))))</f>
        <v/>
      </c>
      <c r="AY48" s="130">
        <f>IF(OR($C48="",$B$2="",$D$2=0),0,IF(AY$3&lt;0,0,N(INDEX('CURVA PREVISION'!$A$1:$KZ$3000,$C48,11+3*MIN(AY$3,$D$2-1)))))</f>
        <v/>
      </c>
      <c r="AZ48" s="130">
        <f>IF(OR($C48="",$B$2="",$D$2=0),0,IF(AZ$3&lt;0,0,N(INDEX('CURVA PREVISION'!$A$1:$KZ$3000,$C48,11+3*MIN(AZ$3,$D$2-1)))))</f>
        <v/>
      </c>
      <c r="BA48" s="130">
        <f>IF(OR($C48="",$B$2="",$D$2=0),0,IF(BA$3&lt;0,0,N(INDEX('CURVA PREVISION'!$A$1:$KZ$3000,$C48,11+3*MIN(BA$3,$D$2-1)))))</f>
        <v/>
      </c>
      <c r="BB48" s="130">
        <f>IF(OR($C48="",$B$2="",$D$2=0),0,IF(BB$3&lt;0,0,N(INDEX('CURVA PREVISION'!$A$1:$KZ$3000,$C48,11+3*MIN(BB$3,$D$2-1)))))</f>
        <v/>
      </c>
      <c r="BC48" s="130">
        <f>IF(OR($C48="",$B$2="",$D$2=0),0,IF(BC$3&lt;0,0,N(INDEX('CURVA PREVISION'!$A$1:$KZ$3000,$C48,11+3*MIN(BC$3,$D$2-1)))))</f>
        <v/>
      </c>
      <c r="BD48" s="130">
        <f>IF(OR($C48="",$B$2="",$D$2=0),0,IF(BD$3&lt;0,0,N(INDEX('CURVA PREVISION'!$A$1:$KZ$3000,$C48,11+3*MIN(BD$3,$D$2-1)))))</f>
        <v/>
      </c>
      <c r="BE48" s="130">
        <f>IF(OR($C48="",$B$2="",$D$2=0),0,IF(BE$3&lt;0,0,N(INDEX('CURVA PREVISION'!$A$1:$KZ$3000,$C48,11+3*MIN(BE$3,$D$2-1)))))</f>
        <v/>
      </c>
      <c r="BF48" s="130">
        <f>IF(OR($C48="",$B$2="",$D$2=0),0,IF(BF$3&lt;0,0,N(INDEX('CURVA PREVISION'!$A$1:$KZ$3000,$C48,11+3*MIN(BF$3,$D$2-1)))))</f>
        <v/>
      </c>
      <c r="BG48" s="130">
        <f>IF(OR($C48="",$B$2="",$D$2=0),0,IF(BG$3&lt;0,0,N(INDEX('CURVA PREVISION'!$A$1:$KZ$3000,$C48,11+3*MIN(BG$3,$D$2-1)))))</f>
        <v/>
      </c>
      <c r="BH48" s="130">
        <f>IF(OR($C48="",$B$2="",$D$2=0),0,IF(BH$3&lt;0,0,N(INDEX('CURVA PREVISION'!$A$1:$KZ$3000,$C48,11+3*MIN(BH$3,$D$2-1)))))</f>
        <v/>
      </c>
      <c r="BI48" s="130">
        <f>IF(OR($C48="",$B$2="",$D$2=0),0,IF(BI$3&lt;0,0,N(INDEX('CURVA PREVISION'!$A$1:$KZ$3000,$C48,11+3*MIN(BI$3,$D$2-1)))))</f>
        <v/>
      </c>
      <c r="BJ48" s="130">
        <f>IF(OR($C48="",$B$2="",$D$2=0),0,IF(BJ$3&lt;0,0,N(INDEX('CURVA PREVISION'!$A$1:$KZ$3000,$C48,11+3*MIN(BJ$3,$D$2-1)))))</f>
        <v/>
      </c>
      <c r="BK48" s="130">
        <f>IF(OR($C48="",$B$2="",$D$2=0),0,IF(BK$3&lt;0,0,N(INDEX('CURVA PREVISION'!$A$1:$KZ$3000,$C48,11+3*MIN(BK$3,$D$2-1)))))</f>
        <v/>
      </c>
      <c r="BL48" s="130">
        <f>IF(OR($C48="",$B$2="",$D$2=0),0,IF(BL$3&lt;0,0,N(INDEX('CURVA PREVISION'!$A$1:$KZ$3000,$C48,11+3*MIN(BL$3,$D$2-1)))))</f>
        <v/>
      </c>
      <c r="BM48" s="130">
        <f>IF(OR($C48="",$B$2="",$D$2=0),0,IF(BM$3&lt;0,0,N(INDEX('CURVA PREVISION'!$A$1:$KZ$3000,$C48,11+3*MIN(BM$3,$D$2-1)))))</f>
        <v/>
      </c>
      <c r="BN48" s="130">
        <f>IF(OR($C48="",$B$2="",$D$2=0),0,IF(BN$3&lt;0,0,N(INDEX('CURVA PREVISION'!$A$1:$KZ$3000,$C48,11+3*MIN(BN$3,$D$2-1)))))</f>
        <v/>
      </c>
      <c r="BO48" s="130">
        <f>IF(OR($C48="",$B$2="",$D$2=0),0,IF(BO$3&lt;0,0,N(INDEX('CURVA PREVISION'!$A$1:$KZ$3000,$C48,11+3*MIN(BO$3,$D$2-1)))))</f>
        <v/>
      </c>
      <c r="BP48" s="130">
        <f>IF(OR($C48="",$B$2="",$D$2=0),0,IF(BP$3&lt;0,0,N(INDEX('CURVA PREVISION'!$A$1:$KZ$3000,$C48,11+3*MIN(BP$3,$D$2-1)))))</f>
        <v/>
      </c>
      <c r="BQ48" s="130">
        <f>IF(OR($C48="",$B$2="",$D$2=0),0,IF(BQ$3&lt;0,0,N(INDEX('CURVA PREVISION'!$A$1:$KZ$3000,$C48,11+3*MIN(BQ$3,$D$2-1)))))</f>
        <v/>
      </c>
      <c r="BR48" s="130">
        <f>IF(OR($C48="",$B$2="",$D$2=0),0,IF(BR$3&lt;0,0,N(INDEX('CURVA PREVISION'!$A$1:$KZ$3000,$C48,11+3*MIN(BR$3,$D$2-1)))))</f>
        <v/>
      </c>
      <c r="BS48" s="130">
        <f>IF(OR($C48="",$B$2="",$D$2=0),0,IF(BS$3&lt;0,0,N(INDEX('CURVA PREVISION'!$A$1:$KZ$3000,$C48,11+3*MIN(BS$3,$D$2-1)))))</f>
        <v/>
      </c>
      <c r="BT48" s="130">
        <f>IF(OR($C48="",$B$2="",$D$2=0),0,IF(BT$3&lt;0,0,N(INDEX('CURVA PREVISION'!$A$1:$KZ$3000,$C48,11+3*MIN(BT$3,$D$2-1)))))</f>
        <v/>
      </c>
      <c r="BU48" s="130">
        <f>IF(OR($C48="",$B$2="",$D$2=0),0,IF(BU$3&lt;0,0,N(INDEX('CURVA PREVISION'!$A$1:$KZ$3000,$C48,11+3*MIN(BU$3,$D$2-1)))))</f>
        <v/>
      </c>
      <c r="BV48" s="130">
        <f>IF(OR($C48="",$B$2="",$D$2=0),0,IF(BV$3&lt;0,0,N(INDEX('CURVA PREVISION'!$A$1:$KZ$3000,$C48,11+3*MIN(BV$3,$D$2-1)))))</f>
        <v/>
      </c>
      <c r="BW48" s="130">
        <f>IF(OR($C48="",$B$2="",$D$2=0),0,IF(BW$3&lt;0,0,N(INDEX('CURVA PREVISION'!$A$1:$KZ$3000,$C48,11+3*MIN(BW$3,$D$2-1)))))</f>
        <v/>
      </c>
    </row>
    <row r="49">
      <c r="A49" s="61">
        <f>IF('VALOR POR PL'!Q13="",'VALOR POR PL'!C13,'VALOR POR PL'!Q13)</f>
        <v/>
      </c>
      <c r="B49" s="51">
        <f>B7</f>
        <v/>
      </c>
      <c r="C49" s="70">
        <f>IFERROR(MATCH(A49,'CURVA PREVISION'!$B$1:$B$3000,0),"")</f>
        <v/>
      </c>
      <c r="D49" s="130">
        <f>IF(OR($C49="",$B$2="",$D$2=0),0,IF(D$3&lt;0,0,N(INDEX('CURVA PREVISION'!$A$1:$KZ$3000,$C49,11+3*MIN(D$3,$D$2-1)))))</f>
        <v/>
      </c>
      <c r="E49" s="130">
        <f>IF(OR($C49="",$B$2="",$D$2=0),0,IF(E$3&lt;0,0,N(INDEX('CURVA PREVISION'!$A$1:$KZ$3000,$C49,11+3*MIN(E$3,$D$2-1)))))</f>
        <v/>
      </c>
      <c r="F49" s="130">
        <f>IF(OR($C49="",$B$2="",$D$2=0),0,IF(F$3&lt;0,0,N(INDEX('CURVA PREVISION'!$A$1:$KZ$3000,$C49,11+3*MIN(F$3,$D$2-1)))))</f>
        <v/>
      </c>
      <c r="G49" s="130">
        <f>IF(OR($C49="",$B$2="",$D$2=0),0,IF(G$3&lt;0,0,N(INDEX('CURVA PREVISION'!$A$1:$KZ$3000,$C49,11+3*MIN(G$3,$D$2-1)))))</f>
        <v/>
      </c>
      <c r="H49" s="130">
        <f>IF(OR($C49="",$B$2="",$D$2=0),0,IF(H$3&lt;0,0,N(INDEX('CURVA PREVISION'!$A$1:$KZ$3000,$C49,11+3*MIN(H$3,$D$2-1)))))</f>
        <v/>
      </c>
      <c r="I49" s="130">
        <f>IF(OR($C49="",$B$2="",$D$2=0),0,IF(I$3&lt;0,0,N(INDEX('CURVA PREVISION'!$A$1:$KZ$3000,$C49,11+3*MIN(I$3,$D$2-1)))))</f>
        <v/>
      </c>
      <c r="J49" s="130">
        <f>IF(OR($C49="",$B$2="",$D$2=0),0,IF(J$3&lt;0,0,N(INDEX('CURVA PREVISION'!$A$1:$KZ$3000,$C49,11+3*MIN(J$3,$D$2-1)))))</f>
        <v/>
      </c>
      <c r="K49" s="130">
        <f>IF(OR($C49="",$B$2="",$D$2=0),0,IF(K$3&lt;0,0,N(INDEX('CURVA PREVISION'!$A$1:$KZ$3000,$C49,11+3*MIN(K$3,$D$2-1)))))</f>
        <v/>
      </c>
      <c r="L49" s="130">
        <f>IF(OR($C49="",$B$2="",$D$2=0),0,IF(L$3&lt;0,0,N(INDEX('CURVA PREVISION'!$A$1:$KZ$3000,$C49,11+3*MIN(L$3,$D$2-1)))))</f>
        <v/>
      </c>
      <c r="M49" s="130">
        <f>IF(OR($C49="",$B$2="",$D$2=0),0,IF(M$3&lt;0,0,N(INDEX('CURVA PREVISION'!$A$1:$KZ$3000,$C49,11+3*MIN(M$3,$D$2-1)))))</f>
        <v/>
      </c>
      <c r="N49" s="130">
        <f>IF(OR($C49="",$B$2="",$D$2=0),0,IF(N$3&lt;0,0,N(INDEX('CURVA PREVISION'!$A$1:$KZ$3000,$C49,11+3*MIN(N$3,$D$2-1)))))</f>
        <v/>
      </c>
      <c r="O49" s="130">
        <f>IF(OR($C49="",$B$2="",$D$2=0),0,IF(O$3&lt;0,0,N(INDEX('CURVA PREVISION'!$A$1:$KZ$3000,$C49,11+3*MIN(O$3,$D$2-1)))))</f>
        <v/>
      </c>
      <c r="P49" s="130">
        <f>IF(OR($C49="",$B$2="",$D$2=0),0,IF(P$3&lt;0,0,N(INDEX('CURVA PREVISION'!$A$1:$KZ$3000,$C49,11+3*MIN(P$3,$D$2-1)))))</f>
        <v/>
      </c>
      <c r="Q49" s="130">
        <f>IF(OR($C49="",$B$2="",$D$2=0),0,IF(Q$3&lt;0,0,N(INDEX('CURVA PREVISION'!$A$1:$KZ$3000,$C49,11+3*MIN(Q$3,$D$2-1)))))</f>
        <v/>
      </c>
      <c r="R49" s="130">
        <f>IF(OR($C49="",$B$2="",$D$2=0),0,IF(R$3&lt;0,0,N(INDEX('CURVA PREVISION'!$A$1:$KZ$3000,$C49,11+3*MIN(R$3,$D$2-1)))))</f>
        <v/>
      </c>
      <c r="S49" s="130">
        <f>IF(OR($C49="",$B$2="",$D$2=0),0,IF(S$3&lt;0,0,N(INDEX('CURVA PREVISION'!$A$1:$KZ$3000,$C49,11+3*MIN(S$3,$D$2-1)))))</f>
        <v/>
      </c>
      <c r="T49" s="130">
        <f>IF(OR($C49="",$B$2="",$D$2=0),0,IF(T$3&lt;0,0,N(INDEX('CURVA PREVISION'!$A$1:$KZ$3000,$C49,11+3*MIN(T$3,$D$2-1)))))</f>
        <v/>
      </c>
      <c r="U49" s="130">
        <f>IF(OR($C49="",$B$2="",$D$2=0),0,IF(U$3&lt;0,0,N(INDEX('CURVA PREVISION'!$A$1:$KZ$3000,$C49,11+3*MIN(U$3,$D$2-1)))))</f>
        <v/>
      </c>
      <c r="V49" s="130">
        <f>IF(OR($C49="",$B$2="",$D$2=0),0,IF(V$3&lt;0,0,N(INDEX('CURVA PREVISION'!$A$1:$KZ$3000,$C49,11+3*MIN(V$3,$D$2-1)))))</f>
        <v/>
      </c>
      <c r="W49" s="130">
        <f>IF(OR($C49="",$B$2="",$D$2=0),0,IF(W$3&lt;0,0,N(INDEX('CURVA PREVISION'!$A$1:$KZ$3000,$C49,11+3*MIN(W$3,$D$2-1)))))</f>
        <v/>
      </c>
      <c r="X49" s="130">
        <f>IF(OR($C49="",$B$2="",$D$2=0),0,IF(X$3&lt;0,0,N(INDEX('CURVA PREVISION'!$A$1:$KZ$3000,$C49,11+3*MIN(X$3,$D$2-1)))))</f>
        <v/>
      </c>
      <c r="Y49" s="130">
        <f>IF(OR($C49="",$B$2="",$D$2=0),0,IF(Y$3&lt;0,0,N(INDEX('CURVA PREVISION'!$A$1:$KZ$3000,$C49,11+3*MIN(Y$3,$D$2-1)))))</f>
        <v/>
      </c>
      <c r="Z49" s="130">
        <f>IF(OR($C49="",$B$2="",$D$2=0),0,IF(Z$3&lt;0,0,N(INDEX('CURVA PREVISION'!$A$1:$KZ$3000,$C49,11+3*MIN(Z$3,$D$2-1)))))</f>
        <v/>
      </c>
      <c r="AA49" s="130">
        <f>IF(OR($C49="",$B$2="",$D$2=0),0,IF(AA$3&lt;0,0,N(INDEX('CURVA PREVISION'!$A$1:$KZ$3000,$C49,11+3*MIN(AA$3,$D$2-1)))))</f>
        <v/>
      </c>
      <c r="AB49" s="130">
        <f>IF(OR($C49="",$B$2="",$D$2=0),0,IF(AB$3&lt;0,0,N(INDEX('CURVA PREVISION'!$A$1:$KZ$3000,$C49,11+3*MIN(AB$3,$D$2-1)))))</f>
        <v/>
      </c>
      <c r="AC49" s="130">
        <f>IF(OR($C49="",$B$2="",$D$2=0),0,IF(AC$3&lt;0,0,N(INDEX('CURVA PREVISION'!$A$1:$KZ$3000,$C49,11+3*MIN(AC$3,$D$2-1)))))</f>
        <v/>
      </c>
      <c r="AD49" s="130">
        <f>IF(OR($C49="",$B$2="",$D$2=0),0,IF(AD$3&lt;0,0,N(INDEX('CURVA PREVISION'!$A$1:$KZ$3000,$C49,11+3*MIN(AD$3,$D$2-1)))))</f>
        <v/>
      </c>
      <c r="AE49" s="130">
        <f>IF(OR($C49="",$B$2="",$D$2=0),0,IF(AE$3&lt;0,0,N(INDEX('CURVA PREVISION'!$A$1:$KZ$3000,$C49,11+3*MIN(AE$3,$D$2-1)))))</f>
        <v/>
      </c>
      <c r="AF49" s="130">
        <f>IF(OR($C49="",$B$2="",$D$2=0),0,IF(AF$3&lt;0,0,N(INDEX('CURVA PREVISION'!$A$1:$KZ$3000,$C49,11+3*MIN(AF$3,$D$2-1)))))</f>
        <v/>
      </c>
      <c r="AG49" s="130">
        <f>IF(OR($C49="",$B$2="",$D$2=0),0,IF(AG$3&lt;0,0,N(INDEX('CURVA PREVISION'!$A$1:$KZ$3000,$C49,11+3*MIN(AG$3,$D$2-1)))))</f>
        <v/>
      </c>
      <c r="AH49" s="130">
        <f>IF(OR($C49="",$B$2="",$D$2=0),0,IF(AH$3&lt;0,0,N(INDEX('CURVA PREVISION'!$A$1:$KZ$3000,$C49,11+3*MIN(AH$3,$D$2-1)))))</f>
        <v/>
      </c>
      <c r="AI49" s="130">
        <f>IF(OR($C49="",$B$2="",$D$2=0),0,IF(AI$3&lt;0,0,N(INDEX('CURVA PREVISION'!$A$1:$KZ$3000,$C49,11+3*MIN(AI$3,$D$2-1)))))</f>
        <v/>
      </c>
      <c r="AJ49" s="130">
        <f>IF(OR($C49="",$B$2="",$D$2=0),0,IF(AJ$3&lt;0,0,N(INDEX('CURVA PREVISION'!$A$1:$KZ$3000,$C49,11+3*MIN(AJ$3,$D$2-1)))))</f>
        <v/>
      </c>
      <c r="AK49" s="130">
        <f>IF(OR($C49="",$B$2="",$D$2=0),0,IF(AK$3&lt;0,0,N(INDEX('CURVA PREVISION'!$A$1:$KZ$3000,$C49,11+3*MIN(AK$3,$D$2-1)))))</f>
        <v/>
      </c>
      <c r="AL49" s="130">
        <f>IF(OR($C49="",$B$2="",$D$2=0),0,IF(AL$3&lt;0,0,N(INDEX('CURVA PREVISION'!$A$1:$KZ$3000,$C49,11+3*MIN(AL$3,$D$2-1)))))</f>
        <v/>
      </c>
      <c r="AM49" s="130">
        <f>IF(OR($C49="",$B$2="",$D$2=0),0,IF(AM$3&lt;0,0,N(INDEX('CURVA PREVISION'!$A$1:$KZ$3000,$C49,11+3*MIN(AM$3,$D$2-1)))))</f>
        <v/>
      </c>
      <c r="AN49" s="130">
        <f>IF(OR($C49="",$B$2="",$D$2=0),0,IF(AN$3&lt;0,0,N(INDEX('CURVA PREVISION'!$A$1:$KZ$3000,$C49,11+3*MIN(AN$3,$D$2-1)))))</f>
        <v/>
      </c>
      <c r="AO49" s="130">
        <f>IF(OR($C49="",$B$2="",$D$2=0),0,IF(AO$3&lt;0,0,N(INDEX('CURVA PREVISION'!$A$1:$KZ$3000,$C49,11+3*MIN(AO$3,$D$2-1)))))</f>
        <v/>
      </c>
      <c r="AP49" s="130">
        <f>IF(OR($C49="",$B$2="",$D$2=0),0,IF(AP$3&lt;0,0,N(INDEX('CURVA PREVISION'!$A$1:$KZ$3000,$C49,11+3*MIN(AP$3,$D$2-1)))))</f>
        <v/>
      </c>
      <c r="AQ49" s="130">
        <f>IF(OR($C49="",$B$2="",$D$2=0),0,IF(AQ$3&lt;0,0,N(INDEX('CURVA PREVISION'!$A$1:$KZ$3000,$C49,11+3*MIN(AQ$3,$D$2-1)))))</f>
        <v/>
      </c>
      <c r="AR49" s="130">
        <f>IF(OR($C49="",$B$2="",$D$2=0),0,IF(AR$3&lt;0,0,N(INDEX('CURVA PREVISION'!$A$1:$KZ$3000,$C49,11+3*MIN(AR$3,$D$2-1)))))</f>
        <v/>
      </c>
      <c r="AS49" s="130">
        <f>IF(OR($C49="",$B$2="",$D$2=0),0,IF(AS$3&lt;0,0,N(INDEX('CURVA PREVISION'!$A$1:$KZ$3000,$C49,11+3*MIN(AS$3,$D$2-1)))))</f>
        <v/>
      </c>
      <c r="AT49" s="130">
        <f>IF(OR($C49="",$B$2="",$D$2=0),0,IF(AT$3&lt;0,0,N(INDEX('CURVA PREVISION'!$A$1:$KZ$3000,$C49,11+3*MIN(AT$3,$D$2-1)))))</f>
        <v/>
      </c>
      <c r="AU49" s="130">
        <f>IF(OR($C49="",$B$2="",$D$2=0),0,IF(AU$3&lt;0,0,N(INDEX('CURVA PREVISION'!$A$1:$KZ$3000,$C49,11+3*MIN(AU$3,$D$2-1)))))</f>
        <v/>
      </c>
      <c r="AV49" s="130">
        <f>IF(OR($C49="",$B$2="",$D$2=0),0,IF(AV$3&lt;0,0,N(INDEX('CURVA PREVISION'!$A$1:$KZ$3000,$C49,11+3*MIN(AV$3,$D$2-1)))))</f>
        <v/>
      </c>
      <c r="AW49" s="130">
        <f>IF(OR($C49="",$B$2="",$D$2=0),0,IF(AW$3&lt;0,0,N(INDEX('CURVA PREVISION'!$A$1:$KZ$3000,$C49,11+3*MIN(AW$3,$D$2-1)))))</f>
        <v/>
      </c>
      <c r="AX49" s="130">
        <f>IF(OR($C49="",$B$2="",$D$2=0),0,IF(AX$3&lt;0,0,N(INDEX('CURVA PREVISION'!$A$1:$KZ$3000,$C49,11+3*MIN(AX$3,$D$2-1)))))</f>
        <v/>
      </c>
      <c r="AY49" s="130">
        <f>IF(OR($C49="",$B$2="",$D$2=0),0,IF(AY$3&lt;0,0,N(INDEX('CURVA PREVISION'!$A$1:$KZ$3000,$C49,11+3*MIN(AY$3,$D$2-1)))))</f>
        <v/>
      </c>
      <c r="AZ49" s="130">
        <f>IF(OR($C49="",$B$2="",$D$2=0),0,IF(AZ$3&lt;0,0,N(INDEX('CURVA PREVISION'!$A$1:$KZ$3000,$C49,11+3*MIN(AZ$3,$D$2-1)))))</f>
        <v/>
      </c>
      <c r="BA49" s="130">
        <f>IF(OR($C49="",$B$2="",$D$2=0),0,IF(BA$3&lt;0,0,N(INDEX('CURVA PREVISION'!$A$1:$KZ$3000,$C49,11+3*MIN(BA$3,$D$2-1)))))</f>
        <v/>
      </c>
      <c r="BB49" s="130">
        <f>IF(OR($C49="",$B$2="",$D$2=0),0,IF(BB$3&lt;0,0,N(INDEX('CURVA PREVISION'!$A$1:$KZ$3000,$C49,11+3*MIN(BB$3,$D$2-1)))))</f>
        <v/>
      </c>
      <c r="BC49" s="130">
        <f>IF(OR($C49="",$B$2="",$D$2=0),0,IF(BC$3&lt;0,0,N(INDEX('CURVA PREVISION'!$A$1:$KZ$3000,$C49,11+3*MIN(BC$3,$D$2-1)))))</f>
        <v/>
      </c>
      <c r="BD49" s="130">
        <f>IF(OR($C49="",$B$2="",$D$2=0),0,IF(BD$3&lt;0,0,N(INDEX('CURVA PREVISION'!$A$1:$KZ$3000,$C49,11+3*MIN(BD$3,$D$2-1)))))</f>
        <v/>
      </c>
      <c r="BE49" s="130">
        <f>IF(OR($C49="",$B$2="",$D$2=0),0,IF(BE$3&lt;0,0,N(INDEX('CURVA PREVISION'!$A$1:$KZ$3000,$C49,11+3*MIN(BE$3,$D$2-1)))))</f>
        <v/>
      </c>
      <c r="BF49" s="130">
        <f>IF(OR($C49="",$B$2="",$D$2=0),0,IF(BF$3&lt;0,0,N(INDEX('CURVA PREVISION'!$A$1:$KZ$3000,$C49,11+3*MIN(BF$3,$D$2-1)))))</f>
        <v/>
      </c>
      <c r="BG49" s="130">
        <f>IF(OR($C49="",$B$2="",$D$2=0),0,IF(BG$3&lt;0,0,N(INDEX('CURVA PREVISION'!$A$1:$KZ$3000,$C49,11+3*MIN(BG$3,$D$2-1)))))</f>
        <v/>
      </c>
      <c r="BH49" s="130">
        <f>IF(OR($C49="",$B$2="",$D$2=0),0,IF(BH$3&lt;0,0,N(INDEX('CURVA PREVISION'!$A$1:$KZ$3000,$C49,11+3*MIN(BH$3,$D$2-1)))))</f>
        <v/>
      </c>
      <c r="BI49" s="130">
        <f>IF(OR($C49="",$B$2="",$D$2=0),0,IF(BI$3&lt;0,0,N(INDEX('CURVA PREVISION'!$A$1:$KZ$3000,$C49,11+3*MIN(BI$3,$D$2-1)))))</f>
        <v/>
      </c>
      <c r="BJ49" s="130">
        <f>IF(OR($C49="",$B$2="",$D$2=0),0,IF(BJ$3&lt;0,0,N(INDEX('CURVA PREVISION'!$A$1:$KZ$3000,$C49,11+3*MIN(BJ$3,$D$2-1)))))</f>
        <v/>
      </c>
      <c r="BK49" s="130">
        <f>IF(OR($C49="",$B$2="",$D$2=0),0,IF(BK$3&lt;0,0,N(INDEX('CURVA PREVISION'!$A$1:$KZ$3000,$C49,11+3*MIN(BK$3,$D$2-1)))))</f>
        <v/>
      </c>
      <c r="BL49" s="130">
        <f>IF(OR($C49="",$B$2="",$D$2=0),0,IF(BL$3&lt;0,0,N(INDEX('CURVA PREVISION'!$A$1:$KZ$3000,$C49,11+3*MIN(BL$3,$D$2-1)))))</f>
        <v/>
      </c>
      <c r="BM49" s="130">
        <f>IF(OR($C49="",$B$2="",$D$2=0),0,IF(BM$3&lt;0,0,N(INDEX('CURVA PREVISION'!$A$1:$KZ$3000,$C49,11+3*MIN(BM$3,$D$2-1)))))</f>
        <v/>
      </c>
      <c r="BN49" s="130">
        <f>IF(OR($C49="",$B$2="",$D$2=0),0,IF(BN$3&lt;0,0,N(INDEX('CURVA PREVISION'!$A$1:$KZ$3000,$C49,11+3*MIN(BN$3,$D$2-1)))))</f>
        <v/>
      </c>
      <c r="BO49" s="130">
        <f>IF(OR($C49="",$B$2="",$D$2=0),0,IF(BO$3&lt;0,0,N(INDEX('CURVA PREVISION'!$A$1:$KZ$3000,$C49,11+3*MIN(BO$3,$D$2-1)))))</f>
        <v/>
      </c>
      <c r="BP49" s="130">
        <f>IF(OR($C49="",$B$2="",$D$2=0),0,IF(BP$3&lt;0,0,N(INDEX('CURVA PREVISION'!$A$1:$KZ$3000,$C49,11+3*MIN(BP$3,$D$2-1)))))</f>
        <v/>
      </c>
      <c r="BQ49" s="130">
        <f>IF(OR($C49="",$B$2="",$D$2=0),0,IF(BQ$3&lt;0,0,N(INDEX('CURVA PREVISION'!$A$1:$KZ$3000,$C49,11+3*MIN(BQ$3,$D$2-1)))))</f>
        <v/>
      </c>
      <c r="BR49" s="130">
        <f>IF(OR($C49="",$B$2="",$D$2=0),0,IF(BR$3&lt;0,0,N(INDEX('CURVA PREVISION'!$A$1:$KZ$3000,$C49,11+3*MIN(BR$3,$D$2-1)))))</f>
        <v/>
      </c>
      <c r="BS49" s="130">
        <f>IF(OR($C49="",$B$2="",$D$2=0),0,IF(BS$3&lt;0,0,N(INDEX('CURVA PREVISION'!$A$1:$KZ$3000,$C49,11+3*MIN(BS$3,$D$2-1)))))</f>
        <v/>
      </c>
      <c r="BT49" s="130">
        <f>IF(OR($C49="",$B$2="",$D$2=0),0,IF(BT$3&lt;0,0,N(INDEX('CURVA PREVISION'!$A$1:$KZ$3000,$C49,11+3*MIN(BT$3,$D$2-1)))))</f>
        <v/>
      </c>
      <c r="BU49" s="130">
        <f>IF(OR($C49="",$B$2="",$D$2=0),0,IF(BU$3&lt;0,0,N(INDEX('CURVA PREVISION'!$A$1:$KZ$3000,$C49,11+3*MIN(BU$3,$D$2-1)))))</f>
        <v/>
      </c>
      <c r="BV49" s="130">
        <f>IF(OR($C49="",$B$2="",$D$2=0),0,IF(BV$3&lt;0,0,N(INDEX('CURVA PREVISION'!$A$1:$KZ$3000,$C49,11+3*MIN(BV$3,$D$2-1)))))</f>
        <v/>
      </c>
      <c r="BW49" s="130">
        <f>IF(OR($C49="",$B$2="",$D$2=0),0,IF(BW$3&lt;0,0,N(INDEX('CURVA PREVISION'!$A$1:$KZ$3000,$C49,11+3*MIN(BW$3,$D$2-1)))))</f>
        <v/>
      </c>
    </row>
    <row r="50">
      <c r="A50" s="61">
        <f>IF('VALOR POR PL'!Q14="",'VALOR POR PL'!C14,'VALOR POR PL'!Q14)</f>
        <v/>
      </c>
      <c r="B50" s="51">
        <f>B8</f>
        <v/>
      </c>
      <c r="C50" s="70">
        <f>IFERROR(MATCH(A50,'CURVA PREVISION'!$B$1:$B$3000,0),"")</f>
        <v/>
      </c>
      <c r="D50" s="130">
        <f>IF(OR($C50="",$B$2="",$D$2=0),0,IF(D$3&lt;0,0,N(INDEX('CURVA PREVISION'!$A$1:$KZ$3000,$C50,11+3*MIN(D$3,$D$2-1)))))</f>
        <v/>
      </c>
      <c r="E50" s="130">
        <f>IF(OR($C50="",$B$2="",$D$2=0),0,IF(E$3&lt;0,0,N(INDEX('CURVA PREVISION'!$A$1:$KZ$3000,$C50,11+3*MIN(E$3,$D$2-1)))))</f>
        <v/>
      </c>
      <c r="F50" s="130">
        <f>IF(OR($C50="",$B$2="",$D$2=0),0,IF(F$3&lt;0,0,N(INDEX('CURVA PREVISION'!$A$1:$KZ$3000,$C50,11+3*MIN(F$3,$D$2-1)))))</f>
        <v/>
      </c>
      <c r="G50" s="130">
        <f>IF(OR($C50="",$B$2="",$D$2=0),0,IF(G$3&lt;0,0,N(INDEX('CURVA PREVISION'!$A$1:$KZ$3000,$C50,11+3*MIN(G$3,$D$2-1)))))</f>
        <v/>
      </c>
      <c r="H50" s="130">
        <f>IF(OR($C50="",$B$2="",$D$2=0),0,IF(H$3&lt;0,0,N(INDEX('CURVA PREVISION'!$A$1:$KZ$3000,$C50,11+3*MIN(H$3,$D$2-1)))))</f>
        <v/>
      </c>
      <c r="I50" s="130">
        <f>IF(OR($C50="",$B$2="",$D$2=0),0,IF(I$3&lt;0,0,N(INDEX('CURVA PREVISION'!$A$1:$KZ$3000,$C50,11+3*MIN(I$3,$D$2-1)))))</f>
        <v/>
      </c>
      <c r="J50" s="130">
        <f>IF(OR($C50="",$B$2="",$D$2=0),0,IF(J$3&lt;0,0,N(INDEX('CURVA PREVISION'!$A$1:$KZ$3000,$C50,11+3*MIN(J$3,$D$2-1)))))</f>
        <v/>
      </c>
      <c r="K50" s="130">
        <f>IF(OR($C50="",$B$2="",$D$2=0),0,IF(K$3&lt;0,0,N(INDEX('CURVA PREVISION'!$A$1:$KZ$3000,$C50,11+3*MIN(K$3,$D$2-1)))))</f>
        <v/>
      </c>
      <c r="L50" s="130">
        <f>IF(OR($C50="",$B$2="",$D$2=0),0,IF(L$3&lt;0,0,N(INDEX('CURVA PREVISION'!$A$1:$KZ$3000,$C50,11+3*MIN(L$3,$D$2-1)))))</f>
        <v/>
      </c>
      <c r="M50" s="130">
        <f>IF(OR($C50="",$B$2="",$D$2=0),0,IF(M$3&lt;0,0,N(INDEX('CURVA PREVISION'!$A$1:$KZ$3000,$C50,11+3*MIN(M$3,$D$2-1)))))</f>
        <v/>
      </c>
      <c r="N50" s="130">
        <f>IF(OR($C50="",$B$2="",$D$2=0),0,IF(N$3&lt;0,0,N(INDEX('CURVA PREVISION'!$A$1:$KZ$3000,$C50,11+3*MIN(N$3,$D$2-1)))))</f>
        <v/>
      </c>
      <c r="O50" s="130">
        <f>IF(OR($C50="",$B$2="",$D$2=0),0,IF(O$3&lt;0,0,N(INDEX('CURVA PREVISION'!$A$1:$KZ$3000,$C50,11+3*MIN(O$3,$D$2-1)))))</f>
        <v/>
      </c>
      <c r="P50" s="130">
        <f>IF(OR($C50="",$B$2="",$D$2=0),0,IF(P$3&lt;0,0,N(INDEX('CURVA PREVISION'!$A$1:$KZ$3000,$C50,11+3*MIN(P$3,$D$2-1)))))</f>
        <v/>
      </c>
      <c r="Q50" s="130">
        <f>IF(OR($C50="",$B$2="",$D$2=0),0,IF(Q$3&lt;0,0,N(INDEX('CURVA PREVISION'!$A$1:$KZ$3000,$C50,11+3*MIN(Q$3,$D$2-1)))))</f>
        <v/>
      </c>
      <c r="R50" s="130">
        <f>IF(OR($C50="",$B$2="",$D$2=0),0,IF(R$3&lt;0,0,N(INDEX('CURVA PREVISION'!$A$1:$KZ$3000,$C50,11+3*MIN(R$3,$D$2-1)))))</f>
        <v/>
      </c>
      <c r="S50" s="130">
        <f>IF(OR($C50="",$B$2="",$D$2=0),0,IF(S$3&lt;0,0,N(INDEX('CURVA PREVISION'!$A$1:$KZ$3000,$C50,11+3*MIN(S$3,$D$2-1)))))</f>
        <v/>
      </c>
      <c r="T50" s="130">
        <f>IF(OR($C50="",$B$2="",$D$2=0),0,IF(T$3&lt;0,0,N(INDEX('CURVA PREVISION'!$A$1:$KZ$3000,$C50,11+3*MIN(T$3,$D$2-1)))))</f>
        <v/>
      </c>
      <c r="U50" s="130">
        <f>IF(OR($C50="",$B$2="",$D$2=0),0,IF(U$3&lt;0,0,N(INDEX('CURVA PREVISION'!$A$1:$KZ$3000,$C50,11+3*MIN(U$3,$D$2-1)))))</f>
        <v/>
      </c>
      <c r="V50" s="130">
        <f>IF(OR($C50="",$B$2="",$D$2=0),0,IF(V$3&lt;0,0,N(INDEX('CURVA PREVISION'!$A$1:$KZ$3000,$C50,11+3*MIN(V$3,$D$2-1)))))</f>
        <v/>
      </c>
      <c r="W50" s="130">
        <f>IF(OR($C50="",$B$2="",$D$2=0),0,IF(W$3&lt;0,0,N(INDEX('CURVA PREVISION'!$A$1:$KZ$3000,$C50,11+3*MIN(W$3,$D$2-1)))))</f>
        <v/>
      </c>
      <c r="X50" s="130">
        <f>IF(OR($C50="",$B$2="",$D$2=0),0,IF(X$3&lt;0,0,N(INDEX('CURVA PREVISION'!$A$1:$KZ$3000,$C50,11+3*MIN(X$3,$D$2-1)))))</f>
        <v/>
      </c>
      <c r="Y50" s="130">
        <f>IF(OR($C50="",$B$2="",$D$2=0),0,IF(Y$3&lt;0,0,N(INDEX('CURVA PREVISION'!$A$1:$KZ$3000,$C50,11+3*MIN(Y$3,$D$2-1)))))</f>
        <v/>
      </c>
      <c r="Z50" s="130">
        <f>IF(OR($C50="",$B$2="",$D$2=0),0,IF(Z$3&lt;0,0,N(INDEX('CURVA PREVISION'!$A$1:$KZ$3000,$C50,11+3*MIN(Z$3,$D$2-1)))))</f>
        <v/>
      </c>
      <c r="AA50" s="130">
        <f>IF(OR($C50="",$B$2="",$D$2=0),0,IF(AA$3&lt;0,0,N(INDEX('CURVA PREVISION'!$A$1:$KZ$3000,$C50,11+3*MIN(AA$3,$D$2-1)))))</f>
        <v/>
      </c>
      <c r="AB50" s="130">
        <f>IF(OR($C50="",$B$2="",$D$2=0),0,IF(AB$3&lt;0,0,N(INDEX('CURVA PREVISION'!$A$1:$KZ$3000,$C50,11+3*MIN(AB$3,$D$2-1)))))</f>
        <v/>
      </c>
      <c r="AC50" s="130">
        <f>IF(OR($C50="",$B$2="",$D$2=0),0,IF(AC$3&lt;0,0,N(INDEX('CURVA PREVISION'!$A$1:$KZ$3000,$C50,11+3*MIN(AC$3,$D$2-1)))))</f>
        <v/>
      </c>
      <c r="AD50" s="130">
        <f>IF(OR($C50="",$B$2="",$D$2=0),0,IF(AD$3&lt;0,0,N(INDEX('CURVA PREVISION'!$A$1:$KZ$3000,$C50,11+3*MIN(AD$3,$D$2-1)))))</f>
        <v/>
      </c>
      <c r="AE50" s="130">
        <f>IF(OR($C50="",$B$2="",$D$2=0),0,IF(AE$3&lt;0,0,N(INDEX('CURVA PREVISION'!$A$1:$KZ$3000,$C50,11+3*MIN(AE$3,$D$2-1)))))</f>
        <v/>
      </c>
      <c r="AF50" s="130">
        <f>IF(OR($C50="",$B$2="",$D$2=0),0,IF(AF$3&lt;0,0,N(INDEX('CURVA PREVISION'!$A$1:$KZ$3000,$C50,11+3*MIN(AF$3,$D$2-1)))))</f>
        <v/>
      </c>
      <c r="AG50" s="130">
        <f>IF(OR($C50="",$B$2="",$D$2=0),0,IF(AG$3&lt;0,0,N(INDEX('CURVA PREVISION'!$A$1:$KZ$3000,$C50,11+3*MIN(AG$3,$D$2-1)))))</f>
        <v/>
      </c>
      <c r="AH50" s="130">
        <f>IF(OR($C50="",$B$2="",$D$2=0),0,IF(AH$3&lt;0,0,N(INDEX('CURVA PREVISION'!$A$1:$KZ$3000,$C50,11+3*MIN(AH$3,$D$2-1)))))</f>
        <v/>
      </c>
      <c r="AI50" s="130">
        <f>IF(OR($C50="",$B$2="",$D$2=0),0,IF(AI$3&lt;0,0,N(INDEX('CURVA PREVISION'!$A$1:$KZ$3000,$C50,11+3*MIN(AI$3,$D$2-1)))))</f>
        <v/>
      </c>
      <c r="AJ50" s="130">
        <f>IF(OR($C50="",$B$2="",$D$2=0),0,IF(AJ$3&lt;0,0,N(INDEX('CURVA PREVISION'!$A$1:$KZ$3000,$C50,11+3*MIN(AJ$3,$D$2-1)))))</f>
        <v/>
      </c>
      <c r="AK50" s="130">
        <f>IF(OR($C50="",$B$2="",$D$2=0),0,IF(AK$3&lt;0,0,N(INDEX('CURVA PREVISION'!$A$1:$KZ$3000,$C50,11+3*MIN(AK$3,$D$2-1)))))</f>
        <v/>
      </c>
      <c r="AL50" s="130">
        <f>IF(OR($C50="",$B$2="",$D$2=0),0,IF(AL$3&lt;0,0,N(INDEX('CURVA PREVISION'!$A$1:$KZ$3000,$C50,11+3*MIN(AL$3,$D$2-1)))))</f>
        <v/>
      </c>
      <c r="AM50" s="130">
        <f>IF(OR($C50="",$B$2="",$D$2=0),0,IF(AM$3&lt;0,0,N(INDEX('CURVA PREVISION'!$A$1:$KZ$3000,$C50,11+3*MIN(AM$3,$D$2-1)))))</f>
        <v/>
      </c>
      <c r="AN50" s="130">
        <f>IF(OR($C50="",$B$2="",$D$2=0),0,IF(AN$3&lt;0,0,N(INDEX('CURVA PREVISION'!$A$1:$KZ$3000,$C50,11+3*MIN(AN$3,$D$2-1)))))</f>
        <v/>
      </c>
      <c r="AO50" s="130">
        <f>IF(OR($C50="",$B$2="",$D$2=0),0,IF(AO$3&lt;0,0,N(INDEX('CURVA PREVISION'!$A$1:$KZ$3000,$C50,11+3*MIN(AO$3,$D$2-1)))))</f>
        <v/>
      </c>
      <c r="AP50" s="130">
        <f>IF(OR($C50="",$B$2="",$D$2=0),0,IF(AP$3&lt;0,0,N(INDEX('CURVA PREVISION'!$A$1:$KZ$3000,$C50,11+3*MIN(AP$3,$D$2-1)))))</f>
        <v/>
      </c>
      <c r="AQ50" s="130">
        <f>IF(OR($C50="",$B$2="",$D$2=0),0,IF(AQ$3&lt;0,0,N(INDEX('CURVA PREVISION'!$A$1:$KZ$3000,$C50,11+3*MIN(AQ$3,$D$2-1)))))</f>
        <v/>
      </c>
      <c r="AR50" s="130">
        <f>IF(OR($C50="",$B$2="",$D$2=0),0,IF(AR$3&lt;0,0,N(INDEX('CURVA PREVISION'!$A$1:$KZ$3000,$C50,11+3*MIN(AR$3,$D$2-1)))))</f>
        <v/>
      </c>
      <c r="AS50" s="130">
        <f>IF(OR($C50="",$B$2="",$D$2=0),0,IF(AS$3&lt;0,0,N(INDEX('CURVA PREVISION'!$A$1:$KZ$3000,$C50,11+3*MIN(AS$3,$D$2-1)))))</f>
        <v/>
      </c>
      <c r="AT50" s="130">
        <f>IF(OR($C50="",$B$2="",$D$2=0),0,IF(AT$3&lt;0,0,N(INDEX('CURVA PREVISION'!$A$1:$KZ$3000,$C50,11+3*MIN(AT$3,$D$2-1)))))</f>
        <v/>
      </c>
      <c r="AU50" s="130">
        <f>IF(OR($C50="",$B$2="",$D$2=0),0,IF(AU$3&lt;0,0,N(INDEX('CURVA PREVISION'!$A$1:$KZ$3000,$C50,11+3*MIN(AU$3,$D$2-1)))))</f>
        <v/>
      </c>
      <c r="AV50" s="130">
        <f>IF(OR($C50="",$B$2="",$D$2=0),0,IF(AV$3&lt;0,0,N(INDEX('CURVA PREVISION'!$A$1:$KZ$3000,$C50,11+3*MIN(AV$3,$D$2-1)))))</f>
        <v/>
      </c>
      <c r="AW50" s="130">
        <f>IF(OR($C50="",$B$2="",$D$2=0),0,IF(AW$3&lt;0,0,N(INDEX('CURVA PREVISION'!$A$1:$KZ$3000,$C50,11+3*MIN(AW$3,$D$2-1)))))</f>
        <v/>
      </c>
      <c r="AX50" s="130">
        <f>IF(OR($C50="",$B$2="",$D$2=0),0,IF(AX$3&lt;0,0,N(INDEX('CURVA PREVISION'!$A$1:$KZ$3000,$C50,11+3*MIN(AX$3,$D$2-1)))))</f>
        <v/>
      </c>
      <c r="AY50" s="130">
        <f>IF(OR($C50="",$B$2="",$D$2=0),0,IF(AY$3&lt;0,0,N(INDEX('CURVA PREVISION'!$A$1:$KZ$3000,$C50,11+3*MIN(AY$3,$D$2-1)))))</f>
        <v/>
      </c>
      <c r="AZ50" s="130">
        <f>IF(OR($C50="",$B$2="",$D$2=0),0,IF(AZ$3&lt;0,0,N(INDEX('CURVA PREVISION'!$A$1:$KZ$3000,$C50,11+3*MIN(AZ$3,$D$2-1)))))</f>
        <v/>
      </c>
      <c r="BA50" s="130">
        <f>IF(OR($C50="",$B$2="",$D$2=0),0,IF(BA$3&lt;0,0,N(INDEX('CURVA PREVISION'!$A$1:$KZ$3000,$C50,11+3*MIN(BA$3,$D$2-1)))))</f>
        <v/>
      </c>
      <c r="BB50" s="130">
        <f>IF(OR($C50="",$B$2="",$D$2=0),0,IF(BB$3&lt;0,0,N(INDEX('CURVA PREVISION'!$A$1:$KZ$3000,$C50,11+3*MIN(BB$3,$D$2-1)))))</f>
        <v/>
      </c>
      <c r="BC50" s="130">
        <f>IF(OR($C50="",$B$2="",$D$2=0),0,IF(BC$3&lt;0,0,N(INDEX('CURVA PREVISION'!$A$1:$KZ$3000,$C50,11+3*MIN(BC$3,$D$2-1)))))</f>
        <v/>
      </c>
      <c r="BD50" s="130">
        <f>IF(OR($C50="",$B$2="",$D$2=0),0,IF(BD$3&lt;0,0,N(INDEX('CURVA PREVISION'!$A$1:$KZ$3000,$C50,11+3*MIN(BD$3,$D$2-1)))))</f>
        <v/>
      </c>
      <c r="BE50" s="130">
        <f>IF(OR($C50="",$B$2="",$D$2=0),0,IF(BE$3&lt;0,0,N(INDEX('CURVA PREVISION'!$A$1:$KZ$3000,$C50,11+3*MIN(BE$3,$D$2-1)))))</f>
        <v/>
      </c>
      <c r="BF50" s="130">
        <f>IF(OR($C50="",$B$2="",$D$2=0),0,IF(BF$3&lt;0,0,N(INDEX('CURVA PREVISION'!$A$1:$KZ$3000,$C50,11+3*MIN(BF$3,$D$2-1)))))</f>
        <v/>
      </c>
      <c r="BG50" s="130">
        <f>IF(OR($C50="",$B$2="",$D$2=0),0,IF(BG$3&lt;0,0,N(INDEX('CURVA PREVISION'!$A$1:$KZ$3000,$C50,11+3*MIN(BG$3,$D$2-1)))))</f>
        <v/>
      </c>
      <c r="BH50" s="130">
        <f>IF(OR($C50="",$B$2="",$D$2=0),0,IF(BH$3&lt;0,0,N(INDEX('CURVA PREVISION'!$A$1:$KZ$3000,$C50,11+3*MIN(BH$3,$D$2-1)))))</f>
        <v/>
      </c>
      <c r="BI50" s="130">
        <f>IF(OR($C50="",$B$2="",$D$2=0),0,IF(BI$3&lt;0,0,N(INDEX('CURVA PREVISION'!$A$1:$KZ$3000,$C50,11+3*MIN(BI$3,$D$2-1)))))</f>
        <v/>
      </c>
      <c r="BJ50" s="130">
        <f>IF(OR($C50="",$B$2="",$D$2=0),0,IF(BJ$3&lt;0,0,N(INDEX('CURVA PREVISION'!$A$1:$KZ$3000,$C50,11+3*MIN(BJ$3,$D$2-1)))))</f>
        <v/>
      </c>
      <c r="BK50" s="130">
        <f>IF(OR($C50="",$B$2="",$D$2=0),0,IF(BK$3&lt;0,0,N(INDEX('CURVA PREVISION'!$A$1:$KZ$3000,$C50,11+3*MIN(BK$3,$D$2-1)))))</f>
        <v/>
      </c>
      <c r="BL50" s="130">
        <f>IF(OR($C50="",$B$2="",$D$2=0),0,IF(BL$3&lt;0,0,N(INDEX('CURVA PREVISION'!$A$1:$KZ$3000,$C50,11+3*MIN(BL$3,$D$2-1)))))</f>
        <v/>
      </c>
      <c r="BM50" s="130">
        <f>IF(OR($C50="",$B$2="",$D$2=0),0,IF(BM$3&lt;0,0,N(INDEX('CURVA PREVISION'!$A$1:$KZ$3000,$C50,11+3*MIN(BM$3,$D$2-1)))))</f>
        <v/>
      </c>
      <c r="BN50" s="130">
        <f>IF(OR($C50="",$B$2="",$D$2=0),0,IF(BN$3&lt;0,0,N(INDEX('CURVA PREVISION'!$A$1:$KZ$3000,$C50,11+3*MIN(BN$3,$D$2-1)))))</f>
        <v/>
      </c>
      <c r="BO50" s="130">
        <f>IF(OR($C50="",$B$2="",$D$2=0),0,IF(BO$3&lt;0,0,N(INDEX('CURVA PREVISION'!$A$1:$KZ$3000,$C50,11+3*MIN(BO$3,$D$2-1)))))</f>
        <v/>
      </c>
      <c r="BP50" s="130">
        <f>IF(OR($C50="",$B$2="",$D$2=0),0,IF(BP$3&lt;0,0,N(INDEX('CURVA PREVISION'!$A$1:$KZ$3000,$C50,11+3*MIN(BP$3,$D$2-1)))))</f>
        <v/>
      </c>
      <c r="BQ50" s="130">
        <f>IF(OR($C50="",$B$2="",$D$2=0),0,IF(BQ$3&lt;0,0,N(INDEX('CURVA PREVISION'!$A$1:$KZ$3000,$C50,11+3*MIN(BQ$3,$D$2-1)))))</f>
        <v/>
      </c>
      <c r="BR50" s="130">
        <f>IF(OR($C50="",$B$2="",$D$2=0),0,IF(BR$3&lt;0,0,N(INDEX('CURVA PREVISION'!$A$1:$KZ$3000,$C50,11+3*MIN(BR$3,$D$2-1)))))</f>
        <v/>
      </c>
      <c r="BS50" s="130">
        <f>IF(OR($C50="",$B$2="",$D$2=0),0,IF(BS$3&lt;0,0,N(INDEX('CURVA PREVISION'!$A$1:$KZ$3000,$C50,11+3*MIN(BS$3,$D$2-1)))))</f>
        <v/>
      </c>
      <c r="BT50" s="130">
        <f>IF(OR($C50="",$B$2="",$D$2=0),0,IF(BT$3&lt;0,0,N(INDEX('CURVA PREVISION'!$A$1:$KZ$3000,$C50,11+3*MIN(BT$3,$D$2-1)))))</f>
        <v/>
      </c>
      <c r="BU50" s="130">
        <f>IF(OR($C50="",$B$2="",$D$2=0),0,IF(BU$3&lt;0,0,N(INDEX('CURVA PREVISION'!$A$1:$KZ$3000,$C50,11+3*MIN(BU$3,$D$2-1)))))</f>
        <v/>
      </c>
      <c r="BV50" s="130">
        <f>IF(OR($C50="",$B$2="",$D$2=0),0,IF(BV$3&lt;0,0,N(INDEX('CURVA PREVISION'!$A$1:$KZ$3000,$C50,11+3*MIN(BV$3,$D$2-1)))))</f>
        <v/>
      </c>
      <c r="BW50" s="130">
        <f>IF(OR($C50="",$B$2="",$D$2=0),0,IF(BW$3&lt;0,0,N(INDEX('CURVA PREVISION'!$A$1:$KZ$3000,$C50,11+3*MIN(BW$3,$D$2-1)))))</f>
        <v/>
      </c>
    </row>
    <row r="51">
      <c r="A51" s="61">
        <f>IF('VALOR POR PL'!Q15="",'VALOR POR PL'!C15,'VALOR POR PL'!Q15)</f>
        <v/>
      </c>
      <c r="B51" s="51">
        <f>B9</f>
        <v/>
      </c>
      <c r="C51" s="70">
        <f>IFERROR(MATCH(A51,'CURVA PREVISION'!$B$1:$B$3000,0),"")</f>
        <v/>
      </c>
      <c r="D51" s="130">
        <f>IF(OR($C51="",$B$2="",$D$2=0),0,IF(D$3&lt;0,0,N(INDEX('CURVA PREVISION'!$A$1:$KZ$3000,$C51,11+3*MIN(D$3,$D$2-1)))))</f>
        <v/>
      </c>
      <c r="E51" s="130">
        <f>IF(OR($C51="",$B$2="",$D$2=0),0,IF(E$3&lt;0,0,N(INDEX('CURVA PREVISION'!$A$1:$KZ$3000,$C51,11+3*MIN(E$3,$D$2-1)))))</f>
        <v/>
      </c>
      <c r="F51" s="130">
        <f>IF(OR($C51="",$B$2="",$D$2=0),0,IF(F$3&lt;0,0,N(INDEX('CURVA PREVISION'!$A$1:$KZ$3000,$C51,11+3*MIN(F$3,$D$2-1)))))</f>
        <v/>
      </c>
      <c r="G51" s="130">
        <f>IF(OR($C51="",$B$2="",$D$2=0),0,IF(G$3&lt;0,0,N(INDEX('CURVA PREVISION'!$A$1:$KZ$3000,$C51,11+3*MIN(G$3,$D$2-1)))))</f>
        <v/>
      </c>
      <c r="H51" s="130">
        <f>IF(OR($C51="",$B$2="",$D$2=0),0,IF(H$3&lt;0,0,N(INDEX('CURVA PREVISION'!$A$1:$KZ$3000,$C51,11+3*MIN(H$3,$D$2-1)))))</f>
        <v/>
      </c>
      <c r="I51" s="130">
        <f>IF(OR($C51="",$B$2="",$D$2=0),0,IF(I$3&lt;0,0,N(INDEX('CURVA PREVISION'!$A$1:$KZ$3000,$C51,11+3*MIN(I$3,$D$2-1)))))</f>
        <v/>
      </c>
      <c r="J51" s="130">
        <f>IF(OR($C51="",$B$2="",$D$2=0),0,IF(J$3&lt;0,0,N(INDEX('CURVA PREVISION'!$A$1:$KZ$3000,$C51,11+3*MIN(J$3,$D$2-1)))))</f>
        <v/>
      </c>
      <c r="K51" s="130">
        <f>IF(OR($C51="",$B$2="",$D$2=0),0,IF(K$3&lt;0,0,N(INDEX('CURVA PREVISION'!$A$1:$KZ$3000,$C51,11+3*MIN(K$3,$D$2-1)))))</f>
        <v/>
      </c>
      <c r="L51" s="130">
        <f>IF(OR($C51="",$B$2="",$D$2=0),0,IF(L$3&lt;0,0,N(INDEX('CURVA PREVISION'!$A$1:$KZ$3000,$C51,11+3*MIN(L$3,$D$2-1)))))</f>
        <v/>
      </c>
      <c r="M51" s="130">
        <f>IF(OR($C51="",$B$2="",$D$2=0),0,IF(M$3&lt;0,0,N(INDEX('CURVA PREVISION'!$A$1:$KZ$3000,$C51,11+3*MIN(M$3,$D$2-1)))))</f>
        <v/>
      </c>
      <c r="N51" s="130">
        <f>IF(OR($C51="",$B$2="",$D$2=0),0,IF(N$3&lt;0,0,N(INDEX('CURVA PREVISION'!$A$1:$KZ$3000,$C51,11+3*MIN(N$3,$D$2-1)))))</f>
        <v/>
      </c>
      <c r="O51" s="130">
        <f>IF(OR($C51="",$B$2="",$D$2=0),0,IF(O$3&lt;0,0,N(INDEX('CURVA PREVISION'!$A$1:$KZ$3000,$C51,11+3*MIN(O$3,$D$2-1)))))</f>
        <v/>
      </c>
      <c r="P51" s="130">
        <f>IF(OR($C51="",$B$2="",$D$2=0),0,IF(P$3&lt;0,0,N(INDEX('CURVA PREVISION'!$A$1:$KZ$3000,$C51,11+3*MIN(P$3,$D$2-1)))))</f>
        <v/>
      </c>
      <c r="Q51" s="130">
        <f>IF(OR($C51="",$B$2="",$D$2=0),0,IF(Q$3&lt;0,0,N(INDEX('CURVA PREVISION'!$A$1:$KZ$3000,$C51,11+3*MIN(Q$3,$D$2-1)))))</f>
        <v/>
      </c>
      <c r="R51" s="130">
        <f>IF(OR($C51="",$B$2="",$D$2=0),0,IF(R$3&lt;0,0,N(INDEX('CURVA PREVISION'!$A$1:$KZ$3000,$C51,11+3*MIN(R$3,$D$2-1)))))</f>
        <v/>
      </c>
      <c r="S51" s="130">
        <f>IF(OR($C51="",$B$2="",$D$2=0),0,IF(S$3&lt;0,0,N(INDEX('CURVA PREVISION'!$A$1:$KZ$3000,$C51,11+3*MIN(S$3,$D$2-1)))))</f>
        <v/>
      </c>
      <c r="T51" s="130">
        <f>IF(OR($C51="",$B$2="",$D$2=0),0,IF(T$3&lt;0,0,N(INDEX('CURVA PREVISION'!$A$1:$KZ$3000,$C51,11+3*MIN(T$3,$D$2-1)))))</f>
        <v/>
      </c>
      <c r="U51" s="130">
        <f>IF(OR($C51="",$B$2="",$D$2=0),0,IF(U$3&lt;0,0,N(INDEX('CURVA PREVISION'!$A$1:$KZ$3000,$C51,11+3*MIN(U$3,$D$2-1)))))</f>
        <v/>
      </c>
      <c r="V51" s="130">
        <f>IF(OR($C51="",$B$2="",$D$2=0),0,IF(V$3&lt;0,0,N(INDEX('CURVA PREVISION'!$A$1:$KZ$3000,$C51,11+3*MIN(V$3,$D$2-1)))))</f>
        <v/>
      </c>
      <c r="W51" s="130">
        <f>IF(OR($C51="",$B$2="",$D$2=0),0,IF(W$3&lt;0,0,N(INDEX('CURVA PREVISION'!$A$1:$KZ$3000,$C51,11+3*MIN(W$3,$D$2-1)))))</f>
        <v/>
      </c>
      <c r="X51" s="130">
        <f>IF(OR($C51="",$B$2="",$D$2=0),0,IF(X$3&lt;0,0,N(INDEX('CURVA PREVISION'!$A$1:$KZ$3000,$C51,11+3*MIN(X$3,$D$2-1)))))</f>
        <v/>
      </c>
      <c r="Y51" s="130">
        <f>IF(OR($C51="",$B$2="",$D$2=0),0,IF(Y$3&lt;0,0,N(INDEX('CURVA PREVISION'!$A$1:$KZ$3000,$C51,11+3*MIN(Y$3,$D$2-1)))))</f>
        <v/>
      </c>
      <c r="Z51" s="130">
        <f>IF(OR($C51="",$B$2="",$D$2=0),0,IF(Z$3&lt;0,0,N(INDEX('CURVA PREVISION'!$A$1:$KZ$3000,$C51,11+3*MIN(Z$3,$D$2-1)))))</f>
        <v/>
      </c>
      <c r="AA51" s="130">
        <f>IF(OR($C51="",$B$2="",$D$2=0),0,IF(AA$3&lt;0,0,N(INDEX('CURVA PREVISION'!$A$1:$KZ$3000,$C51,11+3*MIN(AA$3,$D$2-1)))))</f>
        <v/>
      </c>
      <c r="AB51" s="130">
        <f>IF(OR($C51="",$B$2="",$D$2=0),0,IF(AB$3&lt;0,0,N(INDEX('CURVA PREVISION'!$A$1:$KZ$3000,$C51,11+3*MIN(AB$3,$D$2-1)))))</f>
        <v/>
      </c>
      <c r="AC51" s="130">
        <f>IF(OR($C51="",$B$2="",$D$2=0),0,IF(AC$3&lt;0,0,N(INDEX('CURVA PREVISION'!$A$1:$KZ$3000,$C51,11+3*MIN(AC$3,$D$2-1)))))</f>
        <v/>
      </c>
      <c r="AD51" s="130">
        <f>IF(OR($C51="",$B$2="",$D$2=0),0,IF(AD$3&lt;0,0,N(INDEX('CURVA PREVISION'!$A$1:$KZ$3000,$C51,11+3*MIN(AD$3,$D$2-1)))))</f>
        <v/>
      </c>
      <c r="AE51" s="130">
        <f>IF(OR($C51="",$B$2="",$D$2=0),0,IF(AE$3&lt;0,0,N(INDEX('CURVA PREVISION'!$A$1:$KZ$3000,$C51,11+3*MIN(AE$3,$D$2-1)))))</f>
        <v/>
      </c>
      <c r="AF51" s="130">
        <f>IF(OR($C51="",$B$2="",$D$2=0),0,IF(AF$3&lt;0,0,N(INDEX('CURVA PREVISION'!$A$1:$KZ$3000,$C51,11+3*MIN(AF$3,$D$2-1)))))</f>
        <v/>
      </c>
      <c r="AG51" s="130">
        <f>IF(OR($C51="",$B$2="",$D$2=0),0,IF(AG$3&lt;0,0,N(INDEX('CURVA PREVISION'!$A$1:$KZ$3000,$C51,11+3*MIN(AG$3,$D$2-1)))))</f>
        <v/>
      </c>
      <c r="AH51" s="130">
        <f>IF(OR($C51="",$B$2="",$D$2=0),0,IF(AH$3&lt;0,0,N(INDEX('CURVA PREVISION'!$A$1:$KZ$3000,$C51,11+3*MIN(AH$3,$D$2-1)))))</f>
        <v/>
      </c>
      <c r="AI51" s="130">
        <f>IF(OR($C51="",$B$2="",$D$2=0),0,IF(AI$3&lt;0,0,N(INDEX('CURVA PREVISION'!$A$1:$KZ$3000,$C51,11+3*MIN(AI$3,$D$2-1)))))</f>
        <v/>
      </c>
      <c r="AJ51" s="130">
        <f>IF(OR($C51="",$B$2="",$D$2=0),0,IF(AJ$3&lt;0,0,N(INDEX('CURVA PREVISION'!$A$1:$KZ$3000,$C51,11+3*MIN(AJ$3,$D$2-1)))))</f>
        <v/>
      </c>
      <c r="AK51" s="130">
        <f>IF(OR($C51="",$B$2="",$D$2=0),0,IF(AK$3&lt;0,0,N(INDEX('CURVA PREVISION'!$A$1:$KZ$3000,$C51,11+3*MIN(AK$3,$D$2-1)))))</f>
        <v/>
      </c>
      <c r="AL51" s="130">
        <f>IF(OR($C51="",$B$2="",$D$2=0),0,IF(AL$3&lt;0,0,N(INDEX('CURVA PREVISION'!$A$1:$KZ$3000,$C51,11+3*MIN(AL$3,$D$2-1)))))</f>
        <v/>
      </c>
      <c r="AM51" s="130">
        <f>IF(OR($C51="",$B$2="",$D$2=0),0,IF(AM$3&lt;0,0,N(INDEX('CURVA PREVISION'!$A$1:$KZ$3000,$C51,11+3*MIN(AM$3,$D$2-1)))))</f>
        <v/>
      </c>
      <c r="AN51" s="130">
        <f>IF(OR($C51="",$B$2="",$D$2=0),0,IF(AN$3&lt;0,0,N(INDEX('CURVA PREVISION'!$A$1:$KZ$3000,$C51,11+3*MIN(AN$3,$D$2-1)))))</f>
        <v/>
      </c>
      <c r="AO51" s="130">
        <f>IF(OR($C51="",$B$2="",$D$2=0),0,IF(AO$3&lt;0,0,N(INDEX('CURVA PREVISION'!$A$1:$KZ$3000,$C51,11+3*MIN(AO$3,$D$2-1)))))</f>
        <v/>
      </c>
      <c r="AP51" s="130">
        <f>IF(OR($C51="",$B$2="",$D$2=0),0,IF(AP$3&lt;0,0,N(INDEX('CURVA PREVISION'!$A$1:$KZ$3000,$C51,11+3*MIN(AP$3,$D$2-1)))))</f>
        <v/>
      </c>
      <c r="AQ51" s="130">
        <f>IF(OR($C51="",$B$2="",$D$2=0),0,IF(AQ$3&lt;0,0,N(INDEX('CURVA PREVISION'!$A$1:$KZ$3000,$C51,11+3*MIN(AQ$3,$D$2-1)))))</f>
        <v/>
      </c>
      <c r="AR51" s="130">
        <f>IF(OR($C51="",$B$2="",$D$2=0),0,IF(AR$3&lt;0,0,N(INDEX('CURVA PREVISION'!$A$1:$KZ$3000,$C51,11+3*MIN(AR$3,$D$2-1)))))</f>
        <v/>
      </c>
      <c r="AS51" s="130">
        <f>IF(OR($C51="",$B$2="",$D$2=0),0,IF(AS$3&lt;0,0,N(INDEX('CURVA PREVISION'!$A$1:$KZ$3000,$C51,11+3*MIN(AS$3,$D$2-1)))))</f>
        <v/>
      </c>
      <c r="AT51" s="130">
        <f>IF(OR($C51="",$B$2="",$D$2=0),0,IF(AT$3&lt;0,0,N(INDEX('CURVA PREVISION'!$A$1:$KZ$3000,$C51,11+3*MIN(AT$3,$D$2-1)))))</f>
        <v/>
      </c>
      <c r="AU51" s="130">
        <f>IF(OR($C51="",$B$2="",$D$2=0),0,IF(AU$3&lt;0,0,N(INDEX('CURVA PREVISION'!$A$1:$KZ$3000,$C51,11+3*MIN(AU$3,$D$2-1)))))</f>
        <v/>
      </c>
      <c r="AV51" s="130">
        <f>IF(OR($C51="",$B$2="",$D$2=0),0,IF(AV$3&lt;0,0,N(INDEX('CURVA PREVISION'!$A$1:$KZ$3000,$C51,11+3*MIN(AV$3,$D$2-1)))))</f>
        <v/>
      </c>
      <c r="AW51" s="130">
        <f>IF(OR($C51="",$B$2="",$D$2=0),0,IF(AW$3&lt;0,0,N(INDEX('CURVA PREVISION'!$A$1:$KZ$3000,$C51,11+3*MIN(AW$3,$D$2-1)))))</f>
        <v/>
      </c>
      <c r="AX51" s="130">
        <f>IF(OR($C51="",$B$2="",$D$2=0),0,IF(AX$3&lt;0,0,N(INDEX('CURVA PREVISION'!$A$1:$KZ$3000,$C51,11+3*MIN(AX$3,$D$2-1)))))</f>
        <v/>
      </c>
      <c r="AY51" s="130">
        <f>IF(OR($C51="",$B$2="",$D$2=0),0,IF(AY$3&lt;0,0,N(INDEX('CURVA PREVISION'!$A$1:$KZ$3000,$C51,11+3*MIN(AY$3,$D$2-1)))))</f>
        <v/>
      </c>
      <c r="AZ51" s="130">
        <f>IF(OR($C51="",$B$2="",$D$2=0),0,IF(AZ$3&lt;0,0,N(INDEX('CURVA PREVISION'!$A$1:$KZ$3000,$C51,11+3*MIN(AZ$3,$D$2-1)))))</f>
        <v/>
      </c>
      <c r="BA51" s="130">
        <f>IF(OR($C51="",$B$2="",$D$2=0),0,IF(BA$3&lt;0,0,N(INDEX('CURVA PREVISION'!$A$1:$KZ$3000,$C51,11+3*MIN(BA$3,$D$2-1)))))</f>
        <v/>
      </c>
      <c r="BB51" s="130">
        <f>IF(OR($C51="",$B$2="",$D$2=0),0,IF(BB$3&lt;0,0,N(INDEX('CURVA PREVISION'!$A$1:$KZ$3000,$C51,11+3*MIN(BB$3,$D$2-1)))))</f>
        <v/>
      </c>
      <c r="BC51" s="130">
        <f>IF(OR($C51="",$B$2="",$D$2=0),0,IF(BC$3&lt;0,0,N(INDEX('CURVA PREVISION'!$A$1:$KZ$3000,$C51,11+3*MIN(BC$3,$D$2-1)))))</f>
        <v/>
      </c>
      <c r="BD51" s="130">
        <f>IF(OR($C51="",$B$2="",$D$2=0),0,IF(BD$3&lt;0,0,N(INDEX('CURVA PREVISION'!$A$1:$KZ$3000,$C51,11+3*MIN(BD$3,$D$2-1)))))</f>
        <v/>
      </c>
      <c r="BE51" s="130">
        <f>IF(OR($C51="",$B$2="",$D$2=0),0,IF(BE$3&lt;0,0,N(INDEX('CURVA PREVISION'!$A$1:$KZ$3000,$C51,11+3*MIN(BE$3,$D$2-1)))))</f>
        <v/>
      </c>
      <c r="BF51" s="130">
        <f>IF(OR($C51="",$B$2="",$D$2=0),0,IF(BF$3&lt;0,0,N(INDEX('CURVA PREVISION'!$A$1:$KZ$3000,$C51,11+3*MIN(BF$3,$D$2-1)))))</f>
        <v/>
      </c>
      <c r="BG51" s="130">
        <f>IF(OR($C51="",$B$2="",$D$2=0),0,IF(BG$3&lt;0,0,N(INDEX('CURVA PREVISION'!$A$1:$KZ$3000,$C51,11+3*MIN(BG$3,$D$2-1)))))</f>
        <v/>
      </c>
      <c r="BH51" s="130">
        <f>IF(OR($C51="",$B$2="",$D$2=0),0,IF(BH$3&lt;0,0,N(INDEX('CURVA PREVISION'!$A$1:$KZ$3000,$C51,11+3*MIN(BH$3,$D$2-1)))))</f>
        <v/>
      </c>
      <c r="BI51" s="130">
        <f>IF(OR($C51="",$B$2="",$D$2=0),0,IF(BI$3&lt;0,0,N(INDEX('CURVA PREVISION'!$A$1:$KZ$3000,$C51,11+3*MIN(BI$3,$D$2-1)))))</f>
        <v/>
      </c>
      <c r="BJ51" s="130">
        <f>IF(OR($C51="",$B$2="",$D$2=0),0,IF(BJ$3&lt;0,0,N(INDEX('CURVA PREVISION'!$A$1:$KZ$3000,$C51,11+3*MIN(BJ$3,$D$2-1)))))</f>
        <v/>
      </c>
      <c r="BK51" s="130">
        <f>IF(OR($C51="",$B$2="",$D$2=0),0,IF(BK$3&lt;0,0,N(INDEX('CURVA PREVISION'!$A$1:$KZ$3000,$C51,11+3*MIN(BK$3,$D$2-1)))))</f>
        <v/>
      </c>
      <c r="BL51" s="130">
        <f>IF(OR($C51="",$B$2="",$D$2=0),0,IF(BL$3&lt;0,0,N(INDEX('CURVA PREVISION'!$A$1:$KZ$3000,$C51,11+3*MIN(BL$3,$D$2-1)))))</f>
        <v/>
      </c>
      <c r="BM51" s="130">
        <f>IF(OR($C51="",$B$2="",$D$2=0),0,IF(BM$3&lt;0,0,N(INDEX('CURVA PREVISION'!$A$1:$KZ$3000,$C51,11+3*MIN(BM$3,$D$2-1)))))</f>
        <v/>
      </c>
      <c r="BN51" s="130">
        <f>IF(OR($C51="",$B$2="",$D$2=0),0,IF(BN$3&lt;0,0,N(INDEX('CURVA PREVISION'!$A$1:$KZ$3000,$C51,11+3*MIN(BN$3,$D$2-1)))))</f>
        <v/>
      </c>
      <c r="BO51" s="130">
        <f>IF(OR($C51="",$B$2="",$D$2=0),0,IF(BO$3&lt;0,0,N(INDEX('CURVA PREVISION'!$A$1:$KZ$3000,$C51,11+3*MIN(BO$3,$D$2-1)))))</f>
        <v/>
      </c>
      <c r="BP51" s="130">
        <f>IF(OR($C51="",$B$2="",$D$2=0),0,IF(BP$3&lt;0,0,N(INDEX('CURVA PREVISION'!$A$1:$KZ$3000,$C51,11+3*MIN(BP$3,$D$2-1)))))</f>
        <v/>
      </c>
      <c r="BQ51" s="130">
        <f>IF(OR($C51="",$B$2="",$D$2=0),0,IF(BQ$3&lt;0,0,N(INDEX('CURVA PREVISION'!$A$1:$KZ$3000,$C51,11+3*MIN(BQ$3,$D$2-1)))))</f>
        <v/>
      </c>
      <c r="BR51" s="130">
        <f>IF(OR($C51="",$B$2="",$D$2=0),0,IF(BR$3&lt;0,0,N(INDEX('CURVA PREVISION'!$A$1:$KZ$3000,$C51,11+3*MIN(BR$3,$D$2-1)))))</f>
        <v/>
      </c>
      <c r="BS51" s="130">
        <f>IF(OR($C51="",$B$2="",$D$2=0),0,IF(BS$3&lt;0,0,N(INDEX('CURVA PREVISION'!$A$1:$KZ$3000,$C51,11+3*MIN(BS$3,$D$2-1)))))</f>
        <v/>
      </c>
      <c r="BT51" s="130">
        <f>IF(OR($C51="",$B$2="",$D$2=0),0,IF(BT$3&lt;0,0,N(INDEX('CURVA PREVISION'!$A$1:$KZ$3000,$C51,11+3*MIN(BT$3,$D$2-1)))))</f>
        <v/>
      </c>
      <c r="BU51" s="130">
        <f>IF(OR($C51="",$B$2="",$D$2=0),0,IF(BU$3&lt;0,0,N(INDEX('CURVA PREVISION'!$A$1:$KZ$3000,$C51,11+3*MIN(BU$3,$D$2-1)))))</f>
        <v/>
      </c>
      <c r="BV51" s="130">
        <f>IF(OR($C51="",$B$2="",$D$2=0),0,IF(BV$3&lt;0,0,N(INDEX('CURVA PREVISION'!$A$1:$KZ$3000,$C51,11+3*MIN(BV$3,$D$2-1)))))</f>
        <v/>
      </c>
      <c r="BW51" s="130">
        <f>IF(OR($C51="",$B$2="",$D$2=0),0,IF(BW$3&lt;0,0,N(INDEX('CURVA PREVISION'!$A$1:$KZ$3000,$C51,11+3*MIN(BW$3,$D$2-1)))))</f>
        <v/>
      </c>
    </row>
    <row r="52">
      <c r="A52" s="61">
        <f>IF('VALOR POR PL'!Q16="",'VALOR POR PL'!C16,'VALOR POR PL'!Q16)</f>
        <v/>
      </c>
      <c r="B52" s="51">
        <f>B10</f>
        <v/>
      </c>
      <c r="C52" s="70">
        <f>IFERROR(MATCH(A52,'CURVA PREVISION'!$B$1:$B$3000,0),"")</f>
        <v/>
      </c>
      <c r="D52" s="130">
        <f>IF(OR($C52="",$B$2="",$D$2=0),0,IF(D$3&lt;0,0,N(INDEX('CURVA PREVISION'!$A$1:$KZ$3000,$C52,11+3*MIN(D$3,$D$2-1)))))</f>
        <v/>
      </c>
      <c r="E52" s="130">
        <f>IF(OR($C52="",$B$2="",$D$2=0),0,IF(E$3&lt;0,0,N(INDEX('CURVA PREVISION'!$A$1:$KZ$3000,$C52,11+3*MIN(E$3,$D$2-1)))))</f>
        <v/>
      </c>
      <c r="F52" s="130">
        <f>IF(OR($C52="",$B$2="",$D$2=0),0,IF(F$3&lt;0,0,N(INDEX('CURVA PREVISION'!$A$1:$KZ$3000,$C52,11+3*MIN(F$3,$D$2-1)))))</f>
        <v/>
      </c>
      <c r="G52" s="130">
        <f>IF(OR($C52="",$B$2="",$D$2=0),0,IF(G$3&lt;0,0,N(INDEX('CURVA PREVISION'!$A$1:$KZ$3000,$C52,11+3*MIN(G$3,$D$2-1)))))</f>
        <v/>
      </c>
      <c r="H52" s="130">
        <f>IF(OR($C52="",$B$2="",$D$2=0),0,IF(H$3&lt;0,0,N(INDEX('CURVA PREVISION'!$A$1:$KZ$3000,$C52,11+3*MIN(H$3,$D$2-1)))))</f>
        <v/>
      </c>
      <c r="I52" s="130">
        <f>IF(OR($C52="",$B$2="",$D$2=0),0,IF(I$3&lt;0,0,N(INDEX('CURVA PREVISION'!$A$1:$KZ$3000,$C52,11+3*MIN(I$3,$D$2-1)))))</f>
        <v/>
      </c>
      <c r="J52" s="130">
        <f>IF(OR($C52="",$B$2="",$D$2=0),0,IF(J$3&lt;0,0,N(INDEX('CURVA PREVISION'!$A$1:$KZ$3000,$C52,11+3*MIN(J$3,$D$2-1)))))</f>
        <v/>
      </c>
      <c r="K52" s="130">
        <f>IF(OR($C52="",$B$2="",$D$2=0),0,IF(K$3&lt;0,0,N(INDEX('CURVA PREVISION'!$A$1:$KZ$3000,$C52,11+3*MIN(K$3,$D$2-1)))))</f>
        <v/>
      </c>
      <c r="L52" s="130">
        <f>IF(OR($C52="",$B$2="",$D$2=0),0,IF(L$3&lt;0,0,N(INDEX('CURVA PREVISION'!$A$1:$KZ$3000,$C52,11+3*MIN(L$3,$D$2-1)))))</f>
        <v/>
      </c>
      <c r="M52" s="130">
        <f>IF(OR($C52="",$B$2="",$D$2=0),0,IF(M$3&lt;0,0,N(INDEX('CURVA PREVISION'!$A$1:$KZ$3000,$C52,11+3*MIN(M$3,$D$2-1)))))</f>
        <v/>
      </c>
      <c r="N52" s="130">
        <f>IF(OR($C52="",$B$2="",$D$2=0),0,IF(N$3&lt;0,0,N(INDEX('CURVA PREVISION'!$A$1:$KZ$3000,$C52,11+3*MIN(N$3,$D$2-1)))))</f>
        <v/>
      </c>
      <c r="O52" s="130">
        <f>IF(OR($C52="",$B$2="",$D$2=0),0,IF(O$3&lt;0,0,N(INDEX('CURVA PREVISION'!$A$1:$KZ$3000,$C52,11+3*MIN(O$3,$D$2-1)))))</f>
        <v/>
      </c>
      <c r="P52" s="130">
        <f>IF(OR($C52="",$B$2="",$D$2=0),0,IF(P$3&lt;0,0,N(INDEX('CURVA PREVISION'!$A$1:$KZ$3000,$C52,11+3*MIN(P$3,$D$2-1)))))</f>
        <v/>
      </c>
      <c r="Q52" s="130">
        <f>IF(OR($C52="",$B$2="",$D$2=0),0,IF(Q$3&lt;0,0,N(INDEX('CURVA PREVISION'!$A$1:$KZ$3000,$C52,11+3*MIN(Q$3,$D$2-1)))))</f>
        <v/>
      </c>
      <c r="R52" s="130">
        <f>IF(OR($C52="",$B$2="",$D$2=0),0,IF(R$3&lt;0,0,N(INDEX('CURVA PREVISION'!$A$1:$KZ$3000,$C52,11+3*MIN(R$3,$D$2-1)))))</f>
        <v/>
      </c>
      <c r="S52" s="130">
        <f>IF(OR($C52="",$B$2="",$D$2=0),0,IF(S$3&lt;0,0,N(INDEX('CURVA PREVISION'!$A$1:$KZ$3000,$C52,11+3*MIN(S$3,$D$2-1)))))</f>
        <v/>
      </c>
      <c r="T52" s="130">
        <f>IF(OR($C52="",$B$2="",$D$2=0),0,IF(T$3&lt;0,0,N(INDEX('CURVA PREVISION'!$A$1:$KZ$3000,$C52,11+3*MIN(T$3,$D$2-1)))))</f>
        <v/>
      </c>
      <c r="U52" s="130">
        <f>IF(OR($C52="",$B$2="",$D$2=0),0,IF(U$3&lt;0,0,N(INDEX('CURVA PREVISION'!$A$1:$KZ$3000,$C52,11+3*MIN(U$3,$D$2-1)))))</f>
        <v/>
      </c>
      <c r="V52" s="130">
        <f>IF(OR($C52="",$B$2="",$D$2=0),0,IF(V$3&lt;0,0,N(INDEX('CURVA PREVISION'!$A$1:$KZ$3000,$C52,11+3*MIN(V$3,$D$2-1)))))</f>
        <v/>
      </c>
      <c r="W52" s="130">
        <f>IF(OR($C52="",$B$2="",$D$2=0),0,IF(W$3&lt;0,0,N(INDEX('CURVA PREVISION'!$A$1:$KZ$3000,$C52,11+3*MIN(W$3,$D$2-1)))))</f>
        <v/>
      </c>
      <c r="X52" s="130">
        <f>IF(OR($C52="",$B$2="",$D$2=0),0,IF(X$3&lt;0,0,N(INDEX('CURVA PREVISION'!$A$1:$KZ$3000,$C52,11+3*MIN(X$3,$D$2-1)))))</f>
        <v/>
      </c>
      <c r="Y52" s="130">
        <f>IF(OR($C52="",$B$2="",$D$2=0),0,IF(Y$3&lt;0,0,N(INDEX('CURVA PREVISION'!$A$1:$KZ$3000,$C52,11+3*MIN(Y$3,$D$2-1)))))</f>
        <v/>
      </c>
      <c r="Z52" s="130">
        <f>IF(OR($C52="",$B$2="",$D$2=0),0,IF(Z$3&lt;0,0,N(INDEX('CURVA PREVISION'!$A$1:$KZ$3000,$C52,11+3*MIN(Z$3,$D$2-1)))))</f>
        <v/>
      </c>
      <c r="AA52" s="130">
        <f>IF(OR($C52="",$B$2="",$D$2=0),0,IF(AA$3&lt;0,0,N(INDEX('CURVA PREVISION'!$A$1:$KZ$3000,$C52,11+3*MIN(AA$3,$D$2-1)))))</f>
        <v/>
      </c>
      <c r="AB52" s="130">
        <f>IF(OR($C52="",$B$2="",$D$2=0),0,IF(AB$3&lt;0,0,N(INDEX('CURVA PREVISION'!$A$1:$KZ$3000,$C52,11+3*MIN(AB$3,$D$2-1)))))</f>
        <v/>
      </c>
      <c r="AC52" s="130">
        <f>IF(OR($C52="",$B$2="",$D$2=0),0,IF(AC$3&lt;0,0,N(INDEX('CURVA PREVISION'!$A$1:$KZ$3000,$C52,11+3*MIN(AC$3,$D$2-1)))))</f>
        <v/>
      </c>
      <c r="AD52" s="130">
        <f>IF(OR($C52="",$B$2="",$D$2=0),0,IF(AD$3&lt;0,0,N(INDEX('CURVA PREVISION'!$A$1:$KZ$3000,$C52,11+3*MIN(AD$3,$D$2-1)))))</f>
        <v/>
      </c>
      <c r="AE52" s="130">
        <f>IF(OR($C52="",$B$2="",$D$2=0),0,IF(AE$3&lt;0,0,N(INDEX('CURVA PREVISION'!$A$1:$KZ$3000,$C52,11+3*MIN(AE$3,$D$2-1)))))</f>
        <v/>
      </c>
      <c r="AF52" s="130">
        <f>IF(OR($C52="",$B$2="",$D$2=0),0,IF(AF$3&lt;0,0,N(INDEX('CURVA PREVISION'!$A$1:$KZ$3000,$C52,11+3*MIN(AF$3,$D$2-1)))))</f>
        <v/>
      </c>
      <c r="AG52" s="130">
        <f>IF(OR($C52="",$B$2="",$D$2=0),0,IF(AG$3&lt;0,0,N(INDEX('CURVA PREVISION'!$A$1:$KZ$3000,$C52,11+3*MIN(AG$3,$D$2-1)))))</f>
        <v/>
      </c>
      <c r="AH52" s="130">
        <f>IF(OR($C52="",$B$2="",$D$2=0),0,IF(AH$3&lt;0,0,N(INDEX('CURVA PREVISION'!$A$1:$KZ$3000,$C52,11+3*MIN(AH$3,$D$2-1)))))</f>
        <v/>
      </c>
      <c r="AI52" s="130">
        <f>IF(OR($C52="",$B$2="",$D$2=0),0,IF(AI$3&lt;0,0,N(INDEX('CURVA PREVISION'!$A$1:$KZ$3000,$C52,11+3*MIN(AI$3,$D$2-1)))))</f>
        <v/>
      </c>
      <c r="AJ52" s="130">
        <f>IF(OR($C52="",$B$2="",$D$2=0),0,IF(AJ$3&lt;0,0,N(INDEX('CURVA PREVISION'!$A$1:$KZ$3000,$C52,11+3*MIN(AJ$3,$D$2-1)))))</f>
        <v/>
      </c>
      <c r="AK52" s="130">
        <f>IF(OR($C52="",$B$2="",$D$2=0),0,IF(AK$3&lt;0,0,N(INDEX('CURVA PREVISION'!$A$1:$KZ$3000,$C52,11+3*MIN(AK$3,$D$2-1)))))</f>
        <v/>
      </c>
      <c r="AL52" s="130">
        <f>IF(OR($C52="",$B$2="",$D$2=0),0,IF(AL$3&lt;0,0,N(INDEX('CURVA PREVISION'!$A$1:$KZ$3000,$C52,11+3*MIN(AL$3,$D$2-1)))))</f>
        <v/>
      </c>
      <c r="AM52" s="130">
        <f>IF(OR($C52="",$B$2="",$D$2=0),0,IF(AM$3&lt;0,0,N(INDEX('CURVA PREVISION'!$A$1:$KZ$3000,$C52,11+3*MIN(AM$3,$D$2-1)))))</f>
        <v/>
      </c>
      <c r="AN52" s="130">
        <f>IF(OR($C52="",$B$2="",$D$2=0),0,IF(AN$3&lt;0,0,N(INDEX('CURVA PREVISION'!$A$1:$KZ$3000,$C52,11+3*MIN(AN$3,$D$2-1)))))</f>
        <v/>
      </c>
      <c r="AO52" s="130">
        <f>IF(OR($C52="",$B$2="",$D$2=0),0,IF(AO$3&lt;0,0,N(INDEX('CURVA PREVISION'!$A$1:$KZ$3000,$C52,11+3*MIN(AO$3,$D$2-1)))))</f>
        <v/>
      </c>
      <c r="AP52" s="130">
        <f>IF(OR($C52="",$B$2="",$D$2=0),0,IF(AP$3&lt;0,0,N(INDEX('CURVA PREVISION'!$A$1:$KZ$3000,$C52,11+3*MIN(AP$3,$D$2-1)))))</f>
        <v/>
      </c>
      <c r="AQ52" s="130">
        <f>IF(OR($C52="",$B$2="",$D$2=0),0,IF(AQ$3&lt;0,0,N(INDEX('CURVA PREVISION'!$A$1:$KZ$3000,$C52,11+3*MIN(AQ$3,$D$2-1)))))</f>
        <v/>
      </c>
      <c r="AR52" s="130">
        <f>IF(OR($C52="",$B$2="",$D$2=0),0,IF(AR$3&lt;0,0,N(INDEX('CURVA PREVISION'!$A$1:$KZ$3000,$C52,11+3*MIN(AR$3,$D$2-1)))))</f>
        <v/>
      </c>
      <c r="AS52" s="130">
        <f>IF(OR($C52="",$B$2="",$D$2=0),0,IF(AS$3&lt;0,0,N(INDEX('CURVA PREVISION'!$A$1:$KZ$3000,$C52,11+3*MIN(AS$3,$D$2-1)))))</f>
        <v/>
      </c>
      <c r="AT52" s="130">
        <f>IF(OR($C52="",$B$2="",$D$2=0),0,IF(AT$3&lt;0,0,N(INDEX('CURVA PREVISION'!$A$1:$KZ$3000,$C52,11+3*MIN(AT$3,$D$2-1)))))</f>
        <v/>
      </c>
      <c r="AU52" s="130">
        <f>IF(OR($C52="",$B$2="",$D$2=0),0,IF(AU$3&lt;0,0,N(INDEX('CURVA PREVISION'!$A$1:$KZ$3000,$C52,11+3*MIN(AU$3,$D$2-1)))))</f>
        <v/>
      </c>
      <c r="AV52" s="130">
        <f>IF(OR($C52="",$B$2="",$D$2=0),0,IF(AV$3&lt;0,0,N(INDEX('CURVA PREVISION'!$A$1:$KZ$3000,$C52,11+3*MIN(AV$3,$D$2-1)))))</f>
        <v/>
      </c>
      <c r="AW52" s="130">
        <f>IF(OR($C52="",$B$2="",$D$2=0),0,IF(AW$3&lt;0,0,N(INDEX('CURVA PREVISION'!$A$1:$KZ$3000,$C52,11+3*MIN(AW$3,$D$2-1)))))</f>
        <v/>
      </c>
      <c r="AX52" s="130">
        <f>IF(OR($C52="",$B$2="",$D$2=0),0,IF(AX$3&lt;0,0,N(INDEX('CURVA PREVISION'!$A$1:$KZ$3000,$C52,11+3*MIN(AX$3,$D$2-1)))))</f>
        <v/>
      </c>
      <c r="AY52" s="130">
        <f>IF(OR($C52="",$B$2="",$D$2=0),0,IF(AY$3&lt;0,0,N(INDEX('CURVA PREVISION'!$A$1:$KZ$3000,$C52,11+3*MIN(AY$3,$D$2-1)))))</f>
        <v/>
      </c>
      <c r="AZ52" s="130">
        <f>IF(OR($C52="",$B$2="",$D$2=0),0,IF(AZ$3&lt;0,0,N(INDEX('CURVA PREVISION'!$A$1:$KZ$3000,$C52,11+3*MIN(AZ$3,$D$2-1)))))</f>
        <v/>
      </c>
      <c r="BA52" s="130">
        <f>IF(OR($C52="",$B$2="",$D$2=0),0,IF(BA$3&lt;0,0,N(INDEX('CURVA PREVISION'!$A$1:$KZ$3000,$C52,11+3*MIN(BA$3,$D$2-1)))))</f>
        <v/>
      </c>
      <c r="BB52" s="130">
        <f>IF(OR($C52="",$B$2="",$D$2=0),0,IF(BB$3&lt;0,0,N(INDEX('CURVA PREVISION'!$A$1:$KZ$3000,$C52,11+3*MIN(BB$3,$D$2-1)))))</f>
        <v/>
      </c>
      <c r="BC52" s="130">
        <f>IF(OR($C52="",$B$2="",$D$2=0),0,IF(BC$3&lt;0,0,N(INDEX('CURVA PREVISION'!$A$1:$KZ$3000,$C52,11+3*MIN(BC$3,$D$2-1)))))</f>
        <v/>
      </c>
      <c r="BD52" s="130">
        <f>IF(OR($C52="",$B$2="",$D$2=0),0,IF(BD$3&lt;0,0,N(INDEX('CURVA PREVISION'!$A$1:$KZ$3000,$C52,11+3*MIN(BD$3,$D$2-1)))))</f>
        <v/>
      </c>
      <c r="BE52" s="130">
        <f>IF(OR($C52="",$B$2="",$D$2=0),0,IF(BE$3&lt;0,0,N(INDEX('CURVA PREVISION'!$A$1:$KZ$3000,$C52,11+3*MIN(BE$3,$D$2-1)))))</f>
        <v/>
      </c>
      <c r="BF52" s="130">
        <f>IF(OR($C52="",$B$2="",$D$2=0),0,IF(BF$3&lt;0,0,N(INDEX('CURVA PREVISION'!$A$1:$KZ$3000,$C52,11+3*MIN(BF$3,$D$2-1)))))</f>
        <v/>
      </c>
      <c r="BG52" s="130">
        <f>IF(OR($C52="",$B$2="",$D$2=0),0,IF(BG$3&lt;0,0,N(INDEX('CURVA PREVISION'!$A$1:$KZ$3000,$C52,11+3*MIN(BG$3,$D$2-1)))))</f>
        <v/>
      </c>
      <c r="BH52" s="130">
        <f>IF(OR($C52="",$B$2="",$D$2=0),0,IF(BH$3&lt;0,0,N(INDEX('CURVA PREVISION'!$A$1:$KZ$3000,$C52,11+3*MIN(BH$3,$D$2-1)))))</f>
        <v/>
      </c>
      <c r="BI52" s="130">
        <f>IF(OR($C52="",$B$2="",$D$2=0),0,IF(BI$3&lt;0,0,N(INDEX('CURVA PREVISION'!$A$1:$KZ$3000,$C52,11+3*MIN(BI$3,$D$2-1)))))</f>
        <v/>
      </c>
      <c r="BJ52" s="130">
        <f>IF(OR($C52="",$B$2="",$D$2=0),0,IF(BJ$3&lt;0,0,N(INDEX('CURVA PREVISION'!$A$1:$KZ$3000,$C52,11+3*MIN(BJ$3,$D$2-1)))))</f>
        <v/>
      </c>
      <c r="BK52" s="130">
        <f>IF(OR($C52="",$B$2="",$D$2=0),0,IF(BK$3&lt;0,0,N(INDEX('CURVA PREVISION'!$A$1:$KZ$3000,$C52,11+3*MIN(BK$3,$D$2-1)))))</f>
        <v/>
      </c>
      <c r="BL52" s="130">
        <f>IF(OR($C52="",$B$2="",$D$2=0),0,IF(BL$3&lt;0,0,N(INDEX('CURVA PREVISION'!$A$1:$KZ$3000,$C52,11+3*MIN(BL$3,$D$2-1)))))</f>
        <v/>
      </c>
      <c r="BM52" s="130">
        <f>IF(OR($C52="",$B$2="",$D$2=0),0,IF(BM$3&lt;0,0,N(INDEX('CURVA PREVISION'!$A$1:$KZ$3000,$C52,11+3*MIN(BM$3,$D$2-1)))))</f>
        <v/>
      </c>
      <c r="BN52" s="130">
        <f>IF(OR($C52="",$B$2="",$D$2=0),0,IF(BN$3&lt;0,0,N(INDEX('CURVA PREVISION'!$A$1:$KZ$3000,$C52,11+3*MIN(BN$3,$D$2-1)))))</f>
        <v/>
      </c>
      <c r="BO52" s="130">
        <f>IF(OR($C52="",$B$2="",$D$2=0),0,IF(BO$3&lt;0,0,N(INDEX('CURVA PREVISION'!$A$1:$KZ$3000,$C52,11+3*MIN(BO$3,$D$2-1)))))</f>
        <v/>
      </c>
      <c r="BP52" s="130">
        <f>IF(OR($C52="",$B$2="",$D$2=0),0,IF(BP$3&lt;0,0,N(INDEX('CURVA PREVISION'!$A$1:$KZ$3000,$C52,11+3*MIN(BP$3,$D$2-1)))))</f>
        <v/>
      </c>
      <c r="BQ52" s="130">
        <f>IF(OR($C52="",$B$2="",$D$2=0),0,IF(BQ$3&lt;0,0,N(INDEX('CURVA PREVISION'!$A$1:$KZ$3000,$C52,11+3*MIN(BQ$3,$D$2-1)))))</f>
        <v/>
      </c>
      <c r="BR52" s="130">
        <f>IF(OR($C52="",$B$2="",$D$2=0),0,IF(BR$3&lt;0,0,N(INDEX('CURVA PREVISION'!$A$1:$KZ$3000,$C52,11+3*MIN(BR$3,$D$2-1)))))</f>
        <v/>
      </c>
      <c r="BS52" s="130">
        <f>IF(OR($C52="",$B$2="",$D$2=0),0,IF(BS$3&lt;0,0,N(INDEX('CURVA PREVISION'!$A$1:$KZ$3000,$C52,11+3*MIN(BS$3,$D$2-1)))))</f>
        <v/>
      </c>
      <c r="BT52" s="130">
        <f>IF(OR($C52="",$B$2="",$D$2=0),0,IF(BT$3&lt;0,0,N(INDEX('CURVA PREVISION'!$A$1:$KZ$3000,$C52,11+3*MIN(BT$3,$D$2-1)))))</f>
        <v/>
      </c>
      <c r="BU52" s="130">
        <f>IF(OR($C52="",$B$2="",$D$2=0),0,IF(BU$3&lt;0,0,N(INDEX('CURVA PREVISION'!$A$1:$KZ$3000,$C52,11+3*MIN(BU$3,$D$2-1)))))</f>
        <v/>
      </c>
      <c r="BV52" s="130">
        <f>IF(OR($C52="",$B$2="",$D$2=0),0,IF(BV$3&lt;0,0,N(INDEX('CURVA PREVISION'!$A$1:$KZ$3000,$C52,11+3*MIN(BV$3,$D$2-1)))))</f>
        <v/>
      </c>
      <c r="BW52" s="130">
        <f>IF(OR($C52="",$B$2="",$D$2=0),0,IF(BW$3&lt;0,0,N(INDEX('CURVA PREVISION'!$A$1:$KZ$3000,$C52,11+3*MIN(BW$3,$D$2-1)))))</f>
        <v/>
      </c>
    </row>
    <row r="53">
      <c r="A53" s="61">
        <f>IF('VALOR POR PL'!Q17="",'VALOR POR PL'!C17,'VALOR POR PL'!Q17)</f>
        <v/>
      </c>
      <c r="B53" s="51">
        <f>B11</f>
        <v/>
      </c>
      <c r="C53" s="70">
        <f>IFERROR(MATCH(A53,'CURVA PREVISION'!$B$1:$B$3000,0),"")</f>
        <v/>
      </c>
      <c r="D53" s="130">
        <f>IF(OR($C53="",$B$2="",$D$2=0),0,IF(D$3&lt;0,0,N(INDEX('CURVA PREVISION'!$A$1:$KZ$3000,$C53,11+3*MIN(D$3,$D$2-1)))))</f>
        <v/>
      </c>
      <c r="E53" s="130">
        <f>IF(OR($C53="",$B$2="",$D$2=0),0,IF(E$3&lt;0,0,N(INDEX('CURVA PREVISION'!$A$1:$KZ$3000,$C53,11+3*MIN(E$3,$D$2-1)))))</f>
        <v/>
      </c>
      <c r="F53" s="130">
        <f>IF(OR($C53="",$B$2="",$D$2=0),0,IF(F$3&lt;0,0,N(INDEX('CURVA PREVISION'!$A$1:$KZ$3000,$C53,11+3*MIN(F$3,$D$2-1)))))</f>
        <v/>
      </c>
      <c r="G53" s="130">
        <f>IF(OR($C53="",$B$2="",$D$2=0),0,IF(G$3&lt;0,0,N(INDEX('CURVA PREVISION'!$A$1:$KZ$3000,$C53,11+3*MIN(G$3,$D$2-1)))))</f>
        <v/>
      </c>
      <c r="H53" s="130">
        <f>IF(OR($C53="",$B$2="",$D$2=0),0,IF(H$3&lt;0,0,N(INDEX('CURVA PREVISION'!$A$1:$KZ$3000,$C53,11+3*MIN(H$3,$D$2-1)))))</f>
        <v/>
      </c>
      <c r="I53" s="130">
        <f>IF(OR($C53="",$B$2="",$D$2=0),0,IF(I$3&lt;0,0,N(INDEX('CURVA PREVISION'!$A$1:$KZ$3000,$C53,11+3*MIN(I$3,$D$2-1)))))</f>
        <v/>
      </c>
      <c r="J53" s="130">
        <f>IF(OR($C53="",$B$2="",$D$2=0),0,IF(J$3&lt;0,0,N(INDEX('CURVA PREVISION'!$A$1:$KZ$3000,$C53,11+3*MIN(J$3,$D$2-1)))))</f>
        <v/>
      </c>
      <c r="K53" s="130">
        <f>IF(OR($C53="",$B$2="",$D$2=0),0,IF(K$3&lt;0,0,N(INDEX('CURVA PREVISION'!$A$1:$KZ$3000,$C53,11+3*MIN(K$3,$D$2-1)))))</f>
        <v/>
      </c>
      <c r="L53" s="130">
        <f>IF(OR($C53="",$B$2="",$D$2=0),0,IF(L$3&lt;0,0,N(INDEX('CURVA PREVISION'!$A$1:$KZ$3000,$C53,11+3*MIN(L$3,$D$2-1)))))</f>
        <v/>
      </c>
      <c r="M53" s="130">
        <f>IF(OR($C53="",$B$2="",$D$2=0),0,IF(M$3&lt;0,0,N(INDEX('CURVA PREVISION'!$A$1:$KZ$3000,$C53,11+3*MIN(M$3,$D$2-1)))))</f>
        <v/>
      </c>
      <c r="N53" s="130">
        <f>IF(OR($C53="",$B$2="",$D$2=0),0,IF(N$3&lt;0,0,N(INDEX('CURVA PREVISION'!$A$1:$KZ$3000,$C53,11+3*MIN(N$3,$D$2-1)))))</f>
        <v/>
      </c>
      <c r="O53" s="130">
        <f>IF(OR($C53="",$B$2="",$D$2=0),0,IF(O$3&lt;0,0,N(INDEX('CURVA PREVISION'!$A$1:$KZ$3000,$C53,11+3*MIN(O$3,$D$2-1)))))</f>
        <v/>
      </c>
      <c r="P53" s="130">
        <f>IF(OR($C53="",$B$2="",$D$2=0),0,IF(P$3&lt;0,0,N(INDEX('CURVA PREVISION'!$A$1:$KZ$3000,$C53,11+3*MIN(P$3,$D$2-1)))))</f>
        <v/>
      </c>
      <c r="Q53" s="130">
        <f>IF(OR($C53="",$B$2="",$D$2=0),0,IF(Q$3&lt;0,0,N(INDEX('CURVA PREVISION'!$A$1:$KZ$3000,$C53,11+3*MIN(Q$3,$D$2-1)))))</f>
        <v/>
      </c>
      <c r="R53" s="130">
        <f>IF(OR($C53="",$B$2="",$D$2=0),0,IF(R$3&lt;0,0,N(INDEX('CURVA PREVISION'!$A$1:$KZ$3000,$C53,11+3*MIN(R$3,$D$2-1)))))</f>
        <v/>
      </c>
      <c r="S53" s="130">
        <f>IF(OR($C53="",$B$2="",$D$2=0),0,IF(S$3&lt;0,0,N(INDEX('CURVA PREVISION'!$A$1:$KZ$3000,$C53,11+3*MIN(S$3,$D$2-1)))))</f>
        <v/>
      </c>
      <c r="T53" s="130">
        <f>IF(OR($C53="",$B$2="",$D$2=0),0,IF(T$3&lt;0,0,N(INDEX('CURVA PREVISION'!$A$1:$KZ$3000,$C53,11+3*MIN(T$3,$D$2-1)))))</f>
        <v/>
      </c>
      <c r="U53" s="130">
        <f>IF(OR($C53="",$B$2="",$D$2=0),0,IF(U$3&lt;0,0,N(INDEX('CURVA PREVISION'!$A$1:$KZ$3000,$C53,11+3*MIN(U$3,$D$2-1)))))</f>
        <v/>
      </c>
      <c r="V53" s="130">
        <f>IF(OR($C53="",$B$2="",$D$2=0),0,IF(V$3&lt;0,0,N(INDEX('CURVA PREVISION'!$A$1:$KZ$3000,$C53,11+3*MIN(V$3,$D$2-1)))))</f>
        <v/>
      </c>
      <c r="W53" s="130">
        <f>IF(OR($C53="",$B$2="",$D$2=0),0,IF(W$3&lt;0,0,N(INDEX('CURVA PREVISION'!$A$1:$KZ$3000,$C53,11+3*MIN(W$3,$D$2-1)))))</f>
        <v/>
      </c>
      <c r="X53" s="130">
        <f>IF(OR($C53="",$B$2="",$D$2=0),0,IF(X$3&lt;0,0,N(INDEX('CURVA PREVISION'!$A$1:$KZ$3000,$C53,11+3*MIN(X$3,$D$2-1)))))</f>
        <v/>
      </c>
      <c r="Y53" s="130">
        <f>IF(OR($C53="",$B$2="",$D$2=0),0,IF(Y$3&lt;0,0,N(INDEX('CURVA PREVISION'!$A$1:$KZ$3000,$C53,11+3*MIN(Y$3,$D$2-1)))))</f>
        <v/>
      </c>
      <c r="Z53" s="130">
        <f>IF(OR($C53="",$B$2="",$D$2=0),0,IF(Z$3&lt;0,0,N(INDEX('CURVA PREVISION'!$A$1:$KZ$3000,$C53,11+3*MIN(Z$3,$D$2-1)))))</f>
        <v/>
      </c>
      <c r="AA53" s="130">
        <f>IF(OR($C53="",$B$2="",$D$2=0),0,IF(AA$3&lt;0,0,N(INDEX('CURVA PREVISION'!$A$1:$KZ$3000,$C53,11+3*MIN(AA$3,$D$2-1)))))</f>
        <v/>
      </c>
      <c r="AB53" s="130">
        <f>IF(OR($C53="",$B$2="",$D$2=0),0,IF(AB$3&lt;0,0,N(INDEX('CURVA PREVISION'!$A$1:$KZ$3000,$C53,11+3*MIN(AB$3,$D$2-1)))))</f>
        <v/>
      </c>
      <c r="AC53" s="130">
        <f>IF(OR($C53="",$B$2="",$D$2=0),0,IF(AC$3&lt;0,0,N(INDEX('CURVA PREVISION'!$A$1:$KZ$3000,$C53,11+3*MIN(AC$3,$D$2-1)))))</f>
        <v/>
      </c>
      <c r="AD53" s="130">
        <f>IF(OR($C53="",$B$2="",$D$2=0),0,IF(AD$3&lt;0,0,N(INDEX('CURVA PREVISION'!$A$1:$KZ$3000,$C53,11+3*MIN(AD$3,$D$2-1)))))</f>
        <v/>
      </c>
      <c r="AE53" s="130">
        <f>IF(OR($C53="",$B$2="",$D$2=0),0,IF(AE$3&lt;0,0,N(INDEX('CURVA PREVISION'!$A$1:$KZ$3000,$C53,11+3*MIN(AE$3,$D$2-1)))))</f>
        <v/>
      </c>
      <c r="AF53" s="130">
        <f>IF(OR($C53="",$B$2="",$D$2=0),0,IF(AF$3&lt;0,0,N(INDEX('CURVA PREVISION'!$A$1:$KZ$3000,$C53,11+3*MIN(AF$3,$D$2-1)))))</f>
        <v/>
      </c>
      <c r="AG53" s="130">
        <f>IF(OR($C53="",$B$2="",$D$2=0),0,IF(AG$3&lt;0,0,N(INDEX('CURVA PREVISION'!$A$1:$KZ$3000,$C53,11+3*MIN(AG$3,$D$2-1)))))</f>
        <v/>
      </c>
      <c r="AH53" s="130">
        <f>IF(OR($C53="",$B$2="",$D$2=0),0,IF(AH$3&lt;0,0,N(INDEX('CURVA PREVISION'!$A$1:$KZ$3000,$C53,11+3*MIN(AH$3,$D$2-1)))))</f>
        <v/>
      </c>
      <c r="AI53" s="130">
        <f>IF(OR($C53="",$B$2="",$D$2=0),0,IF(AI$3&lt;0,0,N(INDEX('CURVA PREVISION'!$A$1:$KZ$3000,$C53,11+3*MIN(AI$3,$D$2-1)))))</f>
        <v/>
      </c>
      <c r="AJ53" s="130">
        <f>IF(OR($C53="",$B$2="",$D$2=0),0,IF(AJ$3&lt;0,0,N(INDEX('CURVA PREVISION'!$A$1:$KZ$3000,$C53,11+3*MIN(AJ$3,$D$2-1)))))</f>
        <v/>
      </c>
      <c r="AK53" s="130">
        <f>IF(OR($C53="",$B$2="",$D$2=0),0,IF(AK$3&lt;0,0,N(INDEX('CURVA PREVISION'!$A$1:$KZ$3000,$C53,11+3*MIN(AK$3,$D$2-1)))))</f>
        <v/>
      </c>
      <c r="AL53" s="130">
        <f>IF(OR($C53="",$B$2="",$D$2=0),0,IF(AL$3&lt;0,0,N(INDEX('CURVA PREVISION'!$A$1:$KZ$3000,$C53,11+3*MIN(AL$3,$D$2-1)))))</f>
        <v/>
      </c>
      <c r="AM53" s="130">
        <f>IF(OR($C53="",$B$2="",$D$2=0),0,IF(AM$3&lt;0,0,N(INDEX('CURVA PREVISION'!$A$1:$KZ$3000,$C53,11+3*MIN(AM$3,$D$2-1)))))</f>
        <v/>
      </c>
      <c r="AN53" s="130">
        <f>IF(OR($C53="",$B$2="",$D$2=0),0,IF(AN$3&lt;0,0,N(INDEX('CURVA PREVISION'!$A$1:$KZ$3000,$C53,11+3*MIN(AN$3,$D$2-1)))))</f>
        <v/>
      </c>
      <c r="AO53" s="130">
        <f>IF(OR($C53="",$B$2="",$D$2=0),0,IF(AO$3&lt;0,0,N(INDEX('CURVA PREVISION'!$A$1:$KZ$3000,$C53,11+3*MIN(AO$3,$D$2-1)))))</f>
        <v/>
      </c>
      <c r="AP53" s="130">
        <f>IF(OR($C53="",$B$2="",$D$2=0),0,IF(AP$3&lt;0,0,N(INDEX('CURVA PREVISION'!$A$1:$KZ$3000,$C53,11+3*MIN(AP$3,$D$2-1)))))</f>
        <v/>
      </c>
      <c r="AQ53" s="130">
        <f>IF(OR($C53="",$B$2="",$D$2=0),0,IF(AQ$3&lt;0,0,N(INDEX('CURVA PREVISION'!$A$1:$KZ$3000,$C53,11+3*MIN(AQ$3,$D$2-1)))))</f>
        <v/>
      </c>
      <c r="AR53" s="130">
        <f>IF(OR($C53="",$B$2="",$D$2=0),0,IF(AR$3&lt;0,0,N(INDEX('CURVA PREVISION'!$A$1:$KZ$3000,$C53,11+3*MIN(AR$3,$D$2-1)))))</f>
        <v/>
      </c>
      <c r="AS53" s="130">
        <f>IF(OR($C53="",$B$2="",$D$2=0),0,IF(AS$3&lt;0,0,N(INDEX('CURVA PREVISION'!$A$1:$KZ$3000,$C53,11+3*MIN(AS$3,$D$2-1)))))</f>
        <v/>
      </c>
      <c r="AT53" s="130">
        <f>IF(OR($C53="",$B$2="",$D$2=0),0,IF(AT$3&lt;0,0,N(INDEX('CURVA PREVISION'!$A$1:$KZ$3000,$C53,11+3*MIN(AT$3,$D$2-1)))))</f>
        <v/>
      </c>
      <c r="AU53" s="130">
        <f>IF(OR($C53="",$B$2="",$D$2=0),0,IF(AU$3&lt;0,0,N(INDEX('CURVA PREVISION'!$A$1:$KZ$3000,$C53,11+3*MIN(AU$3,$D$2-1)))))</f>
        <v/>
      </c>
      <c r="AV53" s="130">
        <f>IF(OR($C53="",$B$2="",$D$2=0),0,IF(AV$3&lt;0,0,N(INDEX('CURVA PREVISION'!$A$1:$KZ$3000,$C53,11+3*MIN(AV$3,$D$2-1)))))</f>
        <v/>
      </c>
      <c r="AW53" s="130">
        <f>IF(OR($C53="",$B$2="",$D$2=0),0,IF(AW$3&lt;0,0,N(INDEX('CURVA PREVISION'!$A$1:$KZ$3000,$C53,11+3*MIN(AW$3,$D$2-1)))))</f>
        <v/>
      </c>
      <c r="AX53" s="130">
        <f>IF(OR($C53="",$B$2="",$D$2=0),0,IF(AX$3&lt;0,0,N(INDEX('CURVA PREVISION'!$A$1:$KZ$3000,$C53,11+3*MIN(AX$3,$D$2-1)))))</f>
        <v/>
      </c>
      <c r="AY53" s="130">
        <f>IF(OR($C53="",$B$2="",$D$2=0),0,IF(AY$3&lt;0,0,N(INDEX('CURVA PREVISION'!$A$1:$KZ$3000,$C53,11+3*MIN(AY$3,$D$2-1)))))</f>
        <v/>
      </c>
      <c r="AZ53" s="130">
        <f>IF(OR($C53="",$B$2="",$D$2=0),0,IF(AZ$3&lt;0,0,N(INDEX('CURVA PREVISION'!$A$1:$KZ$3000,$C53,11+3*MIN(AZ$3,$D$2-1)))))</f>
        <v/>
      </c>
      <c r="BA53" s="130">
        <f>IF(OR($C53="",$B$2="",$D$2=0),0,IF(BA$3&lt;0,0,N(INDEX('CURVA PREVISION'!$A$1:$KZ$3000,$C53,11+3*MIN(BA$3,$D$2-1)))))</f>
        <v/>
      </c>
      <c r="BB53" s="130">
        <f>IF(OR($C53="",$B$2="",$D$2=0),0,IF(BB$3&lt;0,0,N(INDEX('CURVA PREVISION'!$A$1:$KZ$3000,$C53,11+3*MIN(BB$3,$D$2-1)))))</f>
        <v/>
      </c>
      <c r="BC53" s="130">
        <f>IF(OR($C53="",$B$2="",$D$2=0),0,IF(BC$3&lt;0,0,N(INDEX('CURVA PREVISION'!$A$1:$KZ$3000,$C53,11+3*MIN(BC$3,$D$2-1)))))</f>
        <v/>
      </c>
      <c r="BD53" s="130">
        <f>IF(OR($C53="",$B$2="",$D$2=0),0,IF(BD$3&lt;0,0,N(INDEX('CURVA PREVISION'!$A$1:$KZ$3000,$C53,11+3*MIN(BD$3,$D$2-1)))))</f>
        <v/>
      </c>
      <c r="BE53" s="130">
        <f>IF(OR($C53="",$B$2="",$D$2=0),0,IF(BE$3&lt;0,0,N(INDEX('CURVA PREVISION'!$A$1:$KZ$3000,$C53,11+3*MIN(BE$3,$D$2-1)))))</f>
        <v/>
      </c>
      <c r="BF53" s="130">
        <f>IF(OR($C53="",$B$2="",$D$2=0),0,IF(BF$3&lt;0,0,N(INDEX('CURVA PREVISION'!$A$1:$KZ$3000,$C53,11+3*MIN(BF$3,$D$2-1)))))</f>
        <v/>
      </c>
      <c r="BG53" s="130">
        <f>IF(OR($C53="",$B$2="",$D$2=0),0,IF(BG$3&lt;0,0,N(INDEX('CURVA PREVISION'!$A$1:$KZ$3000,$C53,11+3*MIN(BG$3,$D$2-1)))))</f>
        <v/>
      </c>
      <c r="BH53" s="130">
        <f>IF(OR($C53="",$B$2="",$D$2=0),0,IF(BH$3&lt;0,0,N(INDEX('CURVA PREVISION'!$A$1:$KZ$3000,$C53,11+3*MIN(BH$3,$D$2-1)))))</f>
        <v/>
      </c>
      <c r="BI53" s="130">
        <f>IF(OR($C53="",$B$2="",$D$2=0),0,IF(BI$3&lt;0,0,N(INDEX('CURVA PREVISION'!$A$1:$KZ$3000,$C53,11+3*MIN(BI$3,$D$2-1)))))</f>
        <v/>
      </c>
      <c r="BJ53" s="130">
        <f>IF(OR($C53="",$B$2="",$D$2=0),0,IF(BJ$3&lt;0,0,N(INDEX('CURVA PREVISION'!$A$1:$KZ$3000,$C53,11+3*MIN(BJ$3,$D$2-1)))))</f>
        <v/>
      </c>
      <c r="BK53" s="130">
        <f>IF(OR($C53="",$B$2="",$D$2=0),0,IF(BK$3&lt;0,0,N(INDEX('CURVA PREVISION'!$A$1:$KZ$3000,$C53,11+3*MIN(BK$3,$D$2-1)))))</f>
        <v/>
      </c>
      <c r="BL53" s="130">
        <f>IF(OR($C53="",$B$2="",$D$2=0),0,IF(BL$3&lt;0,0,N(INDEX('CURVA PREVISION'!$A$1:$KZ$3000,$C53,11+3*MIN(BL$3,$D$2-1)))))</f>
        <v/>
      </c>
      <c r="BM53" s="130">
        <f>IF(OR($C53="",$B$2="",$D$2=0),0,IF(BM$3&lt;0,0,N(INDEX('CURVA PREVISION'!$A$1:$KZ$3000,$C53,11+3*MIN(BM$3,$D$2-1)))))</f>
        <v/>
      </c>
      <c r="BN53" s="130">
        <f>IF(OR($C53="",$B$2="",$D$2=0),0,IF(BN$3&lt;0,0,N(INDEX('CURVA PREVISION'!$A$1:$KZ$3000,$C53,11+3*MIN(BN$3,$D$2-1)))))</f>
        <v/>
      </c>
      <c r="BO53" s="130">
        <f>IF(OR($C53="",$B$2="",$D$2=0),0,IF(BO$3&lt;0,0,N(INDEX('CURVA PREVISION'!$A$1:$KZ$3000,$C53,11+3*MIN(BO$3,$D$2-1)))))</f>
        <v/>
      </c>
      <c r="BP53" s="130">
        <f>IF(OR($C53="",$B$2="",$D$2=0),0,IF(BP$3&lt;0,0,N(INDEX('CURVA PREVISION'!$A$1:$KZ$3000,$C53,11+3*MIN(BP$3,$D$2-1)))))</f>
        <v/>
      </c>
      <c r="BQ53" s="130">
        <f>IF(OR($C53="",$B$2="",$D$2=0),0,IF(BQ$3&lt;0,0,N(INDEX('CURVA PREVISION'!$A$1:$KZ$3000,$C53,11+3*MIN(BQ$3,$D$2-1)))))</f>
        <v/>
      </c>
      <c r="BR53" s="130">
        <f>IF(OR($C53="",$B$2="",$D$2=0),0,IF(BR$3&lt;0,0,N(INDEX('CURVA PREVISION'!$A$1:$KZ$3000,$C53,11+3*MIN(BR$3,$D$2-1)))))</f>
        <v/>
      </c>
      <c r="BS53" s="130">
        <f>IF(OR($C53="",$B$2="",$D$2=0),0,IF(BS$3&lt;0,0,N(INDEX('CURVA PREVISION'!$A$1:$KZ$3000,$C53,11+3*MIN(BS$3,$D$2-1)))))</f>
        <v/>
      </c>
      <c r="BT53" s="130">
        <f>IF(OR($C53="",$B$2="",$D$2=0),0,IF(BT$3&lt;0,0,N(INDEX('CURVA PREVISION'!$A$1:$KZ$3000,$C53,11+3*MIN(BT$3,$D$2-1)))))</f>
        <v/>
      </c>
      <c r="BU53" s="130">
        <f>IF(OR($C53="",$B$2="",$D$2=0),0,IF(BU$3&lt;0,0,N(INDEX('CURVA PREVISION'!$A$1:$KZ$3000,$C53,11+3*MIN(BU$3,$D$2-1)))))</f>
        <v/>
      </c>
      <c r="BV53" s="130">
        <f>IF(OR($C53="",$B$2="",$D$2=0),0,IF(BV$3&lt;0,0,N(INDEX('CURVA PREVISION'!$A$1:$KZ$3000,$C53,11+3*MIN(BV$3,$D$2-1)))))</f>
        <v/>
      </c>
      <c r="BW53" s="130">
        <f>IF(OR($C53="",$B$2="",$D$2=0),0,IF(BW$3&lt;0,0,N(INDEX('CURVA PREVISION'!$A$1:$KZ$3000,$C53,11+3*MIN(BW$3,$D$2-1)))))</f>
        <v/>
      </c>
    </row>
    <row r="54">
      <c r="A54" s="61">
        <f>IF('VALOR POR PL'!Q18="",'VALOR POR PL'!C18,'VALOR POR PL'!Q18)</f>
        <v/>
      </c>
      <c r="B54" s="51">
        <f>B12</f>
        <v/>
      </c>
      <c r="C54" s="70">
        <f>IFERROR(MATCH(A54,'CURVA PREVISION'!$B$1:$B$3000,0),"")</f>
        <v/>
      </c>
      <c r="D54" s="130">
        <f>IF(OR($C54="",$B$2="",$D$2=0),0,IF(D$3&lt;0,0,N(INDEX('CURVA PREVISION'!$A$1:$KZ$3000,$C54,11+3*MIN(D$3,$D$2-1)))))</f>
        <v/>
      </c>
      <c r="E54" s="130">
        <f>IF(OR($C54="",$B$2="",$D$2=0),0,IF(E$3&lt;0,0,N(INDEX('CURVA PREVISION'!$A$1:$KZ$3000,$C54,11+3*MIN(E$3,$D$2-1)))))</f>
        <v/>
      </c>
      <c r="F54" s="130">
        <f>IF(OR($C54="",$B$2="",$D$2=0),0,IF(F$3&lt;0,0,N(INDEX('CURVA PREVISION'!$A$1:$KZ$3000,$C54,11+3*MIN(F$3,$D$2-1)))))</f>
        <v/>
      </c>
      <c r="G54" s="130">
        <f>IF(OR($C54="",$B$2="",$D$2=0),0,IF(G$3&lt;0,0,N(INDEX('CURVA PREVISION'!$A$1:$KZ$3000,$C54,11+3*MIN(G$3,$D$2-1)))))</f>
        <v/>
      </c>
      <c r="H54" s="130">
        <f>IF(OR($C54="",$B$2="",$D$2=0),0,IF(H$3&lt;0,0,N(INDEX('CURVA PREVISION'!$A$1:$KZ$3000,$C54,11+3*MIN(H$3,$D$2-1)))))</f>
        <v/>
      </c>
      <c r="I54" s="130">
        <f>IF(OR($C54="",$B$2="",$D$2=0),0,IF(I$3&lt;0,0,N(INDEX('CURVA PREVISION'!$A$1:$KZ$3000,$C54,11+3*MIN(I$3,$D$2-1)))))</f>
        <v/>
      </c>
      <c r="J54" s="130">
        <f>IF(OR($C54="",$B$2="",$D$2=0),0,IF(J$3&lt;0,0,N(INDEX('CURVA PREVISION'!$A$1:$KZ$3000,$C54,11+3*MIN(J$3,$D$2-1)))))</f>
        <v/>
      </c>
      <c r="K54" s="130">
        <f>IF(OR($C54="",$B$2="",$D$2=0),0,IF(K$3&lt;0,0,N(INDEX('CURVA PREVISION'!$A$1:$KZ$3000,$C54,11+3*MIN(K$3,$D$2-1)))))</f>
        <v/>
      </c>
      <c r="L54" s="130">
        <f>IF(OR($C54="",$B$2="",$D$2=0),0,IF(L$3&lt;0,0,N(INDEX('CURVA PREVISION'!$A$1:$KZ$3000,$C54,11+3*MIN(L$3,$D$2-1)))))</f>
        <v/>
      </c>
      <c r="M54" s="130">
        <f>IF(OR($C54="",$B$2="",$D$2=0),0,IF(M$3&lt;0,0,N(INDEX('CURVA PREVISION'!$A$1:$KZ$3000,$C54,11+3*MIN(M$3,$D$2-1)))))</f>
        <v/>
      </c>
      <c r="N54" s="130">
        <f>IF(OR($C54="",$B$2="",$D$2=0),0,IF(N$3&lt;0,0,N(INDEX('CURVA PREVISION'!$A$1:$KZ$3000,$C54,11+3*MIN(N$3,$D$2-1)))))</f>
        <v/>
      </c>
      <c r="O54" s="130">
        <f>IF(OR($C54="",$B$2="",$D$2=0),0,IF(O$3&lt;0,0,N(INDEX('CURVA PREVISION'!$A$1:$KZ$3000,$C54,11+3*MIN(O$3,$D$2-1)))))</f>
        <v/>
      </c>
      <c r="P54" s="130">
        <f>IF(OR($C54="",$B$2="",$D$2=0),0,IF(P$3&lt;0,0,N(INDEX('CURVA PREVISION'!$A$1:$KZ$3000,$C54,11+3*MIN(P$3,$D$2-1)))))</f>
        <v/>
      </c>
      <c r="Q54" s="130">
        <f>IF(OR($C54="",$B$2="",$D$2=0),0,IF(Q$3&lt;0,0,N(INDEX('CURVA PREVISION'!$A$1:$KZ$3000,$C54,11+3*MIN(Q$3,$D$2-1)))))</f>
        <v/>
      </c>
      <c r="R54" s="130">
        <f>IF(OR($C54="",$B$2="",$D$2=0),0,IF(R$3&lt;0,0,N(INDEX('CURVA PREVISION'!$A$1:$KZ$3000,$C54,11+3*MIN(R$3,$D$2-1)))))</f>
        <v/>
      </c>
      <c r="S54" s="130">
        <f>IF(OR($C54="",$B$2="",$D$2=0),0,IF(S$3&lt;0,0,N(INDEX('CURVA PREVISION'!$A$1:$KZ$3000,$C54,11+3*MIN(S$3,$D$2-1)))))</f>
        <v/>
      </c>
      <c r="T54" s="130">
        <f>IF(OR($C54="",$B$2="",$D$2=0),0,IF(T$3&lt;0,0,N(INDEX('CURVA PREVISION'!$A$1:$KZ$3000,$C54,11+3*MIN(T$3,$D$2-1)))))</f>
        <v/>
      </c>
      <c r="U54" s="130">
        <f>IF(OR($C54="",$B$2="",$D$2=0),0,IF(U$3&lt;0,0,N(INDEX('CURVA PREVISION'!$A$1:$KZ$3000,$C54,11+3*MIN(U$3,$D$2-1)))))</f>
        <v/>
      </c>
      <c r="V54" s="130">
        <f>IF(OR($C54="",$B$2="",$D$2=0),0,IF(V$3&lt;0,0,N(INDEX('CURVA PREVISION'!$A$1:$KZ$3000,$C54,11+3*MIN(V$3,$D$2-1)))))</f>
        <v/>
      </c>
      <c r="W54" s="130">
        <f>IF(OR($C54="",$B$2="",$D$2=0),0,IF(W$3&lt;0,0,N(INDEX('CURVA PREVISION'!$A$1:$KZ$3000,$C54,11+3*MIN(W$3,$D$2-1)))))</f>
        <v/>
      </c>
      <c r="X54" s="130">
        <f>IF(OR($C54="",$B$2="",$D$2=0),0,IF(X$3&lt;0,0,N(INDEX('CURVA PREVISION'!$A$1:$KZ$3000,$C54,11+3*MIN(X$3,$D$2-1)))))</f>
        <v/>
      </c>
      <c r="Y54" s="130">
        <f>IF(OR($C54="",$B$2="",$D$2=0),0,IF(Y$3&lt;0,0,N(INDEX('CURVA PREVISION'!$A$1:$KZ$3000,$C54,11+3*MIN(Y$3,$D$2-1)))))</f>
        <v/>
      </c>
      <c r="Z54" s="130">
        <f>IF(OR($C54="",$B$2="",$D$2=0),0,IF(Z$3&lt;0,0,N(INDEX('CURVA PREVISION'!$A$1:$KZ$3000,$C54,11+3*MIN(Z$3,$D$2-1)))))</f>
        <v/>
      </c>
      <c r="AA54" s="130">
        <f>IF(OR($C54="",$B$2="",$D$2=0),0,IF(AA$3&lt;0,0,N(INDEX('CURVA PREVISION'!$A$1:$KZ$3000,$C54,11+3*MIN(AA$3,$D$2-1)))))</f>
        <v/>
      </c>
      <c r="AB54" s="130">
        <f>IF(OR($C54="",$B$2="",$D$2=0),0,IF(AB$3&lt;0,0,N(INDEX('CURVA PREVISION'!$A$1:$KZ$3000,$C54,11+3*MIN(AB$3,$D$2-1)))))</f>
        <v/>
      </c>
      <c r="AC54" s="130">
        <f>IF(OR($C54="",$B$2="",$D$2=0),0,IF(AC$3&lt;0,0,N(INDEX('CURVA PREVISION'!$A$1:$KZ$3000,$C54,11+3*MIN(AC$3,$D$2-1)))))</f>
        <v/>
      </c>
      <c r="AD54" s="130">
        <f>IF(OR($C54="",$B$2="",$D$2=0),0,IF(AD$3&lt;0,0,N(INDEX('CURVA PREVISION'!$A$1:$KZ$3000,$C54,11+3*MIN(AD$3,$D$2-1)))))</f>
        <v/>
      </c>
      <c r="AE54" s="130">
        <f>IF(OR($C54="",$B$2="",$D$2=0),0,IF(AE$3&lt;0,0,N(INDEX('CURVA PREVISION'!$A$1:$KZ$3000,$C54,11+3*MIN(AE$3,$D$2-1)))))</f>
        <v/>
      </c>
      <c r="AF54" s="130">
        <f>IF(OR($C54="",$B$2="",$D$2=0),0,IF(AF$3&lt;0,0,N(INDEX('CURVA PREVISION'!$A$1:$KZ$3000,$C54,11+3*MIN(AF$3,$D$2-1)))))</f>
        <v/>
      </c>
      <c r="AG54" s="130">
        <f>IF(OR($C54="",$B$2="",$D$2=0),0,IF(AG$3&lt;0,0,N(INDEX('CURVA PREVISION'!$A$1:$KZ$3000,$C54,11+3*MIN(AG$3,$D$2-1)))))</f>
        <v/>
      </c>
      <c r="AH54" s="130">
        <f>IF(OR($C54="",$B$2="",$D$2=0),0,IF(AH$3&lt;0,0,N(INDEX('CURVA PREVISION'!$A$1:$KZ$3000,$C54,11+3*MIN(AH$3,$D$2-1)))))</f>
        <v/>
      </c>
      <c r="AI54" s="130">
        <f>IF(OR($C54="",$B$2="",$D$2=0),0,IF(AI$3&lt;0,0,N(INDEX('CURVA PREVISION'!$A$1:$KZ$3000,$C54,11+3*MIN(AI$3,$D$2-1)))))</f>
        <v/>
      </c>
      <c r="AJ54" s="130">
        <f>IF(OR($C54="",$B$2="",$D$2=0),0,IF(AJ$3&lt;0,0,N(INDEX('CURVA PREVISION'!$A$1:$KZ$3000,$C54,11+3*MIN(AJ$3,$D$2-1)))))</f>
        <v/>
      </c>
      <c r="AK54" s="130">
        <f>IF(OR($C54="",$B$2="",$D$2=0),0,IF(AK$3&lt;0,0,N(INDEX('CURVA PREVISION'!$A$1:$KZ$3000,$C54,11+3*MIN(AK$3,$D$2-1)))))</f>
        <v/>
      </c>
      <c r="AL54" s="130">
        <f>IF(OR($C54="",$B$2="",$D$2=0),0,IF(AL$3&lt;0,0,N(INDEX('CURVA PREVISION'!$A$1:$KZ$3000,$C54,11+3*MIN(AL$3,$D$2-1)))))</f>
        <v/>
      </c>
      <c r="AM54" s="130">
        <f>IF(OR($C54="",$B$2="",$D$2=0),0,IF(AM$3&lt;0,0,N(INDEX('CURVA PREVISION'!$A$1:$KZ$3000,$C54,11+3*MIN(AM$3,$D$2-1)))))</f>
        <v/>
      </c>
      <c r="AN54" s="130">
        <f>IF(OR($C54="",$B$2="",$D$2=0),0,IF(AN$3&lt;0,0,N(INDEX('CURVA PREVISION'!$A$1:$KZ$3000,$C54,11+3*MIN(AN$3,$D$2-1)))))</f>
        <v/>
      </c>
      <c r="AO54" s="130">
        <f>IF(OR($C54="",$B$2="",$D$2=0),0,IF(AO$3&lt;0,0,N(INDEX('CURVA PREVISION'!$A$1:$KZ$3000,$C54,11+3*MIN(AO$3,$D$2-1)))))</f>
        <v/>
      </c>
      <c r="AP54" s="130">
        <f>IF(OR($C54="",$B$2="",$D$2=0),0,IF(AP$3&lt;0,0,N(INDEX('CURVA PREVISION'!$A$1:$KZ$3000,$C54,11+3*MIN(AP$3,$D$2-1)))))</f>
        <v/>
      </c>
      <c r="AQ54" s="130">
        <f>IF(OR($C54="",$B$2="",$D$2=0),0,IF(AQ$3&lt;0,0,N(INDEX('CURVA PREVISION'!$A$1:$KZ$3000,$C54,11+3*MIN(AQ$3,$D$2-1)))))</f>
        <v/>
      </c>
      <c r="AR54" s="130">
        <f>IF(OR($C54="",$B$2="",$D$2=0),0,IF(AR$3&lt;0,0,N(INDEX('CURVA PREVISION'!$A$1:$KZ$3000,$C54,11+3*MIN(AR$3,$D$2-1)))))</f>
        <v/>
      </c>
      <c r="AS54" s="130">
        <f>IF(OR($C54="",$B$2="",$D$2=0),0,IF(AS$3&lt;0,0,N(INDEX('CURVA PREVISION'!$A$1:$KZ$3000,$C54,11+3*MIN(AS$3,$D$2-1)))))</f>
        <v/>
      </c>
      <c r="AT54" s="130">
        <f>IF(OR($C54="",$B$2="",$D$2=0),0,IF(AT$3&lt;0,0,N(INDEX('CURVA PREVISION'!$A$1:$KZ$3000,$C54,11+3*MIN(AT$3,$D$2-1)))))</f>
        <v/>
      </c>
      <c r="AU54" s="130">
        <f>IF(OR($C54="",$B$2="",$D$2=0),0,IF(AU$3&lt;0,0,N(INDEX('CURVA PREVISION'!$A$1:$KZ$3000,$C54,11+3*MIN(AU$3,$D$2-1)))))</f>
        <v/>
      </c>
      <c r="AV54" s="130">
        <f>IF(OR($C54="",$B$2="",$D$2=0),0,IF(AV$3&lt;0,0,N(INDEX('CURVA PREVISION'!$A$1:$KZ$3000,$C54,11+3*MIN(AV$3,$D$2-1)))))</f>
        <v/>
      </c>
      <c r="AW54" s="130">
        <f>IF(OR($C54="",$B$2="",$D$2=0),0,IF(AW$3&lt;0,0,N(INDEX('CURVA PREVISION'!$A$1:$KZ$3000,$C54,11+3*MIN(AW$3,$D$2-1)))))</f>
        <v/>
      </c>
      <c r="AX54" s="130">
        <f>IF(OR($C54="",$B$2="",$D$2=0),0,IF(AX$3&lt;0,0,N(INDEX('CURVA PREVISION'!$A$1:$KZ$3000,$C54,11+3*MIN(AX$3,$D$2-1)))))</f>
        <v/>
      </c>
      <c r="AY54" s="130">
        <f>IF(OR($C54="",$B$2="",$D$2=0),0,IF(AY$3&lt;0,0,N(INDEX('CURVA PREVISION'!$A$1:$KZ$3000,$C54,11+3*MIN(AY$3,$D$2-1)))))</f>
        <v/>
      </c>
      <c r="AZ54" s="130">
        <f>IF(OR($C54="",$B$2="",$D$2=0),0,IF(AZ$3&lt;0,0,N(INDEX('CURVA PREVISION'!$A$1:$KZ$3000,$C54,11+3*MIN(AZ$3,$D$2-1)))))</f>
        <v/>
      </c>
      <c r="BA54" s="130">
        <f>IF(OR($C54="",$B$2="",$D$2=0),0,IF(BA$3&lt;0,0,N(INDEX('CURVA PREVISION'!$A$1:$KZ$3000,$C54,11+3*MIN(BA$3,$D$2-1)))))</f>
        <v/>
      </c>
      <c r="BB54" s="130">
        <f>IF(OR($C54="",$B$2="",$D$2=0),0,IF(BB$3&lt;0,0,N(INDEX('CURVA PREVISION'!$A$1:$KZ$3000,$C54,11+3*MIN(BB$3,$D$2-1)))))</f>
        <v/>
      </c>
      <c r="BC54" s="130">
        <f>IF(OR($C54="",$B$2="",$D$2=0),0,IF(BC$3&lt;0,0,N(INDEX('CURVA PREVISION'!$A$1:$KZ$3000,$C54,11+3*MIN(BC$3,$D$2-1)))))</f>
        <v/>
      </c>
      <c r="BD54" s="130">
        <f>IF(OR($C54="",$B$2="",$D$2=0),0,IF(BD$3&lt;0,0,N(INDEX('CURVA PREVISION'!$A$1:$KZ$3000,$C54,11+3*MIN(BD$3,$D$2-1)))))</f>
        <v/>
      </c>
      <c r="BE54" s="130">
        <f>IF(OR($C54="",$B$2="",$D$2=0),0,IF(BE$3&lt;0,0,N(INDEX('CURVA PREVISION'!$A$1:$KZ$3000,$C54,11+3*MIN(BE$3,$D$2-1)))))</f>
        <v/>
      </c>
      <c r="BF54" s="130">
        <f>IF(OR($C54="",$B$2="",$D$2=0),0,IF(BF$3&lt;0,0,N(INDEX('CURVA PREVISION'!$A$1:$KZ$3000,$C54,11+3*MIN(BF$3,$D$2-1)))))</f>
        <v/>
      </c>
      <c r="BG54" s="130">
        <f>IF(OR($C54="",$B$2="",$D$2=0),0,IF(BG$3&lt;0,0,N(INDEX('CURVA PREVISION'!$A$1:$KZ$3000,$C54,11+3*MIN(BG$3,$D$2-1)))))</f>
        <v/>
      </c>
      <c r="BH54" s="130">
        <f>IF(OR($C54="",$B$2="",$D$2=0),0,IF(BH$3&lt;0,0,N(INDEX('CURVA PREVISION'!$A$1:$KZ$3000,$C54,11+3*MIN(BH$3,$D$2-1)))))</f>
        <v/>
      </c>
      <c r="BI54" s="130">
        <f>IF(OR($C54="",$B$2="",$D$2=0),0,IF(BI$3&lt;0,0,N(INDEX('CURVA PREVISION'!$A$1:$KZ$3000,$C54,11+3*MIN(BI$3,$D$2-1)))))</f>
        <v/>
      </c>
      <c r="BJ54" s="130">
        <f>IF(OR($C54="",$B$2="",$D$2=0),0,IF(BJ$3&lt;0,0,N(INDEX('CURVA PREVISION'!$A$1:$KZ$3000,$C54,11+3*MIN(BJ$3,$D$2-1)))))</f>
        <v/>
      </c>
      <c r="BK54" s="130">
        <f>IF(OR($C54="",$B$2="",$D$2=0),0,IF(BK$3&lt;0,0,N(INDEX('CURVA PREVISION'!$A$1:$KZ$3000,$C54,11+3*MIN(BK$3,$D$2-1)))))</f>
        <v/>
      </c>
      <c r="BL54" s="130">
        <f>IF(OR($C54="",$B$2="",$D$2=0),0,IF(BL$3&lt;0,0,N(INDEX('CURVA PREVISION'!$A$1:$KZ$3000,$C54,11+3*MIN(BL$3,$D$2-1)))))</f>
        <v/>
      </c>
      <c r="BM54" s="130">
        <f>IF(OR($C54="",$B$2="",$D$2=0),0,IF(BM$3&lt;0,0,N(INDEX('CURVA PREVISION'!$A$1:$KZ$3000,$C54,11+3*MIN(BM$3,$D$2-1)))))</f>
        <v/>
      </c>
      <c r="BN54" s="130">
        <f>IF(OR($C54="",$B$2="",$D$2=0),0,IF(BN$3&lt;0,0,N(INDEX('CURVA PREVISION'!$A$1:$KZ$3000,$C54,11+3*MIN(BN$3,$D$2-1)))))</f>
        <v/>
      </c>
      <c r="BO54" s="130">
        <f>IF(OR($C54="",$B$2="",$D$2=0),0,IF(BO$3&lt;0,0,N(INDEX('CURVA PREVISION'!$A$1:$KZ$3000,$C54,11+3*MIN(BO$3,$D$2-1)))))</f>
        <v/>
      </c>
      <c r="BP54" s="130">
        <f>IF(OR($C54="",$B$2="",$D$2=0),0,IF(BP$3&lt;0,0,N(INDEX('CURVA PREVISION'!$A$1:$KZ$3000,$C54,11+3*MIN(BP$3,$D$2-1)))))</f>
        <v/>
      </c>
      <c r="BQ54" s="130">
        <f>IF(OR($C54="",$B$2="",$D$2=0),0,IF(BQ$3&lt;0,0,N(INDEX('CURVA PREVISION'!$A$1:$KZ$3000,$C54,11+3*MIN(BQ$3,$D$2-1)))))</f>
        <v/>
      </c>
      <c r="BR54" s="130">
        <f>IF(OR($C54="",$B$2="",$D$2=0),0,IF(BR$3&lt;0,0,N(INDEX('CURVA PREVISION'!$A$1:$KZ$3000,$C54,11+3*MIN(BR$3,$D$2-1)))))</f>
        <v/>
      </c>
      <c r="BS54" s="130">
        <f>IF(OR($C54="",$B$2="",$D$2=0),0,IF(BS$3&lt;0,0,N(INDEX('CURVA PREVISION'!$A$1:$KZ$3000,$C54,11+3*MIN(BS$3,$D$2-1)))))</f>
        <v/>
      </c>
      <c r="BT54" s="130">
        <f>IF(OR($C54="",$B$2="",$D$2=0),0,IF(BT$3&lt;0,0,N(INDEX('CURVA PREVISION'!$A$1:$KZ$3000,$C54,11+3*MIN(BT$3,$D$2-1)))))</f>
        <v/>
      </c>
      <c r="BU54" s="130">
        <f>IF(OR($C54="",$B$2="",$D$2=0),0,IF(BU$3&lt;0,0,N(INDEX('CURVA PREVISION'!$A$1:$KZ$3000,$C54,11+3*MIN(BU$3,$D$2-1)))))</f>
        <v/>
      </c>
      <c r="BV54" s="130">
        <f>IF(OR($C54="",$B$2="",$D$2=0),0,IF(BV$3&lt;0,0,N(INDEX('CURVA PREVISION'!$A$1:$KZ$3000,$C54,11+3*MIN(BV$3,$D$2-1)))))</f>
        <v/>
      </c>
      <c r="BW54" s="130">
        <f>IF(OR($C54="",$B$2="",$D$2=0),0,IF(BW$3&lt;0,0,N(INDEX('CURVA PREVISION'!$A$1:$KZ$3000,$C54,11+3*MIN(BW$3,$D$2-1)))))</f>
        <v/>
      </c>
    </row>
    <row r="55">
      <c r="A55" s="61">
        <f>IF('VALOR POR PL'!Q19="",'VALOR POR PL'!C19,'VALOR POR PL'!Q19)</f>
        <v/>
      </c>
      <c r="B55" s="51">
        <f>B13</f>
        <v/>
      </c>
      <c r="C55" s="70">
        <f>IFERROR(MATCH(A55,'CURVA PREVISION'!$B$1:$B$3000,0),"")</f>
        <v/>
      </c>
      <c r="D55" s="130">
        <f>IF(OR($C55="",$B$2="",$D$2=0),0,IF(D$3&lt;0,0,N(INDEX('CURVA PREVISION'!$A$1:$KZ$3000,$C55,11+3*MIN(D$3,$D$2-1)))))</f>
        <v/>
      </c>
      <c r="E55" s="130">
        <f>IF(OR($C55="",$B$2="",$D$2=0),0,IF(E$3&lt;0,0,N(INDEX('CURVA PREVISION'!$A$1:$KZ$3000,$C55,11+3*MIN(E$3,$D$2-1)))))</f>
        <v/>
      </c>
      <c r="F55" s="130">
        <f>IF(OR($C55="",$B$2="",$D$2=0),0,IF(F$3&lt;0,0,N(INDEX('CURVA PREVISION'!$A$1:$KZ$3000,$C55,11+3*MIN(F$3,$D$2-1)))))</f>
        <v/>
      </c>
      <c r="G55" s="130">
        <f>IF(OR($C55="",$B$2="",$D$2=0),0,IF(G$3&lt;0,0,N(INDEX('CURVA PREVISION'!$A$1:$KZ$3000,$C55,11+3*MIN(G$3,$D$2-1)))))</f>
        <v/>
      </c>
      <c r="H55" s="130">
        <f>IF(OR($C55="",$B$2="",$D$2=0),0,IF(H$3&lt;0,0,N(INDEX('CURVA PREVISION'!$A$1:$KZ$3000,$C55,11+3*MIN(H$3,$D$2-1)))))</f>
        <v/>
      </c>
      <c r="I55" s="130">
        <f>IF(OR($C55="",$B$2="",$D$2=0),0,IF(I$3&lt;0,0,N(INDEX('CURVA PREVISION'!$A$1:$KZ$3000,$C55,11+3*MIN(I$3,$D$2-1)))))</f>
        <v/>
      </c>
      <c r="J55" s="130">
        <f>IF(OR($C55="",$B$2="",$D$2=0),0,IF(J$3&lt;0,0,N(INDEX('CURVA PREVISION'!$A$1:$KZ$3000,$C55,11+3*MIN(J$3,$D$2-1)))))</f>
        <v/>
      </c>
      <c r="K55" s="130">
        <f>IF(OR($C55="",$B$2="",$D$2=0),0,IF(K$3&lt;0,0,N(INDEX('CURVA PREVISION'!$A$1:$KZ$3000,$C55,11+3*MIN(K$3,$D$2-1)))))</f>
        <v/>
      </c>
      <c r="L55" s="130">
        <f>IF(OR($C55="",$B$2="",$D$2=0),0,IF(L$3&lt;0,0,N(INDEX('CURVA PREVISION'!$A$1:$KZ$3000,$C55,11+3*MIN(L$3,$D$2-1)))))</f>
        <v/>
      </c>
      <c r="M55" s="130">
        <f>IF(OR($C55="",$B$2="",$D$2=0),0,IF(M$3&lt;0,0,N(INDEX('CURVA PREVISION'!$A$1:$KZ$3000,$C55,11+3*MIN(M$3,$D$2-1)))))</f>
        <v/>
      </c>
      <c r="N55" s="130">
        <f>IF(OR($C55="",$B$2="",$D$2=0),0,IF(N$3&lt;0,0,N(INDEX('CURVA PREVISION'!$A$1:$KZ$3000,$C55,11+3*MIN(N$3,$D$2-1)))))</f>
        <v/>
      </c>
      <c r="O55" s="130">
        <f>IF(OR($C55="",$B$2="",$D$2=0),0,IF(O$3&lt;0,0,N(INDEX('CURVA PREVISION'!$A$1:$KZ$3000,$C55,11+3*MIN(O$3,$D$2-1)))))</f>
        <v/>
      </c>
      <c r="P55" s="130">
        <f>IF(OR($C55="",$B$2="",$D$2=0),0,IF(P$3&lt;0,0,N(INDEX('CURVA PREVISION'!$A$1:$KZ$3000,$C55,11+3*MIN(P$3,$D$2-1)))))</f>
        <v/>
      </c>
      <c r="Q55" s="130">
        <f>IF(OR($C55="",$B$2="",$D$2=0),0,IF(Q$3&lt;0,0,N(INDEX('CURVA PREVISION'!$A$1:$KZ$3000,$C55,11+3*MIN(Q$3,$D$2-1)))))</f>
        <v/>
      </c>
      <c r="R55" s="130">
        <f>IF(OR($C55="",$B$2="",$D$2=0),0,IF(R$3&lt;0,0,N(INDEX('CURVA PREVISION'!$A$1:$KZ$3000,$C55,11+3*MIN(R$3,$D$2-1)))))</f>
        <v/>
      </c>
      <c r="S55" s="130">
        <f>IF(OR($C55="",$B$2="",$D$2=0),0,IF(S$3&lt;0,0,N(INDEX('CURVA PREVISION'!$A$1:$KZ$3000,$C55,11+3*MIN(S$3,$D$2-1)))))</f>
        <v/>
      </c>
      <c r="T55" s="130">
        <f>IF(OR($C55="",$B$2="",$D$2=0),0,IF(T$3&lt;0,0,N(INDEX('CURVA PREVISION'!$A$1:$KZ$3000,$C55,11+3*MIN(T$3,$D$2-1)))))</f>
        <v/>
      </c>
      <c r="U55" s="130">
        <f>IF(OR($C55="",$B$2="",$D$2=0),0,IF(U$3&lt;0,0,N(INDEX('CURVA PREVISION'!$A$1:$KZ$3000,$C55,11+3*MIN(U$3,$D$2-1)))))</f>
        <v/>
      </c>
      <c r="V55" s="130">
        <f>IF(OR($C55="",$B$2="",$D$2=0),0,IF(V$3&lt;0,0,N(INDEX('CURVA PREVISION'!$A$1:$KZ$3000,$C55,11+3*MIN(V$3,$D$2-1)))))</f>
        <v/>
      </c>
      <c r="W55" s="130">
        <f>IF(OR($C55="",$B$2="",$D$2=0),0,IF(W$3&lt;0,0,N(INDEX('CURVA PREVISION'!$A$1:$KZ$3000,$C55,11+3*MIN(W$3,$D$2-1)))))</f>
        <v/>
      </c>
      <c r="X55" s="130">
        <f>IF(OR($C55="",$B$2="",$D$2=0),0,IF(X$3&lt;0,0,N(INDEX('CURVA PREVISION'!$A$1:$KZ$3000,$C55,11+3*MIN(X$3,$D$2-1)))))</f>
        <v/>
      </c>
      <c r="Y55" s="130">
        <f>IF(OR($C55="",$B$2="",$D$2=0),0,IF(Y$3&lt;0,0,N(INDEX('CURVA PREVISION'!$A$1:$KZ$3000,$C55,11+3*MIN(Y$3,$D$2-1)))))</f>
        <v/>
      </c>
      <c r="Z55" s="130">
        <f>IF(OR($C55="",$B$2="",$D$2=0),0,IF(Z$3&lt;0,0,N(INDEX('CURVA PREVISION'!$A$1:$KZ$3000,$C55,11+3*MIN(Z$3,$D$2-1)))))</f>
        <v/>
      </c>
      <c r="AA55" s="130">
        <f>IF(OR($C55="",$B$2="",$D$2=0),0,IF(AA$3&lt;0,0,N(INDEX('CURVA PREVISION'!$A$1:$KZ$3000,$C55,11+3*MIN(AA$3,$D$2-1)))))</f>
        <v/>
      </c>
      <c r="AB55" s="130">
        <f>IF(OR($C55="",$B$2="",$D$2=0),0,IF(AB$3&lt;0,0,N(INDEX('CURVA PREVISION'!$A$1:$KZ$3000,$C55,11+3*MIN(AB$3,$D$2-1)))))</f>
        <v/>
      </c>
      <c r="AC55" s="130">
        <f>IF(OR($C55="",$B$2="",$D$2=0),0,IF(AC$3&lt;0,0,N(INDEX('CURVA PREVISION'!$A$1:$KZ$3000,$C55,11+3*MIN(AC$3,$D$2-1)))))</f>
        <v/>
      </c>
      <c r="AD55" s="130">
        <f>IF(OR($C55="",$B$2="",$D$2=0),0,IF(AD$3&lt;0,0,N(INDEX('CURVA PREVISION'!$A$1:$KZ$3000,$C55,11+3*MIN(AD$3,$D$2-1)))))</f>
        <v/>
      </c>
      <c r="AE55" s="130">
        <f>IF(OR($C55="",$B$2="",$D$2=0),0,IF(AE$3&lt;0,0,N(INDEX('CURVA PREVISION'!$A$1:$KZ$3000,$C55,11+3*MIN(AE$3,$D$2-1)))))</f>
        <v/>
      </c>
      <c r="AF55" s="130">
        <f>IF(OR($C55="",$B$2="",$D$2=0),0,IF(AF$3&lt;0,0,N(INDEX('CURVA PREVISION'!$A$1:$KZ$3000,$C55,11+3*MIN(AF$3,$D$2-1)))))</f>
        <v/>
      </c>
      <c r="AG55" s="130">
        <f>IF(OR($C55="",$B$2="",$D$2=0),0,IF(AG$3&lt;0,0,N(INDEX('CURVA PREVISION'!$A$1:$KZ$3000,$C55,11+3*MIN(AG$3,$D$2-1)))))</f>
        <v/>
      </c>
      <c r="AH55" s="130">
        <f>IF(OR($C55="",$B$2="",$D$2=0),0,IF(AH$3&lt;0,0,N(INDEX('CURVA PREVISION'!$A$1:$KZ$3000,$C55,11+3*MIN(AH$3,$D$2-1)))))</f>
        <v/>
      </c>
      <c r="AI55" s="130">
        <f>IF(OR($C55="",$B$2="",$D$2=0),0,IF(AI$3&lt;0,0,N(INDEX('CURVA PREVISION'!$A$1:$KZ$3000,$C55,11+3*MIN(AI$3,$D$2-1)))))</f>
        <v/>
      </c>
      <c r="AJ55" s="130">
        <f>IF(OR($C55="",$B$2="",$D$2=0),0,IF(AJ$3&lt;0,0,N(INDEX('CURVA PREVISION'!$A$1:$KZ$3000,$C55,11+3*MIN(AJ$3,$D$2-1)))))</f>
        <v/>
      </c>
      <c r="AK55" s="130">
        <f>IF(OR($C55="",$B$2="",$D$2=0),0,IF(AK$3&lt;0,0,N(INDEX('CURVA PREVISION'!$A$1:$KZ$3000,$C55,11+3*MIN(AK$3,$D$2-1)))))</f>
        <v/>
      </c>
      <c r="AL55" s="130">
        <f>IF(OR($C55="",$B$2="",$D$2=0),0,IF(AL$3&lt;0,0,N(INDEX('CURVA PREVISION'!$A$1:$KZ$3000,$C55,11+3*MIN(AL$3,$D$2-1)))))</f>
        <v/>
      </c>
      <c r="AM55" s="130">
        <f>IF(OR($C55="",$B$2="",$D$2=0),0,IF(AM$3&lt;0,0,N(INDEX('CURVA PREVISION'!$A$1:$KZ$3000,$C55,11+3*MIN(AM$3,$D$2-1)))))</f>
        <v/>
      </c>
      <c r="AN55" s="130">
        <f>IF(OR($C55="",$B$2="",$D$2=0),0,IF(AN$3&lt;0,0,N(INDEX('CURVA PREVISION'!$A$1:$KZ$3000,$C55,11+3*MIN(AN$3,$D$2-1)))))</f>
        <v/>
      </c>
      <c r="AO55" s="130">
        <f>IF(OR($C55="",$B$2="",$D$2=0),0,IF(AO$3&lt;0,0,N(INDEX('CURVA PREVISION'!$A$1:$KZ$3000,$C55,11+3*MIN(AO$3,$D$2-1)))))</f>
        <v/>
      </c>
      <c r="AP55" s="130">
        <f>IF(OR($C55="",$B$2="",$D$2=0),0,IF(AP$3&lt;0,0,N(INDEX('CURVA PREVISION'!$A$1:$KZ$3000,$C55,11+3*MIN(AP$3,$D$2-1)))))</f>
        <v/>
      </c>
      <c r="AQ55" s="130">
        <f>IF(OR($C55="",$B$2="",$D$2=0),0,IF(AQ$3&lt;0,0,N(INDEX('CURVA PREVISION'!$A$1:$KZ$3000,$C55,11+3*MIN(AQ$3,$D$2-1)))))</f>
        <v/>
      </c>
      <c r="AR55" s="130">
        <f>IF(OR($C55="",$B$2="",$D$2=0),0,IF(AR$3&lt;0,0,N(INDEX('CURVA PREVISION'!$A$1:$KZ$3000,$C55,11+3*MIN(AR$3,$D$2-1)))))</f>
        <v/>
      </c>
      <c r="AS55" s="130">
        <f>IF(OR($C55="",$B$2="",$D$2=0),0,IF(AS$3&lt;0,0,N(INDEX('CURVA PREVISION'!$A$1:$KZ$3000,$C55,11+3*MIN(AS$3,$D$2-1)))))</f>
        <v/>
      </c>
      <c r="AT55" s="130">
        <f>IF(OR($C55="",$B$2="",$D$2=0),0,IF(AT$3&lt;0,0,N(INDEX('CURVA PREVISION'!$A$1:$KZ$3000,$C55,11+3*MIN(AT$3,$D$2-1)))))</f>
        <v/>
      </c>
      <c r="AU55" s="130">
        <f>IF(OR($C55="",$B$2="",$D$2=0),0,IF(AU$3&lt;0,0,N(INDEX('CURVA PREVISION'!$A$1:$KZ$3000,$C55,11+3*MIN(AU$3,$D$2-1)))))</f>
        <v/>
      </c>
      <c r="AV55" s="130">
        <f>IF(OR($C55="",$B$2="",$D$2=0),0,IF(AV$3&lt;0,0,N(INDEX('CURVA PREVISION'!$A$1:$KZ$3000,$C55,11+3*MIN(AV$3,$D$2-1)))))</f>
        <v/>
      </c>
      <c r="AW55" s="130">
        <f>IF(OR($C55="",$B$2="",$D$2=0),0,IF(AW$3&lt;0,0,N(INDEX('CURVA PREVISION'!$A$1:$KZ$3000,$C55,11+3*MIN(AW$3,$D$2-1)))))</f>
        <v/>
      </c>
      <c r="AX55" s="130">
        <f>IF(OR($C55="",$B$2="",$D$2=0),0,IF(AX$3&lt;0,0,N(INDEX('CURVA PREVISION'!$A$1:$KZ$3000,$C55,11+3*MIN(AX$3,$D$2-1)))))</f>
        <v/>
      </c>
      <c r="AY55" s="130">
        <f>IF(OR($C55="",$B$2="",$D$2=0),0,IF(AY$3&lt;0,0,N(INDEX('CURVA PREVISION'!$A$1:$KZ$3000,$C55,11+3*MIN(AY$3,$D$2-1)))))</f>
        <v/>
      </c>
      <c r="AZ55" s="130">
        <f>IF(OR($C55="",$B$2="",$D$2=0),0,IF(AZ$3&lt;0,0,N(INDEX('CURVA PREVISION'!$A$1:$KZ$3000,$C55,11+3*MIN(AZ$3,$D$2-1)))))</f>
        <v/>
      </c>
      <c r="BA55" s="130">
        <f>IF(OR($C55="",$B$2="",$D$2=0),0,IF(BA$3&lt;0,0,N(INDEX('CURVA PREVISION'!$A$1:$KZ$3000,$C55,11+3*MIN(BA$3,$D$2-1)))))</f>
        <v/>
      </c>
      <c r="BB55" s="130">
        <f>IF(OR($C55="",$B$2="",$D$2=0),0,IF(BB$3&lt;0,0,N(INDEX('CURVA PREVISION'!$A$1:$KZ$3000,$C55,11+3*MIN(BB$3,$D$2-1)))))</f>
        <v/>
      </c>
      <c r="BC55" s="130">
        <f>IF(OR($C55="",$B$2="",$D$2=0),0,IF(BC$3&lt;0,0,N(INDEX('CURVA PREVISION'!$A$1:$KZ$3000,$C55,11+3*MIN(BC$3,$D$2-1)))))</f>
        <v/>
      </c>
      <c r="BD55" s="130">
        <f>IF(OR($C55="",$B$2="",$D$2=0),0,IF(BD$3&lt;0,0,N(INDEX('CURVA PREVISION'!$A$1:$KZ$3000,$C55,11+3*MIN(BD$3,$D$2-1)))))</f>
        <v/>
      </c>
      <c r="BE55" s="130">
        <f>IF(OR($C55="",$B$2="",$D$2=0),0,IF(BE$3&lt;0,0,N(INDEX('CURVA PREVISION'!$A$1:$KZ$3000,$C55,11+3*MIN(BE$3,$D$2-1)))))</f>
        <v/>
      </c>
      <c r="BF55" s="130">
        <f>IF(OR($C55="",$B$2="",$D$2=0),0,IF(BF$3&lt;0,0,N(INDEX('CURVA PREVISION'!$A$1:$KZ$3000,$C55,11+3*MIN(BF$3,$D$2-1)))))</f>
        <v/>
      </c>
      <c r="BG55" s="130">
        <f>IF(OR($C55="",$B$2="",$D$2=0),0,IF(BG$3&lt;0,0,N(INDEX('CURVA PREVISION'!$A$1:$KZ$3000,$C55,11+3*MIN(BG$3,$D$2-1)))))</f>
        <v/>
      </c>
      <c r="BH55" s="130">
        <f>IF(OR($C55="",$B$2="",$D$2=0),0,IF(BH$3&lt;0,0,N(INDEX('CURVA PREVISION'!$A$1:$KZ$3000,$C55,11+3*MIN(BH$3,$D$2-1)))))</f>
        <v/>
      </c>
      <c r="BI55" s="130">
        <f>IF(OR($C55="",$B$2="",$D$2=0),0,IF(BI$3&lt;0,0,N(INDEX('CURVA PREVISION'!$A$1:$KZ$3000,$C55,11+3*MIN(BI$3,$D$2-1)))))</f>
        <v/>
      </c>
      <c r="BJ55" s="130">
        <f>IF(OR($C55="",$B$2="",$D$2=0),0,IF(BJ$3&lt;0,0,N(INDEX('CURVA PREVISION'!$A$1:$KZ$3000,$C55,11+3*MIN(BJ$3,$D$2-1)))))</f>
        <v/>
      </c>
      <c r="BK55" s="130">
        <f>IF(OR($C55="",$B$2="",$D$2=0),0,IF(BK$3&lt;0,0,N(INDEX('CURVA PREVISION'!$A$1:$KZ$3000,$C55,11+3*MIN(BK$3,$D$2-1)))))</f>
        <v/>
      </c>
      <c r="BL55" s="130">
        <f>IF(OR($C55="",$B$2="",$D$2=0),0,IF(BL$3&lt;0,0,N(INDEX('CURVA PREVISION'!$A$1:$KZ$3000,$C55,11+3*MIN(BL$3,$D$2-1)))))</f>
        <v/>
      </c>
      <c r="BM55" s="130">
        <f>IF(OR($C55="",$B$2="",$D$2=0),0,IF(BM$3&lt;0,0,N(INDEX('CURVA PREVISION'!$A$1:$KZ$3000,$C55,11+3*MIN(BM$3,$D$2-1)))))</f>
        <v/>
      </c>
      <c r="BN55" s="130">
        <f>IF(OR($C55="",$B$2="",$D$2=0),0,IF(BN$3&lt;0,0,N(INDEX('CURVA PREVISION'!$A$1:$KZ$3000,$C55,11+3*MIN(BN$3,$D$2-1)))))</f>
        <v/>
      </c>
      <c r="BO55" s="130">
        <f>IF(OR($C55="",$B$2="",$D$2=0),0,IF(BO$3&lt;0,0,N(INDEX('CURVA PREVISION'!$A$1:$KZ$3000,$C55,11+3*MIN(BO$3,$D$2-1)))))</f>
        <v/>
      </c>
      <c r="BP55" s="130">
        <f>IF(OR($C55="",$B$2="",$D$2=0),0,IF(BP$3&lt;0,0,N(INDEX('CURVA PREVISION'!$A$1:$KZ$3000,$C55,11+3*MIN(BP$3,$D$2-1)))))</f>
        <v/>
      </c>
      <c r="BQ55" s="130">
        <f>IF(OR($C55="",$B$2="",$D$2=0),0,IF(BQ$3&lt;0,0,N(INDEX('CURVA PREVISION'!$A$1:$KZ$3000,$C55,11+3*MIN(BQ$3,$D$2-1)))))</f>
        <v/>
      </c>
      <c r="BR55" s="130">
        <f>IF(OR($C55="",$B$2="",$D$2=0),0,IF(BR$3&lt;0,0,N(INDEX('CURVA PREVISION'!$A$1:$KZ$3000,$C55,11+3*MIN(BR$3,$D$2-1)))))</f>
        <v/>
      </c>
      <c r="BS55" s="130">
        <f>IF(OR($C55="",$B$2="",$D$2=0),0,IF(BS$3&lt;0,0,N(INDEX('CURVA PREVISION'!$A$1:$KZ$3000,$C55,11+3*MIN(BS$3,$D$2-1)))))</f>
        <v/>
      </c>
      <c r="BT55" s="130">
        <f>IF(OR($C55="",$B$2="",$D$2=0),0,IF(BT$3&lt;0,0,N(INDEX('CURVA PREVISION'!$A$1:$KZ$3000,$C55,11+3*MIN(BT$3,$D$2-1)))))</f>
        <v/>
      </c>
      <c r="BU55" s="130">
        <f>IF(OR($C55="",$B$2="",$D$2=0),0,IF(BU$3&lt;0,0,N(INDEX('CURVA PREVISION'!$A$1:$KZ$3000,$C55,11+3*MIN(BU$3,$D$2-1)))))</f>
        <v/>
      </c>
      <c r="BV55" s="130">
        <f>IF(OR($C55="",$B$2="",$D$2=0),0,IF(BV$3&lt;0,0,N(INDEX('CURVA PREVISION'!$A$1:$KZ$3000,$C55,11+3*MIN(BV$3,$D$2-1)))))</f>
        <v/>
      </c>
      <c r="BW55" s="130">
        <f>IF(OR($C55="",$B$2="",$D$2=0),0,IF(BW$3&lt;0,0,N(INDEX('CURVA PREVISION'!$A$1:$KZ$3000,$C55,11+3*MIN(BW$3,$D$2-1)))))</f>
        <v/>
      </c>
    </row>
    <row r="56">
      <c r="A56" s="61">
        <f>IF('VALOR POR PL'!Q20="",'VALOR POR PL'!C20,'VALOR POR PL'!Q20)</f>
        <v/>
      </c>
      <c r="B56" s="51">
        <f>B14</f>
        <v/>
      </c>
      <c r="C56" s="70">
        <f>IFERROR(MATCH(A56,'CURVA PREVISION'!$B$1:$B$3000,0),"")</f>
        <v/>
      </c>
      <c r="D56" s="130">
        <f>IF(OR($C56="",$B$2="",$D$2=0),0,IF(D$3&lt;0,0,N(INDEX('CURVA PREVISION'!$A$1:$KZ$3000,$C56,11+3*MIN(D$3,$D$2-1)))))</f>
        <v/>
      </c>
      <c r="E56" s="130">
        <f>IF(OR($C56="",$B$2="",$D$2=0),0,IF(E$3&lt;0,0,N(INDEX('CURVA PREVISION'!$A$1:$KZ$3000,$C56,11+3*MIN(E$3,$D$2-1)))))</f>
        <v/>
      </c>
      <c r="F56" s="130">
        <f>IF(OR($C56="",$B$2="",$D$2=0),0,IF(F$3&lt;0,0,N(INDEX('CURVA PREVISION'!$A$1:$KZ$3000,$C56,11+3*MIN(F$3,$D$2-1)))))</f>
        <v/>
      </c>
      <c r="G56" s="130">
        <f>IF(OR($C56="",$B$2="",$D$2=0),0,IF(G$3&lt;0,0,N(INDEX('CURVA PREVISION'!$A$1:$KZ$3000,$C56,11+3*MIN(G$3,$D$2-1)))))</f>
        <v/>
      </c>
      <c r="H56" s="130">
        <f>IF(OR($C56="",$B$2="",$D$2=0),0,IF(H$3&lt;0,0,N(INDEX('CURVA PREVISION'!$A$1:$KZ$3000,$C56,11+3*MIN(H$3,$D$2-1)))))</f>
        <v/>
      </c>
      <c r="I56" s="130">
        <f>IF(OR($C56="",$B$2="",$D$2=0),0,IF(I$3&lt;0,0,N(INDEX('CURVA PREVISION'!$A$1:$KZ$3000,$C56,11+3*MIN(I$3,$D$2-1)))))</f>
        <v/>
      </c>
      <c r="J56" s="130">
        <f>IF(OR($C56="",$B$2="",$D$2=0),0,IF(J$3&lt;0,0,N(INDEX('CURVA PREVISION'!$A$1:$KZ$3000,$C56,11+3*MIN(J$3,$D$2-1)))))</f>
        <v/>
      </c>
      <c r="K56" s="130">
        <f>IF(OR($C56="",$B$2="",$D$2=0),0,IF(K$3&lt;0,0,N(INDEX('CURVA PREVISION'!$A$1:$KZ$3000,$C56,11+3*MIN(K$3,$D$2-1)))))</f>
        <v/>
      </c>
      <c r="L56" s="130">
        <f>IF(OR($C56="",$B$2="",$D$2=0),0,IF(L$3&lt;0,0,N(INDEX('CURVA PREVISION'!$A$1:$KZ$3000,$C56,11+3*MIN(L$3,$D$2-1)))))</f>
        <v/>
      </c>
      <c r="M56" s="130">
        <f>IF(OR($C56="",$B$2="",$D$2=0),0,IF(M$3&lt;0,0,N(INDEX('CURVA PREVISION'!$A$1:$KZ$3000,$C56,11+3*MIN(M$3,$D$2-1)))))</f>
        <v/>
      </c>
      <c r="N56" s="130">
        <f>IF(OR($C56="",$B$2="",$D$2=0),0,IF(N$3&lt;0,0,N(INDEX('CURVA PREVISION'!$A$1:$KZ$3000,$C56,11+3*MIN(N$3,$D$2-1)))))</f>
        <v/>
      </c>
      <c r="O56" s="130">
        <f>IF(OR($C56="",$B$2="",$D$2=0),0,IF(O$3&lt;0,0,N(INDEX('CURVA PREVISION'!$A$1:$KZ$3000,$C56,11+3*MIN(O$3,$D$2-1)))))</f>
        <v/>
      </c>
      <c r="P56" s="130">
        <f>IF(OR($C56="",$B$2="",$D$2=0),0,IF(P$3&lt;0,0,N(INDEX('CURVA PREVISION'!$A$1:$KZ$3000,$C56,11+3*MIN(P$3,$D$2-1)))))</f>
        <v/>
      </c>
      <c r="Q56" s="130">
        <f>IF(OR($C56="",$B$2="",$D$2=0),0,IF(Q$3&lt;0,0,N(INDEX('CURVA PREVISION'!$A$1:$KZ$3000,$C56,11+3*MIN(Q$3,$D$2-1)))))</f>
        <v/>
      </c>
      <c r="R56" s="130">
        <f>IF(OR($C56="",$B$2="",$D$2=0),0,IF(R$3&lt;0,0,N(INDEX('CURVA PREVISION'!$A$1:$KZ$3000,$C56,11+3*MIN(R$3,$D$2-1)))))</f>
        <v/>
      </c>
      <c r="S56" s="130">
        <f>IF(OR($C56="",$B$2="",$D$2=0),0,IF(S$3&lt;0,0,N(INDEX('CURVA PREVISION'!$A$1:$KZ$3000,$C56,11+3*MIN(S$3,$D$2-1)))))</f>
        <v/>
      </c>
      <c r="T56" s="130">
        <f>IF(OR($C56="",$B$2="",$D$2=0),0,IF(T$3&lt;0,0,N(INDEX('CURVA PREVISION'!$A$1:$KZ$3000,$C56,11+3*MIN(T$3,$D$2-1)))))</f>
        <v/>
      </c>
      <c r="U56" s="130">
        <f>IF(OR($C56="",$B$2="",$D$2=0),0,IF(U$3&lt;0,0,N(INDEX('CURVA PREVISION'!$A$1:$KZ$3000,$C56,11+3*MIN(U$3,$D$2-1)))))</f>
        <v/>
      </c>
      <c r="V56" s="130">
        <f>IF(OR($C56="",$B$2="",$D$2=0),0,IF(V$3&lt;0,0,N(INDEX('CURVA PREVISION'!$A$1:$KZ$3000,$C56,11+3*MIN(V$3,$D$2-1)))))</f>
        <v/>
      </c>
      <c r="W56" s="130">
        <f>IF(OR($C56="",$B$2="",$D$2=0),0,IF(W$3&lt;0,0,N(INDEX('CURVA PREVISION'!$A$1:$KZ$3000,$C56,11+3*MIN(W$3,$D$2-1)))))</f>
        <v/>
      </c>
      <c r="X56" s="130">
        <f>IF(OR($C56="",$B$2="",$D$2=0),0,IF(X$3&lt;0,0,N(INDEX('CURVA PREVISION'!$A$1:$KZ$3000,$C56,11+3*MIN(X$3,$D$2-1)))))</f>
        <v/>
      </c>
      <c r="Y56" s="130">
        <f>IF(OR($C56="",$B$2="",$D$2=0),0,IF(Y$3&lt;0,0,N(INDEX('CURVA PREVISION'!$A$1:$KZ$3000,$C56,11+3*MIN(Y$3,$D$2-1)))))</f>
        <v/>
      </c>
      <c r="Z56" s="130">
        <f>IF(OR($C56="",$B$2="",$D$2=0),0,IF(Z$3&lt;0,0,N(INDEX('CURVA PREVISION'!$A$1:$KZ$3000,$C56,11+3*MIN(Z$3,$D$2-1)))))</f>
        <v/>
      </c>
      <c r="AA56" s="130">
        <f>IF(OR($C56="",$B$2="",$D$2=0),0,IF(AA$3&lt;0,0,N(INDEX('CURVA PREVISION'!$A$1:$KZ$3000,$C56,11+3*MIN(AA$3,$D$2-1)))))</f>
        <v/>
      </c>
      <c r="AB56" s="130">
        <f>IF(OR($C56="",$B$2="",$D$2=0),0,IF(AB$3&lt;0,0,N(INDEX('CURVA PREVISION'!$A$1:$KZ$3000,$C56,11+3*MIN(AB$3,$D$2-1)))))</f>
        <v/>
      </c>
      <c r="AC56" s="130">
        <f>IF(OR($C56="",$B$2="",$D$2=0),0,IF(AC$3&lt;0,0,N(INDEX('CURVA PREVISION'!$A$1:$KZ$3000,$C56,11+3*MIN(AC$3,$D$2-1)))))</f>
        <v/>
      </c>
      <c r="AD56" s="130">
        <f>IF(OR($C56="",$B$2="",$D$2=0),0,IF(AD$3&lt;0,0,N(INDEX('CURVA PREVISION'!$A$1:$KZ$3000,$C56,11+3*MIN(AD$3,$D$2-1)))))</f>
        <v/>
      </c>
      <c r="AE56" s="130">
        <f>IF(OR($C56="",$B$2="",$D$2=0),0,IF(AE$3&lt;0,0,N(INDEX('CURVA PREVISION'!$A$1:$KZ$3000,$C56,11+3*MIN(AE$3,$D$2-1)))))</f>
        <v/>
      </c>
      <c r="AF56" s="130">
        <f>IF(OR($C56="",$B$2="",$D$2=0),0,IF(AF$3&lt;0,0,N(INDEX('CURVA PREVISION'!$A$1:$KZ$3000,$C56,11+3*MIN(AF$3,$D$2-1)))))</f>
        <v/>
      </c>
      <c r="AG56" s="130">
        <f>IF(OR($C56="",$B$2="",$D$2=0),0,IF(AG$3&lt;0,0,N(INDEX('CURVA PREVISION'!$A$1:$KZ$3000,$C56,11+3*MIN(AG$3,$D$2-1)))))</f>
        <v/>
      </c>
      <c r="AH56" s="130">
        <f>IF(OR($C56="",$B$2="",$D$2=0),0,IF(AH$3&lt;0,0,N(INDEX('CURVA PREVISION'!$A$1:$KZ$3000,$C56,11+3*MIN(AH$3,$D$2-1)))))</f>
        <v/>
      </c>
      <c r="AI56" s="130">
        <f>IF(OR($C56="",$B$2="",$D$2=0),0,IF(AI$3&lt;0,0,N(INDEX('CURVA PREVISION'!$A$1:$KZ$3000,$C56,11+3*MIN(AI$3,$D$2-1)))))</f>
        <v/>
      </c>
      <c r="AJ56" s="130">
        <f>IF(OR($C56="",$B$2="",$D$2=0),0,IF(AJ$3&lt;0,0,N(INDEX('CURVA PREVISION'!$A$1:$KZ$3000,$C56,11+3*MIN(AJ$3,$D$2-1)))))</f>
        <v/>
      </c>
      <c r="AK56" s="130">
        <f>IF(OR($C56="",$B$2="",$D$2=0),0,IF(AK$3&lt;0,0,N(INDEX('CURVA PREVISION'!$A$1:$KZ$3000,$C56,11+3*MIN(AK$3,$D$2-1)))))</f>
        <v/>
      </c>
      <c r="AL56" s="130">
        <f>IF(OR($C56="",$B$2="",$D$2=0),0,IF(AL$3&lt;0,0,N(INDEX('CURVA PREVISION'!$A$1:$KZ$3000,$C56,11+3*MIN(AL$3,$D$2-1)))))</f>
        <v/>
      </c>
      <c r="AM56" s="130">
        <f>IF(OR($C56="",$B$2="",$D$2=0),0,IF(AM$3&lt;0,0,N(INDEX('CURVA PREVISION'!$A$1:$KZ$3000,$C56,11+3*MIN(AM$3,$D$2-1)))))</f>
        <v/>
      </c>
      <c r="AN56" s="130">
        <f>IF(OR($C56="",$B$2="",$D$2=0),0,IF(AN$3&lt;0,0,N(INDEX('CURVA PREVISION'!$A$1:$KZ$3000,$C56,11+3*MIN(AN$3,$D$2-1)))))</f>
        <v/>
      </c>
      <c r="AO56" s="130">
        <f>IF(OR($C56="",$B$2="",$D$2=0),0,IF(AO$3&lt;0,0,N(INDEX('CURVA PREVISION'!$A$1:$KZ$3000,$C56,11+3*MIN(AO$3,$D$2-1)))))</f>
        <v/>
      </c>
      <c r="AP56" s="130">
        <f>IF(OR($C56="",$B$2="",$D$2=0),0,IF(AP$3&lt;0,0,N(INDEX('CURVA PREVISION'!$A$1:$KZ$3000,$C56,11+3*MIN(AP$3,$D$2-1)))))</f>
        <v/>
      </c>
      <c r="AQ56" s="130">
        <f>IF(OR($C56="",$B$2="",$D$2=0),0,IF(AQ$3&lt;0,0,N(INDEX('CURVA PREVISION'!$A$1:$KZ$3000,$C56,11+3*MIN(AQ$3,$D$2-1)))))</f>
        <v/>
      </c>
      <c r="AR56" s="130">
        <f>IF(OR($C56="",$B$2="",$D$2=0),0,IF(AR$3&lt;0,0,N(INDEX('CURVA PREVISION'!$A$1:$KZ$3000,$C56,11+3*MIN(AR$3,$D$2-1)))))</f>
        <v/>
      </c>
      <c r="AS56" s="130">
        <f>IF(OR($C56="",$B$2="",$D$2=0),0,IF(AS$3&lt;0,0,N(INDEX('CURVA PREVISION'!$A$1:$KZ$3000,$C56,11+3*MIN(AS$3,$D$2-1)))))</f>
        <v/>
      </c>
      <c r="AT56" s="130">
        <f>IF(OR($C56="",$B$2="",$D$2=0),0,IF(AT$3&lt;0,0,N(INDEX('CURVA PREVISION'!$A$1:$KZ$3000,$C56,11+3*MIN(AT$3,$D$2-1)))))</f>
        <v/>
      </c>
      <c r="AU56" s="130">
        <f>IF(OR($C56="",$B$2="",$D$2=0),0,IF(AU$3&lt;0,0,N(INDEX('CURVA PREVISION'!$A$1:$KZ$3000,$C56,11+3*MIN(AU$3,$D$2-1)))))</f>
        <v/>
      </c>
      <c r="AV56" s="130">
        <f>IF(OR($C56="",$B$2="",$D$2=0),0,IF(AV$3&lt;0,0,N(INDEX('CURVA PREVISION'!$A$1:$KZ$3000,$C56,11+3*MIN(AV$3,$D$2-1)))))</f>
        <v/>
      </c>
      <c r="AW56" s="130">
        <f>IF(OR($C56="",$B$2="",$D$2=0),0,IF(AW$3&lt;0,0,N(INDEX('CURVA PREVISION'!$A$1:$KZ$3000,$C56,11+3*MIN(AW$3,$D$2-1)))))</f>
        <v/>
      </c>
      <c r="AX56" s="130">
        <f>IF(OR($C56="",$B$2="",$D$2=0),0,IF(AX$3&lt;0,0,N(INDEX('CURVA PREVISION'!$A$1:$KZ$3000,$C56,11+3*MIN(AX$3,$D$2-1)))))</f>
        <v/>
      </c>
      <c r="AY56" s="130">
        <f>IF(OR($C56="",$B$2="",$D$2=0),0,IF(AY$3&lt;0,0,N(INDEX('CURVA PREVISION'!$A$1:$KZ$3000,$C56,11+3*MIN(AY$3,$D$2-1)))))</f>
        <v/>
      </c>
      <c r="AZ56" s="130">
        <f>IF(OR($C56="",$B$2="",$D$2=0),0,IF(AZ$3&lt;0,0,N(INDEX('CURVA PREVISION'!$A$1:$KZ$3000,$C56,11+3*MIN(AZ$3,$D$2-1)))))</f>
        <v/>
      </c>
      <c r="BA56" s="130">
        <f>IF(OR($C56="",$B$2="",$D$2=0),0,IF(BA$3&lt;0,0,N(INDEX('CURVA PREVISION'!$A$1:$KZ$3000,$C56,11+3*MIN(BA$3,$D$2-1)))))</f>
        <v/>
      </c>
      <c r="BB56" s="130">
        <f>IF(OR($C56="",$B$2="",$D$2=0),0,IF(BB$3&lt;0,0,N(INDEX('CURVA PREVISION'!$A$1:$KZ$3000,$C56,11+3*MIN(BB$3,$D$2-1)))))</f>
        <v/>
      </c>
      <c r="BC56" s="130">
        <f>IF(OR($C56="",$B$2="",$D$2=0),0,IF(BC$3&lt;0,0,N(INDEX('CURVA PREVISION'!$A$1:$KZ$3000,$C56,11+3*MIN(BC$3,$D$2-1)))))</f>
        <v/>
      </c>
      <c r="BD56" s="130">
        <f>IF(OR($C56="",$B$2="",$D$2=0),0,IF(BD$3&lt;0,0,N(INDEX('CURVA PREVISION'!$A$1:$KZ$3000,$C56,11+3*MIN(BD$3,$D$2-1)))))</f>
        <v/>
      </c>
      <c r="BE56" s="130">
        <f>IF(OR($C56="",$B$2="",$D$2=0),0,IF(BE$3&lt;0,0,N(INDEX('CURVA PREVISION'!$A$1:$KZ$3000,$C56,11+3*MIN(BE$3,$D$2-1)))))</f>
        <v/>
      </c>
      <c r="BF56" s="130">
        <f>IF(OR($C56="",$B$2="",$D$2=0),0,IF(BF$3&lt;0,0,N(INDEX('CURVA PREVISION'!$A$1:$KZ$3000,$C56,11+3*MIN(BF$3,$D$2-1)))))</f>
        <v/>
      </c>
      <c r="BG56" s="130">
        <f>IF(OR($C56="",$B$2="",$D$2=0),0,IF(BG$3&lt;0,0,N(INDEX('CURVA PREVISION'!$A$1:$KZ$3000,$C56,11+3*MIN(BG$3,$D$2-1)))))</f>
        <v/>
      </c>
      <c r="BH56" s="130">
        <f>IF(OR($C56="",$B$2="",$D$2=0),0,IF(BH$3&lt;0,0,N(INDEX('CURVA PREVISION'!$A$1:$KZ$3000,$C56,11+3*MIN(BH$3,$D$2-1)))))</f>
        <v/>
      </c>
      <c r="BI56" s="130">
        <f>IF(OR($C56="",$B$2="",$D$2=0),0,IF(BI$3&lt;0,0,N(INDEX('CURVA PREVISION'!$A$1:$KZ$3000,$C56,11+3*MIN(BI$3,$D$2-1)))))</f>
        <v/>
      </c>
      <c r="BJ56" s="130">
        <f>IF(OR($C56="",$B$2="",$D$2=0),0,IF(BJ$3&lt;0,0,N(INDEX('CURVA PREVISION'!$A$1:$KZ$3000,$C56,11+3*MIN(BJ$3,$D$2-1)))))</f>
        <v/>
      </c>
      <c r="BK56" s="130">
        <f>IF(OR($C56="",$B$2="",$D$2=0),0,IF(BK$3&lt;0,0,N(INDEX('CURVA PREVISION'!$A$1:$KZ$3000,$C56,11+3*MIN(BK$3,$D$2-1)))))</f>
        <v/>
      </c>
      <c r="BL56" s="130">
        <f>IF(OR($C56="",$B$2="",$D$2=0),0,IF(BL$3&lt;0,0,N(INDEX('CURVA PREVISION'!$A$1:$KZ$3000,$C56,11+3*MIN(BL$3,$D$2-1)))))</f>
        <v/>
      </c>
      <c r="BM56" s="130">
        <f>IF(OR($C56="",$B$2="",$D$2=0),0,IF(BM$3&lt;0,0,N(INDEX('CURVA PREVISION'!$A$1:$KZ$3000,$C56,11+3*MIN(BM$3,$D$2-1)))))</f>
        <v/>
      </c>
      <c r="BN56" s="130">
        <f>IF(OR($C56="",$B$2="",$D$2=0),0,IF(BN$3&lt;0,0,N(INDEX('CURVA PREVISION'!$A$1:$KZ$3000,$C56,11+3*MIN(BN$3,$D$2-1)))))</f>
        <v/>
      </c>
      <c r="BO56" s="130">
        <f>IF(OR($C56="",$B$2="",$D$2=0),0,IF(BO$3&lt;0,0,N(INDEX('CURVA PREVISION'!$A$1:$KZ$3000,$C56,11+3*MIN(BO$3,$D$2-1)))))</f>
        <v/>
      </c>
      <c r="BP56" s="130">
        <f>IF(OR($C56="",$B$2="",$D$2=0),0,IF(BP$3&lt;0,0,N(INDEX('CURVA PREVISION'!$A$1:$KZ$3000,$C56,11+3*MIN(BP$3,$D$2-1)))))</f>
        <v/>
      </c>
      <c r="BQ56" s="130">
        <f>IF(OR($C56="",$B$2="",$D$2=0),0,IF(BQ$3&lt;0,0,N(INDEX('CURVA PREVISION'!$A$1:$KZ$3000,$C56,11+3*MIN(BQ$3,$D$2-1)))))</f>
        <v/>
      </c>
      <c r="BR56" s="130">
        <f>IF(OR($C56="",$B$2="",$D$2=0),0,IF(BR$3&lt;0,0,N(INDEX('CURVA PREVISION'!$A$1:$KZ$3000,$C56,11+3*MIN(BR$3,$D$2-1)))))</f>
        <v/>
      </c>
      <c r="BS56" s="130">
        <f>IF(OR($C56="",$B$2="",$D$2=0),0,IF(BS$3&lt;0,0,N(INDEX('CURVA PREVISION'!$A$1:$KZ$3000,$C56,11+3*MIN(BS$3,$D$2-1)))))</f>
        <v/>
      </c>
      <c r="BT56" s="130">
        <f>IF(OR($C56="",$B$2="",$D$2=0),0,IF(BT$3&lt;0,0,N(INDEX('CURVA PREVISION'!$A$1:$KZ$3000,$C56,11+3*MIN(BT$3,$D$2-1)))))</f>
        <v/>
      </c>
      <c r="BU56" s="130">
        <f>IF(OR($C56="",$B$2="",$D$2=0),0,IF(BU$3&lt;0,0,N(INDEX('CURVA PREVISION'!$A$1:$KZ$3000,$C56,11+3*MIN(BU$3,$D$2-1)))))</f>
        <v/>
      </c>
      <c r="BV56" s="130">
        <f>IF(OR($C56="",$B$2="",$D$2=0),0,IF(BV$3&lt;0,0,N(INDEX('CURVA PREVISION'!$A$1:$KZ$3000,$C56,11+3*MIN(BV$3,$D$2-1)))))</f>
        <v/>
      </c>
      <c r="BW56" s="130">
        <f>IF(OR($C56="",$B$2="",$D$2=0),0,IF(BW$3&lt;0,0,N(INDEX('CURVA PREVISION'!$A$1:$KZ$3000,$C56,11+3*MIN(BW$3,$D$2-1)))))</f>
        <v/>
      </c>
    </row>
    <row r="57">
      <c r="A57" s="61">
        <f>IF('VALOR POR PL'!Q21="",'VALOR POR PL'!C21,'VALOR POR PL'!Q21)</f>
        <v/>
      </c>
      <c r="B57" s="51">
        <f>B15</f>
        <v/>
      </c>
      <c r="C57" s="70">
        <f>IFERROR(MATCH(A57,'CURVA PREVISION'!$B$1:$B$3000,0),"")</f>
        <v/>
      </c>
      <c r="D57" s="130">
        <f>IF(OR($C57="",$B$2="",$D$2=0),0,IF(D$3&lt;0,0,N(INDEX('CURVA PREVISION'!$A$1:$KZ$3000,$C57,11+3*MIN(D$3,$D$2-1)))))</f>
        <v/>
      </c>
      <c r="E57" s="130">
        <f>IF(OR($C57="",$B$2="",$D$2=0),0,IF(E$3&lt;0,0,N(INDEX('CURVA PREVISION'!$A$1:$KZ$3000,$C57,11+3*MIN(E$3,$D$2-1)))))</f>
        <v/>
      </c>
      <c r="F57" s="130">
        <f>IF(OR($C57="",$B$2="",$D$2=0),0,IF(F$3&lt;0,0,N(INDEX('CURVA PREVISION'!$A$1:$KZ$3000,$C57,11+3*MIN(F$3,$D$2-1)))))</f>
        <v/>
      </c>
      <c r="G57" s="130">
        <f>IF(OR($C57="",$B$2="",$D$2=0),0,IF(G$3&lt;0,0,N(INDEX('CURVA PREVISION'!$A$1:$KZ$3000,$C57,11+3*MIN(G$3,$D$2-1)))))</f>
        <v/>
      </c>
      <c r="H57" s="130">
        <f>IF(OR($C57="",$B$2="",$D$2=0),0,IF(H$3&lt;0,0,N(INDEX('CURVA PREVISION'!$A$1:$KZ$3000,$C57,11+3*MIN(H$3,$D$2-1)))))</f>
        <v/>
      </c>
      <c r="I57" s="130">
        <f>IF(OR($C57="",$B$2="",$D$2=0),0,IF(I$3&lt;0,0,N(INDEX('CURVA PREVISION'!$A$1:$KZ$3000,$C57,11+3*MIN(I$3,$D$2-1)))))</f>
        <v/>
      </c>
      <c r="J57" s="130">
        <f>IF(OR($C57="",$B$2="",$D$2=0),0,IF(J$3&lt;0,0,N(INDEX('CURVA PREVISION'!$A$1:$KZ$3000,$C57,11+3*MIN(J$3,$D$2-1)))))</f>
        <v/>
      </c>
      <c r="K57" s="130">
        <f>IF(OR($C57="",$B$2="",$D$2=0),0,IF(K$3&lt;0,0,N(INDEX('CURVA PREVISION'!$A$1:$KZ$3000,$C57,11+3*MIN(K$3,$D$2-1)))))</f>
        <v/>
      </c>
      <c r="L57" s="130">
        <f>IF(OR($C57="",$B$2="",$D$2=0),0,IF(L$3&lt;0,0,N(INDEX('CURVA PREVISION'!$A$1:$KZ$3000,$C57,11+3*MIN(L$3,$D$2-1)))))</f>
        <v/>
      </c>
      <c r="M57" s="130">
        <f>IF(OR($C57="",$B$2="",$D$2=0),0,IF(M$3&lt;0,0,N(INDEX('CURVA PREVISION'!$A$1:$KZ$3000,$C57,11+3*MIN(M$3,$D$2-1)))))</f>
        <v/>
      </c>
      <c r="N57" s="130">
        <f>IF(OR($C57="",$B$2="",$D$2=0),0,IF(N$3&lt;0,0,N(INDEX('CURVA PREVISION'!$A$1:$KZ$3000,$C57,11+3*MIN(N$3,$D$2-1)))))</f>
        <v/>
      </c>
      <c r="O57" s="130">
        <f>IF(OR($C57="",$B$2="",$D$2=0),0,IF(O$3&lt;0,0,N(INDEX('CURVA PREVISION'!$A$1:$KZ$3000,$C57,11+3*MIN(O$3,$D$2-1)))))</f>
        <v/>
      </c>
      <c r="P57" s="130">
        <f>IF(OR($C57="",$B$2="",$D$2=0),0,IF(P$3&lt;0,0,N(INDEX('CURVA PREVISION'!$A$1:$KZ$3000,$C57,11+3*MIN(P$3,$D$2-1)))))</f>
        <v/>
      </c>
      <c r="Q57" s="130">
        <f>IF(OR($C57="",$B$2="",$D$2=0),0,IF(Q$3&lt;0,0,N(INDEX('CURVA PREVISION'!$A$1:$KZ$3000,$C57,11+3*MIN(Q$3,$D$2-1)))))</f>
        <v/>
      </c>
      <c r="R57" s="130">
        <f>IF(OR($C57="",$B$2="",$D$2=0),0,IF(R$3&lt;0,0,N(INDEX('CURVA PREVISION'!$A$1:$KZ$3000,$C57,11+3*MIN(R$3,$D$2-1)))))</f>
        <v/>
      </c>
      <c r="S57" s="130">
        <f>IF(OR($C57="",$B$2="",$D$2=0),0,IF(S$3&lt;0,0,N(INDEX('CURVA PREVISION'!$A$1:$KZ$3000,$C57,11+3*MIN(S$3,$D$2-1)))))</f>
        <v/>
      </c>
      <c r="T57" s="130">
        <f>IF(OR($C57="",$B$2="",$D$2=0),0,IF(T$3&lt;0,0,N(INDEX('CURVA PREVISION'!$A$1:$KZ$3000,$C57,11+3*MIN(T$3,$D$2-1)))))</f>
        <v/>
      </c>
      <c r="U57" s="130">
        <f>IF(OR($C57="",$B$2="",$D$2=0),0,IF(U$3&lt;0,0,N(INDEX('CURVA PREVISION'!$A$1:$KZ$3000,$C57,11+3*MIN(U$3,$D$2-1)))))</f>
        <v/>
      </c>
      <c r="V57" s="130">
        <f>IF(OR($C57="",$B$2="",$D$2=0),0,IF(V$3&lt;0,0,N(INDEX('CURVA PREVISION'!$A$1:$KZ$3000,$C57,11+3*MIN(V$3,$D$2-1)))))</f>
        <v/>
      </c>
      <c r="W57" s="130">
        <f>IF(OR($C57="",$B$2="",$D$2=0),0,IF(W$3&lt;0,0,N(INDEX('CURVA PREVISION'!$A$1:$KZ$3000,$C57,11+3*MIN(W$3,$D$2-1)))))</f>
        <v/>
      </c>
      <c r="X57" s="130">
        <f>IF(OR($C57="",$B$2="",$D$2=0),0,IF(X$3&lt;0,0,N(INDEX('CURVA PREVISION'!$A$1:$KZ$3000,$C57,11+3*MIN(X$3,$D$2-1)))))</f>
        <v/>
      </c>
      <c r="Y57" s="130">
        <f>IF(OR($C57="",$B$2="",$D$2=0),0,IF(Y$3&lt;0,0,N(INDEX('CURVA PREVISION'!$A$1:$KZ$3000,$C57,11+3*MIN(Y$3,$D$2-1)))))</f>
        <v/>
      </c>
      <c r="Z57" s="130">
        <f>IF(OR($C57="",$B$2="",$D$2=0),0,IF(Z$3&lt;0,0,N(INDEX('CURVA PREVISION'!$A$1:$KZ$3000,$C57,11+3*MIN(Z$3,$D$2-1)))))</f>
        <v/>
      </c>
      <c r="AA57" s="130">
        <f>IF(OR($C57="",$B$2="",$D$2=0),0,IF(AA$3&lt;0,0,N(INDEX('CURVA PREVISION'!$A$1:$KZ$3000,$C57,11+3*MIN(AA$3,$D$2-1)))))</f>
        <v/>
      </c>
      <c r="AB57" s="130">
        <f>IF(OR($C57="",$B$2="",$D$2=0),0,IF(AB$3&lt;0,0,N(INDEX('CURVA PREVISION'!$A$1:$KZ$3000,$C57,11+3*MIN(AB$3,$D$2-1)))))</f>
        <v/>
      </c>
      <c r="AC57" s="130">
        <f>IF(OR($C57="",$B$2="",$D$2=0),0,IF(AC$3&lt;0,0,N(INDEX('CURVA PREVISION'!$A$1:$KZ$3000,$C57,11+3*MIN(AC$3,$D$2-1)))))</f>
        <v/>
      </c>
      <c r="AD57" s="130">
        <f>IF(OR($C57="",$B$2="",$D$2=0),0,IF(AD$3&lt;0,0,N(INDEX('CURVA PREVISION'!$A$1:$KZ$3000,$C57,11+3*MIN(AD$3,$D$2-1)))))</f>
        <v/>
      </c>
      <c r="AE57" s="130">
        <f>IF(OR($C57="",$B$2="",$D$2=0),0,IF(AE$3&lt;0,0,N(INDEX('CURVA PREVISION'!$A$1:$KZ$3000,$C57,11+3*MIN(AE$3,$D$2-1)))))</f>
        <v/>
      </c>
      <c r="AF57" s="130">
        <f>IF(OR($C57="",$B$2="",$D$2=0),0,IF(AF$3&lt;0,0,N(INDEX('CURVA PREVISION'!$A$1:$KZ$3000,$C57,11+3*MIN(AF$3,$D$2-1)))))</f>
        <v/>
      </c>
      <c r="AG57" s="130">
        <f>IF(OR($C57="",$B$2="",$D$2=0),0,IF(AG$3&lt;0,0,N(INDEX('CURVA PREVISION'!$A$1:$KZ$3000,$C57,11+3*MIN(AG$3,$D$2-1)))))</f>
        <v/>
      </c>
      <c r="AH57" s="130">
        <f>IF(OR($C57="",$B$2="",$D$2=0),0,IF(AH$3&lt;0,0,N(INDEX('CURVA PREVISION'!$A$1:$KZ$3000,$C57,11+3*MIN(AH$3,$D$2-1)))))</f>
        <v/>
      </c>
      <c r="AI57" s="130">
        <f>IF(OR($C57="",$B$2="",$D$2=0),0,IF(AI$3&lt;0,0,N(INDEX('CURVA PREVISION'!$A$1:$KZ$3000,$C57,11+3*MIN(AI$3,$D$2-1)))))</f>
        <v/>
      </c>
      <c r="AJ57" s="130">
        <f>IF(OR($C57="",$B$2="",$D$2=0),0,IF(AJ$3&lt;0,0,N(INDEX('CURVA PREVISION'!$A$1:$KZ$3000,$C57,11+3*MIN(AJ$3,$D$2-1)))))</f>
        <v/>
      </c>
      <c r="AK57" s="130">
        <f>IF(OR($C57="",$B$2="",$D$2=0),0,IF(AK$3&lt;0,0,N(INDEX('CURVA PREVISION'!$A$1:$KZ$3000,$C57,11+3*MIN(AK$3,$D$2-1)))))</f>
        <v/>
      </c>
      <c r="AL57" s="130">
        <f>IF(OR($C57="",$B$2="",$D$2=0),0,IF(AL$3&lt;0,0,N(INDEX('CURVA PREVISION'!$A$1:$KZ$3000,$C57,11+3*MIN(AL$3,$D$2-1)))))</f>
        <v/>
      </c>
      <c r="AM57" s="130">
        <f>IF(OR($C57="",$B$2="",$D$2=0),0,IF(AM$3&lt;0,0,N(INDEX('CURVA PREVISION'!$A$1:$KZ$3000,$C57,11+3*MIN(AM$3,$D$2-1)))))</f>
        <v/>
      </c>
      <c r="AN57" s="130">
        <f>IF(OR($C57="",$B$2="",$D$2=0),0,IF(AN$3&lt;0,0,N(INDEX('CURVA PREVISION'!$A$1:$KZ$3000,$C57,11+3*MIN(AN$3,$D$2-1)))))</f>
        <v/>
      </c>
      <c r="AO57" s="130">
        <f>IF(OR($C57="",$B$2="",$D$2=0),0,IF(AO$3&lt;0,0,N(INDEX('CURVA PREVISION'!$A$1:$KZ$3000,$C57,11+3*MIN(AO$3,$D$2-1)))))</f>
        <v/>
      </c>
      <c r="AP57" s="130">
        <f>IF(OR($C57="",$B$2="",$D$2=0),0,IF(AP$3&lt;0,0,N(INDEX('CURVA PREVISION'!$A$1:$KZ$3000,$C57,11+3*MIN(AP$3,$D$2-1)))))</f>
        <v/>
      </c>
      <c r="AQ57" s="130">
        <f>IF(OR($C57="",$B$2="",$D$2=0),0,IF(AQ$3&lt;0,0,N(INDEX('CURVA PREVISION'!$A$1:$KZ$3000,$C57,11+3*MIN(AQ$3,$D$2-1)))))</f>
        <v/>
      </c>
      <c r="AR57" s="130">
        <f>IF(OR($C57="",$B$2="",$D$2=0),0,IF(AR$3&lt;0,0,N(INDEX('CURVA PREVISION'!$A$1:$KZ$3000,$C57,11+3*MIN(AR$3,$D$2-1)))))</f>
        <v/>
      </c>
      <c r="AS57" s="130">
        <f>IF(OR($C57="",$B$2="",$D$2=0),0,IF(AS$3&lt;0,0,N(INDEX('CURVA PREVISION'!$A$1:$KZ$3000,$C57,11+3*MIN(AS$3,$D$2-1)))))</f>
        <v/>
      </c>
      <c r="AT57" s="130">
        <f>IF(OR($C57="",$B$2="",$D$2=0),0,IF(AT$3&lt;0,0,N(INDEX('CURVA PREVISION'!$A$1:$KZ$3000,$C57,11+3*MIN(AT$3,$D$2-1)))))</f>
        <v/>
      </c>
      <c r="AU57" s="130">
        <f>IF(OR($C57="",$B$2="",$D$2=0),0,IF(AU$3&lt;0,0,N(INDEX('CURVA PREVISION'!$A$1:$KZ$3000,$C57,11+3*MIN(AU$3,$D$2-1)))))</f>
        <v/>
      </c>
      <c r="AV57" s="130">
        <f>IF(OR($C57="",$B$2="",$D$2=0),0,IF(AV$3&lt;0,0,N(INDEX('CURVA PREVISION'!$A$1:$KZ$3000,$C57,11+3*MIN(AV$3,$D$2-1)))))</f>
        <v/>
      </c>
      <c r="AW57" s="130">
        <f>IF(OR($C57="",$B$2="",$D$2=0),0,IF(AW$3&lt;0,0,N(INDEX('CURVA PREVISION'!$A$1:$KZ$3000,$C57,11+3*MIN(AW$3,$D$2-1)))))</f>
        <v/>
      </c>
      <c r="AX57" s="130">
        <f>IF(OR($C57="",$B$2="",$D$2=0),0,IF(AX$3&lt;0,0,N(INDEX('CURVA PREVISION'!$A$1:$KZ$3000,$C57,11+3*MIN(AX$3,$D$2-1)))))</f>
        <v/>
      </c>
      <c r="AY57" s="130">
        <f>IF(OR($C57="",$B$2="",$D$2=0),0,IF(AY$3&lt;0,0,N(INDEX('CURVA PREVISION'!$A$1:$KZ$3000,$C57,11+3*MIN(AY$3,$D$2-1)))))</f>
        <v/>
      </c>
      <c r="AZ57" s="130">
        <f>IF(OR($C57="",$B$2="",$D$2=0),0,IF(AZ$3&lt;0,0,N(INDEX('CURVA PREVISION'!$A$1:$KZ$3000,$C57,11+3*MIN(AZ$3,$D$2-1)))))</f>
        <v/>
      </c>
      <c r="BA57" s="130">
        <f>IF(OR($C57="",$B$2="",$D$2=0),0,IF(BA$3&lt;0,0,N(INDEX('CURVA PREVISION'!$A$1:$KZ$3000,$C57,11+3*MIN(BA$3,$D$2-1)))))</f>
        <v/>
      </c>
      <c r="BB57" s="130">
        <f>IF(OR($C57="",$B$2="",$D$2=0),0,IF(BB$3&lt;0,0,N(INDEX('CURVA PREVISION'!$A$1:$KZ$3000,$C57,11+3*MIN(BB$3,$D$2-1)))))</f>
        <v/>
      </c>
      <c r="BC57" s="130">
        <f>IF(OR($C57="",$B$2="",$D$2=0),0,IF(BC$3&lt;0,0,N(INDEX('CURVA PREVISION'!$A$1:$KZ$3000,$C57,11+3*MIN(BC$3,$D$2-1)))))</f>
        <v/>
      </c>
      <c r="BD57" s="130">
        <f>IF(OR($C57="",$B$2="",$D$2=0),0,IF(BD$3&lt;0,0,N(INDEX('CURVA PREVISION'!$A$1:$KZ$3000,$C57,11+3*MIN(BD$3,$D$2-1)))))</f>
        <v/>
      </c>
      <c r="BE57" s="130">
        <f>IF(OR($C57="",$B$2="",$D$2=0),0,IF(BE$3&lt;0,0,N(INDEX('CURVA PREVISION'!$A$1:$KZ$3000,$C57,11+3*MIN(BE$3,$D$2-1)))))</f>
        <v/>
      </c>
      <c r="BF57" s="130">
        <f>IF(OR($C57="",$B$2="",$D$2=0),0,IF(BF$3&lt;0,0,N(INDEX('CURVA PREVISION'!$A$1:$KZ$3000,$C57,11+3*MIN(BF$3,$D$2-1)))))</f>
        <v/>
      </c>
      <c r="BG57" s="130">
        <f>IF(OR($C57="",$B$2="",$D$2=0),0,IF(BG$3&lt;0,0,N(INDEX('CURVA PREVISION'!$A$1:$KZ$3000,$C57,11+3*MIN(BG$3,$D$2-1)))))</f>
        <v/>
      </c>
      <c r="BH57" s="130">
        <f>IF(OR($C57="",$B$2="",$D$2=0),0,IF(BH$3&lt;0,0,N(INDEX('CURVA PREVISION'!$A$1:$KZ$3000,$C57,11+3*MIN(BH$3,$D$2-1)))))</f>
        <v/>
      </c>
      <c r="BI57" s="130">
        <f>IF(OR($C57="",$B$2="",$D$2=0),0,IF(BI$3&lt;0,0,N(INDEX('CURVA PREVISION'!$A$1:$KZ$3000,$C57,11+3*MIN(BI$3,$D$2-1)))))</f>
        <v/>
      </c>
      <c r="BJ57" s="130">
        <f>IF(OR($C57="",$B$2="",$D$2=0),0,IF(BJ$3&lt;0,0,N(INDEX('CURVA PREVISION'!$A$1:$KZ$3000,$C57,11+3*MIN(BJ$3,$D$2-1)))))</f>
        <v/>
      </c>
      <c r="BK57" s="130">
        <f>IF(OR($C57="",$B$2="",$D$2=0),0,IF(BK$3&lt;0,0,N(INDEX('CURVA PREVISION'!$A$1:$KZ$3000,$C57,11+3*MIN(BK$3,$D$2-1)))))</f>
        <v/>
      </c>
      <c r="BL57" s="130">
        <f>IF(OR($C57="",$B$2="",$D$2=0),0,IF(BL$3&lt;0,0,N(INDEX('CURVA PREVISION'!$A$1:$KZ$3000,$C57,11+3*MIN(BL$3,$D$2-1)))))</f>
        <v/>
      </c>
      <c r="BM57" s="130">
        <f>IF(OR($C57="",$B$2="",$D$2=0),0,IF(BM$3&lt;0,0,N(INDEX('CURVA PREVISION'!$A$1:$KZ$3000,$C57,11+3*MIN(BM$3,$D$2-1)))))</f>
        <v/>
      </c>
      <c r="BN57" s="130">
        <f>IF(OR($C57="",$B$2="",$D$2=0),0,IF(BN$3&lt;0,0,N(INDEX('CURVA PREVISION'!$A$1:$KZ$3000,$C57,11+3*MIN(BN$3,$D$2-1)))))</f>
        <v/>
      </c>
      <c r="BO57" s="130">
        <f>IF(OR($C57="",$B$2="",$D$2=0),0,IF(BO$3&lt;0,0,N(INDEX('CURVA PREVISION'!$A$1:$KZ$3000,$C57,11+3*MIN(BO$3,$D$2-1)))))</f>
        <v/>
      </c>
      <c r="BP57" s="130">
        <f>IF(OR($C57="",$B$2="",$D$2=0),0,IF(BP$3&lt;0,0,N(INDEX('CURVA PREVISION'!$A$1:$KZ$3000,$C57,11+3*MIN(BP$3,$D$2-1)))))</f>
        <v/>
      </c>
      <c r="BQ57" s="130">
        <f>IF(OR($C57="",$B$2="",$D$2=0),0,IF(BQ$3&lt;0,0,N(INDEX('CURVA PREVISION'!$A$1:$KZ$3000,$C57,11+3*MIN(BQ$3,$D$2-1)))))</f>
        <v/>
      </c>
      <c r="BR57" s="130">
        <f>IF(OR($C57="",$B$2="",$D$2=0),0,IF(BR$3&lt;0,0,N(INDEX('CURVA PREVISION'!$A$1:$KZ$3000,$C57,11+3*MIN(BR$3,$D$2-1)))))</f>
        <v/>
      </c>
      <c r="BS57" s="130">
        <f>IF(OR($C57="",$B$2="",$D$2=0),0,IF(BS$3&lt;0,0,N(INDEX('CURVA PREVISION'!$A$1:$KZ$3000,$C57,11+3*MIN(BS$3,$D$2-1)))))</f>
        <v/>
      </c>
      <c r="BT57" s="130">
        <f>IF(OR($C57="",$B$2="",$D$2=0),0,IF(BT$3&lt;0,0,N(INDEX('CURVA PREVISION'!$A$1:$KZ$3000,$C57,11+3*MIN(BT$3,$D$2-1)))))</f>
        <v/>
      </c>
      <c r="BU57" s="130">
        <f>IF(OR($C57="",$B$2="",$D$2=0),0,IF(BU$3&lt;0,0,N(INDEX('CURVA PREVISION'!$A$1:$KZ$3000,$C57,11+3*MIN(BU$3,$D$2-1)))))</f>
        <v/>
      </c>
      <c r="BV57" s="130">
        <f>IF(OR($C57="",$B$2="",$D$2=0),0,IF(BV$3&lt;0,0,N(INDEX('CURVA PREVISION'!$A$1:$KZ$3000,$C57,11+3*MIN(BV$3,$D$2-1)))))</f>
        <v/>
      </c>
      <c r="BW57" s="130">
        <f>IF(OR($C57="",$B$2="",$D$2=0),0,IF(BW$3&lt;0,0,N(INDEX('CURVA PREVISION'!$A$1:$KZ$3000,$C57,11+3*MIN(BW$3,$D$2-1)))))</f>
        <v/>
      </c>
    </row>
    <row r="58">
      <c r="A58" s="61">
        <f>IF('VALOR POR PL'!Q22="",'VALOR POR PL'!C22,'VALOR POR PL'!Q22)</f>
        <v/>
      </c>
      <c r="B58" s="51">
        <f>B16</f>
        <v/>
      </c>
      <c r="C58" s="70">
        <f>IFERROR(MATCH(A58,'CURVA PREVISION'!$B$1:$B$3000,0),"")</f>
        <v/>
      </c>
      <c r="D58" s="130">
        <f>IF(OR($C58="",$B$2="",$D$2=0),0,IF(D$3&lt;0,0,N(INDEX('CURVA PREVISION'!$A$1:$KZ$3000,$C58,11+3*MIN(D$3,$D$2-1)))))</f>
        <v/>
      </c>
      <c r="E58" s="130">
        <f>IF(OR($C58="",$B$2="",$D$2=0),0,IF(E$3&lt;0,0,N(INDEX('CURVA PREVISION'!$A$1:$KZ$3000,$C58,11+3*MIN(E$3,$D$2-1)))))</f>
        <v/>
      </c>
      <c r="F58" s="130">
        <f>IF(OR($C58="",$B$2="",$D$2=0),0,IF(F$3&lt;0,0,N(INDEX('CURVA PREVISION'!$A$1:$KZ$3000,$C58,11+3*MIN(F$3,$D$2-1)))))</f>
        <v/>
      </c>
      <c r="G58" s="130">
        <f>IF(OR($C58="",$B$2="",$D$2=0),0,IF(G$3&lt;0,0,N(INDEX('CURVA PREVISION'!$A$1:$KZ$3000,$C58,11+3*MIN(G$3,$D$2-1)))))</f>
        <v/>
      </c>
      <c r="H58" s="130">
        <f>IF(OR($C58="",$B$2="",$D$2=0),0,IF(H$3&lt;0,0,N(INDEX('CURVA PREVISION'!$A$1:$KZ$3000,$C58,11+3*MIN(H$3,$D$2-1)))))</f>
        <v/>
      </c>
      <c r="I58" s="130">
        <f>IF(OR($C58="",$B$2="",$D$2=0),0,IF(I$3&lt;0,0,N(INDEX('CURVA PREVISION'!$A$1:$KZ$3000,$C58,11+3*MIN(I$3,$D$2-1)))))</f>
        <v/>
      </c>
      <c r="J58" s="130">
        <f>IF(OR($C58="",$B$2="",$D$2=0),0,IF(J$3&lt;0,0,N(INDEX('CURVA PREVISION'!$A$1:$KZ$3000,$C58,11+3*MIN(J$3,$D$2-1)))))</f>
        <v/>
      </c>
      <c r="K58" s="130">
        <f>IF(OR($C58="",$B$2="",$D$2=0),0,IF(K$3&lt;0,0,N(INDEX('CURVA PREVISION'!$A$1:$KZ$3000,$C58,11+3*MIN(K$3,$D$2-1)))))</f>
        <v/>
      </c>
      <c r="L58" s="130">
        <f>IF(OR($C58="",$B$2="",$D$2=0),0,IF(L$3&lt;0,0,N(INDEX('CURVA PREVISION'!$A$1:$KZ$3000,$C58,11+3*MIN(L$3,$D$2-1)))))</f>
        <v/>
      </c>
      <c r="M58" s="130">
        <f>IF(OR($C58="",$B$2="",$D$2=0),0,IF(M$3&lt;0,0,N(INDEX('CURVA PREVISION'!$A$1:$KZ$3000,$C58,11+3*MIN(M$3,$D$2-1)))))</f>
        <v/>
      </c>
      <c r="N58" s="130">
        <f>IF(OR($C58="",$B$2="",$D$2=0),0,IF(N$3&lt;0,0,N(INDEX('CURVA PREVISION'!$A$1:$KZ$3000,$C58,11+3*MIN(N$3,$D$2-1)))))</f>
        <v/>
      </c>
      <c r="O58" s="130">
        <f>IF(OR($C58="",$B$2="",$D$2=0),0,IF(O$3&lt;0,0,N(INDEX('CURVA PREVISION'!$A$1:$KZ$3000,$C58,11+3*MIN(O$3,$D$2-1)))))</f>
        <v/>
      </c>
      <c r="P58" s="130">
        <f>IF(OR($C58="",$B$2="",$D$2=0),0,IF(P$3&lt;0,0,N(INDEX('CURVA PREVISION'!$A$1:$KZ$3000,$C58,11+3*MIN(P$3,$D$2-1)))))</f>
        <v/>
      </c>
      <c r="Q58" s="130">
        <f>IF(OR($C58="",$B$2="",$D$2=0),0,IF(Q$3&lt;0,0,N(INDEX('CURVA PREVISION'!$A$1:$KZ$3000,$C58,11+3*MIN(Q$3,$D$2-1)))))</f>
        <v/>
      </c>
      <c r="R58" s="130">
        <f>IF(OR($C58="",$B$2="",$D$2=0),0,IF(R$3&lt;0,0,N(INDEX('CURVA PREVISION'!$A$1:$KZ$3000,$C58,11+3*MIN(R$3,$D$2-1)))))</f>
        <v/>
      </c>
      <c r="S58" s="130">
        <f>IF(OR($C58="",$B$2="",$D$2=0),0,IF(S$3&lt;0,0,N(INDEX('CURVA PREVISION'!$A$1:$KZ$3000,$C58,11+3*MIN(S$3,$D$2-1)))))</f>
        <v/>
      </c>
      <c r="T58" s="130">
        <f>IF(OR($C58="",$B$2="",$D$2=0),0,IF(T$3&lt;0,0,N(INDEX('CURVA PREVISION'!$A$1:$KZ$3000,$C58,11+3*MIN(T$3,$D$2-1)))))</f>
        <v/>
      </c>
      <c r="U58" s="130">
        <f>IF(OR($C58="",$B$2="",$D$2=0),0,IF(U$3&lt;0,0,N(INDEX('CURVA PREVISION'!$A$1:$KZ$3000,$C58,11+3*MIN(U$3,$D$2-1)))))</f>
        <v/>
      </c>
      <c r="V58" s="130">
        <f>IF(OR($C58="",$B$2="",$D$2=0),0,IF(V$3&lt;0,0,N(INDEX('CURVA PREVISION'!$A$1:$KZ$3000,$C58,11+3*MIN(V$3,$D$2-1)))))</f>
        <v/>
      </c>
      <c r="W58" s="130">
        <f>IF(OR($C58="",$B$2="",$D$2=0),0,IF(W$3&lt;0,0,N(INDEX('CURVA PREVISION'!$A$1:$KZ$3000,$C58,11+3*MIN(W$3,$D$2-1)))))</f>
        <v/>
      </c>
      <c r="X58" s="130">
        <f>IF(OR($C58="",$B$2="",$D$2=0),0,IF(X$3&lt;0,0,N(INDEX('CURVA PREVISION'!$A$1:$KZ$3000,$C58,11+3*MIN(X$3,$D$2-1)))))</f>
        <v/>
      </c>
      <c r="Y58" s="130">
        <f>IF(OR($C58="",$B$2="",$D$2=0),0,IF(Y$3&lt;0,0,N(INDEX('CURVA PREVISION'!$A$1:$KZ$3000,$C58,11+3*MIN(Y$3,$D$2-1)))))</f>
        <v/>
      </c>
      <c r="Z58" s="130">
        <f>IF(OR($C58="",$B$2="",$D$2=0),0,IF(Z$3&lt;0,0,N(INDEX('CURVA PREVISION'!$A$1:$KZ$3000,$C58,11+3*MIN(Z$3,$D$2-1)))))</f>
        <v/>
      </c>
      <c r="AA58" s="130">
        <f>IF(OR($C58="",$B$2="",$D$2=0),0,IF(AA$3&lt;0,0,N(INDEX('CURVA PREVISION'!$A$1:$KZ$3000,$C58,11+3*MIN(AA$3,$D$2-1)))))</f>
        <v/>
      </c>
      <c r="AB58" s="130">
        <f>IF(OR($C58="",$B$2="",$D$2=0),0,IF(AB$3&lt;0,0,N(INDEX('CURVA PREVISION'!$A$1:$KZ$3000,$C58,11+3*MIN(AB$3,$D$2-1)))))</f>
        <v/>
      </c>
      <c r="AC58" s="130">
        <f>IF(OR($C58="",$B$2="",$D$2=0),0,IF(AC$3&lt;0,0,N(INDEX('CURVA PREVISION'!$A$1:$KZ$3000,$C58,11+3*MIN(AC$3,$D$2-1)))))</f>
        <v/>
      </c>
      <c r="AD58" s="130">
        <f>IF(OR($C58="",$B$2="",$D$2=0),0,IF(AD$3&lt;0,0,N(INDEX('CURVA PREVISION'!$A$1:$KZ$3000,$C58,11+3*MIN(AD$3,$D$2-1)))))</f>
        <v/>
      </c>
      <c r="AE58" s="130">
        <f>IF(OR($C58="",$B$2="",$D$2=0),0,IF(AE$3&lt;0,0,N(INDEX('CURVA PREVISION'!$A$1:$KZ$3000,$C58,11+3*MIN(AE$3,$D$2-1)))))</f>
        <v/>
      </c>
      <c r="AF58" s="130">
        <f>IF(OR($C58="",$B$2="",$D$2=0),0,IF(AF$3&lt;0,0,N(INDEX('CURVA PREVISION'!$A$1:$KZ$3000,$C58,11+3*MIN(AF$3,$D$2-1)))))</f>
        <v/>
      </c>
      <c r="AG58" s="130">
        <f>IF(OR($C58="",$B$2="",$D$2=0),0,IF(AG$3&lt;0,0,N(INDEX('CURVA PREVISION'!$A$1:$KZ$3000,$C58,11+3*MIN(AG$3,$D$2-1)))))</f>
        <v/>
      </c>
      <c r="AH58" s="130">
        <f>IF(OR($C58="",$B$2="",$D$2=0),0,IF(AH$3&lt;0,0,N(INDEX('CURVA PREVISION'!$A$1:$KZ$3000,$C58,11+3*MIN(AH$3,$D$2-1)))))</f>
        <v/>
      </c>
      <c r="AI58" s="130">
        <f>IF(OR($C58="",$B$2="",$D$2=0),0,IF(AI$3&lt;0,0,N(INDEX('CURVA PREVISION'!$A$1:$KZ$3000,$C58,11+3*MIN(AI$3,$D$2-1)))))</f>
        <v/>
      </c>
      <c r="AJ58" s="130">
        <f>IF(OR($C58="",$B$2="",$D$2=0),0,IF(AJ$3&lt;0,0,N(INDEX('CURVA PREVISION'!$A$1:$KZ$3000,$C58,11+3*MIN(AJ$3,$D$2-1)))))</f>
        <v/>
      </c>
      <c r="AK58" s="130">
        <f>IF(OR($C58="",$B$2="",$D$2=0),0,IF(AK$3&lt;0,0,N(INDEX('CURVA PREVISION'!$A$1:$KZ$3000,$C58,11+3*MIN(AK$3,$D$2-1)))))</f>
        <v/>
      </c>
      <c r="AL58" s="130">
        <f>IF(OR($C58="",$B$2="",$D$2=0),0,IF(AL$3&lt;0,0,N(INDEX('CURVA PREVISION'!$A$1:$KZ$3000,$C58,11+3*MIN(AL$3,$D$2-1)))))</f>
        <v/>
      </c>
      <c r="AM58" s="130">
        <f>IF(OR($C58="",$B$2="",$D$2=0),0,IF(AM$3&lt;0,0,N(INDEX('CURVA PREVISION'!$A$1:$KZ$3000,$C58,11+3*MIN(AM$3,$D$2-1)))))</f>
        <v/>
      </c>
      <c r="AN58" s="130">
        <f>IF(OR($C58="",$B$2="",$D$2=0),0,IF(AN$3&lt;0,0,N(INDEX('CURVA PREVISION'!$A$1:$KZ$3000,$C58,11+3*MIN(AN$3,$D$2-1)))))</f>
        <v/>
      </c>
      <c r="AO58" s="130">
        <f>IF(OR($C58="",$B$2="",$D$2=0),0,IF(AO$3&lt;0,0,N(INDEX('CURVA PREVISION'!$A$1:$KZ$3000,$C58,11+3*MIN(AO$3,$D$2-1)))))</f>
        <v/>
      </c>
      <c r="AP58" s="130">
        <f>IF(OR($C58="",$B$2="",$D$2=0),0,IF(AP$3&lt;0,0,N(INDEX('CURVA PREVISION'!$A$1:$KZ$3000,$C58,11+3*MIN(AP$3,$D$2-1)))))</f>
        <v/>
      </c>
      <c r="AQ58" s="130">
        <f>IF(OR($C58="",$B$2="",$D$2=0),0,IF(AQ$3&lt;0,0,N(INDEX('CURVA PREVISION'!$A$1:$KZ$3000,$C58,11+3*MIN(AQ$3,$D$2-1)))))</f>
        <v/>
      </c>
      <c r="AR58" s="130">
        <f>IF(OR($C58="",$B$2="",$D$2=0),0,IF(AR$3&lt;0,0,N(INDEX('CURVA PREVISION'!$A$1:$KZ$3000,$C58,11+3*MIN(AR$3,$D$2-1)))))</f>
        <v/>
      </c>
      <c r="AS58" s="130">
        <f>IF(OR($C58="",$B$2="",$D$2=0),0,IF(AS$3&lt;0,0,N(INDEX('CURVA PREVISION'!$A$1:$KZ$3000,$C58,11+3*MIN(AS$3,$D$2-1)))))</f>
        <v/>
      </c>
      <c r="AT58" s="130">
        <f>IF(OR($C58="",$B$2="",$D$2=0),0,IF(AT$3&lt;0,0,N(INDEX('CURVA PREVISION'!$A$1:$KZ$3000,$C58,11+3*MIN(AT$3,$D$2-1)))))</f>
        <v/>
      </c>
      <c r="AU58" s="130">
        <f>IF(OR($C58="",$B$2="",$D$2=0),0,IF(AU$3&lt;0,0,N(INDEX('CURVA PREVISION'!$A$1:$KZ$3000,$C58,11+3*MIN(AU$3,$D$2-1)))))</f>
        <v/>
      </c>
      <c r="AV58" s="130">
        <f>IF(OR($C58="",$B$2="",$D$2=0),0,IF(AV$3&lt;0,0,N(INDEX('CURVA PREVISION'!$A$1:$KZ$3000,$C58,11+3*MIN(AV$3,$D$2-1)))))</f>
        <v/>
      </c>
      <c r="AW58" s="130">
        <f>IF(OR($C58="",$B$2="",$D$2=0),0,IF(AW$3&lt;0,0,N(INDEX('CURVA PREVISION'!$A$1:$KZ$3000,$C58,11+3*MIN(AW$3,$D$2-1)))))</f>
        <v/>
      </c>
      <c r="AX58" s="130">
        <f>IF(OR($C58="",$B$2="",$D$2=0),0,IF(AX$3&lt;0,0,N(INDEX('CURVA PREVISION'!$A$1:$KZ$3000,$C58,11+3*MIN(AX$3,$D$2-1)))))</f>
        <v/>
      </c>
      <c r="AY58" s="130">
        <f>IF(OR($C58="",$B$2="",$D$2=0),0,IF(AY$3&lt;0,0,N(INDEX('CURVA PREVISION'!$A$1:$KZ$3000,$C58,11+3*MIN(AY$3,$D$2-1)))))</f>
        <v/>
      </c>
      <c r="AZ58" s="130">
        <f>IF(OR($C58="",$B$2="",$D$2=0),0,IF(AZ$3&lt;0,0,N(INDEX('CURVA PREVISION'!$A$1:$KZ$3000,$C58,11+3*MIN(AZ$3,$D$2-1)))))</f>
        <v/>
      </c>
      <c r="BA58" s="130">
        <f>IF(OR($C58="",$B$2="",$D$2=0),0,IF(BA$3&lt;0,0,N(INDEX('CURVA PREVISION'!$A$1:$KZ$3000,$C58,11+3*MIN(BA$3,$D$2-1)))))</f>
        <v/>
      </c>
      <c r="BB58" s="130">
        <f>IF(OR($C58="",$B$2="",$D$2=0),0,IF(BB$3&lt;0,0,N(INDEX('CURVA PREVISION'!$A$1:$KZ$3000,$C58,11+3*MIN(BB$3,$D$2-1)))))</f>
        <v/>
      </c>
      <c r="BC58" s="130">
        <f>IF(OR($C58="",$B$2="",$D$2=0),0,IF(BC$3&lt;0,0,N(INDEX('CURVA PREVISION'!$A$1:$KZ$3000,$C58,11+3*MIN(BC$3,$D$2-1)))))</f>
        <v/>
      </c>
      <c r="BD58" s="130">
        <f>IF(OR($C58="",$B$2="",$D$2=0),0,IF(BD$3&lt;0,0,N(INDEX('CURVA PREVISION'!$A$1:$KZ$3000,$C58,11+3*MIN(BD$3,$D$2-1)))))</f>
        <v/>
      </c>
      <c r="BE58" s="130">
        <f>IF(OR($C58="",$B$2="",$D$2=0),0,IF(BE$3&lt;0,0,N(INDEX('CURVA PREVISION'!$A$1:$KZ$3000,$C58,11+3*MIN(BE$3,$D$2-1)))))</f>
        <v/>
      </c>
      <c r="BF58" s="130">
        <f>IF(OR($C58="",$B$2="",$D$2=0),0,IF(BF$3&lt;0,0,N(INDEX('CURVA PREVISION'!$A$1:$KZ$3000,$C58,11+3*MIN(BF$3,$D$2-1)))))</f>
        <v/>
      </c>
      <c r="BG58" s="130">
        <f>IF(OR($C58="",$B$2="",$D$2=0),0,IF(BG$3&lt;0,0,N(INDEX('CURVA PREVISION'!$A$1:$KZ$3000,$C58,11+3*MIN(BG$3,$D$2-1)))))</f>
        <v/>
      </c>
      <c r="BH58" s="130">
        <f>IF(OR($C58="",$B$2="",$D$2=0),0,IF(BH$3&lt;0,0,N(INDEX('CURVA PREVISION'!$A$1:$KZ$3000,$C58,11+3*MIN(BH$3,$D$2-1)))))</f>
        <v/>
      </c>
      <c r="BI58" s="130">
        <f>IF(OR($C58="",$B$2="",$D$2=0),0,IF(BI$3&lt;0,0,N(INDEX('CURVA PREVISION'!$A$1:$KZ$3000,$C58,11+3*MIN(BI$3,$D$2-1)))))</f>
        <v/>
      </c>
      <c r="BJ58" s="130">
        <f>IF(OR($C58="",$B$2="",$D$2=0),0,IF(BJ$3&lt;0,0,N(INDEX('CURVA PREVISION'!$A$1:$KZ$3000,$C58,11+3*MIN(BJ$3,$D$2-1)))))</f>
        <v/>
      </c>
      <c r="BK58" s="130">
        <f>IF(OR($C58="",$B$2="",$D$2=0),0,IF(BK$3&lt;0,0,N(INDEX('CURVA PREVISION'!$A$1:$KZ$3000,$C58,11+3*MIN(BK$3,$D$2-1)))))</f>
        <v/>
      </c>
      <c r="BL58" s="130">
        <f>IF(OR($C58="",$B$2="",$D$2=0),0,IF(BL$3&lt;0,0,N(INDEX('CURVA PREVISION'!$A$1:$KZ$3000,$C58,11+3*MIN(BL$3,$D$2-1)))))</f>
        <v/>
      </c>
      <c r="BM58" s="130">
        <f>IF(OR($C58="",$B$2="",$D$2=0),0,IF(BM$3&lt;0,0,N(INDEX('CURVA PREVISION'!$A$1:$KZ$3000,$C58,11+3*MIN(BM$3,$D$2-1)))))</f>
        <v/>
      </c>
      <c r="BN58" s="130">
        <f>IF(OR($C58="",$B$2="",$D$2=0),0,IF(BN$3&lt;0,0,N(INDEX('CURVA PREVISION'!$A$1:$KZ$3000,$C58,11+3*MIN(BN$3,$D$2-1)))))</f>
        <v/>
      </c>
      <c r="BO58" s="130">
        <f>IF(OR($C58="",$B$2="",$D$2=0),0,IF(BO$3&lt;0,0,N(INDEX('CURVA PREVISION'!$A$1:$KZ$3000,$C58,11+3*MIN(BO$3,$D$2-1)))))</f>
        <v/>
      </c>
      <c r="BP58" s="130">
        <f>IF(OR($C58="",$B$2="",$D$2=0),0,IF(BP$3&lt;0,0,N(INDEX('CURVA PREVISION'!$A$1:$KZ$3000,$C58,11+3*MIN(BP$3,$D$2-1)))))</f>
        <v/>
      </c>
      <c r="BQ58" s="130">
        <f>IF(OR($C58="",$B$2="",$D$2=0),0,IF(BQ$3&lt;0,0,N(INDEX('CURVA PREVISION'!$A$1:$KZ$3000,$C58,11+3*MIN(BQ$3,$D$2-1)))))</f>
        <v/>
      </c>
      <c r="BR58" s="130">
        <f>IF(OR($C58="",$B$2="",$D$2=0),0,IF(BR$3&lt;0,0,N(INDEX('CURVA PREVISION'!$A$1:$KZ$3000,$C58,11+3*MIN(BR$3,$D$2-1)))))</f>
        <v/>
      </c>
      <c r="BS58" s="130">
        <f>IF(OR($C58="",$B$2="",$D$2=0),0,IF(BS$3&lt;0,0,N(INDEX('CURVA PREVISION'!$A$1:$KZ$3000,$C58,11+3*MIN(BS$3,$D$2-1)))))</f>
        <v/>
      </c>
      <c r="BT58" s="130">
        <f>IF(OR($C58="",$B$2="",$D$2=0),0,IF(BT$3&lt;0,0,N(INDEX('CURVA PREVISION'!$A$1:$KZ$3000,$C58,11+3*MIN(BT$3,$D$2-1)))))</f>
        <v/>
      </c>
      <c r="BU58" s="130">
        <f>IF(OR($C58="",$B$2="",$D$2=0),0,IF(BU$3&lt;0,0,N(INDEX('CURVA PREVISION'!$A$1:$KZ$3000,$C58,11+3*MIN(BU$3,$D$2-1)))))</f>
        <v/>
      </c>
      <c r="BV58" s="130">
        <f>IF(OR($C58="",$B$2="",$D$2=0),0,IF(BV$3&lt;0,0,N(INDEX('CURVA PREVISION'!$A$1:$KZ$3000,$C58,11+3*MIN(BV$3,$D$2-1)))))</f>
        <v/>
      </c>
      <c r="BW58" s="130">
        <f>IF(OR($C58="",$B$2="",$D$2=0),0,IF(BW$3&lt;0,0,N(INDEX('CURVA PREVISION'!$A$1:$KZ$3000,$C58,11+3*MIN(BW$3,$D$2-1)))))</f>
        <v/>
      </c>
    </row>
    <row r="59">
      <c r="A59" s="61">
        <f>IF('VALOR POR PL'!Q23="",'VALOR POR PL'!C23,'VALOR POR PL'!Q23)</f>
        <v/>
      </c>
      <c r="B59" s="51">
        <f>B17</f>
        <v/>
      </c>
      <c r="C59" s="70">
        <f>IFERROR(MATCH(A59,'CURVA PREVISION'!$B$1:$B$3000,0),"")</f>
        <v/>
      </c>
      <c r="D59" s="130">
        <f>IF(OR($C59="",$B$2="",$D$2=0),0,IF(D$3&lt;0,0,N(INDEX('CURVA PREVISION'!$A$1:$KZ$3000,$C59,11+3*MIN(D$3,$D$2-1)))))</f>
        <v/>
      </c>
      <c r="E59" s="130">
        <f>IF(OR($C59="",$B$2="",$D$2=0),0,IF(E$3&lt;0,0,N(INDEX('CURVA PREVISION'!$A$1:$KZ$3000,$C59,11+3*MIN(E$3,$D$2-1)))))</f>
        <v/>
      </c>
      <c r="F59" s="130">
        <f>IF(OR($C59="",$B$2="",$D$2=0),0,IF(F$3&lt;0,0,N(INDEX('CURVA PREVISION'!$A$1:$KZ$3000,$C59,11+3*MIN(F$3,$D$2-1)))))</f>
        <v/>
      </c>
      <c r="G59" s="130">
        <f>IF(OR($C59="",$B$2="",$D$2=0),0,IF(G$3&lt;0,0,N(INDEX('CURVA PREVISION'!$A$1:$KZ$3000,$C59,11+3*MIN(G$3,$D$2-1)))))</f>
        <v/>
      </c>
      <c r="H59" s="130">
        <f>IF(OR($C59="",$B$2="",$D$2=0),0,IF(H$3&lt;0,0,N(INDEX('CURVA PREVISION'!$A$1:$KZ$3000,$C59,11+3*MIN(H$3,$D$2-1)))))</f>
        <v/>
      </c>
      <c r="I59" s="130">
        <f>IF(OR($C59="",$B$2="",$D$2=0),0,IF(I$3&lt;0,0,N(INDEX('CURVA PREVISION'!$A$1:$KZ$3000,$C59,11+3*MIN(I$3,$D$2-1)))))</f>
        <v/>
      </c>
      <c r="J59" s="130">
        <f>IF(OR($C59="",$B$2="",$D$2=0),0,IF(J$3&lt;0,0,N(INDEX('CURVA PREVISION'!$A$1:$KZ$3000,$C59,11+3*MIN(J$3,$D$2-1)))))</f>
        <v/>
      </c>
      <c r="K59" s="130">
        <f>IF(OR($C59="",$B$2="",$D$2=0),0,IF(K$3&lt;0,0,N(INDEX('CURVA PREVISION'!$A$1:$KZ$3000,$C59,11+3*MIN(K$3,$D$2-1)))))</f>
        <v/>
      </c>
      <c r="L59" s="130">
        <f>IF(OR($C59="",$B$2="",$D$2=0),0,IF(L$3&lt;0,0,N(INDEX('CURVA PREVISION'!$A$1:$KZ$3000,$C59,11+3*MIN(L$3,$D$2-1)))))</f>
        <v/>
      </c>
      <c r="M59" s="130">
        <f>IF(OR($C59="",$B$2="",$D$2=0),0,IF(M$3&lt;0,0,N(INDEX('CURVA PREVISION'!$A$1:$KZ$3000,$C59,11+3*MIN(M$3,$D$2-1)))))</f>
        <v/>
      </c>
      <c r="N59" s="130">
        <f>IF(OR($C59="",$B$2="",$D$2=0),0,IF(N$3&lt;0,0,N(INDEX('CURVA PREVISION'!$A$1:$KZ$3000,$C59,11+3*MIN(N$3,$D$2-1)))))</f>
        <v/>
      </c>
      <c r="O59" s="130">
        <f>IF(OR($C59="",$B$2="",$D$2=0),0,IF(O$3&lt;0,0,N(INDEX('CURVA PREVISION'!$A$1:$KZ$3000,$C59,11+3*MIN(O$3,$D$2-1)))))</f>
        <v/>
      </c>
      <c r="P59" s="130">
        <f>IF(OR($C59="",$B$2="",$D$2=0),0,IF(P$3&lt;0,0,N(INDEX('CURVA PREVISION'!$A$1:$KZ$3000,$C59,11+3*MIN(P$3,$D$2-1)))))</f>
        <v/>
      </c>
      <c r="Q59" s="130">
        <f>IF(OR($C59="",$B$2="",$D$2=0),0,IF(Q$3&lt;0,0,N(INDEX('CURVA PREVISION'!$A$1:$KZ$3000,$C59,11+3*MIN(Q$3,$D$2-1)))))</f>
        <v/>
      </c>
      <c r="R59" s="130">
        <f>IF(OR($C59="",$B$2="",$D$2=0),0,IF(R$3&lt;0,0,N(INDEX('CURVA PREVISION'!$A$1:$KZ$3000,$C59,11+3*MIN(R$3,$D$2-1)))))</f>
        <v/>
      </c>
      <c r="S59" s="130">
        <f>IF(OR($C59="",$B$2="",$D$2=0),0,IF(S$3&lt;0,0,N(INDEX('CURVA PREVISION'!$A$1:$KZ$3000,$C59,11+3*MIN(S$3,$D$2-1)))))</f>
        <v/>
      </c>
      <c r="T59" s="130">
        <f>IF(OR($C59="",$B$2="",$D$2=0),0,IF(T$3&lt;0,0,N(INDEX('CURVA PREVISION'!$A$1:$KZ$3000,$C59,11+3*MIN(T$3,$D$2-1)))))</f>
        <v/>
      </c>
      <c r="U59" s="130">
        <f>IF(OR($C59="",$B$2="",$D$2=0),0,IF(U$3&lt;0,0,N(INDEX('CURVA PREVISION'!$A$1:$KZ$3000,$C59,11+3*MIN(U$3,$D$2-1)))))</f>
        <v/>
      </c>
      <c r="V59" s="130">
        <f>IF(OR($C59="",$B$2="",$D$2=0),0,IF(V$3&lt;0,0,N(INDEX('CURVA PREVISION'!$A$1:$KZ$3000,$C59,11+3*MIN(V$3,$D$2-1)))))</f>
        <v/>
      </c>
      <c r="W59" s="130">
        <f>IF(OR($C59="",$B$2="",$D$2=0),0,IF(W$3&lt;0,0,N(INDEX('CURVA PREVISION'!$A$1:$KZ$3000,$C59,11+3*MIN(W$3,$D$2-1)))))</f>
        <v/>
      </c>
      <c r="X59" s="130">
        <f>IF(OR($C59="",$B$2="",$D$2=0),0,IF(X$3&lt;0,0,N(INDEX('CURVA PREVISION'!$A$1:$KZ$3000,$C59,11+3*MIN(X$3,$D$2-1)))))</f>
        <v/>
      </c>
      <c r="Y59" s="130">
        <f>IF(OR($C59="",$B$2="",$D$2=0),0,IF(Y$3&lt;0,0,N(INDEX('CURVA PREVISION'!$A$1:$KZ$3000,$C59,11+3*MIN(Y$3,$D$2-1)))))</f>
        <v/>
      </c>
      <c r="Z59" s="130">
        <f>IF(OR($C59="",$B$2="",$D$2=0),0,IF(Z$3&lt;0,0,N(INDEX('CURVA PREVISION'!$A$1:$KZ$3000,$C59,11+3*MIN(Z$3,$D$2-1)))))</f>
        <v/>
      </c>
      <c r="AA59" s="130">
        <f>IF(OR($C59="",$B$2="",$D$2=0),0,IF(AA$3&lt;0,0,N(INDEX('CURVA PREVISION'!$A$1:$KZ$3000,$C59,11+3*MIN(AA$3,$D$2-1)))))</f>
        <v/>
      </c>
      <c r="AB59" s="130">
        <f>IF(OR($C59="",$B$2="",$D$2=0),0,IF(AB$3&lt;0,0,N(INDEX('CURVA PREVISION'!$A$1:$KZ$3000,$C59,11+3*MIN(AB$3,$D$2-1)))))</f>
        <v/>
      </c>
      <c r="AC59" s="130">
        <f>IF(OR($C59="",$B$2="",$D$2=0),0,IF(AC$3&lt;0,0,N(INDEX('CURVA PREVISION'!$A$1:$KZ$3000,$C59,11+3*MIN(AC$3,$D$2-1)))))</f>
        <v/>
      </c>
      <c r="AD59" s="130">
        <f>IF(OR($C59="",$B$2="",$D$2=0),0,IF(AD$3&lt;0,0,N(INDEX('CURVA PREVISION'!$A$1:$KZ$3000,$C59,11+3*MIN(AD$3,$D$2-1)))))</f>
        <v/>
      </c>
      <c r="AE59" s="130">
        <f>IF(OR($C59="",$B$2="",$D$2=0),0,IF(AE$3&lt;0,0,N(INDEX('CURVA PREVISION'!$A$1:$KZ$3000,$C59,11+3*MIN(AE$3,$D$2-1)))))</f>
        <v/>
      </c>
      <c r="AF59" s="130">
        <f>IF(OR($C59="",$B$2="",$D$2=0),0,IF(AF$3&lt;0,0,N(INDEX('CURVA PREVISION'!$A$1:$KZ$3000,$C59,11+3*MIN(AF$3,$D$2-1)))))</f>
        <v/>
      </c>
      <c r="AG59" s="130">
        <f>IF(OR($C59="",$B$2="",$D$2=0),0,IF(AG$3&lt;0,0,N(INDEX('CURVA PREVISION'!$A$1:$KZ$3000,$C59,11+3*MIN(AG$3,$D$2-1)))))</f>
        <v/>
      </c>
      <c r="AH59" s="130">
        <f>IF(OR($C59="",$B$2="",$D$2=0),0,IF(AH$3&lt;0,0,N(INDEX('CURVA PREVISION'!$A$1:$KZ$3000,$C59,11+3*MIN(AH$3,$D$2-1)))))</f>
        <v/>
      </c>
      <c r="AI59" s="130">
        <f>IF(OR($C59="",$B$2="",$D$2=0),0,IF(AI$3&lt;0,0,N(INDEX('CURVA PREVISION'!$A$1:$KZ$3000,$C59,11+3*MIN(AI$3,$D$2-1)))))</f>
        <v/>
      </c>
      <c r="AJ59" s="130">
        <f>IF(OR($C59="",$B$2="",$D$2=0),0,IF(AJ$3&lt;0,0,N(INDEX('CURVA PREVISION'!$A$1:$KZ$3000,$C59,11+3*MIN(AJ$3,$D$2-1)))))</f>
        <v/>
      </c>
      <c r="AK59" s="130">
        <f>IF(OR($C59="",$B$2="",$D$2=0),0,IF(AK$3&lt;0,0,N(INDEX('CURVA PREVISION'!$A$1:$KZ$3000,$C59,11+3*MIN(AK$3,$D$2-1)))))</f>
        <v/>
      </c>
      <c r="AL59" s="130">
        <f>IF(OR($C59="",$B$2="",$D$2=0),0,IF(AL$3&lt;0,0,N(INDEX('CURVA PREVISION'!$A$1:$KZ$3000,$C59,11+3*MIN(AL$3,$D$2-1)))))</f>
        <v/>
      </c>
      <c r="AM59" s="130">
        <f>IF(OR($C59="",$B$2="",$D$2=0),0,IF(AM$3&lt;0,0,N(INDEX('CURVA PREVISION'!$A$1:$KZ$3000,$C59,11+3*MIN(AM$3,$D$2-1)))))</f>
        <v/>
      </c>
      <c r="AN59" s="130">
        <f>IF(OR($C59="",$B$2="",$D$2=0),0,IF(AN$3&lt;0,0,N(INDEX('CURVA PREVISION'!$A$1:$KZ$3000,$C59,11+3*MIN(AN$3,$D$2-1)))))</f>
        <v/>
      </c>
      <c r="AO59" s="130">
        <f>IF(OR($C59="",$B$2="",$D$2=0),0,IF(AO$3&lt;0,0,N(INDEX('CURVA PREVISION'!$A$1:$KZ$3000,$C59,11+3*MIN(AO$3,$D$2-1)))))</f>
        <v/>
      </c>
      <c r="AP59" s="130">
        <f>IF(OR($C59="",$B$2="",$D$2=0),0,IF(AP$3&lt;0,0,N(INDEX('CURVA PREVISION'!$A$1:$KZ$3000,$C59,11+3*MIN(AP$3,$D$2-1)))))</f>
        <v/>
      </c>
      <c r="AQ59" s="130">
        <f>IF(OR($C59="",$B$2="",$D$2=0),0,IF(AQ$3&lt;0,0,N(INDEX('CURVA PREVISION'!$A$1:$KZ$3000,$C59,11+3*MIN(AQ$3,$D$2-1)))))</f>
        <v/>
      </c>
      <c r="AR59" s="130">
        <f>IF(OR($C59="",$B$2="",$D$2=0),0,IF(AR$3&lt;0,0,N(INDEX('CURVA PREVISION'!$A$1:$KZ$3000,$C59,11+3*MIN(AR$3,$D$2-1)))))</f>
        <v/>
      </c>
      <c r="AS59" s="130">
        <f>IF(OR($C59="",$B$2="",$D$2=0),0,IF(AS$3&lt;0,0,N(INDEX('CURVA PREVISION'!$A$1:$KZ$3000,$C59,11+3*MIN(AS$3,$D$2-1)))))</f>
        <v/>
      </c>
      <c r="AT59" s="130">
        <f>IF(OR($C59="",$B$2="",$D$2=0),0,IF(AT$3&lt;0,0,N(INDEX('CURVA PREVISION'!$A$1:$KZ$3000,$C59,11+3*MIN(AT$3,$D$2-1)))))</f>
        <v/>
      </c>
      <c r="AU59" s="130">
        <f>IF(OR($C59="",$B$2="",$D$2=0),0,IF(AU$3&lt;0,0,N(INDEX('CURVA PREVISION'!$A$1:$KZ$3000,$C59,11+3*MIN(AU$3,$D$2-1)))))</f>
        <v/>
      </c>
      <c r="AV59" s="130">
        <f>IF(OR($C59="",$B$2="",$D$2=0),0,IF(AV$3&lt;0,0,N(INDEX('CURVA PREVISION'!$A$1:$KZ$3000,$C59,11+3*MIN(AV$3,$D$2-1)))))</f>
        <v/>
      </c>
      <c r="AW59" s="130">
        <f>IF(OR($C59="",$B$2="",$D$2=0),0,IF(AW$3&lt;0,0,N(INDEX('CURVA PREVISION'!$A$1:$KZ$3000,$C59,11+3*MIN(AW$3,$D$2-1)))))</f>
        <v/>
      </c>
      <c r="AX59" s="130">
        <f>IF(OR($C59="",$B$2="",$D$2=0),0,IF(AX$3&lt;0,0,N(INDEX('CURVA PREVISION'!$A$1:$KZ$3000,$C59,11+3*MIN(AX$3,$D$2-1)))))</f>
        <v/>
      </c>
      <c r="AY59" s="130">
        <f>IF(OR($C59="",$B$2="",$D$2=0),0,IF(AY$3&lt;0,0,N(INDEX('CURVA PREVISION'!$A$1:$KZ$3000,$C59,11+3*MIN(AY$3,$D$2-1)))))</f>
        <v/>
      </c>
      <c r="AZ59" s="130">
        <f>IF(OR($C59="",$B$2="",$D$2=0),0,IF(AZ$3&lt;0,0,N(INDEX('CURVA PREVISION'!$A$1:$KZ$3000,$C59,11+3*MIN(AZ$3,$D$2-1)))))</f>
        <v/>
      </c>
      <c r="BA59" s="130">
        <f>IF(OR($C59="",$B$2="",$D$2=0),0,IF(BA$3&lt;0,0,N(INDEX('CURVA PREVISION'!$A$1:$KZ$3000,$C59,11+3*MIN(BA$3,$D$2-1)))))</f>
        <v/>
      </c>
      <c r="BB59" s="130">
        <f>IF(OR($C59="",$B$2="",$D$2=0),0,IF(BB$3&lt;0,0,N(INDEX('CURVA PREVISION'!$A$1:$KZ$3000,$C59,11+3*MIN(BB$3,$D$2-1)))))</f>
        <v/>
      </c>
      <c r="BC59" s="130">
        <f>IF(OR($C59="",$B$2="",$D$2=0),0,IF(BC$3&lt;0,0,N(INDEX('CURVA PREVISION'!$A$1:$KZ$3000,$C59,11+3*MIN(BC$3,$D$2-1)))))</f>
        <v/>
      </c>
      <c r="BD59" s="130">
        <f>IF(OR($C59="",$B$2="",$D$2=0),0,IF(BD$3&lt;0,0,N(INDEX('CURVA PREVISION'!$A$1:$KZ$3000,$C59,11+3*MIN(BD$3,$D$2-1)))))</f>
        <v/>
      </c>
      <c r="BE59" s="130">
        <f>IF(OR($C59="",$B$2="",$D$2=0),0,IF(BE$3&lt;0,0,N(INDEX('CURVA PREVISION'!$A$1:$KZ$3000,$C59,11+3*MIN(BE$3,$D$2-1)))))</f>
        <v/>
      </c>
      <c r="BF59" s="130">
        <f>IF(OR($C59="",$B$2="",$D$2=0),0,IF(BF$3&lt;0,0,N(INDEX('CURVA PREVISION'!$A$1:$KZ$3000,$C59,11+3*MIN(BF$3,$D$2-1)))))</f>
        <v/>
      </c>
      <c r="BG59" s="130">
        <f>IF(OR($C59="",$B$2="",$D$2=0),0,IF(BG$3&lt;0,0,N(INDEX('CURVA PREVISION'!$A$1:$KZ$3000,$C59,11+3*MIN(BG$3,$D$2-1)))))</f>
        <v/>
      </c>
      <c r="BH59" s="130">
        <f>IF(OR($C59="",$B$2="",$D$2=0),0,IF(BH$3&lt;0,0,N(INDEX('CURVA PREVISION'!$A$1:$KZ$3000,$C59,11+3*MIN(BH$3,$D$2-1)))))</f>
        <v/>
      </c>
      <c r="BI59" s="130">
        <f>IF(OR($C59="",$B$2="",$D$2=0),0,IF(BI$3&lt;0,0,N(INDEX('CURVA PREVISION'!$A$1:$KZ$3000,$C59,11+3*MIN(BI$3,$D$2-1)))))</f>
        <v/>
      </c>
      <c r="BJ59" s="130">
        <f>IF(OR($C59="",$B$2="",$D$2=0),0,IF(BJ$3&lt;0,0,N(INDEX('CURVA PREVISION'!$A$1:$KZ$3000,$C59,11+3*MIN(BJ$3,$D$2-1)))))</f>
        <v/>
      </c>
      <c r="BK59" s="130">
        <f>IF(OR($C59="",$B$2="",$D$2=0),0,IF(BK$3&lt;0,0,N(INDEX('CURVA PREVISION'!$A$1:$KZ$3000,$C59,11+3*MIN(BK$3,$D$2-1)))))</f>
        <v/>
      </c>
      <c r="BL59" s="130">
        <f>IF(OR($C59="",$B$2="",$D$2=0),0,IF(BL$3&lt;0,0,N(INDEX('CURVA PREVISION'!$A$1:$KZ$3000,$C59,11+3*MIN(BL$3,$D$2-1)))))</f>
        <v/>
      </c>
      <c r="BM59" s="130">
        <f>IF(OR($C59="",$B$2="",$D$2=0),0,IF(BM$3&lt;0,0,N(INDEX('CURVA PREVISION'!$A$1:$KZ$3000,$C59,11+3*MIN(BM$3,$D$2-1)))))</f>
        <v/>
      </c>
      <c r="BN59" s="130">
        <f>IF(OR($C59="",$B$2="",$D$2=0),0,IF(BN$3&lt;0,0,N(INDEX('CURVA PREVISION'!$A$1:$KZ$3000,$C59,11+3*MIN(BN$3,$D$2-1)))))</f>
        <v/>
      </c>
      <c r="BO59" s="130">
        <f>IF(OR($C59="",$B$2="",$D$2=0),0,IF(BO$3&lt;0,0,N(INDEX('CURVA PREVISION'!$A$1:$KZ$3000,$C59,11+3*MIN(BO$3,$D$2-1)))))</f>
        <v/>
      </c>
      <c r="BP59" s="130">
        <f>IF(OR($C59="",$B$2="",$D$2=0),0,IF(BP$3&lt;0,0,N(INDEX('CURVA PREVISION'!$A$1:$KZ$3000,$C59,11+3*MIN(BP$3,$D$2-1)))))</f>
        <v/>
      </c>
      <c r="BQ59" s="130">
        <f>IF(OR($C59="",$B$2="",$D$2=0),0,IF(BQ$3&lt;0,0,N(INDEX('CURVA PREVISION'!$A$1:$KZ$3000,$C59,11+3*MIN(BQ$3,$D$2-1)))))</f>
        <v/>
      </c>
      <c r="BR59" s="130">
        <f>IF(OR($C59="",$B$2="",$D$2=0),0,IF(BR$3&lt;0,0,N(INDEX('CURVA PREVISION'!$A$1:$KZ$3000,$C59,11+3*MIN(BR$3,$D$2-1)))))</f>
        <v/>
      </c>
      <c r="BS59" s="130">
        <f>IF(OR($C59="",$B$2="",$D$2=0),0,IF(BS$3&lt;0,0,N(INDEX('CURVA PREVISION'!$A$1:$KZ$3000,$C59,11+3*MIN(BS$3,$D$2-1)))))</f>
        <v/>
      </c>
      <c r="BT59" s="130">
        <f>IF(OR($C59="",$B$2="",$D$2=0),0,IF(BT$3&lt;0,0,N(INDEX('CURVA PREVISION'!$A$1:$KZ$3000,$C59,11+3*MIN(BT$3,$D$2-1)))))</f>
        <v/>
      </c>
      <c r="BU59" s="130">
        <f>IF(OR($C59="",$B$2="",$D$2=0),0,IF(BU$3&lt;0,0,N(INDEX('CURVA PREVISION'!$A$1:$KZ$3000,$C59,11+3*MIN(BU$3,$D$2-1)))))</f>
        <v/>
      </c>
      <c r="BV59" s="130">
        <f>IF(OR($C59="",$B$2="",$D$2=0),0,IF(BV$3&lt;0,0,N(INDEX('CURVA PREVISION'!$A$1:$KZ$3000,$C59,11+3*MIN(BV$3,$D$2-1)))))</f>
        <v/>
      </c>
      <c r="BW59" s="130">
        <f>IF(OR($C59="",$B$2="",$D$2=0),0,IF(BW$3&lt;0,0,N(INDEX('CURVA PREVISION'!$A$1:$KZ$3000,$C59,11+3*MIN(BW$3,$D$2-1)))))</f>
        <v/>
      </c>
    </row>
    <row r="60">
      <c r="A60" s="61">
        <f>IF('VALOR POR PL'!Q24="",'VALOR POR PL'!C24,'VALOR POR PL'!Q24)</f>
        <v/>
      </c>
      <c r="B60" s="51">
        <f>B18</f>
        <v/>
      </c>
      <c r="C60" s="70">
        <f>IFERROR(MATCH(A60,'CURVA PREVISION'!$B$1:$B$3000,0),"")</f>
        <v/>
      </c>
      <c r="D60" s="130">
        <f>IF(OR($C60="",$B$2="",$D$2=0),0,IF(D$3&lt;0,0,N(INDEX('CURVA PREVISION'!$A$1:$KZ$3000,$C60,11+3*MIN(D$3,$D$2-1)))))</f>
        <v/>
      </c>
      <c r="E60" s="130">
        <f>IF(OR($C60="",$B$2="",$D$2=0),0,IF(E$3&lt;0,0,N(INDEX('CURVA PREVISION'!$A$1:$KZ$3000,$C60,11+3*MIN(E$3,$D$2-1)))))</f>
        <v/>
      </c>
      <c r="F60" s="130">
        <f>IF(OR($C60="",$B$2="",$D$2=0),0,IF(F$3&lt;0,0,N(INDEX('CURVA PREVISION'!$A$1:$KZ$3000,$C60,11+3*MIN(F$3,$D$2-1)))))</f>
        <v/>
      </c>
      <c r="G60" s="130">
        <f>IF(OR($C60="",$B$2="",$D$2=0),0,IF(G$3&lt;0,0,N(INDEX('CURVA PREVISION'!$A$1:$KZ$3000,$C60,11+3*MIN(G$3,$D$2-1)))))</f>
        <v/>
      </c>
      <c r="H60" s="130">
        <f>IF(OR($C60="",$B$2="",$D$2=0),0,IF(H$3&lt;0,0,N(INDEX('CURVA PREVISION'!$A$1:$KZ$3000,$C60,11+3*MIN(H$3,$D$2-1)))))</f>
        <v/>
      </c>
      <c r="I60" s="130">
        <f>IF(OR($C60="",$B$2="",$D$2=0),0,IF(I$3&lt;0,0,N(INDEX('CURVA PREVISION'!$A$1:$KZ$3000,$C60,11+3*MIN(I$3,$D$2-1)))))</f>
        <v/>
      </c>
      <c r="J60" s="130">
        <f>IF(OR($C60="",$B$2="",$D$2=0),0,IF(J$3&lt;0,0,N(INDEX('CURVA PREVISION'!$A$1:$KZ$3000,$C60,11+3*MIN(J$3,$D$2-1)))))</f>
        <v/>
      </c>
      <c r="K60" s="130">
        <f>IF(OR($C60="",$B$2="",$D$2=0),0,IF(K$3&lt;0,0,N(INDEX('CURVA PREVISION'!$A$1:$KZ$3000,$C60,11+3*MIN(K$3,$D$2-1)))))</f>
        <v/>
      </c>
      <c r="L60" s="130">
        <f>IF(OR($C60="",$B$2="",$D$2=0),0,IF(L$3&lt;0,0,N(INDEX('CURVA PREVISION'!$A$1:$KZ$3000,$C60,11+3*MIN(L$3,$D$2-1)))))</f>
        <v/>
      </c>
      <c r="M60" s="130">
        <f>IF(OR($C60="",$B$2="",$D$2=0),0,IF(M$3&lt;0,0,N(INDEX('CURVA PREVISION'!$A$1:$KZ$3000,$C60,11+3*MIN(M$3,$D$2-1)))))</f>
        <v/>
      </c>
      <c r="N60" s="130">
        <f>IF(OR($C60="",$B$2="",$D$2=0),0,IF(N$3&lt;0,0,N(INDEX('CURVA PREVISION'!$A$1:$KZ$3000,$C60,11+3*MIN(N$3,$D$2-1)))))</f>
        <v/>
      </c>
      <c r="O60" s="130">
        <f>IF(OR($C60="",$B$2="",$D$2=0),0,IF(O$3&lt;0,0,N(INDEX('CURVA PREVISION'!$A$1:$KZ$3000,$C60,11+3*MIN(O$3,$D$2-1)))))</f>
        <v/>
      </c>
      <c r="P60" s="130">
        <f>IF(OR($C60="",$B$2="",$D$2=0),0,IF(P$3&lt;0,0,N(INDEX('CURVA PREVISION'!$A$1:$KZ$3000,$C60,11+3*MIN(P$3,$D$2-1)))))</f>
        <v/>
      </c>
      <c r="Q60" s="130">
        <f>IF(OR($C60="",$B$2="",$D$2=0),0,IF(Q$3&lt;0,0,N(INDEX('CURVA PREVISION'!$A$1:$KZ$3000,$C60,11+3*MIN(Q$3,$D$2-1)))))</f>
        <v/>
      </c>
      <c r="R60" s="130">
        <f>IF(OR($C60="",$B$2="",$D$2=0),0,IF(R$3&lt;0,0,N(INDEX('CURVA PREVISION'!$A$1:$KZ$3000,$C60,11+3*MIN(R$3,$D$2-1)))))</f>
        <v/>
      </c>
      <c r="S60" s="130">
        <f>IF(OR($C60="",$B$2="",$D$2=0),0,IF(S$3&lt;0,0,N(INDEX('CURVA PREVISION'!$A$1:$KZ$3000,$C60,11+3*MIN(S$3,$D$2-1)))))</f>
        <v/>
      </c>
      <c r="T60" s="130">
        <f>IF(OR($C60="",$B$2="",$D$2=0),0,IF(T$3&lt;0,0,N(INDEX('CURVA PREVISION'!$A$1:$KZ$3000,$C60,11+3*MIN(T$3,$D$2-1)))))</f>
        <v/>
      </c>
      <c r="U60" s="130">
        <f>IF(OR($C60="",$B$2="",$D$2=0),0,IF(U$3&lt;0,0,N(INDEX('CURVA PREVISION'!$A$1:$KZ$3000,$C60,11+3*MIN(U$3,$D$2-1)))))</f>
        <v/>
      </c>
      <c r="V60" s="130">
        <f>IF(OR($C60="",$B$2="",$D$2=0),0,IF(V$3&lt;0,0,N(INDEX('CURVA PREVISION'!$A$1:$KZ$3000,$C60,11+3*MIN(V$3,$D$2-1)))))</f>
        <v/>
      </c>
      <c r="W60" s="130">
        <f>IF(OR($C60="",$B$2="",$D$2=0),0,IF(W$3&lt;0,0,N(INDEX('CURVA PREVISION'!$A$1:$KZ$3000,$C60,11+3*MIN(W$3,$D$2-1)))))</f>
        <v/>
      </c>
      <c r="X60" s="130">
        <f>IF(OR($C60="",$B$2="",$D$2=0),0,IF(X$3&lt;0,0,N(INDEX('CURVA PREVISION'!$A$1:$KZ$3000,$C60,11+3*MIN(X$3,$D$2-1)))))</f>
        <v/>
      </c>
      <c r="Y60" s="130">
        <f>IF(OR($C60="",$B$2="",$D$2=0),0,IF(Y$3&lt;0,0,N(INDEX('CURVA PREVISION'!$A$1:$KZ$3000,$C60,11+3*MIN(Y$3,$D$2-1)))))</f>
        <v/>
      </c>
      <c r="Z60" s="130">
        <f>IF(OR($C60="",$B$2="",$D$2=0),0,IF(Z$3&lt;0,0,N(INDEX('CURVA PREVISION'!$A$1:$KZ$3000,$C60,11+3*MIN(Z$3,$D$2-1)))))</f>
        <v/>
      </c>
      <c r="AA60" s="130">
        <f>IF(OR($C60="",$B$2="",$D$2=0),0,IF(AA$3&lt;0,0,N(INDEX('CURVA PREVISION'!$A$1:$KZ$3000,$C60,11+3*MIN(AA$3,$D$2-1)))))</f>
        <v/>
      </c>
      <c r="AB60" s="130">
        <f>IF(OR($C60="",$B$2="",$D$2=0),0,IF(AB$3&lt;0,0,N(INDEX('CURVA PREVISION'!$A$1:$KZ$3000,$C60,11+3*MIN(AB$3,$D$2-1)))))</f>
        <v/>
      </c>
      <c r="AC60" s="130">
        <f>IF(OR($C60="",$B$2="",$D$2=0),0,IF(AC$3&lt;0,0,N(INDEX('CURVA PREVISION'!$A$1:$KZ$3000,$C60,11+3*MIN(AC$3,$D$2-1)))))</f>
        <v/>
      </c>
      <c r="AD60" s="130">
        <f>IF(OR($C60="",$B$2="",$D$2=0),0,IF(AD$3&lt;0,0,N(INDEX('CURVA PREVISION'!$A$1:$KZ$3000,$C60,11+3*MIN(AD$3,$D$2-1)))))</f>
        <v/>
      </c>
      <c r="AE60" s="130">
        <f>IF(OR($C60="",$B$2="",$D$2=0),0,IF(AE$3&lt;0,0,N(INDEX('CURVA PREVISION'!$A$1:$KZ$3000,$C60,11+3*MIN(AE$3,$D$2-1)))))</f>
        <v/>
      </c>
      <c r="AF60" s="130">
        <f>IF(OR($C60="",$B$2="",$D$2=0),0,IF(AF$3&lt;0,0,N(INDEX('CURVA PREVISION'!$A$1:$KZ$3000,$C60,11+3*MIN(AF$3,$D$2-1)))))</f>
        <v/>
      </c>
      <c r="AG60" s="130">
        <f>IF(OR($C60="",$B$2="",$D$2=0),0,IF(AG$3&lt;0,0,N(INDEX('CURVA PREVISION'!$A$1:$KZ$3000,$C60,11+3*MIN(AG$3,$D$2-1)))))</f>
        <v/>
      </c>
      <c r="AH60" s="130">
        <f>IF(OR($C60="",$B$2="",$D$2=0),0,IF(AH$3&lt;0,0,N(INDEX('CURVA PREVISION'!$A$1:$KZ$3000,$C60,11+3*MIN(AH$3,$D$2-1)))))</f>
        <v/>
      </c>
      <c r="AI60" s="130">
        <f>IF(OR($C60="",$B$2="",$D$2=0),0,IF(AI$3&lt;0,0,N(INDEX('CURVA PREVISION'!$A$1:$KZ$3000,$C60,11+3*MIN(AI$3,$D$2-1)))))</f>
        <v/>
      </c>
      <c r="AJ60" s="130">
        <f>IF(OR($C60="",$B$2="",$D$2=0),0,IF(AJ$3&lt;0,0,N(INDEX('CURVA PREVISION'!$A$1:$KZ$3000,$C60,11+3*MIN(AJ$3,$D$2-1)))))</f>
        <v/>
      </c>
      <c r="AK60" s="130">
        <f>IF(OR($C60="",$B$2="",$D$2=0),0,IF(AK$3&lt;0,0,N(INDEX('CURVA PREVISION'!$A$1:$KZ$3000,$C60,11+3*MIN(AK$3,$D$2-1)))))</f>
        <v/>
      </c>
      <c r="AL60" s="130">
        <f>IF(OR($C60="",$B$2="",$D$2=0),0,IF(AL$3&lt;0,0,N(INDEX('CURVA PREVISION'!$A$1:$KZ$3000,$C60,11+3*MIN(AL$3,$D$2-1)))))</f>
        <v/>
      </c>
      <c r="AM60" s="130">
        <f>IF(OR($C60="",$B$2="",$D$2=0),0,IF(AM$3&lt;0,0,N(INDEX('CURVA PREVISION'!$A$1:$KZ$3000,$C60,11+3*MIN(AM$3,$D$2-1)))))</f>
        <v/>
      </c>
      <c r="AN60" s="130">
        <f>IF(OR($C60="",$B$2="",$D$2=0),0,IF(AN$3&lt;0,0,N(INDEX('CURVA PREVISION'!$A$1:$KZ$3000,$C60,11+3*MIN(AN$3,$D$2-1)))))</f>
        <v/>
      </c>
      <c r="AO60" s="130">
        <f>IF(OR($C60="",$B$2="",$D$2=0),0,IF(AO$3&lt;0,0,N(INDEX('CURVA PREVISION'!$A$1:$KZ$3000,$C60,11+3*MIN(AO$3,$D$2-1)))))</f>
        <v/>
      </c>
      <c r="AP60" s="130">
        <f>IF(OR($C60="",$B$2="",$D$2=0),0,IF(AP$3&lt;0,0,N(INDEX('CURVA PREVISION'!$A$1:$KZ$3000,$C60,11+3*MIN(AP$3,$D$2-1)))))</f>
        <v/>
      </c>
      <c r="AQ60" s="130">
        <f>IF(OR($C60="",$B$2="",$D$2=0),0,IF(AQ$3&lt;0,0,N(INDEX('CURVA PREVISION'!$A$1:$KZ$3000,$C60,11+3*MIN(AQ$3,$D$2-1)))))</f>
        <v/>
      </c>
      <c r="AR60" s="130">
        <f>IF(OR($C60="",$B$2="",$D$2=0),0,IF(AR$3&lt;0,0,N(INDEX('CURVA PREVISION'!$A$1:$KZ$3000,$C60,11+3*MIN(AR$3,$D$2-1)))))</f>
        <v/>
      </c>
      <c r="AS60" s="130">
        <f>IF(OR($C60="",$B$2="",$D$2=0),0,IF(AS$3&lt;0,0,N(INDEX('CURVA PREVISION'!$A$1:$KZ$3000,$C60,11+3*MIN(AS$3,$D$2-1)))))</f>
        <v/>
      </c>
      <c r="AT60" s="130">
        <f>IF(OR($C60="",$B$2="",$D$2=0),0,IF(AT$3&lt;0,0,N(INDEX('CURVA PREVISION'!$A$1:$KZ$3000,$C60,11+3*MIN(AT$3,$D$2-1)))))</f>
        <v/>
      </c>
      <c r="AU60" s="130">
        <f>IF(OR($C60="",$B$2="",$D$2=0),0,IF(AU$3&lt;0,0,N(INDEX('CURVA PREVISION'!$A$1:$KZ$3000,$C60,11+3*MIN(AU$3,$D$2-1)))))</f>
        <v/>
      </c>
      <c r="AV60" s="130">
        <f>IF(OR($C60="",$B$2="",$D$2=0),0,IF(AV$3&lt;0,0,N(INDEX('CURVA PREVISION'!$A$1:$KZ$3000,$C60,11+3*MIN(AV$3,$D$2-1)))))</f>
        <v/>
      </c>
      <c r="AW60" s="130">
        <f>IF(OR($C60="",$B$2="",$D$2=0),0,IF(AW$3&lt;0,0,N(INDEX('CURVA PREVISION'!$A$1:$KZ$3000,$C60,11+3*MIN(AW$3,$D$2-1)))))</f>
        <v/>
      </c>
      <c r="AX60" s="130">
        <f>IF(OR($C60="",$B$2="",$D$2=0),0,IF(AX$3&lt;0,0,N(INDEX('CURVA PREVISION'!$A$1:$KZ$3000,$C60,11+3*MIN(AX$3,$D$2-1)))))</f>
        <v/>
      </c>
      <c r="AY60" s="130">
        <f>IF(OR($C60="",$B$2="",$D$2=0),0,IF(AY$3&lt;0,0,N(INDEX('CURVA PREVISION'!$A$1:$KZ$3000,$C60,11+3*MIN(AY$3,$D$2-1)))))</f>
        <v/>
      </c>
      <c r="AZ60" s="130">
        <f>IF(OR($C60="",$B$2="",$D$2=0),0,IF(AZ$3&lt;0,0,N(INDEX('CURVA PREVISION'!$A$1:$KZ$3000,$C60,11+3*MIN(AZ$3,$D$2-1)))))</f>
        <v/>
      </c>
      <c r="BA60" s="130">
        <f>IF(OR($C60="",$B$2="",$D$2=0),0,IF(BA$3&lt;0,0,N(INDEX('CURVA PREVISION'!$A$1:$KZ$3000,$C60,11+3*MIN(BA$3,$D$2-1)))))</f>
        <v/>
      </c>
      <c r="BB60" s="130">
        <f>IF(OR($C60="",$B$2="",$D$2=0),0,IF(BB$3&lt;0,0,N(INDEX('CURVA PREVISION'!$A$1:$KZ$3000,$C60,11+3*MIN(BB$3,$D$2-1)))))</f>
        <v/>
      </c>
      <c r="BC60" s="130">
        <f>IF(OR($C60="",$B$2="",$D$2=0),0,IF(BC$3&lt;0,0,N(INDEX('CURVA PREVISION'!$A$1:$KZ$3000,$C60,11+3*MIN(BC$3,$D$2-1)))))</f>
        <v/>
      </c>
      <c r="BD60" s="130">
        <f>IF(OR($C60="",$B$2="",$D$2=0),0,IF(BD$3&lt;0,0,N(INDEX('CURVA PREVISION'!$A$1:$KZ$3000,$C60,11+3*MIN(BD$3,$D$2-1)))))</f>
        <v/>
      </c>
      <c r="BE60" s="130">
        <f>IF(OR($C60="",$B$2="",$D$2=0),0,IF(BE$3&lt;0,0,N(INDEX('CURVA PREVISION'!$A$1:$KZ$3000,$C60,11+3*MIN(BE$3,$D$2-1)))))</f>
        <v/>
      </c>
      <c r="BF60" s="130">
        <f>IF(OR($C60="",$B$2="",$D$2=0),0,IF(BF$3&lt;0,0,N(INDEX('CURVA PREVISION'!$A$1:$KZ$3000,$C60,11+3*MIN(BF$3,$D$2-1)))))</f>
        <v/>
      </c>
      <c r="BG60" s="130">
        <f>IF(OR($C60="",$B$2="",$D$2=0),0,IF(BG$3&lt;0,0,N(INDEX('CURVA PREVISION'!$A$1:$KZ$3000,$C60,11+3*MIN(BG$3,$D$2-1)))))</f>
        <v/>
      </c>
      <c r="BH60" s="130">
        <f>IF(OR($C60="",$B$2="",$D$2=0),0,IF(BH$3&lt;0,0,N(INDEX('CURVA PREVISION'!$A$1:$KZ$3000,$C60,11+3*MIN(BH$3,$D$2-1)))))</f>
        <v/>
      </c>
      <c r="BI60" s="130">
        <f>IF(OR($C60="",$B$2="",$D$2=0),0,IF(BI$3&lt;0,0,N(INDEX('CURVA PREVISION'!$A$1:$KZ$3000,$C60,11+3*MIN(BI$3,$D$2-1)))))</f>
        <v/>
      </c>
      <c r="BJ60" s="130">
        <f>IF(OR($C60="",$B$2="",$D$2=0),0,IF(BJ$3&lt;0,0,N(INDEX('CURVA PREVISION'!$A$1:$KZ$3000,$C60,11+3*MIN(BJ$3,$D$2-1)))))</f>
        <v/>
      </c>
      <c r="BK60" s="130">
        <f>IF(OR($C60="",$B$2="",$D$2=0),0,IF(BK$3&lt;0,0,N(INDEX('CURVA PREVISION'!$A$1:$KZ$3000,$C60,11+3*MIN(BK$3,$D$2-1)))))</f>
        <v/>
      </c>
      <c r="BL60" s="130">
        <f>IF(OR($C60="",$B$2="",$D$2=0),0,IF(BL$3&lt;0,0,N(INDEX('CURVA PREVISION'!$A$1:$KZ$3000,$C60,11+3*MIN(BL$3,$D$2-1)))))</f>
        <v/>
      </c>
      <c r="BM60" s="130">
        <f>IF(OR($C60="",$B$2="",$D$2=0),0,IF(BM$3&lt;0,0,N(INDEX('CURVA PREVISION'!$A$1:$KZ$3000,$C60,11+3*MIN(BM$3,$D$2-1)))))</f>
        <v/>
      </c>
      <c r="BN60" s="130">
        <f>IF(OR($C60="",$B$2="",$D$2=0),0,IF(BN$3&lt;0,0,N(INDEX('CURVA PREVISION'!$A$1:$KZ$3000,$C60,11+3*MIN(BN$3,$D$2-1)))))</f>
        <v/>
      </c>
      <c r="BO60" s="130">
        <f>IF(OR($C60="",$B$2="",$D$2=0),0,IF(BO$3&lt;0,0,N(INDEX('CURVA PREVISION'!$A$1:$KZ$3000,$C60,11+3*MIN(BO$3,$D$2-1)))))</f>
        <v/>
      </c>
      <c r="BP60" s="130">
        <f>IF(OR($C60="",$B$2="",$D$2=0),0,IF(BP$3&lt;0,0,N(INDEX('CURVA PREVISION'!$A$1:$KZ$3000,$C60,11+3*MIN(BP$3,$D$2-1)))))</f>
        <v/>
      </c>
      <c r="BQ60" s="130">
        <f>IF(OR($C60="",$B$2="",$D$2=0),0,IF(BQ$3&lt;0,0,N(INDEX('CURVA PREVISION'!$A$1:$KZ$3000,$C60,11+3*MIN(BQ$3,$D$2-1)))))</f>
        <v/>
      </c>
      <c r="BR60" s="130">
        <f>IF(OR($C60="",$B$2="",$D$2=0),0,IF(BR$3&lt;0,0,N(INDEX('CURVA PREVISION'!$A$1:$KZ$3000,$C60,11+3*MIN(BR$3,$D$2-1)))))</f>
        <v/>
      </c>
      <c r="BS60" s="130">
        <f>IF(OR($C60="",$B$2="",$D$2=0),0,IF(BS$3&lt;0,0,N(INDEX('CURVA PREVISION'!$A$1:$KZ$3000,$C60,11+3*MIN(BS$3,$D$2-1)))))</f>
        <v/>
      </c>
      <c r="BT60" s="130">
        <f>IF(OR($C60="",$B$2="",$D$2=0),0,IF(BT$3&lt;0,0,N(INDEX('CURVA PREVISION'!$A$1:$KZ$3000,$C60,11+3*MIN(BT$3,$D$2-1)))))</f>
        <v/>
      </c>
      <c r="BU60" s="130">
        <f>IF(OR($C60="",$B$2="",$D$2=0),0,IF(BU$3&lt;0,0,N(INDEX('CURVA PREVISION'!$A$1:$KZ$3000,$C60,11+3*MIN(BU$3,$D$2-1)))))</f>
        <v/>
      </c>
      <c r="BV60" s="130">
        <f>IF(OR($C60="",$B$2="",$D$2=0),0,IF(BV$3&lt;0,0,N(INDEX('CURVA PREVISION'!$A$1:$KZ$3000,$C60,11+3*MIN(BV$3,$D$2-1)))))</f>
        <v/>
      </c>
      <c r="BW60" s="130">
        <f>IF(OR($C60="",$B$2="",$D$2=0),0,IF(BW$3&lt;0,0,N(INDEX('CURVA PREVISION'!$A$1:$KZ$3000,$C60,11+3*MIN(BW$3,$D$2-1)))))</f>
        <v/>
      </c>
    </row>
    <row r="61">
      <c r="A61" s="61">
        <f>IF('VALOR POR PL'!Q25="",'VALOR POR PL'!C25,'VALOR POR PL'!Q25)</f>
        <v/>
      </c>
      <c r="B61" s="51">
        <f>B19</f>
        <v/>
      </c>
      <c r="C61" s="70">
        <f>IFERROR(MATCH(A61,'CURVA PREVISION'!$B$1:$B$3000,0),"")</f>
        <v/>
      </c>
      <c r="D61" s="130">
        <f>IF(OR($C61="",$B$2="",$D$2=0),0,IF(D$3&lt;0,0,N(INDEX('CURVA PREVISION'!$A$1:$KZ$3000,$C61,11+3*MIN(D$3,$D$2-1)))))</f>
        <v/>
      </c>
      <c r="E61" s="130">
        <f>IF(OR($C61="",$B$2="",$D$2=0),0,IF(E$3&lt;0,0,N(INDEX('CURVA PREVISION'!$A$1:$KZ$3000,$C61,11+3*MIN(E$3,$D$2-1)))))</f>
        <v/>
      </c>
      <c r="F61" s="130">
        <f>IF(OR($C61="",$B$2="",$D$2=0),0,IF(F$3&lt;0,0,N(INDEX('CURVA PREVISION'!$A$1:$KZ$3000,$C61,11+3*MIN(F$3,$D$2-1)))))</f>
        <v/>
      </c>
      <c r="G61" s="130">
        <f>IF(OR($C61="",$B$2="",$D$2=0),0,IF(G$3&lt;0,0,N(INDEX('CURVA PREVISION'!$A$1:$KZ$3000,$C61,11+3*MIN(G$3,$D$2-1)))))</f>
        <v/>
      </c>
      <c r="H61" s="130">
        <f>IF(OR($C61="",$B$2="",$D$2=0),0,IF(H$3&lt;0,0,N(INDEX('CURVA PREVISION'!$A$1:$KZ$3000,$C61,11+3*MIN(H$3,$D$2-1)))))</f>
        <v/>
      </c>
      <c r="I61" s="130">
        <f>IF(OR($C61="",$B$2="",$D$2=0),0,IF(I$3&lt;0,0,N(INDEX('CURVA PREVISION'!$A$1:$KZ$3000,$C61,11+3*MIN(I$3,$D$2-1)))))</f>
        <v/>
      </c>
      <c r="J61" s="130">
        <f>IF(OR($C61="",$B$2="",$D$2=0),0,IF(J$3&lt;0,0,N(INDEX('CURVA PREVISION'!$A$1:$KZ$3000,$C61,11+3*MIN(J$3,$D$2-1)))))</f>
        <v/>
      </c>
      <c r="K61" s="130">
        <f>IF(OR($C61="",$B$2="",$D$2=0),0,IF(K$3&lt;0,0,N(INDEX('CURVA PREVISION'!$A$1:$KZ$3000,$C61,11+3*MIN(K$3,$D$2-1)))))</f>
        <v/>
      </c>
      <c r="L61" s="130">
        <f>IF(OR($C61="",$B$2="",$D$2=0),0,IF(L$3&lt;0,0,N(INDEX('CURVA PREVISION'!$A$1:$KZ$3000,$C61,11+3*MIN(L$3,$D$2-1)))))</f>
        <v/>
      </c>
      <c r="M61" s="130">
        <f>IF(OR($C61="",$B$2="",$D$2=0),0,IF(M$3&lt;0,0,N(INDEX('CURVA PREVISION'!$A$1:$KZ$3000,$C61,11+3*MIN(M$3,$D$2-1)))))</f>
        <v/>
      </c>
      <c r="N61" s="130">
        <f>IF(OR($C61="",$B$2="",$D$2=0),0,IF(N$3&lt;0,0,N(INDEX('CURVA PREVISION'!$A$1:$KZ$3000,$C61,11+3*MIN(N$3,$D$2-1)))))</f>
        <v/>
      </c>
      <c r="O61" s="130">
        <f>IF(OR($C61="",$B$2="",$D$2=0),0,IF(O$3&lt;0,0,N(INDEX('CURVA PREVISION'!$A$1:$KZ$3000,$C61,11+3*MIN(O$3,$D$2-1)))))</f>
        <v/>
      </c>
      <c r="P61" s="130">
        <f>IF(OR($C61="",$B$2="",$D$2=0),0,IF(P$3&lt;0,0,N(INDEX('CURVA PREVISION'!$A$1:$KZ$3000,$C61,11+3*MIN(P$3,$D$2-1)))))</f>
        <v/>
      </c>
      <c r="Q61" s="130">
        <f>IF(OR($C61="",$B$2="",$D$2=0),0,IF(Q$3&lt;0,0,N(INDEX('CURVA PREVISION'!$A$1:$KZ$3000,$C61,11+3*MIN(Q$3,$D$2-1)))))</f>
        <v/>
      </c>
      <c r="R61" s="130">
        <f>IF(OR($C61="",$B$2="",$D$2=0),0,IF(R$3&lt;0,0,N(INDEX('CURVA PREVISION'!$A$1:$KZ$3000,$C61,11+3*MIN(R$3,$D$2-1)))))</f>
        <v/>
      </c>
      <c r="S61" s="130">
        <f>IF(OR($C61="",$B$2="",$D$2=0),0,IF(S$3&lt;0,0,N(INDEX('CURVA PREVISION'!$A$1:$KZ$3000,$C61,11+3*MIN(S$3,$D$2-1)))))</f>
        <v/>
      </c>
      <c r="T61" s="130">
        <f>IF(OR($C61="",$B$2="",$D$2=0),0,IF(T$3&lt;0,0,N(INDEX('CURVA PREVISION'!$A$1:$KZ$3000,$C61,11+3*MIN(T$3,$D$2-1)))))</f>
        <v/>
      </c>
      <c r="U61" s="130">
        <f>IF(OR($C61="",$B$2="",$D$2=0),0,IF(U$3&lt;0,0,N(INDEX('CURVA PREVISION'!$A$1:$KZ$3000,$C61,11+3*MIN(U$3,$D$2-1)))))</f>
        <v/>
      </c>
      <c r="V61" s="130">
        <f>IF(OR($C61="",$B$2="",$D$2=0),0,IF(V$3&lt;0,0,N(INDEX('CURVA PREVISION'!$A$1:$KZ$3000,$C61,11+3*MIN(V$3,$D$2-1)))))</f>
        <v/>
      </c>
      <c r="W61" s="130">
        <f>IF(OR($C61="",$B$2="",$D$2=0),0,IF(W$3&lt;0,0,N(INDEX('CURVA PREVISION'!$A$1:$KZ$3000,$C61,11+3*MIN(W$3,$D$2-1)))))</f>
        <v/>
      </c>
      <c r="X61" s="130">
        <f>IF(OR($C61="",$B$2="",$D$2=0),0,IF(X$3&lt;0,0,N(INDEX('CURVA PREVISION'!$A$1:$KZ$3000,$C61,11+3*MIN(X$3,$D$2-1)))))</f>
        <v/>
      </c>
      <c r="Y61" s="130">
        <f>IF(OR($C61="",$B$2="",$D$2=0),0,IF(Y$3&lt;0,0,N(INDEX('CURVA PREVISION'!$A$1:$KZ$3000,$C61,11+3*MIN(Y$3,$D$2-1)))))</f>
        <v/>
      </c>
      <c r="Z61" s="130">
        <f>IF(OR($C61="",$B$2="",$D$2=0),0,IF(Z$3&lt;0,0,N(INDEX('CURVA PREVISION'!$A$1:$KZ$3000,$C61,11+3*MIN(Z$3,$D$2-1)))))</f>
        <v/>
      </c>
      <c r="AA61" s="130">
        <f>IF(OR($C61="",$B$2="",$D$2=0),0,IF(AA$3&lt;0,0,N(INDEX('CURVA PREVISION'!$A$1:$KZ$3000,$C61,11+3*MIN(AA$3,$D$2-1)))))</f>
        <v/>
      </c>
      <c r="AB61" s="130">
        <f>IF(OR($C61="",$B$2="",$D$2=0),0,IF(AB$3&lt;0,0,N(INDEX('CURVA PREVISION'!$A$1:$KZ$3000,$C61,11+3*MIN(AB$3,$D$2-1)))))</f>
        <v/>
      </c>
      <c r="AC61" s="130">
        <f>IF(OR($C61="",$B$2="",$D$2=0),0,IF(AC$3&lt;0,0,N(INDEX('CURVA PREVISION'!$A$1:$KZ$3000,$C61,11+3*MIN(AC$3,$D$2-1)))))</f>
        <v/>
      </c>
      <c r="AD61" s="130">
        <f>IF(OR($C61="",$B$2="",$D$2=0),0,IF(AD$3&lt;0,0,N(INDEX('CURVA PREVISION'!$A$1:$KZ$3000,$C61,11+3*MIN(AD$3,$D$2-1)))))</f>
        <v/>
      </c>
      <c r="AE61" s="130">
        <f>IF(OR($C61="",$B$2="",$D$2=0),0,IF(AE$3&lt;0,0,N(INDEX('CURVA PREVISION'!$A$1:$KZ$3000,$C61,11+3*MIN(AE$3,$D$2-1)))))</f>
        <v/>
      </c>
      <c r="AF61" s="130">
        <f>IF(OR($C61="",$B$2="",$D$2=0),0,IF(AF$3&lt;0,0,N(INDEX('CURVA PREVISION'!$A$1:$KZ$3000,$C61,11+3*MIN(AF$3,$D$2-1)))))</f>
        <v/>
      </c>
      <c r="AG61" s="130">
        <f>IF(OR($C61="",$B$2="",$D$2=0),0,IF(AG$3&lt;0,0,N(INDEX('CURVA PREVISION'!$A$1:$KZ$3000,$C61,11+3*MIN(AG$3,$D$2-1)))))</f>
        <v/>
      </c>
      <c r="AH61" s="130">
        <f>IF(OR($C61="",$B$2="",$D$2=0),0,IF(AH$3&lt;0,0,N(INDEX('CURVA PREVISION'!$A$1:$KZ$3000,$C61,11+3*MIN(AH$3,$D$2-1)))))</f>
        <v/>
      </c>
      <c r="AI61" s="130">
        <f>IF(OR($C61="",$B$2="",$D$2=0),0,IF(AI$3&lt;0,0,N(INDEX('CURVA PREVISION'!$A$1:$KZ$3000,$C61,11+3*MIN(AI$3,$D$2-1)))))</f>
        <v/>
      </c>
      <c r="AJ61" s="130">
        <f>IF(OR($C61="",$B$2="",$D$2=0),0,IF(AJ$3&lt;0,0,N(INDEX('CURVA PREVISION'!$A$1:$KZ$3000,$C61,11+3*MIN(AJ$3,$D$2-1)))))</f>
        <v/>
      </c>
      <c r="AK61" s="130">
        <f>IF(OR($C61="",$B$2="",$D$2=0),0,IF(AK$3&lt;0,0,N(INDEX('CURVA PREVISION'!$A$1:$KZ$3000,$C61,11+3*MIN(AK$3,$D$2-1)))))</f>
        <v/>
      </c>
      <c r="AL61" s="130">
        <f>IF(OR($C61="",$B$2="",$D$2=0),0,IF(AL$3&lt;0,0,N(INDEX('CURVA PREVISION'!$A$1:$KZ$3000,$C61,11+3*MIN(AL$3,$D$2-1)))))</f>
        <v/>
      </c>
      <c r="AM61" s="130">
        <f>IF(OR($C61="",$B$2="",$D$2=0),0,IF(AM$3&lt;0,0,N(INDEX('CURVA PREVISION'!$A$1:$KZ$3000,$C61,11+3*MIN(AM$3,$D$2-1)))))</f>
        <v/>
      </c>
      <c r="AN61" s="130">
        <f>IF(OR($C61="",$B$2="",$D$2=0),0,IF(AN$3&lt;0,0,N(INDEX('CURVA PREVISION'!$A$1:$KZ$3000,$C61,11+3*MIN(AN$3,$D$2-1)))))</f>
        <v/>
      </c>
      <c r="AO61" s="130">
        <f>IF(OR($C61="",$B$2="",$D$2=0),0,IF(AO$3&lt;0,0,N(INDEX('CURVA PREVISION'!$A$1:$KZ$3000,$C61,11+3*MIN(AO$3,$D$2-1)))))</f>
        <v/>
      </c>
      <c r="AP61" s="130">
        <f>IF(OR($C61="",$B$2="",$D$2=0),0,IF(AP$3&lt;0,0,N(INDEX('CURVA PREVISION'!$A$1:$KZ$3000,$C61,11+3*MIN(AP$3,$D$2-1)))))</f>
        <v/>
      </c>
      <c r="AQ61" s="130">
        <f>IF(OR($C61="",$B$2="",$D$2=0),0,IF(AQ$3&lt;0,0,N(INDEX('CURVA PREVISION'!$A$1:$KZ$3000,$C61,11+3*MIN(AQ$3,$D$2-1)))))</f>
        <v/>
      </c>
      <c r="AR61" s="130">
        <f>IF(OR($C61="",$B$2="",$D$2=0),0,IF(AR$3&lt;0,0,N(INDEX('CURVA PREVISION'!$A$1:$KZ$3000,$C61,11+3*MIN(AR$3,$D$2-1)))))</f>
        <v/>
      </c>
      <c r="AS61" s="130">
        <f>IF(OR($C61="",$B$2="",$D$2=0),0,IF(AS$3&lt;0,0,N(INDEX('CURVA PREVISION'!$A$1:$KZ$3000,$C61,11+3*MIN(AS$3,$D$2-1)))))</f>
        <v/>
      </c>
      <c r="AT61" s="130">
        <f>IF(OR($C61="",$B$2="",$D$2=0),0,IF(AT$3&lt;0,0,N(INDEX('CURVA PREVISION'!$A$1:$KZ$3000,$C61,11+3*MIN(AT$3,$D$2-1)))))</f>
        <v/>
      </c>
      <c r="AU61" s="130">
        <f>IF(OR($C61="",$B$2="",$D$2=0),0,IF(AU$3&lt;0,0,N(INDEX('CURVA PREVISION'!$A$1:$KZ$3000,$C61,11+3*MIN(AU$3,$D$2-1)))))</f>
        <v/>
      </c>
      <c r="AV61" s="130">
        <f>IF(OR($C61="",$B$2="",$D$2=0),0,IF(AV$3&lt;0,0,N(INDEX('CURVA PREVISION'!$A$1:$KZ$3000,$C61,11+3*MIN(AV$3,$D$2-1)))))</f>
        <v/>
      </c>
      <c r="AW61" s="130">
        <f>IF(OR($C61="",$B$2="",$D$2=0),0,IF(AW$3&lt;0,0,N(INDEX('CURVA PREVISION'!$A$1:$KZ$3000,$C61,11+3*MIN(AW$3,$D$2-1)))))</f>
        <v/>
      </c>
      <c r="AX61" s="130">
        <f>IF(OR($C61="",$B$2="",$D$2=0),0,IF(AX$3&lt;0,0,N(INDEX('CURVA PREVISION'!$A$1:$KZ$3000,$C61,11+3*MIN(AX$3,$D$2-1)))))</f>
        <v/>
      </c>
      <c r="AY61" s="130">
        <f>IF(OR($C61="",$B$2="",$D$2=0),0,IF(AY$3&lt;0,0,N(INDEX('CURVA PREVISION'!$A$1:$KZ$3000,$C61,11+3*MIN(AY$3,$D$2-1)))))</f>
        <v/>
      </c>
      <c r="AZ61" s="130">
        <f>IF(OR($C61="",$B$2="",$D$2=0),0,IF(AZ$3&lt;0,0,N(INDEX('CURVA PREVISION'!$A$1:$KZ$3000,$C61,11+3*MIN(AZ$3,$D$2-1)))))</f>
        <v/>
      </c>
      <c r="BA61" s="130">
        <f>IF(OR($C61="",$B$2="",$D$2=0),0,IF(BA$3&lt;0,0,N(INDEX('CURVA PREVISION'!$A$1:$KZ$3000,$C61,11+3*MIN(BA$3,$D$2-1)))))</f>
        <v/>
      </c>
      <c r="BB61" s="130">
        <f>IF(OR($C61="",$B$2="",$D$2=0),0,IF(BB$3&lt;0,0,N(INDEX('CURVA PREVISION'!$A$1:$KZ$3000,$C61,11+3*MIN(BB$3,$D$2-1)))))</f>
        <v/>
      </c>
      <c r="BC61" s="130">
        <f>IF(OR($C61="",$B$2="",$D$2=0),0,IF(BC$3&lt;0,0,N(INDEX('CURVA PREVISION'!$A$1:$KZ$3000,$C61,11+3*MIN(BC$3,$D$2-1)))))</f>
        <v/>
      </c>
      <c r="BD61" s="130">
        <f>IF(OR($C61="",$B$2="",$D$2=0),0,IF(BD$3&lt;0,0,N(INDEX('CURVA PREVISION'!$A$1:$KZ$3000,$C61,11+3*MIN(BD$3,$D$2-1)))))</f>
        <v/>
      </c>
      <c r="BE61" s="130">
        <f>IF(OR($C61="",$B$2="",$D$2=0),0,IF(BE$3&lt;0,0,N(INDEX('CURVA PREVISION'!$A$1:$KZ$3000,$C61,11+3*MIN(BE$3,$D$2-1)))))</f>
        <v/>
      </c>
      <c r="BF61" s="130">
        <f>IF(OR($C61="",$B$2="",$D$2=0),0,IF(BF$3&lt;0,0,N(INDEX('CURVA PREVISION'!$A$1:$KZ$3000,$C61,11+3*MIN(BF$3,$D$2-1)))))</f>
        <v/>
      </c>
      <c r="BG61" s="130">
        <f>IF(OR($C61="",$B$2="",$D$2=0),0,IF(BG$3&lt;0,0,N(INDEX('CURVA PREVISION'!$A$1:$KZ$3000,$C61,11+3*MIN(BG$3,$D$2-1)))))</f>
        <v/>
      </c>
      <c r="BH61" s="130">
        <f>IF(OR($C61="",$B$2="",$D$2=0),0,IF(BH$3&lt;0,0,N(INDEX('CURVA PREVISION'!$A$1:$KZ$3000,$C61,11+3*MIN(BH$3,$D$2-1)))))</f>
        <v/>
      </c>
      <c r="BI61" s="130">
        <f>IF(OR($C61="",$B$2="",$D$2=0),0,IF(BI$3&lt;0,0,N(INDEX('CURVA PREVISION'!$A$1:$KZ$3000,$C61,11+3*MIN(BI$3,$D$2-1)))))</f>
        <v/>
      </c>
      <c r="BJ61" s="130">
        <f>IF(OR($C61="",$B$2="",$D$2=0),0,IF(BJ$3&lt;0,0,N(INDEX('CURVA PREVISION'!$A$1:$KZ$3000,$C61,11+3*MIN(BJ$3,$D$2-1)))))</f>
        <v/>
      </c>
      <c r="BK61" s="130">
        <f>IF(OR($C61="",$B$2="",$D$2=0),0,IF(BK$3&lt;0,0,N(INDEX('CURVA PREVISION'!$A$1:$KZ$3000,$C61,11+3*MIN(BK$3,$D$2-1)))))</f>
        <v/>
      </c>
      <c r="BL61" s="130">
        <f>IF(OR($C61="",$B$2="",$D$2=0),0,IF(BL$3&lt;0,0,N(INDEX('CURVA PREVISION'!$A$1:$KZ$3000,$C61,11+3*MIN(BL$3,$D$2-1)))))</f>
        <v/>
      </c>
      <c r="BM61" s="130">
        <f>IF(OR($C61="",$B$2="",$D$2=0),0,IF(BM$3&lt;0,0,N(INDEX('CURVA PREVISION'!$A$1:$KZ$3000,$C61,11+3*MIN(BM$3,$D$2-1)))))</f>
        <v/>
      </c>
      <c r="BN61" s="130">
        <f>IF(OR($C61="",$B$2="",$D$2=0),0,IF(BN$3&lt;0,0,N(INDEX('CURVA PREVISION'!$A$1:$KZ$3000,$C61,11+3*MIN(BN$3,$D$2-1)))))</f>
        <v/>
      </c>
      <c r="BO61" s="130">
        <f>IF(OR($C61="",$B$2="",$D$2=0),0,IF(BO$3&lt;0,0,N(INDEX('CURVA PREVISION'!$A$1:$KZ$3000,$C61,11+3*MIN(BO$3,$D$2-1)))))</f>
        <v/>
      </c>
      <c r="BP61" s="130">
        <f>IF(OR($C61="",$B$2="",$D$2=0),0,IF(BP$3&lt;0,0,N(INDEX('CURVA PREVISION'!$A$1:$KZ$3000,$C61,11+3*MIN(BP$3,$D$2-1)))))</f>
        <v/>
      </c>
      <c r="BQ61" s="130">
        <f>IF(OR($C61="",$B$2="",$D$2=0),0,IF(BQ$3&lt;0,0,N(INDEX('CURVA PREVISION'!$A$1:$KZ$3000,$C61,11+3*MIN(BQ$3,$D$2-1)))))</f>
        <v/>
      </c>
      <c r="BR61" s="130">
        <f>IF(OR($C61="",$B$2="",$D$2=0),0,IF(BR$3&lt;0,0,N(INDEX('CURVA PREVISION'!$A$1:$KZ$3000,$C61,11+3*MIN(BR$3,$D$2-1)))))</f>
        <v/>
      </c>
      <c r="BS61" s="130">
        <f>IF(OR($C61="",$B$2="",$D$2=0),0,IF(BS$3&lt;0,0,N(INDEX('CURVA PREVISION'!$A$1:$KZ$3000,$C61,11+3*MIN(BS$3,$D$2-1)))))</f>
        <v/>
      </c>
      <c r="BT61" s="130">
        <f>IF(OR($C61="",$B$2="",$D$2=0),0,IF(BT$3&lt;0,0,N(INDEX('CURVA PREVISION'!$A$1:$KZ$3000,$C61,11+3*MIN(BT$3,$D$2-1)))))</f>
        <v/>
      </c>
      <c r="BU61" s="130">
        <f>IF(OR($C61="",$B$2="",$D$2=0),0,IF(BU$3&lt;0,0,N(INDEX('CURVA PREVISION'!$A$1:$KZ$3000,$C61,11+3*MIN(BU$3,$D$2-1)))))</f>
        <v/>
      </c>
      <c r="BV61" s="130">
        <f>IF(OR($C61="",$B$2="",$D$2=0),0,IF(BV$3&lt;0,0,N(INDEX('CURVA PREVISION'!$A$1:$KZ$3000,$C61,11+3*MIN(BV$3,$D$2-1)))))</f>
        <v/>
      </c>
      <c r="BW61" s="130">
        <f>IF(OR($C61="",$B$2="",$D$2=0),0,IF(BW$3&lt;0,0,N(INDEX('CURVA PREVISION'!$A$1:$KZ$3000,$C61,11+3*MIN(BW$3,$D$2-1)))))</f>
        <v/>
      </c>
    </row>
    <row r="62">
      <c r="A62" s="61">
        <f>IF('VALOR POR PL'!Q26="",'VALOR POR PL'!C26,'VALOR POR PL'!Q26)</f>
        <v/>
      </c>
      <c r="B62" s="51">
        <f>B20</f>
        <v/>
      </c>
      <c r="C62" s="70">
        <f>IFERROR(MATCH(A62,'CURVA PREVISION'!$B$1:$B$3000,0),"")</f>
        <v/>
      </c>
      <c r="D62" s="130">
        <f>IF(OR($C62="",$B$2="",$D$2=0),0,IF(D$3&lt;0,0,N(INDEX('CURVA PREVISION'!$A$1:$KZ$3000,$C62,11+3*MIN(D$3,$D$2-1)))))</f>
        <v/>
      </c>
      <c r="E62" s="130">
        <f>IF(OR($C62="",$B$2="",$D$2=0),0,IF(E$3&lt;0,0,N(INDEX('CURVA PREVISION'!$A$1:$KZ$3000,$C62,11+3*MIN(E$3,$D$2-1)))))</f>
        <v/>
      </c>
      <c r="F62" s="130">
        <f>IF(OR($C62="",$B$2="",$D$2=0),0,IF(F$3&lt;0,0,N(INDEX('CURVA PREVISION'!$A$1:$KZ$3000,$C62,11+3*MIN(F$3,$D$2-1)))))</f>
        <v/>
      </c>
      <c r="G62" s="130">
        <f>IF(OR($C62="",$B$2="",$D$2=0),0,IF(G$3&lt;0,0,N(INDEX('CURVA PREVISION'!$A$1:$KZ$3000,$C62,11+3*MIN(G$3,$D$2-1)))))</f>
        <v/>
      </c>
      <c r="H62" s="130">
        <f>IF(OR($C62="",$B$2="",$D$2=0),0,IF(H$3&lt;0,0,N(INDEX('CURVA PREVISION'!$A$1:$KZ$3000,$C62,11+3*MIN(H$3,$D$2-1)))))</f>
        <v/>
      </c>
      <c r="I62" s="130">
        <f>IF(OR($C62="",$B$2="",$D$2=0),0,IF(I$3&lt;0,0,N(INDEX('CURVA PREVISION'!$A$1:$KZ$3000,$C62,11+3*MIN(I$3,$D$2-1)))))</f>
        <v/>
      </c>
      <c r="J62" s="130">
        <f>IF(OR($C62="",$B$2="",$D$2=0),0,IF(J$3&lt;0,0,N(INDEX('CURVA PREVISION'!$A$1:$KZ$3000,$C62,11+3*MIN(J$3,$D$2-1)))))</f>
        <v/>
      </c>
      <c r="K62" s="130">
        <f>IF(OR($C62="",$B$2="",$D$2=0),0,IF(K$3&lt;0,0,N(INDEX('CURVA PREVISION'!$A$1:$KZ$3000,$C62,11+3*MIN(K$3,$D$2-1)))))</f>
        <v/>
      </c>
      <c r="L62" s="130">
        <f>IF(OR($C62="",$B$2="",$D$2=0),0,IF(L$3&lt;0,0,N(INDEX('CURVA PREVISION'!$A$1:$KZ$3000,$C62,11+3*MIN(L$3,$D$2-1)))))</f>
        <v/>
      </c>
      <c r="M62" s="130">
        <f>IF(OR($C62="",$B$2="",$D$2=0),0,IF(M$3&lt;0,0,N(INDEX('CURVA PREVISION'!$A$1:$KZ$3000,$C62,11+3*MIN(M$3,$D$2-1)))))</f>
        <v/>
      </c>
      <c r="N62" s="130">
        <f>IF(OR($C62="",$B$2="",$D$2=0),0,IF(N$3&lt;0,0,N(INDEX('CURVA PREVISION'!$A$1:$KZ$3000,$C62,11+3*MIN(N$3,$D$2-1)))))</f>
        <v/>
      </c>
      <c r="O62" s="130">
        <f>IF(OR($C62="",$B$2="",$D$2=0),0,IF(O$3&lt;0,0,N(INDEX('CURVA PREVISION'!$A$1:$KZ$3000,$C62,11+3*MIN(O$3,$D$2-1)))))</f>
        <v/>
      </c>
      <c r="P62" s="130">
        <f>IF(OR($C62="",$B$2="",$D$2=0),0,IF(P$3&lt;0,0,N(INDEX('CURVA PREVISION'!$A$1:$KZ$3000,$C62,11+3*MIN(P$3,$D$2-1)))))</f>
        <v/>
      </c>
      <c r="Q62" s="130">
        <f>IF(OR($C62="",$B$2="",$D$2=0),0,IF(Q$3&lt;0,0,N(INDEX('CURVA PREVISION'!$A$1:$KZ$3000,$C62,11+3*MIN(Q$3,$D$2-1)))))</f>
        <v/>
      </c>
      <c r="R62" s="130">
        <f>IF(OR($C62="",$B$2="",$D$2=0),0,IF(R$3&lt;0,0,N(INDEX('CURVA PREVISION'!$A$1:$KZ$3000,$C62,11+3*MIN(R$3,$D$2-1)))))</f>
        <v/>
      </c>
      <c r="S62" s="130">
        <f>IF(OR($C62="",$B$2="",$D$2=0),0,IF(S$3&lt;0,0,N(INDEX('CURVA PREVISION'!$A$1:$KZ$3000,$C62,11+3*MIN(S$3,$D$2-1)))))</f>
        <v/>
      </c>
      <c r="T62" s="130">
        <f>IF(OR($C62="",$B$2="",$D$2=0),0,IF(T$3&lt;0,0,N(INDEX('CURVA PREVISION'!$A$1:$KZ$3000,$C62,11+3*MIN(T$3,$D$2-1)))))</f>
        <v/>
      </c>
      <c r="U62" s="130">
        <f>IF(OR($C62="",$B$2="",$D$2=0),0,IF(U$3&lt;0,0,N(INDEX('CURVA PREVISION'!$A$1:$KZ$3000,$C62,11+3*MIN(U$3,$D$2-1)))))</f>
        <v/>
      </c>
      <c r="V62" s="130">
        <f>IF(OR($C62="",$B$2="",$D$2=0),0,IF(V$3&lt;0,0,N(INDEX('CURVA PREVISION'!$A$1:$KZ$3000,$C62,11+3*MIN(V$3,$D$2-1)))))</f>
        <v/>
      </c>
      <c r="W62" s="130">
        <f>IF(OR($C62="",$B$2="",$D$2=0),0,IF(W$3&lt;0,0,N(INDEX('CURVA PREVISION'!$A$1:$KZ$3000,$C62,11+3*MIN(W$3,$D$2-1)))))</f>
        <v/>
      </c>
      <c r="X62" s="130">
        <f>IF(OR($C62="",$B$2="",$D$2=0),0,IF(X$3&lt;0,0,N(INDEX('CURVA PREVISION'!$A$1:$KZ$3000,$C62,11+3*MIN(X$3,$D$2-1)))))</f>
        <v/>
      </c>
      <c r="Y62" s="130">
        <f>IF(OR($C62="",$B$2="",$D$2=0),0,IF(Y$3&lt;0,0,N(INDEX('CURVA PREVISION'!$A$1:$KZ$3000,$C62,11+3*MIN(Y$3,$D$2-1)))))</f>
        <v/>
      </c>
      <c r="Z62" s="130">
        <f>IF(OR($C62="",$B$2="",$D$2=0),0,IF(Z$3&lt;0,0,N(INDEX('CURVA PREVISION'!$A$1:$KZ$3000,$C62,11+3*MIN(Z$3,$D$2-1)))))</f>
        <v/>
      </c>
      <c r="AA62" s="130">
        <f>IF(OR($C62="",$B$2="",$D$2=0),0,IF(AA$3&lt;0,0,N(INDEX('CURVA PREVISION'!$A$1:$KZ$3000,$C62,11+3*MIN(AA$3,$D$2-1)))))</f>
        <v/>
      </c>
      <c r="AB62" s="130">
        <f>IF(OR($C62="",$B$2="",$D$2=0),0,IF(AB$3&lt;0,0,N(INDEX('CURVA PREVISION'!$A$1:$KZ$3000,$C62,11+3*MIN(AB$3,$D$2-1)))))</f>
        <v/>
      </c>
      <c r="AC62" s="130">
        <f>IF(OR($C62="",$B$2="",$D$2=0),0,IF(AC$3&lt;0,0,N(INDEX('CURVA PREVISION'!$A$1:$KZ$3000,$C62,11+3*MIN(AC$3,$D$2-1)))))</f>
        <v/>
      </c>
      <c r="AD62" s="130">
        <f>IF(OR($C62="",$B$2="",$D$2=0),0,IF(AD$3&lt;0,0,N(INDEX('CURVA PREVISION'!$A$1:$KZ$3000,$C62,11+3*MIN(AD$3,$D$2-1)))))</f>
        <v/>
      </c>
      <c r="AE62" s="130">
        <f>IF(OR($C62="",$B$2="",$D$2=0),0,IF(AE$3&lt;0,0,N(INDEX('CURVA PREVISION'!$A$1:$KZ$3000,$C62,11+3*MIN(AE$3,$D$2-1)))))</f>
        <v/>
      </c>
      <c r="AF62" s="130">
        <f>IF(OR($C62="",$B$2="",$D$2=0),0,IF(AF$3&lt;0,0,N(INDEX('CURVA PREVISION'!$A$1:$KZ$3000,$C62,11+3*MIN(AF$3,$D$2-1)))))</f>
        <v/>
      </c>
      <c r="AG62" s="130">
        <f>IF(OR($C62="",$B$2="",$D$2=0),0,IF(AG$3&lt;0,0,N(INDEX('CURVA PREVISION'!$A$1:$KZ$3000,$C62,11+3*MIN(AG$3,$D$2-1)))))</f>
        <v/>
      </c>
      <c r="AH62" s="130">
        <f>IF(OR($C62="",$B$2="",$D$2=0),0,IF(AH$3&lt;0,0,N(INDEX('CURVA PREVISION'!$A$1:$KZ$3000,$C62,11+3*MIN(AH$3,$D$2-1)))))</f>
        <v/>
      </c>
      <c r="AI62" s="130">
        <f>IF(OR($C62="",$B$2="",$D$2=0),0,IF(AI$3&lt;0,0,N(INDEX('CURVA PREVISION'!$A$1:$KZ$3000,$C62,11+3*MIN(AI$3,$D$2-1)))))</f>
        <v/>
      </c>
      <c r="AJ62" s="130">
        <f>IF(OR($C62="",$B$2="",$D$2=0),0,IF(AJ$3&lt;0,0,N(INDEX('CURVA PREVISION'!$A$1:$KZ$3000,$C62,11+3*MIN(AJ$3,$D$2-1)))))</f>
        <v/>
      </c>
      <c r="AK62" s="130">
        <f>IF(OR($C62="",$B$2="",$D$2=0),0,IF(AK$3&lt;0,0,N(INDEX('CURVA PREVISION'!$A$1:$KZ$3000,$C62,11+3*MIN(AK$3,$D$2-1)))))</f>
        <v/>
      </c>
      <c r="AL62" s="130">
        <f>IF(OR($C62="",$B$2="",$D$2=0),0,IF(AL$3&lt;0,0,N(INDEX('CURVA PREVISION'!$A$1:$KZ$3000,$C62,11+3*MIN(AL$3,$D$2-1)))))</f>
        <v/>
      </c>
      <c r="AM62" s="130">
        <f>IF(OR($C62="",$B$2="",$D$2=0),0,IF(AM$3&lt;0,0,N(INDEX('CURVA PREVISION'!$A$1:$KZ$3000,$C62,11+3*MIN(AM$3,$D$2-1)))))</f>
        <v/>
      </c>
      <c r="AN62" s="130">
        <f>IF(OR($C62="",$B$2="",$D$2=0),0,IF(AN$3&lt;0,0,N(INDEX('CURVA PREVISION'!$A$1:$KZ$3000,$C62,11+3*MIN(AN$3,$D$2-1)))))</f>
        <v/>
      </c>
      <c r="AO62" s="130">
        <f>IF(OR($C62="",$B$2="",$D$2=0),0,IF(AO$3&lt;0,0,N(INDEX('CURVA PREVISION'!$A$1:$KZ$3000,$C62,11+3*MIN(AO$3,$D$2-1)))))</f>
        <v/>
      </c>
      <c r="AP62" s="130">
        <f>IF(OR($C62="",$B$2="",$D$2=0),0,IF(AP$3&lt;0,0,N(INDEX('CURVA PREVISION'!$A$1:$KZ$3000,$C62,11+3*MIN(AP$3,$D$2-1)))))</f>
        <v/>
      </c>
      <c r="AQ62" s="130">
        <f>IF(OR($C62="",$B$2="",$D$2=0),0,IF(AQ$3&lt;0,0,N(INDEX('CURVA PREVISION'!$A$1:$KZ$3000,$C62,11+3*MIN(AQ$3,$D$2-1)))))</f>
        <v/>
      </c>
      <c r="AR62" s="130">
        <f>IF(OR($C62="",$B$2="",$D$2=0),0,IF(AR$3&lt;0,0,N(INDEX('CURVA PREVISION'!$A$1:$KZ$3000,$C62,11+3*MIN(AR$3,$D$2-1)))))</f>
        <v/>
      </c>
      <c r="AS62" s="130">
        <f>IF(OR($C62="",$B$2="",$D$2=0),0,IF(AS$3&lt;0,0,N(INDEX('CURVA PREVISION'!$A$1:$KZ$3000,$C62,11+3*MIN(AS$3,$D$2-1)))))</f>
        <v/>
      </c>
      <c r="AT62" s="130">
        <f>IF(OR($C62="",$B$2="",$D$2=0),0,IF(AT$3&lt;0,0,N(INDEX('CURVA PREVISION'!$A$1:$KZ$3000,$C62,11+3*MIN(AT$3,$D$2-1)))))</f>
        <v/>
      </c>
      <c r="AU62" s="130">
        <f>IF(OR($C62="",$B$2="",$D$2=0),0,IF(AU$3&lt;0,0,N(INDEX('CURVA PREVISION'!$A$1:$KZ$3000,$C62,11+3*MIN(AU$3,$D$2-1)))))</f>
        <v/>
      </c>
      <c r="AV62" s="130">
        <f>IF(OR($C62="",$B$2="",$D$2=0),0,IF(AV$3&lt;0,0,N(INDEX('CURVA PREVISION'!$A$1:$KZ$3000,$C62,11+3*MIN(AV$3,$D$2-1)))))</f>
        <v/>
      </c>
      <c r="AW62" s="130">
        <f>IF(OR($C62="",$B$2="",$D$2=0),0,IF(AW$3&lt;0,0,N(INDEX('CURVA PREVISION'!$A$1:$KZ$3000,$C62,11+3*MIN(AW$3,$D$2-1)))))</f>
        <v/>
      </c>
      <c r="AX62" s="130">
        <f>IF(OR($C62="",$B$2="",$D$2=0),0,IF(AX$3&lt;0,0,N(INDEX('CURVA PREVISION'!$A$1:$KZ$3000,$C62,11+3*MIN(AX$3,$D$2-1)))))</f>
        <v/>
      </c>
      <c r="AY62" s="130">
        <f>IF(OR($C62="",$B$2="",$D$2=0),0,IF(AY$3&lt;0,0,N(INDEX('CURVA PREVISION'!$A$1:$KZ$3000,$C62,11+3*MIN(AY$3,$D$2-1)))))</f>
        <v/>
      </c>
      <c r="AZ62" s="130">
        <f>IF(OR($C62="",$B$2="",$D$2=0),0,IF(AZ$3&lt;0,0,N(INDEX('CURVA PREVISION'!$A$1:$KZ$3000,$C62,11+3*MIN(AZ$3,$D$2-1)))))</f>
        <v/>
      </c>
      <c r="BA62" s="130">
        <f>IF(OR($C62="",$B$2="",$D$2=0),0,IF(BA$3&lt;0,0,N(INDEX('CURVA PREVISION'!$A$1:$KZ$3000,$C62,11+3*MIN(BA$3,$D$2-1)))))</f>
        <v/>
      </c>
      <c r="BB62" s="130">
        <f>IF(OR($C62="",$B$2="",$D$2=0),0,IF(BB$3&lt;0,0,N(INDEX('CURVA PREVISION'!$A$1:$KZ$3000,$C62,11+3*MIN(BB$3,$D$2-1)))))</f>
        <v/>
      </c>
      <c r="BC62" s="130">
        <f>IF(OR($C62="",$B$2="",$D$2=0),0,IF(BC$3&lt;0,0,N(INDEX('CURVA PREVISION'!$A$1:$KZ$3000,$C62,11+3*MIN(BC$3,$D$2-1)))))</f>
        <v/>
      </c>
      <c r="BD62" s="130">
        <f>IF(OR($C62="",$B$2="",$D$2=0),0,IF(BD$3&lt;0,0,N(INDEX('CURVA PREVISION'!$A$1:$KZ$3000,$C62,11+3*MIN(BD$3,$D$2-1)))))</f>
        <v/>
      </c>
      <c r="BE62" s="130">
        <f>IF(OR($C62="",$B$2="",$D$2=0),0,IF(BE$3&lt;0,0,N(INDEX('CURVA PREVISION'!$A$1:$KZ$3000,$C62,11+3*MIN(BE$3,$D$2-1)))))</f>
        <v/>
      </c>
      <c r="BF62" s="130">
        <f>IF(OR($C62="",$B$2="",$D$2=0),0,IF(BF$3&lt;0,0,N(INDEX('CURVA PREVISION'!$A$1:$KZ$3000,$C62,11+3*MIN(BF$3,$D$2-1)))))</f>
        <v/>
      </c>
      <c r="BG62" s="130">
        <f>IF(OR($C62="",$B$2="",$D$2=0),0,IF(BG$3&lt;0,0,N(INDEX('CURVA PREVISION'!$A$1:$KZ$3000,$C62,11+3*MIN(BG$3,$D$2-1)))))</f>
        <v/>
      </c>
      <c r="BH62" s="130">
        <f>IF(OR($C62="",$B$2="",$D$2=0),0,IF(BH$3&lt;0,0,N(INDEX('CURVA PREVISION'!$A$1:$KZ$3000,$C62,11+3*MIN(BH$3,$D$2-1)))))</f>
        <v/>
      </c>
      <c r="BI62" s="130">
        <f>IF(OR($C62="",$B$2="",$D$2=0),0,IF(BI$3&lt;0,0,N(INDEX('CURVA PREVISION'!$A$1:$KZ$3000,$C62,11+3*MIN(BI$3,$D$2-1)))))</f>
        <v/>
      </c>
      <c r="BJ62" s="130">
        <f>IF(OR($C62="",$B$2="",$D$2=0),0,IF(BJ$3&lt;0,0,N(INDEX('CURVA PREVISION'!$A$1:$KZ$3000,$C62,11+3*MIN(BJ$3,$D$2-1)))))</f>
        <v/>
      </c>
      <c r="BK62" s="130">
        <f>IF(OR($C62="",$B$2="",$D$2=0),0,IF(BK$3&lt;0,0,N(INDEX('CURVA PREVISION'!$A$1:$KZ$3000,$C62,11+3*MIN(BK$3,$D$2-1)))))</f>
        <v/>
      </c>
      <c r="BL62" s="130">
        <f>IF(OR($C62="",$B$2="",$D$2=0),0,IF(BL$3&lt;0,0,N(INDEX('CURVA PREVISION'!$A$1:$KZ$3000,$C62,11+3*MIN(BL$3,$D$2-1)))))</f>
        <v/>
      </c>
      <c r="BM62" s="130">
        <f>IF(OR($C62="",$B$2="",$D$2=0),0,IF(BM$3&lt;0,0,N(INDEX('CURVA PREVISION'!$A$1:$KZ$3000,$C62,11+3*MIN(BM$3,$D$2-1)))))</f>
        <v/>
      </c>
      <c r="BN62" s="130">
        <f>IF(OR($C62="",$B$2="",$D$2=0),0,IF(BN$3&lt;0,0,N(INDEX('CURVA PREVISION'!$A$1:$KZ$3000,$C62,11+3*MIN(BN$3,$D$2-1)))))</f>
        <v/>
      </c>
      <c r="BO62" s="130">
        <f>IF(OR($C62="",$B$2="",$D$2=0),0,IF(BO$3&lt;0,0,N(INDEX('CURVA PREVISION'!$A$1:$KZ$3000,$C62,11+3*MIN(BO$3,$D$2-1)))))</f>
        <v/>
      </c>
      <c r="BP62" s="130">
        <f>IF(OR($C62="",$B$2="",$D$2=0),0,IF(BP$3&lt;0,0,N(INDEX('CURVA PREVISION'!$A$1:$KZ$3000,$C62,11+3*MIN(BP$3,$D$2-1)))))</f>
        <v/>
      </c>
      <c r="BQ62" s="130">
        <f>IF(OR($C62="",$B$2="",$D$2=0),0,IF(BQ$3&lt;0,0,N(INDEX('CURVA PREVISION'!$A$1:$KZ$3000,$C62,11+3*MIN(BQ$3,$D$2-1)))))</f>
        <v/>
      </c>
      <c r="BR62" s="130">
        <f>IF(OR($C62="",$B$2="",$D$2=0),0,IF(BR$3&lt;0,0,N(INDEX('CURVA PREVISION'!$A$1:$KZ$3000,$C62,11+3*MIN(BR$3,$D$2-1)))))</f>
        <v/>
      </c>
      <c r="BS62" s="130">
        <f>IF(OR($C62="",$B$2="",$D$2=0),0,IF(BS$3&lt;0,0,N(INDEX('CURVA PREVISION'!$A$1:$KZ$3000,$C62,11+3*MIN(BS$3,$D$2-1)))))</f>
        <v/>
      </c>
      <c r="BT62" s="130">
        <f>IF(OR($C62="",$B$2="",$D$2=0),0,IF(BT$3&lt;0,0,N(INDEX('CURVA PREVISION'!$A$1:$KZ$3000,$C62,11+3*MIN(BT$3,$D$2-1)))))</f>
        <v/>
      </c>
      <c r="BU62" s="130">
        <f>IF(OR($C62="",$B$2="",$D$2=0),0,IF(BU$3&lt;0,0,N(INDEX('CURVA PREVISION'!$A$1:$KZ$3000,$C62,11+3*MIN(BU$3,$D$2-1)))))</f>
        <v/>
      </c>
      <c r="BV62" s="130">
        <f>IF(OR($C62="",$B$2="",$D$2=0),0,IF(BV$3&lt;0,0,N(INDEX('CURVA PREVISION'!$A$1:$KZ$3000,$C62,11+3*MIN(BV$3,$D$2-1)))))</f>
        <v/>
      </c>
      <c r="BW62" s="130">
        <f>IF(OR($C62="",$B$2="",$D$2=0),0,IF(BW$3&lt;0,0,N(INDEX('CURVA PREVISION'!$A$1:$KZ$3000,$C62,11+3*MIN(BW$3,$D$2-1)))))</f>
        <v/>
      </c>
    </row>
    <row r="63">
      <c r="A63" s="61">
        <f>IF('VALOR POR PL'!Q27="",'VALOR POR PL'!C27,'VALOR POR PL'!Q27)</f>
        <v/>
      </c>
      <c r="B63" s="51">
        <f>B21</f>
        <v/>
      </c>
      <c r="C63" s="70">
        <f>IFERROR(MATCH(A63,'CURVA PREVISION'!$B$1:$B$3000,0),"")</f>
        <v/>
      </c>
      <c r="D63" s="130">
        <f>IF(OR($C63="",$B$2="",$D$2=0),0,IF(D$3&lt;0,0,N(INDEX('CURVA PREVISION'!$A$1:$KZ$3000,$C63,11+3*MIN(D$3,$D$2-1)))))</f>
        <v/>
      </c>
      <c r="E63" s="130">
        <f>IF(OR($C63="",$B$2="",$D$2=0),0,IF(E$3&lt;0,0,N(INDEX('CURVA PREVISION'!$A$1:$KZ$3000,$C63,11+3*MIN(E$3,$D$2-1)))))</f>
        <v/>
      </c>
      <c r="F63" s="130">
        <f>IF(OR($C63="",$B$2="",$D$2=0),0,IF(F$3&lt;0,0,N(INDEX('CURVA PREVISION'!$A$1:$KZ$3000,$C63,11+3*MIN(F$3,$D$2-1)))))</f>
        <v/>
      </c>
      <c r="G63" s="130">
        <f>IF(OR($C63="",$B$2="",$D$2=0),0,IF(G$3&lt;0,0,N(INDEX('CURVA PREVISION'!$A$1:$KZ$3000,$C63,11+3*MIN(G$3,$D$2-1)))))</f>
        <v/>
      </c>
      <c r="H63" s="130">
        <f>IF(OR($C63="",$B$2="",$D$2=0),0,IF(H$3&lt;0,0,N(INDEX('CURVA PREVISION'!$A$1:$KZ$3000,$C63,11+3*MIN(H$3,$D$2-1)))))</f>
        <v/>
      </c>
      <c r="I63" s="130">
        <f>IF(OR($C63="",$B$2="",$D$2=0),0,IF(I$3&lt;0,0,N(INDEX('CURVA PREVISION'!$A$1:$KZ$3000,$C63,11+3*MIN(I$3,$D$2-1)))))</f>
        <v/>
      </c>
      <c r="J63" s="130">
        <f>IF(OR($C63="",$B$2="",$D$2=0),0,IF(J$3&lt;0,0,N(INDEX('CURVA PREVISION'!$A$1:$KZ$3000,$C63,11+3*MIN(J$3,$D$2-1)))))</f>
        <v/>
      </c>
      <c r="K63" s="130">
        <f>IF(OR($C63="",$B$2="",$D$2=0),0,IF(K$3&lt;0,0,N(INDEX('CURVA PREVISION'!$A$1:$KZ$3000,$C63,11+3*MIN(K$3,$D$2-1)))))</f>
        <v/>
      </c>
      <c r="L63" s="130">
        <f>IF(OR($C63="",$B$2="",$D$2=0),0,IF(L$3&lt;0,0,N(INDEX('CURVA PREVISION'!$A$1:$KZ$3000,$C63,11+3*MIN(L$3,$D$2-1)))))</f>
        <v/>
      </c>
      <c r="M63" s="130">
        <f>IF(OR($C63="",$B$2="",$D$2=0),0,IF(M$3&lt;0,0,N(INDEX('CURVA PREVISION'!$A$1:$KZ$3000,$C63,11+3*MIN(M$3,$D$2-1)))))</f>
        <v/>
      </c>
      <c r="N63" s="130">
        <f>IF(OR($C63="",$B$2="",$D$2=0),0,IF(N$3&lt;0,0,N(INDEX('CURVA PREVISION'!$A$1:$KZ$3000,$C63,11+3*MIN(N$3,$D$2-1)))))</f>
        <v/>
      </c>
      <c r="O63" s="130">
        <f>IF(OR($C63="",$B$2="",$D$2=0),0,IF(O$3&lt;0,0,N(INDEX('CURVA PREVISION'!$A$1:$KZ$3000,$C63,11+3*MIN(O$3,$D$2-1)))))</f>
        <v/>
      </c>
      <c r="P63" s="130">
        <f>IF(OR($C63="",$B$2="",$D$2=0),0,IF(P$3&lt;0,0,N(INDEX('CURVA PREVISION'!$A$1:$KZ$3000,$C63,11+3*MIN(P$3,$D$2-1)))))</f>
        <v/>
      </c>
      <c r="Q63" s="130">
        <f>IF(OR($C63="",$B$2="",$D$2=0),0,IF(Q$3&lt;0,0,N(INDEX('CURVA PREVISION'!$A$1:$KZ$3000,$C63,11+3*MIN(Q$3,$D$2-1)))))</f>
        <v/>
      </c>
      <c r="R63" s="130">
        <f>IF(OR($C63="",$B$2="",$D$2=0),0,IF(R$3&lt;0,0,N(INDEX('CURVA PREVISION'!$A$1:$KZ$3000,$C63,11+3*MIN(R$3,$D$2-1)))))</f>
        <v/>
      </c>
      <c r="S63" s="130">
        <f>IF(OR($C63="",$B$2="",$D$2=0),0,IF(S$3&lt;0,0,N(INDEX('CURVA PREVISION'!$A$1:$KZ$3000,$C63,11+3*MIN(S$3,$D$2-1)))))</f>
        <v/>
      </c>
      <c r="T63" s="130">
        <f>IF(OR($C63="",$B$2="",$D$2=0),0,IF(T$3&lt;0,0,N(INDEX('CURVA PREVISION'!$A$1:$KZ$3000,$C63,11+3*MIN(T$3,$D$2-1)))))</f>
        <v/>
      </c>
      <c r="U63" s="130">
        <f>IF(OR($C63="",$B$2="",$D$2=0),0,IF(U$3&lt;0,0,N(INDEX('CURVA PREVISION'!$A$1:$KZ$3000,$C63,11+3*MIN(U$3,$D$2-1)))))</f>
        <v/>
      </c>
      <c r="V63" s="130">
        <f>IF(OR($C63="",$B$2="",$D$2=0),0,IF(V$3&lt;0,0,N(INDEX('CURVA PREVISION'!$A$1:$KZ$3000,$C63,11+3*MIN(V$3,$D$2-1)))))</f>
        <v/>
      </c>
      <c r="W63" s="130">
        <f>IF(OR($C63="",$B$2="",$D$2=0),0,IF(W$3&lt;0,0,N(INDEX('CURVA PREVISION'!$A$1:$KZ$3000,$C63,11+3*MIN(W$3,$D$2-1)))))</f>
        <v/>
      </c>
      <c r="X63" s="130">
        <f>IF(OR($C63="",$B$2="",$D$2=0),0,IF(X$3&lt;0,0,N(INDEX('CURVA PREVISION'!$A$1:$KZ$3000,$C63,11+3*MIN(X$3,$D$2-1)))))</f>
        <v/>
      </c>
      <c r="Y63" s="130">
        <f>IF(OR($C63="",$B$2="",$D$2=0),0,IF(Y$3&lt;0,0,N(INDEX('CURVA PREVISION'!$A$1:$KZ$3000,$C63,11+3*MIN(Y$3,$D$2-1)))))</f>
        <v/>
      </c>
      <c r="Z63" s="130">
        <f>IF(OR($C63="",$B$2="",$D$2=0),0,IF(Z$3&lt;0,0,N(INDEX('CURVA PREVISION'!$A$1:$KZ$3000,$C63,11+3*MIN(Z$3,$D$2-1)))))</f>
        <v/>
      </c>
      <c r="AA63" s="130">
        <f>IF(OR($C63="",$B$2="",$D$2=0),0,IF(AA$3&lt;0,0,N(INDEX('CURVA PREVISION'!$A$1:$KZ$3000,$C63,11+3*MIN(AA$3,$D$2-1)))))</f>
        <v/>
      </c>
      <c r="AB63" s="130">
        <f>IF(OR($C63="",$B$2="",$D$2=0),0,IF(AB$3&lt;0,0,N(INDEX('CURVA PREVISION'!$A$1:$KZ$3000,$C63,11+3*MIN(AB$3,$D$2-1)))))</f>
        <v/>
      </c>
      <c r="AC63" s="130">
        <f>IF(OR($C63="",$B$2="",$D$2=0),0,IF(AC$3&lt;0,0,N(INDEX('CURVA PREVISION'!$A$1:$KZ$3000,$C63,11+3*MIN(AC$3,$D$2-1)))))</f>
        <v/>
      </c>
      <c r="AD63" s="130">
        <f>IF(OR($C63="",$B$2="",$D$2=0),0,IF(AD$3&lt;0,0,N(INDEX('CURVA PREVISION'!$A$1:$KZ$3000,$C63,11+3*MIN(AD$3,$D$2-1)))))</f>
        <v/>
      </c>
      <c r="AE63" s="130">
        <f>IF(OR($C63="",$B$2="",$D$2=0),0,IF(AE$3&lt;0,0,N(INDEX('CURVA PREVISION'!$A$1:$KZ$3000,$C63,11+3*MIN(AE$3,$D$2-1)))))</f>
        <v/>
      </c>
      <c r="AF63" s="130">
        <f>IF(OR($C63="",$B$2="",$D$2=0),0,IF(AF$3&lt;0,0,N(INDEX('CURVA PREVISION'!$A$1:$KZ$3000,$C63,11+3*MIN(AF$3,$D$2-1)))))</f>
        <v/>
      </c>
      <c r="AG63" s="130">
        <f>IF(OR($C63="",$B$2="",$D$2=0),0,IF(AG$3&lt;0,0,N(INDEX('CURVA PREVISION'!$A$1:$KZ$3000,$C63,11+3*MIN(AG$3,$D$2-1)))))</f>
        <v/>
      </c>
      <c r="AH63" s="130">
        <f>IF(OR($C63="",$B$2="",$D$2=0),0,IF(AH$3&lt;0,0,N(INDEX('CURVA PREVISION'!$A$1:$KZ$3000,$C63,11+3*MIN(AH$3,$D$2-1)))))</f>
        <v/>
      </c>
      <c r="AI63" s="130">
        <f>IF(OR($C63="",$B$2="",$D$2=0),0,IF(AI$3&lt;0,0,N(INDEX('CURVA PREVISION'!$A$1:$KZ$3000,$C63,11+3*MIN(AI$3,$D$2-1)))))</f>
        <v/>
      </c>
      <c r="AJ63" s="130">
        <f>IF(OR($C63="",$B$2="",$D$2=0),0,IF(AJ$3&lt;0,0,N(INDEX('CURVA PREVISION'!$A$1:$KZ$3000,$C63,11+3*MIN(AJ$3,$D$2-1)))))</f>
        <v/>
      </c>
      <c r="AK63" s="130">
        <f>IF(OR($C63="",$B$2="",$D$2=0),0,IF(AK$3&lt;0,0,N(INDEX('CURVA PREVISION'!$A$1:$KZ$3000,$C63,11+3*MIN(AK$3,$D$2-1)))))</f>
        <v/>
      </c>
      <c r="AL63" s="130">
        <f>IF(OR($C63="",$B$2="",$D$2=0),0,IF(AL$3&lt;0,0,N(INDEX('CURVA PREVISION'!$A$1:$KZ$3000,$C63,11+3*MIN(AL$3,$D$2-1)))))</f>
        <v/>
      </c>
      <c r="AM63" s="130">
        <f>IF(OR($C63="",$B$2="",$D$2=0),0,IF(AM$3&lt;0,0,N(INDEX('CURVA PREVISION'!$A$1:$KZ$3000,$C63,11+3*MIN(AM$3,$D$2-1)))))</f>
        <v/>
      </c>
      <c r="AN63" s="130">
        <f>IF(OR($C63="",$B$2="",$D$2=0),0,IF(AN$3&lt;0,0,N(INDEX('CURVA PREVISION'!$A$1:$KZ$3000,$C63,11+3*MIN(AN$3,$D$2-1)))))</f>
        <v/>
      </c>
      <c r="AO63" s="130">
        <f>IF(OR($C63="",$B$2="",$D$2=0),0,IF(AO$3&lt;0,0,N(INDEX('CURVA PREVISION'!$A$1:$KZ$3000,$C63,11+3*MIN(AO$3,$D$2-1)))))</f>
        <v/>
      </c>
      <c r="AP63" s="130">
        <f>IF(OR($C63="",$B$2="",$D$2=0),0,IF(AP$3&lt;0,0,N(INDEX('CURVA PREVISION'!$A$1:$KZ$3000,$C63,11+3*MIN(AP$3,$D$2-1)))))</f>
        <v/>
      </c>
      <c r="AQ63" s="130">
        <f>IF(OR($C63="",$B$2="",$D$2=0),0,IF(AQ$3&lt;0,0,N(INDEX('CURVA PREVISION'!$A$1:$KZ$3000,$C63,11+3*MIN(AQ$3,$D$2-1)))))</f>
        <v/>
      </c>
      <c r="AR63" s="130">
        <f>IF(OR($C63="",$B$2="",$D$2=0),0,IF(AR$3&lt;0,0,N(INDEX('CURVA PREVISION'!$A$1:$KZ$3000,$C63,11+3*MIN(AR$3,$D$2-1)))))</f>
        <v/>
      </c>
      <c r="AS63" s="130">
        <f>IF(OR($C63="",$B$2="",$D$2=0),0,IF(AS$3&lt;0,0,N(INDEX('CURVA PREVISION'!$A$1:$KZ$3000,$C63,11+3*MIN(AS$3,$D$2-1)))))</f>
        <v/>
      </c>
      <c r="AT63" s="130">
        <f>IF(OR($C63="",$B$2="",$D$2=0),0,IF(AT$3&lt;0,0,N(INDEX('CURVA PREVISION'!$A$1:$KZ$3000,$C63,11+3*MIN(AT$3,$D$2-1)))))</f>
        <v/>
      </c>
      <c r="AU63" s="130">
        <f>IF(OR($C63="",$B$2="",$D$2=0),0,IF(AU$3&lt;0,0,N(INDEX('CURVA PREVISION'!$A$1:$KZ$3000,$C63,11+3*MIN(AU$3,$D$2-1)))))</f>
        <v/>
      </c>
      <c r="AV63" s="130">
        <f>IF(OR($C63="",$B$2="",$D$2=0),0,IF(AV$3&lt;0,0,N(INDEX('CURVA PREVISION'!$A$1:$KZ$3000,$C63,11+3*MIN(AV$3,$D$2-1)))))</f>
        <v/>
      </c>
      <c r="AW63" s="130">
        <f>IF(OR($C63="",$B$2="",$D$2=0),0,IF(AW$3&lt;0,0,N(INDEX('CURVA PREVISION'!$A$1:$KZ$3000,$C63,11+3*MIN(AW$3,$D$2-1)))))</f>
        <v/>
      </c>
      <c r="AX63" s="130">
        <f>IF(OR($C63="",$B$2="",$D$2=0),0,IF(AX$3&lt;0,0,N(INDEX('CURVA PREVISION'!$A$1:$KZ$3000,$C63,11+3*MIN(AX$3,$D$2-1)))))</f>
        <v/>
      </c>
      <c r="AY63" s="130">
        <f>IF(OR($C63="",$B$2="",$D$2=0),0,IF(AY$3&lt;0,0,N(INDEX('CURVA PREVISION'!$A$1:$KZ$3000,$C63,11+3*MIN(AY$3,$D$2-1)))))</f>
        <v/>
      </c>
      <c r="AZ63" s="130">
        <f>IF(OR($C63="",$B$2="",$D$2=0),0,IF(AZ$3&lt;0,0,N(INDEX('CURVA PREVISION'!$A$1:$KZ$3000,$C63,11+3*MIN(AZ$3,$D$2-1)))))</f>
        <v/>
      </c>
      <c r="BA63" s="130">
        <f>IF(OR($C63="",$B$2="",$D$2=0),0,IF(BA$3&lt;0,0,N(INDEX('CURVA PREVISION'!$A$1:$KZ$3000,$C63,11+3*MIN(BA$3,$D$2-1)))))</f>
        <v/>
      </c>
      <c r="BB63" s="130">
        <f>IF(OR($C63="",$B$2="",$D$2=0),0,IF(BB$3&lt;0,0,N(INDEX('CURVA PREVISION'!$A$1:$KZ$3000,$C63,11+3*MIN(BB$3,$D$2-1)))))</f>
        <v/>
      </c>
      <c r="BC63" s="130">
        <f>IF(OR($C63="",$B$2="",$D$2=0),0,IF(BC$3&lt;0,0,N(INDEX('CURVA PREVISION'!$A$1:$KZ$3000,$C63,11+3*MIN(BC$3,$D$2-1)))))</f>
        <v/>
      </c>
      <c r="BD63" s="130">
        <f>IF(OR($C63="",$B$2="",$D$2=0),0,IF(BD$3&lt;0,0,N(INDEX('CURVA PREVISION'!$A$1:$KZ$3000,$C63,11+3*MIN(BD$3,$D$2-1)))))</f>
        <v/>
      </c>
      <c r="BE63" s="130">
        <f>IF(OR($C63="",$B$2="",$D$2=0),0,IF(BE$3&lt;0,0,N(INDEX('CURVA PREVISION'!$A$1:$KZ$3000,$C63,11+3*MIN(BE$3,$D$2-1)))))</f>
        <v/>
      </c>
      <c r="BF63" s="130">
        <f>IF(OR($C63="",$B$2="",$D$2=0),0,IF(BF$3&lt;0,0,N(INDEX('CURVA PREVISION'!$A$1:$KZ$3000,$C63,11+3*MIN(BF$3,$D$2-1)))))</f>
        <v/>
      </c>
      <c r="BG63" s="130">
        <f>IF(OR($C63="",$B$2="",$D$2=0),0,IF(BG$3&lt;0,0,N(INDEX('CURVA PREVISION'!$A$1:$KZ$3000,$C63,11+3*MIN(BG$3,$D$2-1)))))</f>
        <v/>
      </c>
      <c r="BH63" s="130">
        <f>IF(OR($C63="",$B$2="",$D$2=0),0,IF(BH$3&lt;0,0,N(INDEX('CURVA PREVISION'!$A$1:$KZ$3000,$C63,11+3*MIN(BH$3,$D$2-1)))))</f>
        <v/>
      </c>
      <c r="BI63" s="130">
        <f>IF(OR($C63="",$B$2="",$D$2=0),0,IF(BI$3&lt;0,0,N(INDEX('CURVA PREVISION'!$A$1:$KZ$3000,$C63,11+3*MIN(BI$3,$D$2-1)))))</f>
        <v/>
      </c>
      <c r="BJ63" s="130">
        <f>IF(OR($C63="",$B$2="",$D$2=0),0,IF(BJ$3&lt;0,0,N(INDEX('CURVA PREVISION'!$A$1:$KZ$3000,$C63,11+3*MIN(BJ$3,$D$2-1)))))</f>
        <v/>
      </c>
      <c r="BK63" s="130">
        <f>IF(OR($C63="",$B$2="",$D$2=0),0,IF(BK$3&lt;0,0,N(INDEX('CURVA PREVISION'!$A$1:$KZ$3000,$C63,11+3*MIN(BK$3,$D$2-1)))))</f>
        <v/>
      </c>
      <c r="BL63" s="130">
        <f>IF(OR($C63="",$B$2="",$D$2=0),0,IF(BL$3&lt;0,0,N(INDEX('CURVA PREVISION'!$A$1:$KZ$3000,$C63,11+3*MIN(BL$3,$D$2-1)))))</f>
        <v/>
      </c>
      <c r="BM63" s="130">
        <f>IF(OR($C63="",$B$2="",$D$2=0),0,IF(BM$3&lt;0,0,N(INDEX('CURVA PREVISION'!$A$1:$KZ$3000,$C63,11+3*MIN(BM$3,$D$2-1)))))</f>
        <v/>
      </c>
      <c r="BN63" s="130">
        <f>IF(OR($C63="",$B$2="",$D$2=0),0,IF(BN$3&lt;0,0,N(INDEX('CURVA PREVISION'!$A$1:$KZ$3000,$C63,11+3*MIN(BN$3,$D$2-1)))))</f>
        <v/>
      </c>
      <c r="BO63" s="130">
        <f>IF(OR($C63="",$B$2="",$D$2=0),0,IF(BO$3&lt;0,0,N(INDEX('CURVA PREVISION'!$A$1:$KZ$3000,$C63,11+3*MIN(BO$3,$D$2-1)))))</f>
        <v/>
      </c>
      <c r="BP63" s="130">
        <f>IF(OR($C63="",$B$2="",$D$2=0),0,IF(BP$3&lt;0,0,N(INDEX('CURVA PREVISION'!$A$1:$KZ$3000,$C63,11+3*MIN(BP$3,$D$2-1)))))</f>
        <v/>
      </c>
      <c r="BQ63" s="130">
        <f>IF(OR($C63="",$B$2="",$D$2=0),0,IF(BQ$3&lt;0,0,N(INDEX('CURVA PREVISION'!$A$1:$KZ$3000,$C63,11+3*MIN(BQ$3,$D$2-1)))))</f>
        <v/>
      </c>
      <c r="BR63" s="130">
        <f>IF(OR($C63="",$B$2="",$D$2=0),0,IF(BR$3&lt;0,0,N(INDEX('CURVA PREVISION'!$A$1:$KZ$3000,$C63,11+3*MIN(BR$3,$D$2-1)))))</f>
        <v/>
      </c>
      <c r="BS63" s="130">
        <f>IF(OR($C63="",$B$2="",$D$2=0),0,IF(BS$3&lt;0,0,N(INDEX('CURVA PREVISION'!$A$1:$KZ$3000,$C63,11+3*MIN(BS$3,$D$2-1)))))</f>
        <v/>
      </c>
      <c r="BT63" s="130">
        <f>IF(OR($C63="",$B$2="",$D$2=0),0,IF(BT$3&lt;0,0,N(INDEX('CURVA PREVISION'!$A$1:$KZ$3000,$C63,11+3*MIN(BT$3,$D$2-1)))))</f>
        <v/>
      </c>
      <c r="BU63" s="130">
        <f>IF(OR($C63="",$B$2="",$D$2=0),0,IF(BU$3&lt;0,0,N(INDEX('CURVA PREVISION'!$A$1:$KZ$3000,$C63,11+3*MIN(BU$3,$D$2-1)))))</f>
        <v/>
      </c>
      <c r="BV63" s="130">
        <f>IF(OR($C63="",$B$2="",$D$2=0),0,IF(BV$3&lt;0,0,N(INDEX('CURVA PREVISION'!$A$1:$KZ$3000,$C63,11+3*MIN(BV$3,$D$2-1)))))</f>
        <v/>
      </c>
      <c r="BW63" s="130">
        <f>IF(OR($C63="",$B$2="",$D$2=0),0,IF(BW$3&lt;0,0,N(INDEX('CURVA PREVISION'!$A$1:$KZ$3000,$C63,11+3*MIN(BW$3,$D$2-1)))))</f>
        <v/>
      </c>
    </row>
    <row r="64">
      <c r="A64" s="61">
        <f>IF('VALOR POR PL'!Q28="",'VALOR POR PL'!C28,'VALOR POR PL'!Q28)</f>
        <v/>
      </c>
      <c r="B64" s="51">
        <f>B22</f>
        <v/>
      </c>
      <c r="C64" s="70">
        <f>IFERROR(MATCH(A64,'CURVA PREVISION'!$B$1:$B$3000,0),"")</f>
        <v/>
      </c>
      <c r="D64" s="130">
        <f>IF(OR($C64="",$B$2="",$D$2=0),0,IF(D$3&lt;0,0,N(INDEX('CURVA PREVISION'!$A$1:$KZ$3000,$C64,11+3*MIN(D$3,$D$2-1)))))</f>
        <v/>
      </c>
      <c r="E64" s="130">
        <f>IF(OR($C64="",$B$2="",$D$2=0),0,IF(E$3&lt;0,0,N(INDEX('CURVA PREVISION'!$A$1:$KZ$3000,$C64,11+3*MIN(E$3,$D$2-1)))))</f>
        <v/>
      </c>
      <c r="F64" s="130">
        <f>IF(OR($C64="",$B$2="",$D$2=0),0,IF(F$3&lt;0,0,N(INDEX('CURVA PREVISION'!$A$1:$KZ$3000,$C64,11+3*MIN(F$3,$D$2-1)))))</f>
        <v/>
      </c>
      <c r="G64" s="130">
        <f>IF(OR($C64="",$B$2="",$D$2=0),0,IF(G$3&lt;0,0,N(INDEX('CURVA PREVISION'!$A$1:$KZ$3000,$C64,11+3*MIN(G$3,$D$2-1)))))</f>
        <v/>
      </c>
      <c r="H64" s="130">
        <f>IF(OR($C64="",$B$2="",$D$2=0),0,IF(H$3&lt;0,0,N(INDEX('CURVA PREVISION'!$A$1:$KZ$3000,$C64,11+3*MIN(H$3,$D$2-1)))))</f>
        <v/>
      </c>
      <c r="I64" s="130">
        <f>IF(OR($C64="",$B$2="",$D$2=0),0,IF(I$3&lt;0,0,N(INDEX('CURVA PREVISION'!$A$1:$KZ$3000,$C64,11+3*MIN(I$3,$D$2-1)))))</f>
        <v/>
      </c>
      <c r="J64" s="130">
        <f>IF(OR($C64="",$B$2="",$D$2=0),0,IF(J$3&lt;0,0,N(INDEX('CURVA PREVISION'!$A$1:$KZ$3000,$C64,11+3*MIN(J$3,$D$2-1)))))</f>
        <v/>
      </c>
      <c r="K64" s="130">
        <f>IF(OR($C64="",$B$2="",$D$2=0),0,IF(K$3&lt;0,0,N(INDEX('CURVA PREVISION'!$A$1:$KZ$3000,$C64,11+3*MIN(K$3,$D$2-1)))))</f>
        <v/>
      </c>
      <c r="L64" s="130">
        <f>IF(OR($C64="",$B$2="",$D$2=0),0,IF(L$3&lt;0,0,N(INDEX('CURVA PREVISION'!$A$1:$KZ$3000,$C64,11+3*MIN(L$3,$D$2-1)))))</f>
        <v/>
      </c>
      <c r="M64" s="130">
        <f>IF(OR($C64="",$B$2="",$D$2=0),0,IF(M$3&lt;0,0,N(INDEX('CURVA PREVISION'!$A$1:$KZ$3000,$C64,11+3*MIN(M$3,$D$2-1)))))</f>
        <v/>
      </c>
      <c r="N64" s="130">
        <f>IF(OR($C64="",$B$2="",$D$2=0),0,IF(N$3&lt;0,0,N(INDEX('CURVA PREVISION'!$A$1:$KZ$3000,$C64,11+3*MIN(N$3,$D$2-1)))))</f>
        <v/>
      </c>
      <c r="O64" s="130">
        <f>IF(OR($C64="",$B$2="",$D$2=0),0,IF(O$3&lt;0,0,N(INDEX('CURVA PREVISION'!$A$1:$KZ$3000,$C64,11+3*MIN(O$3,$D$2-1)))))</f>
        <v/>
      </c>
      <c r="P64" s="130">
        <f>IF(OR($C64="",$B$2="",$D$2=0),0,IF(P$3&lt;0,0,N(INDEX('CURVA PREVISION'!$A$1:$KZ$3000,$C64,11+3*MIN(P$3,$D$2-1)))))</f>
        <v/>
      </c>
      <c r="Q64" s="130">
        <f>IF(OR($C64="",$B$2="",$D$2=0),0,IF(Q$3&lt;0,0,N(INDEX('CURVA PREVISION'!$A$1:$KZ$3000,$C64,11+3*MIN(Q$3,$D$2-1)))))</f>
        <v/>
      </c>
      <c r="R64" s="130">
        <f>IF(OR($C64="",$B$2="",$D$2=0),0,IF(R$3&lt;0,0,N(INDEX('CURVA PREVISION'!$A$1:$KZ$3000,$C64,11+3*MIN(R$3,$D$2-1)))))</f>
        <v/>
      </c>
      <c r="S64" s="130">
        <f>IF(OR($C64="",$B$2="",$D$2=0),0,IF(S$3&lt;0,0,N(INDEX('CURVA PREVISION'!$A$1:$KZ$3000,$C64,11+3*MIN(S$3,$D$2-1)))))</f>
        <v/>
      </c>
      <c r="T64" s="130">
        <f>IF(OR($C64="",$B$2="",$D$2=0),0,IF(T$3&lt;0,0,N(INDEX('CURVA PREVISION'!$A$1:$KZ$3000,$C64,11+3*MIN(T$3,$D$2-1)))))</f>
        <v/>
      </c>
      <c r="U64" s="130">
        <f>IF(OR($C64="",$B$2="",$D$2=0),0,IF(U$3&lt;0,0,N(INDEX('CURVA PREVISION'!$A$1:$KZ$3000,$C64,11+3*MIN(U$3,$D$2-1)))))</f>
        <v/>
      </c>
      <c r="V64" s="130">
        <f>IF(OR($C64="",$B$2="",$D$2=0),0,IF(V$3&lt;0,0,N(INDEX('CURVA PREVISION'!$A$1:$KZ$3000,$C64,11+3*MIN(V$3,$D$2-1)))))</f>
        <v/>
      </c>
      <c r="W64" s="130">
        <f>IF(OR($C64="",$B$2="",$D$2=0),0,IF(W$3&lt;0,0,N(INDEX('CURVA PREVISION'!$A$1:$KZ$3000,$C64,11+3*MIN(W$3,$D$2-1)))))</f>
        <v/>
      </c>
      <c r="X64" s="130">
        <f>IF(OR($C64="",$B$2="",$D$2=0),0,IF(X$3&lt;0,0,N(INDEX('CURVA PREVISION'!$A$1:$KZ$3000,$C64,11+3*MIN(X$3,$D$2-1)))))</f>
        <v/>
      </c>
      <c r="Y64" s="130">
        <f>IF(OR($C64="",$B$2="",$D$2=0),0,IF(Y$3&lt;0,0,N(INDEX('CURVA PREVISION'!$A$1:$KZ$3000,$C64,11+3*MIN(Y$3,$D$2-1)))))</f>
        <v/>
      </c>
      <c r="Z64" s="130">
        <f>IF(OR($C64="",$B$2="",$D$2=0),0,IF(Z$3&lt;0,0,N(INDEX('CURVA PREVISION'!$A$1:$KZ$3000,$C64,11+3*MIN(Z$3,$D$2-1)))))</f>
        <v/>
      </c>
      <c r="AA64" s="130">
        <f>IF(OR($C64="",$B$2="",$D$2=0),0,IF(AA$3&lt;0,0,N(INDEX('CURVA PREVISION'!$A$1:$KZ$3000,$C64,11+3*MIN(AA$3,$D$2-1)))))</f>
        <v/>
      </c>
      <c r="AB64" s="130">
        <f>IF(OR($C64="",$B$2="",$D$2=0),0,IF(AB$3&lt;0,0,N(INDEX('CURVA PREVISION'!$A$1:$KZ$3000,$C64,11+3*MIN(AB$3,$D$2-1)))))</f>
        <v/>
      </c>
      <c r="AC64" s="130">
        <f>IF(OR($C64="",$B$2="",$D$2=0),0,IF(AC$3&lt;0,0,N(INDEX('CURVA PREVISION'!$A$1:$KZ$3000,$C64,11+3*MIN(AC$3,$D$2-1)))))</f>
        <v/>
      </c>
      <c r="AD64" s="130">
        <f>IF(OR($C64="",$B$2="",$D$2=0),0,IF(AD$3&lt;0,0,N(INDEX('CURVA PREVISION'!$A$1:$KZ$3000,$C64,11+3*MIN(AD$3,$D$2-1)))))</f>
        <v/>
      </c>
      <c r="AE64" s="130">
        <f>IF(OR($C64="",$B$2="",$D$2=0),0,IF(AE$3&lt;0,0,N(INDEX('CURVA PREVISION'!$A$1:$KZ$3000,$C64,11+3*MIN(AE$3,$D$2-1)))))</f>
        <v/>
      </c>
      <c r="AF64" s="130">
        <f>IF(OR($C64="",$B$2="",$D$2=0),0,IF(AF$3&lt;0,0,N(INDEX('CURVA PREVISION'!$A$1:$KZ$3000,$C64,11+3*MIN(AF$3,$D$2-1)))))</f>
        <v/>
      </c>
      <c r="AG64" s="130">
        <f>IF(OR($C64="",$B$2="",$D$2=0),0,IF(AG$3&lt;0,0,N(INDEX('CURVA PREVISION'!$A$1:$KZ$3000,$C64,11+3*MIN(AG$3,$D$2-1)))))</f>
        <v/>
      </c>
      <c r="AH64" s="130">
        <f>IF(OR($C64="",$B$2="",$D$2=0),0,IF(AH$3&lt;0,0,N(INDEX('CURVA PREVISION'!$A$1:$KZ$3000,$C64,11+3*MIN(AH$3,$D$2-1)))))</f>
        <v/>
      </c>
      <c r="AI64" s="130">
        <f>IF(OR($C64="",$B$2="",$D$2=0),0,IF(AI$3&lt;0,0,N(INDEX('CURVA PREVISION'!$A$1:$KZ$3000,$C64,11+3*MIN(AI$3,$D$2-1)))))</f>
        <v/>
      </c>
      <c r="AJ64" s="130">
        <f>IF(OR($C64="",$B$2="",$D$2=0),0,IF(AJ$3&lt;0,0,N(INDEX('CURVA PREVISION'!$A$1:$KZ$3000,$C64,11+3*MIN(AJ$3,$D$2-1)))))</f>
        <v/>
      </c>
      <c r="AK64" s="130">
        <f>IF(OR($C64="",$B$2="",$D$2=0),0,IF(AK$3&lt;0,0,N(INDEX('CURVA PREVISION'!$A$1:$KZ$3000,$C64,11+3*MIN(AK$3,$D$2-1)))))</f>
        <v/>
      </c>
      <c r="AL64" s="130">
        <f>IF(OR($C64="",$B$2="",$D$2=0),0,IF(AL$3&lt;0,0,N(INDEX('CURVA PREVISION'!$A$1:$KZ$3000,$C64,11+3*MIN(AL$3,$D$2-1)))))</f>
        <v/>
      </c>
      <c r="AM64" s="130">
        <f>IF(OR($C64="",$B$2="",$D$2=0),0,IF(AM$3&lt;0,0,N(INDEX('CURVA PREVISION'!$A$1:$KZ$3000,$C64,11+3*MIN(AM$3,$D$2-1)))))</f>
        <v/>
      </c>
      <c r="AN64" s="130">
        <f>IF(OR($C64="",$B$2="",$D$2=0),0,IF(AN$3&lt;0,0,N(INDEX('CURVA PREVISION'!$A$1:$KZ$3000,$C64,11+3*MIN(AN$3,$D$2-1)))))</f>
        <v/>
      </c>
      <c r="AO64" s="130">
        <f>IF(OR($C64="",$B$2="",$D$2=0),0,IF(AO$3&lt;0,0,N(INDEX('CURVA PREVISION'!$A$1:$KZ$3000,$C64,11+3*MIN(AO$3,$D$2-1)))))</f>
        <v/>
      </c>
      <c r="AP64" s="130">
        <f>IF(OR($C64="",$B$2="",$D$2=0),0,IF(AP$3&lt;0,0,N(INDEX('CURVA PREVISION'!$A$1:$KZ$3000,$C64,11+3*MIN(AP$3,$D$2-1)))))</f>
        <v/>
      </c>
      <c r="AQ64" s="130">
        <f>IF(OR($C64="",$B$2="",$D$2=0),0,IF(AQ$3&lt;0,0,N(INDEX('CURVA PREVISION'!$A$1:$KZ$3000,$C64,11+3*MIN(AQ$3,$D$2-1)))))</f>
        <v/>
      </c>
      <c r="AR64" s="130">
        <f>IF(OR($C64="",$B$2="",$D$2=0),0,IF(AR$3&lt;0,0,N(INDEX('CURVA PREVISION'!$A$1:$KZ$3000,$C64,11+3*MIN(AR$3,$D$2-1)))))</f>
        <v/>
      </c>
      <c r="AS64" s="130">
        <f>IF(OR($C64="",$B$2="",$D$2=0),0,IF(AS$3&lt;0,0,N(INDEX('CURVA PREVISION'!$A$1:$KZ$3000,$C64,11+3*MIN(AS$3,$D$2-1)))))</f>
        <v/>
      </c>
      <c r="AT64" s="130">
        <f>IF(OR($C64="",$B$2="",$D$2=0),0,IF(AT$3&lt;0,0,N(INDEX('CURVA PREVISION'!$A$1:$KZ$3000,$C64,11+3*MIN(AT$3,$D$2-1)))))</f>
        <v/>
      </c>
      <c r="AU64" s="130">
        <f>IF(OR($C64="",$B$2="",$D$2=0),0,IF(AU$3&lt;0,0,N(INDEX('CURVA PREVISION'!$A$1:$KZ$3000,$C64,11+3*MIN(AU$3,$D$2-1)))))</f>
        <v/>
      </c>
      <c r="AV64" s="130">
        <f>IF(OR($C64="",$B$2="",$D$2=0),0,IF(AV$3&lt;0,0,N(INDEX('CURVA PREVISION'!$A$1:$KZ$3000,$C64,11+3*MIN(AV$3,$D$2-1)))))</f>
        <v/>
      </c>
      <c r="AW64" s="130">
        <f>IF(OR($C64="",$B$2="",$D$2=0),0,IF(AW$3&lt;0,0,N(INDEX('CURVA PREVISION'!$A$1:$KZ$3000,$C64,11+3*MIN(AW$3,$D$2-1)))))</f>
        <v/>
      </c>
      <c r="AX64" s="130">
        <f>IF(OR($C64="",$B$2="",$D$2=0),0,IF(AX$3&lt;0,0,N(INDEX('CURVA PREVISION'!$A$1:$KZ$3000,$C64,11+3*MIN(AX$3,$D$2-1)))))</f>
        <v/>
      </c>
      <c r="AY64" s="130">
        <f>IF(OR($C64="",$B$2="",$D$2=0),0,IF(AY$3&lt;0,0,N(INDEX('CURVA PREVISION'!$A$1:$KZ$3000,$C64,11+3*MIN(AY$3,$D$2-1)))))</f>
        <v/>
      </c>
      <c r="AZ64" s="130">
        <f>IF(OR($C64="",$B$2="",$D$2=0),0,IF(AZ$3&lt;0,0,N(INDEX('CURVA PREVISION'!$A$1:$KZ$3000,$C64,11+3*MIN(AZ$3,$D$2-1)))))</f>
        <v/>
      </c>
      <c r="BA64" s="130">
        <f>IF(OR($C64="",$B$2="",$D$2=0),0,IF(BA$3&lt;0,0,N(INDEX('CURVA PREVISION'!$A$1:$KZ$3000,$C64,11+3*MIN(BA$3,$D$2-1)))))</f>
        <v/>
      </c>
      <c r="BB64" s="130">
        <f>IF(OR($C64="",$B$2="",$D$2=0),0,IF(BB$3&lt;0,0,N(INDEX('CURVA PREVISION'!$A$1:$KZ$3000,$C64,11+3*MIN(BB$3,$D$2-1)))))</f>
        <v/>
      </c>
      <c r="BC64" s="130">
        <f>IF(OR($C64="",$B$2="",$D$2=0),0,IF(BC$3&lt;0,0,N(INDEX('CURVA PREVISION'!$A$1:$KZ$3000,$C64,11+3*MIN(BC$3,$D$2-1)))))</f>
        <v/>
      </c>
      <c r="BD64" s="130">
        <f>IF(OR($C64="",$B$2="",$D$2=0),0,IF(BD$3&lt;0,0,N(INDEX('CURVA PREVISION'!$A$1:$KZ$3000,$C64,11+3*MIN(BD$3,$D$2-1)))))</f>
        <v/>
      </c>
      <c r="BE64" s="130">
        <f>IF(OR($C64="",$B$2="",$D$2=0),0,IF(BE$3&lt;0,0,N(INDEX('CURVA PREVISION'!$A$1:$KZ$3000,$C64,11+3*MIN(BE$3,$D$2-1)))))</f>
        <v/>
      </c>
      <c r="BF64" s="130">
        <f>IF(OR($C64="",$B$2="",$D$2=0),0,IF(BF$3&lt;0,0,N(INDEX('CURVA PREVISION'!$A$1:$KZ$3000,$C64,11+3*MIN(BF$3,$D$2-1)))))</f>
        <v/>
      </c>
      <c r="BG64" s="130">
        <f>IF(OR($C64="",$B$2="",$D$2=0),0,IF(BG$3&lt;0,0,N(INDEX('CURVA PREVISION'!$A$1:$KZ$3000,$C64,11+3*MIN(BG$3,$D$2-1)))))</f>
        <v/>
      </c>
      <c r="BH64" s="130">
        <f>IF(OR($C64="",$B$2="",$D$2=0),0,IF(BH$3&lt;0,0,N(INDEX('CURVA PREVISION'!$A$1:$KZ$3000,$C64,11+3*MIN(BH$3,$D$2-1)))))</f>
        <v/>
      </c>
      <c r="BI64" s="130">
        <f>IF(OR($C64="",$B$2="",$D$2=0),0,IF(BI$3&lt;0,0,N(INDEX('CURVA PREVISION'!$A$1:$KZ$3000,$C64,11+3*MIN(BI$3,$D$2-1)))))</f>
        <v/>
      </c>
      <c r="BJ64" s="130">
        <f>IF(OR($C64="",$B$2="",$D$2=0),0,IF(BJ$3&lt;0,0,N(INDEX('CURVA PREVISION'!$A$1:$KZ$3000,$C64,11+3*MIN(BJ$3,$D$2-1)))))</f>
        <v/>
      </c>
      <c r="BK64" s="130">
        <f>IF(OR($C64="",$B$2="",$D$2=0),0,IF(BK$3&lt;0,0,N(INDEX('CURVA PREVISION'!$A$1:$KZ$3000,$C64,11+3*MIN(BK$3,$D$2-1)))))</f>
        <v/>
      </c>
      <c r="BL64" s="130">
        <f>IF(OR($C64="",$B$2="",$D$2=0),0,IF(BL$3&lt;0,0,N(INDEX('CURVA PREVISION'!$A$1:$KZ$3000,$C64,11+3*MIN(BL$3,$D$2-1)))))</f>
        <v/>
      </c>
      <c r="BM64" s="130">
        <f>IF(OR($C64="",$B$2="",$D$2=0),0,IF(BM$3&lt;0,0,N(INDEX('CURVA PREVISION'!$A$1:$KZ$3000,$C64,11+3*MIN(BM$3,$D$2-1)))))</f>
        <v/>
      </c>
      <c r="BN64" s="130">
        <f>IF(OR($C64="",$B$2="",$D$2=0),0,IF(BN$3&lt;0,0,N(INDEX('CURVA PREVISION'!$A$1:$KZ$3000,$C64,11+3*MIN(BN$3,$D$2-1)))))</f>
        <v/>
      </c>
      <c r="BO64" s="130">
        <f>IF(OR($C64="",$B$2="",$D$2=0),0,IF(BO$3&lt;0,0,N(INDEX('CURVA PREVISION'!$A$1:$KZ$3000,$C64,11+3*MIN(BO$3,$D$2-1)))))</f>
        <v/>
      </c>
      <c r="BP64" s="130">
        <f>IF(OR($C64="",$B$2="",$D$2=0),0,IF(BP$3&lt;0,0,N(INDEX('CURVA PREVISION'!$A$1:$KZ$3000,$C64,11+3*MIN(BP$3,$D$2-1)))))</f>
        <v/>
      </c>
      <c r="BQ64" s="130">
        <f>IF(OR($C64="",$B$2="",$D$2=0),0,IF(BQ$3&lt;0,0,N(INDEX('CURVA PREVISION'!$A$1:$KZ$3000,$C64,11+3*MIN(BQ$3,$D$2-1)))))</f>
        <v/>
      </c>
      <c r="BR64" s="130">
        <f>IF(OR($C64="",$B$2="",$D$2=0),0,IF(BR$3&lt;0,0,N(INDEX('CURVA PREVISION'!$A$1:$KZ$3000,$C64,11+3*MIN(BR$3,$D$2-1)))))</f>
        <v/>
      </c>
      <c r="BS64" s="130">
        <f>IF(OR($C64="",$B$2="",$D$2=0),0,IF(BS$3&lt;0,0,N(INDEX('CURVA PREVISION'!$A$1:$KZ$3000,$C64,11+3*MIN(BS$3,$D$2-1)))))</f>
        <v/>
      </c>
      <c r="BT64" s="130">
        <f>IF(OR($C64="",$B$2="",$D$2=0),0,IF(BT$3&lt;0,0,N(INDEX('CURVA PREVISION'!$A$1:$KZ$3000,$C64,11+3*MIN(BT$3,$D$2-1)))))</f>
        <v/>
      </c>
      <c r="BU64" s="130">
        <f>IF(OR($C64="",$B$2="",$D$2=0),0,IF(BU$3&lt;0,0,N(INDEX('CURVA PREVISION'!$A$1:$KZ$3000,$C64,11+3*MIN(BU$3,$D$2-1)))))</f>
        <v/>
      </c>
      <c r="BV64" s="130">
        <f>IF(OR($C64="",$B$2="",$D$2=0),0,IF(BV$3&lt;0,0,N(INDEX('CURVA PREVISION'!$A$1:$KZ$3000,$C64,11+3*MIN(BV$3,$D$2-1)))))</f>
        <v/>
      </c>
      <c r="BW64" s="130">
        <f>IF(OR($C64="",$B$2="",$D$2=0),0,IF(BW$3&lt;0,0,N(INDEX('CURVA PREVISION'!$A$1:$KZ$3000,$C64,11+3*MIN(BW$3,$D$2-1)))))</f>
        <v/>
      </c>
    </row>
    <row r="65">
      <c r="A65" s="61">
        <f>IF('VALOR POR PL'!Q29="",'VALOR POR PL'!C29,'VALOR POR PL'!Q29)</f>
        <v/>
      </c>
      <c r="B65" s="51">
        <f>B23</f>
        <v/>
      </c>
      <c r="C65" s="70">
        <f>IFERROR(MATCH(A65,'CURVA PREVISION'!$B$1:$B$3000,0),"")</f>
        <v/>
      </c>
      <c r="D65" s="130">
        <f>IF(OR($C65="",$B$2="",$D$2=0),0,IF(D$3&lt;0,0,N(INDEX('CURVA PREVISION'!$A$1:$KZ$3000,$C65,11+3*MIN(D$3,$D$2-1)))))</f>
        <v/>
      </c>
      <c r="E65" s="130">
        <f>IF(OR($C65="",$B$2="",$D$2=0),0,IF(E$3&lt;0,0,N(INDEX('CURVA PREVISION'!$A$1:$KZ$3000,$C65,11+3*MIN(E$3,$D$2-1)))))</f>
        <v/>
      </c>
      <c r="F65" s="130">
        <f>IF(OR($C65="",$B$2="",$D$2=0),0,IF(F$3&lt;0,0,N(INDEX('CURVA PREVISION'!$A$1:$KZ$3000,$C65,11+3*MIN(F$3,$D$2-1)))))</f>
        <v/>
      </c>
      <c r="G65" s="130">
        <f>IF(OR($C65="",$B$2="",$D$2=0),0,IF(G$3&lt;0,0,N(INDEX('CURVA PREVISION'!$A$1:$KZ$3000,$C65,11+3*MIN(G$3,$D$2-1)))))</f>
        <v/>
      </c>
      <c r="H65" s="130">
        <f>IF(OR($C65="",$B$2="",$D$2=0),0,IF(H$3&lt;0,0,N(INDEX('CURVA PREVISION'!$A$1:$KZ$3000,$C65,11+3*MIN(H$3,$D$2-1)))))</f>
        <v/>
      </c>
      <c r="I65" s="130">
        <f>IF(OR($C65="",$B$2="",$D$2=0),0,IF(I$3&lt;0,0,N(INDEX('CURVA PREVISION'!$A$1:$KZ$3000,$C65,11+3*MIN(I$3,$D$2-1)))))</f>
        <v/>
      </c>
      <c r="J65" s="130">
        <f>IF(OR($C65="",$B$2="",$D$2=0),0,IF(J$3&lt;0,0,N(INDEX('CURVA PREVISION'!$A$1:$KZ$3000,$C65,11+3*MIN(J$3,$D$2-1)))))</f>
        <v/>
      </c>
      <c r="K65" s="130">
        <f>IF(OR($C65="",$B$2="",$D$2=0),0,IF(K$3&lt;0,0,N(INDEX('CURVA PREVISION'!$A$1:$KZ$3000,$C65,11+3*MIN(K$3,$D$2-1)))))</f>
        <v/>
      </c>
      <c r="L65" s="130">
        <f>IF(OR($C65="",$B$2="",$D$2=0),0,IF(L$3&lt;0,0,N(INDEX('CURVA PREVISION'!$A$1:$KZ$3000,$C65,11+3*MIN(L$3,$D$2-1)))))</f>
        <v/>
      </c>
      <c r="M65" s="130">
        <f>IF(OR($C65="",$B$2="",$D$2=0),0,IF(M$3&lt;0,0,N(INDEX('CURVA PREVISION'!$A$1:$KZ$3000,$C65,11+3*MIN(M$3,$D$2-1)))))</f>
        <v/>
      </c>
      <c r="N65" s="130">
        <f>IF(OR($C65="",$B$2="",$D$2=0),0,IF(N$3&lt;0,0,N(INDEX('CURVA PREVISION'!$A$1:$KZ$3000,$C65,11+3*MIN(N$3,$D$2-1)))))</f>
        <v/>
      </c>
      <c r="O65" s="130">
        <f>IF(OR($C65="",$B$2="",$D$2=0),0,IF(O$3&lt;0,0,N(INDEX('CURVA PREVISION'!$A$1:$KZ$3000,$C65,11+3*MIN(O$3,$D$2-1)))))</f>
        <v/>
      </c>
      <c r="P65" s="130">
        <f>IF(OR($C65="",$B$2="",$D$2=0),0,IF(P$3&lt;0,0,N(INDEX('CURVA PREVISION'!$A$1:$KZ$3000,$C65,11+3*MIN(P$3,$D$2-1)))))</f>
        <v/>
      </c>
      <c r="Q65" s="130">
        <f>IF(OR($C65="",$B$2="",$D$2=0),0,IF(Q$3&lt;0,0,N(INDEX('CURVA PREVISION'!$A$1:$KZ$3000,$C65,11+3*MIN(Q$3,$D$2-1)))))</f>
        <v/>
      </c>
      <c r="R65" s="130">
        <f>IF(OR($C65="",$B$2="",$D$2=0),0,IF(R$3&lt;0,0,N(INDEX('CURVA PREVISION'!$A$1:$KZ$3000,$C65,11+3*MIN(R$3,$D$2-1)))))</f>
        <v/>
      </c>
      <c r="S65" s="130">
        <f>IF(OR($C65="",$B$2="",$D$2=0),0,IF(S$3&lt;0,0,N(INDEX('CURVA PREVISION'!$A$1:$KZ$3000,$C65,11+3*MIN(S$3,$D$2-1)))))</f>
        <v/>
      </c>
      <c r="T65" s="130">
        <f>IF(OR($C65="",$B$2="",$D$2=0),0,IF(T$3&lt;0,0,N(INDEX('CURVA PREVISION'!$A$1:$KZ$3000,$C65,11+3*MIN(T$3,$D$2-1)))))</f>
        <v/>
      </c>
      <c r="U65" s="130">
        <f>IF(OR($C65="",$B$2="",$D$2=0),0,IF(U$3&lt;0,0,N(INDEX('CURVA PREVISION'!$A$1:$KZ$3000,$C65,11+3*MIN(U$3,$D$2-1)))))</f>
        <v/>
      </c>
      <c r="V65" s="130">
        <f>IF(OR($C65="",$B$2="",$D$2=0),0,IF(V$3&lt;0,0,N(INDEX('CURVA PREVISION'!$A$1:$KZ$3000,$C65,11+3*MIN(V$3,$D$2-1)))))</f>
        <v/>
      </c>
      <c r="W65" s="130">
        <f>IF(OR($C65="",$B$2="",$D$2=0),0,IF(W$3&lt;0,0,N(INDEX('CURVA PREVISION'!$A$1:$KZ$3000,$C65,11+3*MIN(W$3,$D$2-1)))))</f>
        <v/>
      </c>
      <c r="X65" s="130">
        <f>IF(OR($C65="",$B$2="",$D$2=0),0,IF(X$3&lt;0,0,N(INDEX('CURVA PREVISION'!$A$1:$KZ$3000,$C65,11+3*MIN(X$3,$D$2-1)))))</f>
        <v/>
      </c>
      <c r="Y65" s="130">
        <f>IF(OR($C65="",$B$2="",$D$2=0),0,IF(Y$3&lt;0,0,N(INDEX('CURVA PREVISION'!$A$1:$KZ$3000,$C65,11+3*MIN(Y$3,$D$2-1)))))</f>
        <v/>
      </c>
      <c r="Z65" s="130">
        <f>IF(OR($C65="",$B$2="",$D$2=0),0,IF(Z$3&lt;0,0,N(INDEX('CURVA PREVISION'!$A$1:$KZ$3000,$C65,11+3*MIN(Z$3,$D$2-1)))))</f>
        <v/>
      </c>
      <c r="AA65" s="130">
        <f>IF(OR($C65="",$B$2="",$D$2=0),0,IF(AA$3&lt;0,0,N(INDEX('CURVA PREVISION'!$A$1:$KZ$3000,$C65,11+3*MIN(AA$3,$D$2-1)))))</f>
        <v/>
      </c>
      <c r="AB65" s="130">
        <f>IF(OR($C65="",$B$2="",$D$2=0),0,IF(AB$3&lt;0,0,N(INDEX('CURVA PREVISION'!$A$1:$KZ$3000,$C65,11+3*MIN(AB$3,$D$2-1)))))</f>
        <v/>
      </c>
      <c r="AC65" s="130">
        <f>IF(OR($C65="",$B$2="",$D$2=0),0,IF(AC$3&lt;0,0,N(INDEX('CURVA PREVISION'!$A$1:$KZ$3000,$C65,11+3*MIN(AC$3,$D$2-1)))))</f>
        <v/>
      </c>
      <c r="AD65" s="130">
        <f>IF(OR($C65="",$B$2="",$D$2=0),0,IF(AD$3&lt;0,0,N(INDEX('CURVA PREVISION'!$A$1:$KZ$3000,$C65,11+3*MIN(AD$3,$D$2-1)))))</f>
        <v/>
      </c>
      <c r="AE65" s="130">
        <f>IF(OR($C65="",$B$2="",$D$2=0),0,IF(AE$3&lt;0,0,N(INDEX('CURVA PREVISION'!$A$1:$KZ$3000,$C65,11+3*MIN(AE$3,$D$2-1)))))</f>
        <v/>
      </c>
      <c r="AF65" s="130">
        <f>IF(OR($C65="",$B$2="",$D$2=0),0,IF(AF$3&lt;0,0,N(INDEX('CURVA PREVISION'!$A$1:$KZ$3000,$C65,11+3*MIN(AF$3,$D$2-1)))))</f>
        <v/>
      </c>
      <c r="AG65" s="130">
        <f>IF(OR($C65="",$B$2="",$D$2=0),0,IF(AG$3&lt;0,0,N(INDEX('CURVA PREVISION'!$A$1:$KZ$3000,$C65,11+3*MIN(AG$3,$D$2-1)))))</f>
        <v/>
      </c>
      <c r="AH65" s="130">
        <f>IF(OR($C65="",$B$2="",$D$2=0),0,IF(AH$3&lt;0,0,N(INDEX('CURVA PREVISION'!$A$1:$KZ$3000,$C65,11+3*MIN(AH$3,$D$2-1)))))</f>
        <v/>
      </c>
      <c r="AI65" s="130">
        <f>IF(OR($C65="",$B$2="",$D$2=0),0,IF(AI$3&lt;0,0,N(INDEX('CURVA PREVISION'!$A$1:$KZ$3000,$C65,11+3*MIN(AI$3,$D$2-1)))))</f>
        <v/>
      </c>
      <c r="AJ65" s="130">
        <f>IF(OR($C65="",$B$2="",$D$2=0),0,IF(AJ$3&lt;0,0,N(INDEX('CURVA PREVISION'!$A$1:$KZ$3000,$C65,11+3*MIN(AJ$3,$D$2-1)))))</f>
        <v/>
      </c>
      <c r="AK65" s="130">
        <f>IF(OR($C65="",$B$2="",$D$2=0),0,IF(AK$3&lt;0,0,N(INDEX('CURVA PREVISION'!$A$1:$KZ$3000,$C65,11+3*MIN(AK$3,$D$2-1)))))</f>
        <v/>
      </c>
      <c r="AL65" s="130">
        <f>IF(OR($C65="",$B$2="",$D$2=0),0,IF(AL$3&lt;0,0,N(INDEX('CURVA PREVISION'!$A$1:$KZ$3000,$C65,11+3*MIN(AL$3,$D$2-1)))))</f>
        <v/>
      </c>
      <c r="AM65" s="130">
        <f>IF(OR($C65="",$B$2="",$D$2=0),0,IF(AM$3&lt;0,0,N(INDEX('CURVA PREVISION'!$A$1:$KZ$3000,$C65,11+3*MIN(AM$3,$D$2-1)))))</f>
        <v/>
      </c>
      <c r="AN65" s="130">
        <f>IF(OR($C65="",$B$2="",$D$2=0),0,IF(AN$3&lt;0,0,N(INDEX('CURVA PREVISION'!$A$1:$KZ$3000,$C65,11+3*MIN(AN$3,$D$2-1)))))</f>
        <v/>
      </c>
      <c r="AO65" s="130">
        <f>IF(OR($C65="",$B$2="",$D$2=0),0,IF(AO$3&lt;0,0,N(INDEX('CURVA PREVISION'!$A$1:$KZ$3000,$C65,11+3*MIN(AO$3,$D$2-1)))))</f>
        <v/>
      </c>
      <c r="AP65" s="130">
        <f>IF(OR($C65="",$B$2="",$D$2=0),0,IF(AP$3&lt;0,0,N(INDEX('CURVA PREVISION'!$A$1:$KZ$3000,$C65,11+3*MIN(AP$3,$D$2-1)))))</f>
        <v/>
      </c>
      <c r="AQ65" s="130">
        <f>IF(OR($C65="",$B$2="",$D$2=0),0,IF(AQ$3&lt;0,0,N(INDEX('CURVA PREVISION'!$A$1:$KZ$3000,$C65,11+3*MIN(AQ$3,$D$2-1)))))</f>
        <v/>
      </c>
      <c r="AR65" s="130">
        <f>IF(OR($C65="",$B$2="",$D$2=0),0,IF(AR$3&lt;0,0,N(INDEX('CURVA PREVISION'!$A$1:$KZ$3000,$C65,11+3*MIN(AR$3,$D$2-1)))))</f>
        <v/>
      </c>
      <c r="AS65" s="130">
        <f>IF(OR($C65="",$B$2="",$D$2=0),0,IF(AS$3&lt;0,0,N(INDEX('CURVA PREVISION'!$A$1:$KZ$3000,$C65,11+3*MIN(AS$3,$D$2-1)))))</f>
        <v/>
      </c>
      <c r="AT65" s="130">
        <f>IF(OR($C65="",$B$2="",$D$2=0),0,IF(AT$3&lt;0,0,N(INDEX('CURVA PREVISION'!$A$1:$KZ$3000,$C65,11+3*MIN(AT$3,$D$2-1)))))</f>
        <v/>
      </c>
      <c r="AU65" s="130">
        <f>IF(OR($C65="",$B$2="",$D$2=0),0,IF(AU$3&lt;0,0,N(INDEX('CURVA PREVISION'!$A$1:$KZ$3000,$C65,11+3*MIN(AU$3,$D$2-1)))))</f>
        <v/>
      </c>
      <c r="AV65" s="130">
        <f>IF(OR($C65="",$B$2="",$D$2=0),0,IF(AV$3&lt;0,0,N(INDEX('CURVA PREVISION'!$A$1:$KZ$3000,$C65,11+3*MIN(AV$3,$D$2-1)))))</f>
        <v/>
      </c>
      <c r="AW65" s="130">
        <f>IF(OR($C65="",$B$2="",$D$2=0),0,IF(AW$3&lt;0,0,N(INDEX('CURVA PREVISION'!$A$1:$KZ$3000,$C65,11+3*MIN(AW$3,$D$2-1)))))</f>
        <v/>
      </c>
      <c r="AX65" s="130">
        <f>IF(OR($C65="",$B$2="",$D$2=0),0,IF(AX$3&lt;0,0,N(INDEX('CURVA PREVISION'!$A$1:$KZ$3000,$C65,11+3*MIN(AX$3,$D$2-1)))))</f>
        <v/>
      </c>
      <c r="AY65" s="130">
        <f>IF(OR($C65="",$B$2="",$D$2=0),0,IF(AY$3&lt;0,0,N(INDEX('CURVA PREVISION'!$A$1:$KZ$3000,$C65,11+3*MIN(AY$3,$D$2-1)))))</f>
        <v/>
      </c>
      <c r="AZ65" s="130">
        <f>IF(OR($C65="",$B$2="",$D$2=0),0,IF(AZ$3&lt;0,0,N(INDEX('CURVA PREVISION'!$A$1:$KZ$3000,$C65,11+3*MIN(AZ$3,$D$2-1)))))</f>
        <v/>
      </c>
      <c r="BA65" s="130">
        <f>IF(OR($C65="",$B$2="",$D$2=0),0,IF(BA$3&lt;0,0,N(INDEX('CURVA PREVISION'!$A$1:$KZ$3000,$C65,11+3*MIN(BA$3,$D$2-1)))))</f>
        <v/>
      </c>
      <c r="BB65" s="130">
        <f>IF(OR($C65="",$B$2="",$D$2=0),0,IF(BB$3&lt;0,0,N(INDEX('CURVA PREVISION'!$A$1:$KZ$3000,$C65,11+3*MIN(BB$3,$D$2-1)))))</f>
        <v/>
      </c>
      <c r="BC65" s="130">
        <f>IF(OR($C65="",$B$2="",$D$2=0),0,IF(BC$3&lt;0,0,N(INDEX('CURVA PREVISION'!$A$1:$KZ$3000,$C65,11+3*MIN(BC$3,$D$2-1)))))</f>
        <v/>
      </c>
      <c r="BD65" s="130">
        <f>IF(OR($C65="",$B$2="",$D$2=0),0,IF(BD$3&lt;0,0,N(INDEX('CURVA PREVISION'!$A$1:$KZ$3000,$C65,11+3*MIN(BD$3,$D$2-1)))))</f>
        <v/>
      </c>
      <c r="BE65" s="130">
        <f>IF(OR($C65="",$B$2="",$D$2=0),0,IF(BE$3&lt;0,0,N(INDEX('CURVA PREVISION'!$A$1:$KZ$3000,$C65,11+3*MIN(BE$3,$D$2-1)))))</f>
        <v/>
      </c>
      <c r="BF65" s="130">
        <f>IF(OR($C65="",$B$2="",$D$2=0),0,IF(BF$3&lt;0,0,N(INDEX('CURVA PREVISION'!$A$1:$KZ$3000,$C65,11+3*MIN(BF$3,$D$2-1)))))</f>
        <v/>
      </c>
      <c r="BG65" s="130">
        <f>IF(OR($C65="",$B$2="",$D$2=0),0,IF(BG$3&lt;0,0,N(INDEX('CURVA PREVISION'!$A$1:$KZ$3000,$C65,11+3*MIN(BG$3,$D$2-1)))))</f>
        <v/>
      </c>
      <c r="BH65" s="130">
        <f>IF(OR($C65="",$B$2="",$D$2=0),0,IF(BH$3&lt;0,0,N(INDEX('CURVA PREVISION'!$A$1:$KZ$3000,$C65,11+3*MIN(BH$3,$D$2-1)))))</f>
        <v/>
      </c>
      <c r="BI65" s="130">
        <f>IF(OR($C65="",$B$2="",$D$2=0),0,IF(BI$3&lt;0,0,N(INDEX('CURVA PREVISION'!$A$1:$KZ$3000,$C65,11+3*MIN(BI$3,$D$2-1)))))</f>
        <v/>
      </c>
      <c r="BJ65" s="130">
        <f>IF(OR($C65="",$B$2="",$D$2=0),0,IF(BJ$3&lt;0,0,N(INDEX('CURVA PREVISION'!$A$1:$KZ$3000,$C65,11+3*MIN(BJ$3,$D$2-1)))))</f>
        <v/>
      </c>
      <c r="BK65" s="130">
        <f>IF(OR($C65="",$B$2="",$D$2=0),0,IF(BK$3&lt;0,0,N(INDEX('CURVA PREVISION'!$A$1:$KZ$3000,$C65,11+3*MIN(BK$3,$D$2-1)))))</f>
        <v/>
      </c>
      <c r="BL65" s="130">
        <f>IF(OR($C65="",$B$2="",$D$2=0),0,IF(BL$3&lt;0,0,N(INDEX('CURVA PREVISION'!$A$1:$KZ$3000,$C65,11+3*MIN(BL$3,$D$2-1)))))</f>
        <v/>
      </c>
      <c r="BM65" s="130">
        <f>IF(OR($C65="",$B$2="",$D$2=0),0,IF(BM$3&lt;0,0,N(INDEX('CURVA PREVISION'!$A$1:$KZ$3000,$C65,11+3*MIN(BM$3,$D$2-1)))))</f>
        <v/>
      </c>
      <c r="BN65" s="130">
        <f>IF(OR($C65="",$B$2="",$D$2=0),0,IF(BN$3&lt;0,0,N(INDEX('CURVA PREVISION'!$A$1:$KZ$3000,$C65,11+3*MIN(BN$3,$D$2-1)))))</f>
        <v/>
      </c>
      <c r="BO65" s="130">
        <f>IF(OR($C65="",$B$2="",$D$2=0),0,IF(BO$3&lt;0,0,N(INDEX('CURVA PREVISION'!$A$1:$KZ$3000,$C65,11+3*MIN(BO$3,$D$2-1)))))</f>
        <v/>
      </c>
      <c r="BP65" s="130">
        <f>IF(OR($C65="",$B$2="",$D$2=0),0,IF(BP$3&lt;0,0,N(INDEX('CURVA PREVISION'!$A$1:$KZ$3000,$C65,11+3*MIN(BP$3,$D$2-1)))))</f>
        <v/>
      </c>
      <c r="BQ65" s="130">
        <f>IF(OR($C65="",$B$2="",$D$2=0),0,IF(BQ$3&lt;0,0,N(INDEX('CURVA PREVISION'!$A$1:$KZ$3000,$C65,11+3*MIN(BQ$3,$D$2-1)))))</f>
        <v/>
      </c>
      <c r="BR65" s="130">
        <f>IF(OR($C65="",$B$2="",$D$2=0),0,IF(BR$3&lt;0,0,N(INDEX('CURVA PREVISION'!$A$1:$KZ$3000,$C65,11+3*MIN(BR$3,$D$2-1)))))</f>
        <v/>
      </c>
      <c r="BS65" s="130">
        <f>IF(OR($C65="",$B$2="",$D$2=0),0,IF(BS$3&lt;0,0,N(INDEX('CURVA PREVISION'!$A$1:$KZ$3000,$C65,11+3*MIN(BS$3,$D$2-1)))))</f>
        <v/>
      </c>
      <c r="BT65" s="130">
        <f>IF(OR($C65="",$B$2="",$D$2=0),0,IF(BT$3&lt;0,0,N(INDEX('CURVA PREVISION'!$A$1:$KZ$3000,$C65,11+3*MIN(BT$3,$D$2-1)))))</f>
        <v/>
      </c>
      <c r="BU65" s="130">
        <f>IF(OR($C65="",$B$2="",$D$2=0),0,IF(BU$3&lt;0,0,N(INDEX('CURVA PREVISION'!$A$1:$KZ$3000,$C65,11+3*MIN(BU$3,$D$2-1)))))</f>
        <v/>
      </c>
      <c r="BV65" s="130">
        <f>IF(OR($C65="",$B$2="",$D$2=0),0,IF(BV$3&lt;0,0,N(INDEX('CURVA PREVISION'!$A$1:$KZ$3000,$C65,11+3*MIN(BV$3,$D$2-1)))))</f>
        <v/>
      </c>
      <c r="BW65" s="130">
        <f>IF(OR($C65="",$B$2="",$D$2=0),0,IF(BW$3&lt;0,0,N(INDEX('CURVA PREVISION'!$A$1:$KZ$3000,$C65,11+3*MIN(BW$3,$D$2-1)))))</f>
        <v/>
      </c>
    </row>
    <row r="66">
      <c r="A66" s="61">
        <f>IF('VALOR POR PL'!Q30="",'VALOR POR PL'!C30,'VALOR POR PL'!Q30)</f>
        <v/>
      </c>
      <c r="B66" s="51">
        <f>B24</f>
        <v/>
      </c>
      <c r="C66" s="70">
        <f>IFERROR(MATCH(A66,'CURVA PREVISION'!$B$1:$B$3000,0),"")</f>
        <v/>
      </c>
      <c r="D66" s="130">
        <f>IF(OR($C66="",$B$2="",$D$2=0),0,IF(D$3&lt;0,0,N(INDEX('CURVA PREVISION'!$A$1:$KZ$3000,$C66,11+3*MIN(D$3,$D$2-1)))))</f>
        <v/>
      </c>
      <c r="E66" s="130">
        <f>IF(OR($C66="",$B$2="",$D$2=0),0,IF(E$3&lt;0,0,N(INDEX('CURVA PREVISION'!$A$1:$KZ$3000,$C66,11+3*MIN(E$3,$D$2-1)))))</f>
        <v/>
      </c>
      <c r="F66" s="130">
        <f>IF(OR($C66="",$B$2="",$D$2=0),0,IF(F$3&lt;0,0,N(INDEX('CURVA PREVISION'!$A$1:$KZ$3000,$C66,11+3*MIN(F$3,$D$2-1)))))</f>
        <v/>
      </c>
      <c r="G66" s="130">
        <f>IF(OR($C66="",$B$2="",$D$2=0),0,IF(G$3&lt;0,0,N(INDEX('CURVA PREVISION'!$A$1:$KZ$3000,$C66,11+3*MIN(G$3,$D$2-1)))))</f>
        <v/>
      </c>
      <c r="H66" s="130">
        <f>IF(OR($C66="",$B$2="",$D$2=0),0,IF(H$3&lt;0,0,N(INDEX('CURVA PREVISION'!$A$1:$KZ$3000,$C66,11+3*MIN(H$3,$D$2-1)))))</f>
        <v/>
      </c>
      <c r="I66" s="130">
        <f>IF(OR($C66="",$B$2="",$D$2=0),0,IF(I$3&lt;0,0,N(INDEX('CURVA PREVISION'!$A$1:$KZ$3000,$C66,11+3*MIN(I$3,$D$2-1)))))</f>
        <v/>
      </c>
      <c r="J66" s="130">
        <f>IF(OR($C66="",$B$2="",$D$2=0),0,IF(J$3&lt;0,0,N(INDEX('CURVA PREVISION'!$A$1:$KZ$3000,$C66,11+3*MIN(J$3,$D$2-1)))))</f>
        <v/>
      </c>
      <c r="K66" s="130">
        <f>IF(OR($C66="",$B$2="",$D$2=0),0,IF(K$3&lt;0,0,N(INDEX('CURVA PREVISION'!$A$1:$KZ$3000,$C66,11+3*MIN(K$3,$D$2-1)))))</f>
        <v/>
      </c>
      <c r="L66" s="130">
        <f>IF(OR($C66="",$B$2="",$D$2=0),0,IF(L$3&lt;0,0,N(INDEX('CURVA PREVISION'!$A$1:$KZ$3000,$C66,11+3*MIN(L$3,$D$2-1)))))</f>
        <v/>
      </c>
      <c r="M66" s="130">
        <f>IF(OR($C66="",$B$2="",$D$2=0),0,IF(M$3&lt;0,0,N(INDEX('CURVA PREVISION'!$A$1:$KZ$3000,$C66,11+3*MIN(M$3,$D$2-1)))))</f>
        <v/>
      </c>
      <c r="N66" s="130">
        <f>IF(OR($C66="",$B$2="",$D$2=0),0,IF(N$3&lt;0,0,N(INDEX('CURVA PREVISION'!$A$1:$KZ$3000,$C66,11+3*MIN(N$3,$D$2-1)))))</f>
        <v/>
      </c>
      <c r="O66" s="130">
        <f>IF(OR($C66="",$B$2="",$D$2=0),0,IF(O$3&lt;0,0,N(INDEX('CURVA PREVISION'!$A$1:$KZ$3000,$C66,11+3*MIN(O$3,$D$2-1)))))</f>
        <v/>
      </c>
      <c r="P66" s="130">
        <f>IF(OR($C66="",$B$2="",$D$2=0),0,IF(P$3&lt;0,0,N(INDEX('CURVA PREVISION'!$A$1:$KZ$3000,$C66,11+3*MIN(P$3,$D$2-1)))))</f>
        <v/>
      </c>
      <c r="Q66" s="130">
        <f>IF(OR($C66="",$B$2="",$D$2=0),0,IF(Q$3&lt;0,0,N(INDEX('CURVA PREVISION'!$A$1:$KZ$3000,$C66,11+3*MIN(Q$3,$D$2-1)))))</f>
        <v/>
      </c>
      <c r="R66" s="130">
        <f>IF(OR($C66="",$B$2="",$D$2=0),0,IF(R$3&lt;0,0,N(INDEX('CURVA PREVISION'!$A$1:$KZ$3000,$C66,11+3*MIN(R$3,$D$2-1)))))</f>
        <v/>
      </c>
      <c r="S66" s="130">
        <f>IF(OR($C66="",$B$2="",$D$2=0),0,IF(S$3&lt;0,0,N(INDEX('CURVA PREVISION'!$A$1:$KZ$3000,$C66,11+3*MIN(S$3,$D$2-1)))))</f>
        <v/>
      </c>
      <c r="T66" s="130">
        <f>IF(OR($C66="",$B$2="",$D$2=0),0,IF(T$3&lt;0,0,N(INDEX('CURVA PREVISION'!$A$1:$KZ$3000,$C66,11+3*MIN(T$3,$D$2-1)))))</f>
        <v/>
      </c>
      <c r="U66" s="130">
        <f>IF(OR($C66="",$B$2="",$D$2=0),0,IF(U$3&lt;0,0,N(INDEX('CURVA PREVISION'!$A$1:$KZ$3000,$C66,11+3*MIN(U$3,$D$2-1)))))</f>
        <v/>
      </c>
      <c r="V66" s="130">
        <f>IF(OR($C66="",$B$2="",$D$2=0),0,IF(V$3&lt;0,0,N(INDEX('CURVA PREVISION'!$A$1:$KZ$3000,$C66,11+3*MIN(V$3,$D$2-1)))))</f>
        <v/>
      </c>
      <c r="W66" s="130">
        <f>IF(OR($C66="",$B$2="",$D$2=0),0,IF(W$3&lt;0,0,N(INDEX('CURVA PREVISION'!$A$1:$KZ$3000,$C66,11+3*MIN(W$3,$D$2-1)))))</f>
        <v/>
      </c>
      <c r="X66" s="130">
        <f>IF(OR($C66="",$B$2="",$D$2=0),0,IF(X$3&lt;0,0,N(INDEX('CURVA PREVISION'!$A$1:$KZ$3000,$C66,11+3*MIN(X$3,$D$2-1)))))</f>
        <v/>
      </c>
      <c r="Y66" s="130">
        <f>IF(OR($C66="",$B$2="",$D$2=0),0,IF(Y$3&lt;0,0,N(INDEX('CURVA PREVISION'!$A$1:$KZ$3000,$C66,11+3*MIN(Y$3,$D$2-1)))))</f>
        <v/>
      </c>
      <c r="Z66" s="130">
        <f>IF(OR($C66="",$B$2="",$D$2=0),0,IF(Z$3&lt;0,0,N(INDEX('CURVA PREVISION'!$A$1:$KZ$3000,$C66,11+3*MIN(Z$3,$D$2-1)))))</f>
        <v/>
      </c>
      <c r="AA66" s="130">
        <f>IF(OR($C66="",$B$2="",$D$2=0),0,IF(AA$3&lt;0,0,N(INDEX('CURVA PREVISION'!$A$1:$KZ$3000,$C66,11+3*MIN(AA$3,$D$2-1)))))</f>
        <v/>
      </c>
      <c r="AB66" s="130">
        <f>IF(OR($C66="",$B$2="",$D$2=0),0,IF(AB$3&lt;0,0,N(INDEX('CURVA PREVISION'!$A$1:$KZ$3000,$C66,11+3*MIN(AB$3,$D$2-1)))))</f>
        <v/>
      </c>
      <c r="AC66" s="130">
        <f>IF(OR($C66="",$B$2="",$D$2=0),0,IF(AC$3&lt;0,0,N(INDEX('CURVA PREVISION'!$A$1:$KZ$3000,$C66,11+3*MIN(AC$3,$D$2-1)))))</f>
        <v/>
      </c>
      <c r="AD66" s="130">
        <f>IF(OR($C66="",$B$2="",$D$2=0),0,IF(AD$3&lt;0,0,N(INDEX('CURVA PREVISION'!$A$1:$KZ$3000,$C66,11+3*MIN(AD$3,$D$2-1)))))</f>
        <v/>
      </c>
      <c r="AE66" s="130">
        <f>IF(OR($C66="",$B$2="",$D$2=0),0,IF(AE$3&lt;0,0,N(INDEX('CURVA PREVISION'!$A$1:$KZ$3000,$C66,11+3*MIN(AE$3,$D$2-1)))))</f>
        <v/>
      </c>
      <c r="AF66" s="130">
        <f>IF(OR($C66="",$B$2="",$D$2=0),0,IF(AF$3&lt;0,0,N(INDEX('CURVA PREVISION'!$A$1:$KZ$3000,$C66,11+3*MIN(AF$3,$D$2-1)))))</f>
        <v/>
      </c>
      <c r="AG66" s="130">
        <f>IF(OR($C66="",$B$2="",$D$2=0),0,IF(AG$3&lt;0,0,N(INDEX('CURVA PREVISION'!$A$1:$KZ$3000,$C66,11+3*MIN(AG$3,$D$2-1)))))</f>
        <v/>
      </c>
      <c r="AH66" s="130">
        <f>IF(OR($C66="",$B$2="",$D$2=0),0,IF(AH$3&lt;0,0,N(INDEX('CURVA PREVISION'!$A$1:$KZ$3000,$C66,11+3*MIN(AH$3,$D$2-1)))))</f>
        <v/>
      </c>
      <c r="AI66" s="130">
        <f>IF(OR($C66="",$B$2="",$D$2=0),0,IF(AI$3&lt;0,0,N(INDEX('CURVA PREVISION'!$A$1:$KZ$3000,$C66,11+3*MIN(AI$3,$D$2-1)))))</f>
        <v/>
      </c>
      <c r="AJ66" s="130">
        <f>IF(OR($C66="",$B$2="",$D$2=0),0,IF(AJ$3&lt;0,0,N(INDEX('CURVA PREVISION'!$A$1:$KZ$3000,$C66,11+3*MIN(AJ$3,$D$2-1)))))</f>
        <v/>
      </c>
      <c r="AK66" s="130">
        <f>IF(OR($C66="",$B$2="",$D$2=0),0,IF(AK$3&lt;0,0,N(INDEX('CURVA PREVISION'!$A$1:$KZ$3000,$C66,11+3*MIN(AK$3,$D$2-1)))))</f>
        <v/>
      </c>
      <c r="AL66" s="130">
        <f>IF(OR($C66="",$B$2="",$D$2=0),0,IF(AL$3&lt;0,0,N(INDEX('CURVA PREVISION'!$A$1:$KZ$3000,$C66,11+3*MIN(AL$3,$D$2-1)))))</f>
        <v/>
      </c>
      <c r="AM66" s="130">
        <f>IF(OR($C66="",$B$2="",$D$2=0),0,IF(AM$3&lt;0,0,N(INDEX('CURVA PREVISION'!$A$1:$KZ$3000,$C66,11+3*MIN(AM$3,$D$2-1)))))</f>
        <v/>
      </c>
      <c r="AN66" s="130">
        <f>IF(OR($C66="",$B$2="",$D$2=0),0,IF(AN$3&lt;0,0,N(INDEX('CURVA PREVISION'!$A$1:$KZ$3000,$C66,11+3*MIN(AN$3,$D$2-1)))))</f>
        <v/>
      </c>
      <c r="AO66" s="130">
        <f>IF(OR($C66="",$B$2="",$D$2=0),0,IF(AO$3&lt;0,0,N(INDEX('CURVA PREVISION'!$A$1:$KZ$3000,$C66,11+3*MIN(AO$3,$D$2-1)))))</f>
        <v/>
      </c>
      <c r="AP66" s="130">
        <f>IF(OR($C66="",$B$2="",$D$2=0),0,IF(AP$3&lt;0,0,N(INDEX('CURVA PREVISION'!$A$1:$KZ$3000,$C66,11+3*MIN(AP$3,$D$2-1)))))</f>
        <v/>
      </c>
      <c r="AQ66" s="130">
        <f>IF(OR($C66="",$B$2="",$D$2=0),0,IF(AQ$3&lt;0,0,N(INDEX('CURVA PREVISION'!$A$1:$KZ$3000,$C66,11+3*MIN(AQ$3,$D$2-1)))))</f>
        <v/>
      </c>
      <c r="AR66" s="130">
        <f>IF(OR($C66="",$B$2="",$D$2=0),0,IF(AR$3&lt;0,0,N(INDEX('CURVA PREVISION'!$A$1:$KZ$3000,$C66,11+3*MIN(AR$3,$D$2-1)))))</f>
        <v/>
      </c>
      <c r="AS66" s="130">
        <f>IF(OR($C66="",$B$2="",$D$2=0),0,IF(AS$3&lt;0,0,N(INDEX('CURVA PREVISION'!$A$1:$KZ$3000,$C66,11+3*MIN(AS$3,$D$2-1)))))</f>
        <v/>
      </c>
      <c r="AT66" s="130">
        <f>IF(OR($C66="",$B$2="",$D$2=0),0,IF(AT$3&lt;0,0,N(INDEX('CURVA PREVISION'!$A$1:$KZ$3000,$C66,11+3*MIN(AT$3,$D$2-1)))))</f>
        <v/>
      </c>
      <c r="AU66" s="130">
        <f>IF(OR($C66="",$B$2="",$D$2=0),0,IF(AU$3&lt;0,0,N(INDEX('CURVA PREVISION'!$A$1:$KZ$3000,$C66,11+3*MIN(AU$3,$D$2-1)))))</f>
        <v/>
      </c>
      <c r="AV66" s="130">
        <f>IF(OR($C66="",$B$2="",$D$2=0),0,IF(AV$3&lt;0,0,N(INDEX('CURVA PREVISION'!$A$1:$KZ$3000,$C66,11+3*MIN(AV$3,$D$2-1)))))</f>
        <v/>
      </c>
      <c r="AW66" s="130">
        <f>IF(OR($C66="",$B$2="",$D$2=0),0,IF(AW$3&lt;0,0,N(INDEX('CURVA PREVISION'!$A$1:$KZ$3000,$C66,11+3*MIN(AW$3,$D$2-1)))))</f>
        <v/>
      </c>
      <c r="AX66" s="130">
        <f>IF(OR($C66="",$B$2="",$D$2=0),0,IF(AX$3&lt;0,0,N(INDEX('CURVA PREVISION'!$A$1:$KZ$3000,$C66,11+3*MIN(AX$3,$D$2-1)))))</f>
        <v/>
      </c>
      <c r="AY66" s="130">
        <f>IF(OR($C66="",$B$2="",$D$2=0),0,IF(AY$3&lt;0,0,N(INDEX('CURVA PREVISION'!$A$1:$KZ$3000,$C66,11+3*MIN(AY$3,$D$2-1)))))</f>
        <v/>
      </c>
      <c r="AZ66" s="130">
        <f>IF(OR($C66="",$B$2="",$D$2=0),0,IF(AZ$3&lt;0,0,N(INDEX('CURVA PREVISION'!$A$1:$KZ$3000,$C66,11+3*MIN(AZ$3,$D$2-1)))))</f>
        <v/>
      </c>
      <c r="BA66" s="130">
        <f>IF(OR($C66="",$B$2="",$D$2=0),0,IF(BA$3&lt;0,0,N(INDEX('CURVA PREVISION'!$A$1:$KZ$3000,$C66,11+3*MIN(BA$3,$D$2-1)))))</f>
        <v/>
      </c>
      <c r="BB66" s="130">
        <f>IF(OR($C66="",$B$2="",$D$2=0),0,IF(BB$3&lt;0,0,N(INDEX('CURVA PREVISION'!$A$1:$KZ$3000,$C66,11+3*MIN(BB$3,$D$2-1)))))</f>
        <v/>
      </c>
      <c r="BC66" s="130">
        <f>IF(OR($C66="",$B$2="",$D$2=0),0,IF(BC$3&lt;0,0,N(INDEX('CURVA PREVISION'!$A$1:$KZ$3000,$C66,11+3*MIN(BC$3,$D$2-1)))))</f>
        <v/>
      </c>
      <c r="BD66" s="130">
        <f>IF(OR($C66="",$B$2="",$D$2=0),0,IF(BD$3&lt;0,0,N(INDEX('CURVA PREVISION'!$A$1:$KZ$3000,$C66,11+3*MIN(BD$3,$D$2-1)))))</f>
        <v/>
      </c>
      <c r="BE66" s="130">
        <f>IF(OR($C66="",$B$2="",$D$2=0),0,IF(BE$3&lt;0,0,N(INDEX('CURVA PREVISION'!$A$1:$KZ$3000,$C66,11+3*MIN(BE$3,$D$2-1)))))</f>
        <v/>
      </c>
      <c r="BF66" s="130">
        <f>IF(OR($C66="",$B$2="",$D$2=0),0,IF(BF$3&lt;0,0,N(INDEX('CURVA PREVISION'!$A$1:$KZ$3000,$C66,11+3*MIN(BF$3,$D$2-1)))))</f>
        <v/>
      </c>
      <c r="BG66" s="130">
        <f>IF(OR($C66="",$B$2="",$D$2=0),0,IF(BG$3&lt;0,0,N(INDEX('CURVA PREVISION'!$A$1:$KZ$3000,$C66,11+3*MIN(BG$3,$D$2-1)))))</f>
        <v/>
      </c>
      <c r="BH66" s="130">
        <f>IF(OR($C66="",$B$2="",$D$2=0),0,IF(BH$3&lt;0,0,N(INDEX('CURVA PREVISION'!$A$1:$KZ$3000,$C66,11+3*MIN(BH$3,$D$2-1)))))</f>
        <v/>
      </c>
      <c r="BI66" s="130">
        <f>IF(OR($C66="",$B$2="",$D$2=0),0,IF(BI$3&lt;0,0,N(INDEX('CURVA PREVISION'!$A$1:$KZ$3000,$C66,11+3*MIN(BI$3,$D$2-1)))))</f>
        <v/>
      </c>
      <c r="BJ66" s="130">
        <f>IF(OR($C66="",$B$2="",$D$2=0),0,IF(BJ$3&lt;0,0,N(INDEX('CURVA PREVISION'!$A$1:$KZ$3000,$C66,11+3*MIN(BJ$3,$D$2-1)))))</f>
        <v/>
      </c>
      <c r="BK66" s="130">
        <f>IF(OR($C66="",$B$2="",$D$2=0),0,IF(BK$3&lt;0,0,N(INDEX('CURVA PREVISION'!$A$1:$KZ$3000,$C66,11+3*MIN(BK$3,$D$2-1)))))</f>
        <v/>
      </c>
      <c r="BL66" s="130">
        <f>IF(OR($C66="",$B$2="",$D$2=0),0,IF(BL$3&lt;0,0,N(INDEX('CURVA PREVISION'!$A$1:$KZ$3000,$C66,11+3*MIN(BL$3,$D$2-1)))))</f>
        <v/>
      </c>
      <c r="BM66" s="130">
        <f>IF(OR($C66="",$B$2="",$D$2=0),0,IF(BM$3&lt;0,0,N(INDEX('CURVA PREVISION'!$A$1:$KZ$3000,$C66,11+3*MIN(BM$3,$D$2-1)))))</f>
        <v/>
      </c>
      <c r="BN66" s="130">
        <f>IF(OR($C66="",$B$2="",$D$2=0),0,IF(BN$3&lt;0,0,N(INDEX('CURVA PREVISION'!$A$1:$KZ$3000,$C66,11+3*MIN(BN$3,$D$2-1)))))</f>
        <v/>
      </c>
      <c r="BO66" s="130">
        <f>IF(OR($C66="",$B$2="",$D$2=0),0,IF(BO$3&lt;0,0,N(INDEX('CURVA PREVISION'!$A$1:$KZ$3000,$C66,11+3*MIN(BO$3,$D$2-1)))))</f>
        <v/>
      </c>
      <c r="BP66" s="130">
        <f>IF(OR($C66="",$B$2="",$D$2=0),0,IF(BP$3&lt;0,0,N(INDEX('CURVA PREVISION'!$A$1:$KZ$3000,$C66,11+3*MIN(BP$3,$D$2-1)))))</f>
        <v/>
      </c>
      <c r="BQ66" s="130">
        <f>IF(OR($C66="",$B$2="",$D$2=0),0,IF(BQ$3&lt;0,0,N(INDEX('CURVA PREVISION'!$A$1:$KZ$3000,$C66,11+3*MIN(BQ$3,$D$2-1)))))</f>
        <v/>
      </c>
      <c r="BR66" s="130">
        <f>IF(OR($C66="",$B$2="",$D$2=0),0,IF(BR$3&lt;0,0,N(INDEX('CURVA PREVISION'!$A$1:$KZ$3000,$C66,11+3*MIN(BR$3,$D$2-1)))))</f>
        <v/>
      </c>
      <c r="BS66" s="130">
        <f>IF(OR($C66="",$B$2="",$D$2=0),0,IF(BS$3&lt;0,0,N(INDEX('CURVA PREVISION'!$A$1:$KZ$3000,$C66,11+3*MIN(BS$3,$D$2-1)))))</f>
        <v/>
      </c>
      <c r="BT66" s="130">
        <f>IF(OR($C66="",$B$2="",$D$2=0),0,IF(BT$3&lt;0,0,N(INDEX('CURVA PREVISION'!$A$1:$KZ$3000,$C66,11+3*MIN(BT$3,$D$2-1)))))</f>
        <v/>
      </c>
      <c r="BU66" s="130">
        <f>IF(OR($C66="",$B$2="",$D$2=0),0,IF(BU$3&lt;0,0,N(INDEX('CURVA PREVISION'!$A$1:$KZ$3000,$C66,11+3*MIN(BU$3,$D$2-1)))))</f>
        <v/>
      </c>
      <c r="BV66" s="130">
        <f>IF(OR($C66="",$B$2="",$D$2=0),0,IF(BV$3&lt;0,0,N(INDEX('CURVA PREVISION'!$A$1:$KZ$3000,$C66,11+3*MIN(BV$3,$D$2-1)))))</f>
        <v/>
      </c>
      <c r="BW66" s="130">
        <f>IF(OR($C66="",$B$2="",$D$2=0),0,IF(BW$3&lt;0,0,N(INDEX('CURVA PREVISION'!$A$1:$KZ$3000,$C66,11+3*MIN(BW$3,$D$2-1)))))</f>
        <v/>
      </c>
    </row>
    <row r="67">
      <c r="A67" s="61">
        <f>IF('VALOR POR PL'!Q31="",'VALOR POR PL'!C31,'VALOR POR PL'!Q31)</f>
        <v/>
      </c>
      <c r="B67" s="51">
        <f>B25</f>
        <v/>
      </c>
      <c r="C67" s="70">
        <f>IFERROR(MATCH(A67,'CURVA PREVISION'!$B$1:$B$3000,0),"")</f>
        <v/>
      </c>
      <c r="D67" s="130">
        <f>IF(OR($C67="",$B$2="",$D$2=0),0,IF(D$3&lt;0,0,N(INDEX('CURVA PREVISION'!$A$1:$KZ$3000,$C67,11+3*MIN(D$3,$D$2-1)))))</f>
        <v/>
      </c>
      <c r="E67" s="130">
        <f>IF(OR($C67="",$B$2="",$D$2=0),0,IF(E$3&lt;0,0,N(INDEX('CURVA PREVISION'!$A$1:$KZ$3000,$C67,11+3*MIN(E$3,$D$2-1)))))</f>
        <v/>
      </c>
      <c r="F67" s="130">
        <f>IF(OR($C67="",$B$2="",$D$2=0),0,IF(F$3&lt;0,0,N(INDEX('CURVA PREVISION'!$A$1:$KZ$3000,$C67,11+3*MIN(F$3,$D$2-1)))))</f>
        <v/>
      </c>
      <c r="G67" s="130">
        <f>IF(OR($C67="",$B$2="",$D$2=0),0,IF(G$3&lt;0,0,N(INDEX('CURVA PREVISION'!$A$1:$KZ$3000,$C67,11+3*MIN(G$3,$D$2-1)))))</f>
        <v/>
      </c>
      <c r="H67" s="130">
        <f>IF(OR($C67="",$B$2="",$D$2=0),0,IF(H$3&lt;0,0,N(INDEX('CURVA PREVISION'!$A$1:$KZ$3000,$C67,11+3*MIN(H$3,$D$2-1)))))</f>
        <v/>
      </c>
      <c r="I67" s="130">
        <f>IF(OR($C67="",$B$2="",$D$2=0),0,IF(I$3&lt;0,0,N(INDEX('CURVA PREVISION'!$A$1:$KZ$3000,$C67,11+3*MIN(I$3,$D$2-1)))))</f>
        <v/>
      </c>
      <c r="J67" s="130">
        <f>IF(OR($C67="",$B$2="",$D$2=0),0,IF(J$3&lt;0,0,N(INDEX('CURVA PREVISION'!$A$1:$KZ$3000,$C67,11+3*MIN(J$3,$D$2-1)))))</f>
        <v/>
      </c>
      <c r="K67" s="130">
        <f>IF(OR($C67="",$B$2="",$D$2=0),0,IF(K$3&lt;0,0,N(INDEX('CURVA PREVISION'!$A$1:$KZ$3000,$C67,11+3*MIN(K$3,$D$2-1)))))</f>
        <v/>
      </c>
      <c r="L67" s="130">
        <f>IF(OR($C67="",$B$2="",$D$2=0),0,IF(L$3&lt;0,0,N(INDEX('CURVA PREVISION'!$A$1:$KZ$3000,$C67,11+3*MIN(L$3,$D$2-1)))))</f>
        <v/>
      </c>
      <c r="M67" s="130">
        <f>IF(OR($C67="",$B$2="",$D$2=0),0,IF(M$3&lt;0,0,N(INDEX('CURVA PREVISION'!$A$1:$KZ$3000,$C67,11+3*MIN(M$3,$D$2-1)))))</f>
        <v/>
      </c>
      <c r="N67" s="130">
        <f>IF(OR($C67="",$B$2="",$D$2=0),0,IF(N$3&lt;0,0,N(INDEX('CURVA PREVISION'!$A$1:$KZ$3000,$C67,11+3*MIN(N$3,$D$2-1)))))</f>
        <v/>
      </c>
      <c r="O67" s="130">
        <f>IF(OR($C67="",$B$2="",$D$2=0),0,IF(O$3&lt;0,0,N(INDEX('CURVA PREVISION'!$A$1:$KZ$3000,$C67,11+3*MIN(O$3,$D$2-1)))))</f>
        <v/>
      </c>
      <c r="P67" s="130">
        <f>IF(OR($C67="",$B$2="",$D$2=0),0,IF(P$3&lt;0,0,N(INDEX('CURVA PREVISION'!$A$1:$KZ$3000,$C67,11+3*MIN(P$3,$D$2-1)))))</f>
        <v/>
      </c>
      <c r="Q67" s="130">
        <f>IF(OR($C67="",$B$2="",$D$2=0),0,IF(Q$3&lt;0,0,N(INDEX('CURVA PREVISION'!$A$1:$KZ$3000,$C67,11+3*MIN(Q$3,$D$2-1)))))</f>
        <v/>
      </c>
      <c r="R67" s="130">
        <f>IF(OR($C67="",$B$2="",$D$2=0),0,IF(R$3&lt;0,0,N(INDEX('CURVA PREVISION'!$A$1:$KZ$3000,$C67,11+3*MIN(R$3,$D$2-1)))))</f>
        <v/>
      </c>
      <c r="S67" s="130">
        <f>IF(OR($C67="",$B$2="",$D$2=0),0,IF(S$3&lt;0,0,N(INDEX('CURVA PREVISION'!$A$1:$KZ$3000,$C67,11+3*MIN(S$3,$D$2-1)))))</f>
        <v/>
      </c>
      <c r="T67" s="130">
        <f>IF(OR($C67="",$B$2="",$D$2=0),0,IF(T$3&lt;0,0,N(INDEX('CURVA PREVISION'!$A$1:$KZ$3000,$C67,11+3*MIN(T$3,$D$2-1)))))</f>
        <v/>
      </c>
      <c r="U67" s="130">
        <f>IF(OR($C67="",$B$2="",$D$2=0),0,IF(U$3&lt;0,0,N(INDEX('CURVA PREVISION'!$A$1:$KZ$3000,$C67,11+3*MIN(U$3,$D$2-1)))))</f>
        <v/>
      </c>
      <c r="V67" s="130">
        <f>IF(OR($C67="",$B$2="",$D$2=0),0,IF(V$3&lt;0,0,N(INDEX('CURVA PREVISION'!$A$1:$KZ$3000,$C67,11+3*MIN(V$3,$D$2-1)))))</f>
        <v/>
      </c>
      <c r="W67" s="130">
        <f>IF(OR($C67="",$B$2="",$D$2=0),0,IF(W$3&lt;0,0,N(INDEX('CURVA PREVISION'!$A$1:$KZ$3000,$C67,11+3*MIN(W$3,$D$2-1)))))</f>
        <v/>
      </c>
      <c r="X67" s="130">
        <f>IF(OR($C67="",$B$2="",$D$2=0),0,IF(X$3&lt;0,0,N(INDEX('CURVA PREVISION'!$A$1:$KZ$3000,$C67,11+3*MIN(X$3,$D$2-1)))))</f>
        <v/>
      </c>
      <c r="Y67" s="130">
        <f>IF(OR($C67="",$B$2="",$D$2=0),0,IF(Y$3&lt;0,0,N(INDEX('CURVA PREVISION'!$A$1:$KZ$3000,$C67,11+3*MIN(Y$3,$D$2-1)))))</f>
        <v/>
      </c>
      <c r="Z67" s="130">
        <f>IF(OR($C67="",$B$2="",$D$2=0),0,IF(Z$3&lt;0,0,N(INDEX('CURVA PREVISION'!$A$1:$KZ$3000,$C67,11+3*MIN(Z$3,$D$2-1)))))</f>
        <v/>
      </c>
      <c r="AA67" s="130">
        <f>IF(OR($C67="",$B$2="",$D$2=0),0,IF(AA$3&lt;0,0,N(INDEX('CURVA PREVISION'!$A$1:$KZ$3000,$C67,11+3*MIN(AA$3,$D$2-1)))))</f>
        <v/>
      </c>
      <c r="AB67" s="130">
        <f>IF(OR($C67="",$B$2="",$D$2=0),0,IF(AB$3&lt;0,0,N(INDEX('CURVA PREVISION'!$A$1:$KZ$3000,$C67,11+3*MIN(AB$3,$D$2-1)))))</f>
        <v/>
      </c>
      <c r="AC67" s="130">
        <f>IF(OR($C67="",$B$2="",$D$2=0),0,IF(AC$3&lt;0,0,N(INDEX('CURVA PREVISION'!$A$1:$KZ$3000,$C67,11+3*MIN(AC$3,$D$2-1)))))</f>
        <v/>
      </c>
      <c r="AD67" s="130">
        <f>IF(OR($C67="",$B$2="",$D$2=0),0,IF(AD$3&lt;0,0,N(INDEX('CURVA PREVISION'!$A$1:$KZ$3000,$C67,11+3*MIN(AD$3,$D$2-1)))))</f>
        <v/>
      </c>
      <c r="AE67" s="130">
        <f>IF(OR($C67="",$B$2="",$D$2=0),0,IF(AE$3&lt;0,0,N(INDEX('CURVA PREVISION'!$A$1:$KZ$3000,$C67,11+3*MIN(AE$3,$D$2-1)))))</f>
        <v/>
      </c>
      <c r="AF67" s="130">
        <f>IF(OR($C67="",$B$2="",$D$2=0),0,IF(AF$3&lt;0,0,N(INDEX('CURVA PREVISION'!$A$1:$KZ$3000,$C67,11+3*MIN(AF$3,$D$2-1)))))</f>
        <v/>
      </c>
      <c r="AG67" s="130">
        <f>IF(OR($C67="",$B$2="",$D$2=0),0,IF(AG$3&lt;0,0,N(INDEX('CURVA PREVISION'!$A$1:$KZ$3000,$C67,11+3*MIN(AG$3,$D$2-1)))))</f>
        <v/>
      </c>
      <c r="AH67" s="130">
        <f>IF(OR($C67="",$B$2="",$D$2=0),0,IF(AH$3&lt;0,0,N(INDEX('CURVA PREVISION'!$A$1:$KZ$3000,$C67,11+3*MIN(AH$3,$D$2-1)))))</f>
        <v/>
      </c>
      <c r="AI67" s="130">
        <f>IF(OR($C67="",$B$2="",$D$2=0),0,IF(AI$3&lt;0,0,N(INDEX('CURVA PREVISION'!$A$1:$KZ$3000,$C67,11+3*MIN(AI$3,$D$2-1)))))</f>
        <v/>
      </c>
      <c r="AJ67" s="130">
        <f>IF(OR($C67="",$B$2="",$D$2=0),0,IF(AJ$3&lt;0,0,N(INDEX('CURVA PREVISION'!$A$1:$KZ$3000,$C67,11+3*MIN(AJ$3,$D$2-1)))))</f>
        <v/>
      </c>
      <c r="AK67" s="130">
        <f>IF(OR($C67="",$B$2="",$D$2=0),0,IF(AK$3&lt;0,0,N(INDEX('CURVA PREVISION'!$A$1:$KZ$3000,$C67,11+3*MIN(AK$3,$D$2-1)))))</f>
        <v/>
      </c>
      <c r="AL67" s="130">
        <f>IF(OR($C67="",$B$2="",$D$2=0),0,IF(AL$3&lt;0,0,N(INDEX('CURVA PREVISION'!$A$1:$KZ$3000,$C67,11+3*MIN(AL$3,$D$2-1)))))</f>
        <v/>
      </c>
      <c r="AM67" s="130">
        <f>IF(OR($C67="",$B$2="",$D$2=0),0,IF(AM$3&lt;0,0,N(INDEX('CURVA PREVISION'!$A$1:$KZ$3000,$C67,11+3*MIN(AM$3,$D$2-1)))))</f>
        <v/>
      </c>
      <c r="AN67" s="130">
        <f>IF(OR($C67="",$B$2="",$D$2=0),0,IF(AN$3&lt;0,0,N(INDEX('CURVA PREVISION'!$A$1:$KZ$3000,$C67,11+3*MIN(AN$3,$D$2-1)))))</f>
        <v/>
      </c>
      <c r="AO67" s="130">
        <f>IF(OR($C67="",$B$2="",$D$2=0),0,IF(AO$3&lt;0,0,N(INDEX('CURVA PREVISION'!$A$1:$KZ$3000,$C67,11+3*MIN(AO$3,$D$2-1)))))</f>
        <v/>
      </c>
      <c r="AP67" s="130">
        <f>IF(OR($C67="",$B$2="",$D$2=0),0,IF(AP$3&lt;0,0,N(INDEX('CURVA PREVISION'!$A$1:$KZ$3000,$C67,11+3*MIN(AP$3,$D$2-1)))))</f>
        <v/>
      </c>
      <c r="AQ67" s="130">
        <f>IF(OR($C67="",$B$2="",$D$2=0),0,IF(AQ$3&lt;0,0,N(INDEX('CURVA PREVISION'!$A$1:$KZ$3000,$C67,11+3*MIN(AQ$3,$D$2-1)))))</f>
        <v/>
      </c>
      <c r="AR67" s="130">
        <f>IF(OR($C67="",$B$2="",$D$2=0),0,IF(AR$3&lt;0,0,N(INDEX('CURVA PREVISION'!$A$1:$KZ$3000,$C67,11+3*MIN(AR$3,$D$2-1)))))</f>
        <v/>
      </c>
      <c r="AS67" s="130">
        <f>IF(OR($C67="",$B$2="",$D$2=0),0,IF(AS$3&lt;0,0,N(INDEX('CURVA PREVISION'!$A$1:$KZ$3000,$C67,11+3*MIN(AS$3,$D$2-1)))))</f>
        <v/>
      </c>
      <c r="AT67" s="130">
        <f>IF(OR($C67="",$B$2="",$D$2=0),0,IF(AT$3&lt;0,0,N(INDEX('CURVA PREVISION'!$A$1:$KZ$3000,$C67,11+3*MIN(AT$3,$D$2-1)))))</f>
        <v/>
      </c>
      <c r="AU67" s="130">
        <f>IF(OR($C67="",$B$2="",$D$2=0),0,IF(AU$3&lt;0,0,N(INDEX('CURVA PREVISION'!$A$1:$KZ$3000,$C67,11+3*MIN(AU$3,$D$2-1)))))</f>
        <v/>
      </c>
      <c r="AV67" s="130">
        <f>IF(OR($C67="",$B$2="",$D$2=0),0,IF(AV$3&lt;0,0,N(INDEX('CURVA PREVISION'!$A$1:$KZ$3000,$C67,11+3*MIN(AV$3,$D$2-1)))))</f>
        <v/>
      </c>
      <c r="AW67" s="130">
        <f>IF(OR($C67="",$B$2="",$D$2=0),0,IF(AW$3&lt;0,0,N(INDEX('CURVA PREVISION'!$A$1:$KZ$3000,$C67,11+3*MIN(AW$3,$D$2-1)))))</f>
        <v/>
      </c>
      <c r="AX67" s="130">
        <f>IF(OR($C67="",$B$2="",$D$2=0),0,IF(AX$3&lt;0,0,N(INDEX('CURVA PREVISION'!$A$1:$KZ$3000,$C67,11+3*MIN(AX$3,$D$2-1)))))</f>
        <v/>
      </c>
      <c r="AY67" s="130">
        <f>IF(OR($C67="",$B$2="",$D$2=0),0,IF(AY$3&lt;0,0,N(INDEX('CURVA PREVISION'!$A$1:$KZ$3000,$C67,11+3*MIN(AY$3,$D$2-1)))))</f>
        <v/>
      </c>
      <c r="AZ67" s="130">
        <f>IF(OR($C67="",$B$2="",$D$2=0),0,IF(AZ$3&lt;0,0,N(INDEX('CURVA PREVISION'!$A$1:$KZ$3000,$C67,11+3*MIN(AZ$3,$D$2-1)))))</f>
        <v/>
      </c>
      <c r="BA67" s="130">
        <f>IF(OR($C67="",$B$2="",$D$2=0),0,IF(BA$3&lt;0,0,N(INDEX('CURVA PREVISION'!$A$1:$KZ$3000,$C67,11+3*MIN(BA$3,$D$2-1)))))</f>
        <v/>
      </c>
      <c r="BB67" s="130">
        <f>IF(OR($C67="",$B$2="",$D$2=0),0,IF(BB$3&lt;0,0,N(INDEX('CURVA PREVISION'!$A$1:$KZ$3000,$C67,11+3*MIN(BB$3,$D$2-1)))))</f>
        <v/>
      </c>
      <c r="BC67" s="130">
        <f>IF(OR($C67="",$B$2="",$D$2=0),0,IF(BC$3&lt;0,0,N(INDEX('CURVA PREVISION'!$A$1:$KZ$3000,$C67,11+3*MIN(BC$3,$D$2-1)))))</f>
        <v/>
      </c>
      <c r="BD67" s="130">
        <f>IF(OR($C67="",$B$2="",$D$2=0),0,IF(BD$3&lt;0,0,N(INDEX('CURVA PREVISION'!$A$1:$KZ$3000,$C67,11+3*MIN(BD$3,$D$2-1)))))</f>
        <v/>
      </c>
      <c r="BE67" s="130">
        <f>IF(OR($C67="",$B$2="",$D$2=0),0,IF(BE$3&lt;0,0,N(INDEX('CURVA PREVISION'!$A$1:$KZ$3000,$C67,11+3*MIN(BE$3,$D$2-1)))))</f>
        <v/>
      </c>
      <c r="BF67" s="130">
        <f>IF(OR($C67="",$B$2="",$D$2=0),0,IF(BF$3&lt;0,0,N(INDEX('CURVA PREVISION'!$A$1:$KZ$3000,$C67,11+3*MIN(BF$3,$D$2-1)))))</f>
        <v/>
      </c>
      <c r="BG67" s="130">
        <f>IF(OR($C67="",$B$2="",$D$2=0),0,IF(BG$3&lt;0,0,N(INDEX('CURVA PREVISION'!$A$1:$KZ$3000,$C67,11+3*MIN(BG$3,$D$2-1)))))</f>
        <v/>
      </c>
      <c r="BH67" s="130">
        <f>IF(OR($C67="",$B$2="",$D$2=0),0,IF(BH$3&lt;0,0,N(INDEX('CURVA PREVISION'!$A$1:$KZ$3000,$C67,11+3*MIN(BH$3,$D$2-1)))))</f>
        <v/>
      </c>
      <c r="BI67" s="130">
        <f>IF(OR($C67="",$B$2="",$D$2=0),0,IF(BI$3&lt;0,0,N(INDEX('CURVA PREVISION'!$A$1:$KZ$3000,$C67,11+3*MIN(BI$3,$D$2-1)))))</f>
        <v/>
      </c>
      <c r="BJ67" s="130">
        <f>IF(OR($C67="",$B$2="",$D$2=0),0,IF(BJ$3&lt;0,0,N(INDEX('CURVA PREVISION'!$A$1:$KZ$3000,$C67,11+3*MIN(BJ$3,$D$2-1)))))</f>
        <v/>
      </c>
      <c r="BK67" s="130">
        <f>IF(OR($C67="",$B$2="",$D$2=0),0,IF(BK$3&lt;0,0,N(INDEX('CURVA PREVISION'!$A$1:$KZ$3000,$C67,11+3*MIN(BK$3,$D$2-1)))))</f>
        <v/>
      </c>
      <c r="BL67" s="130">
        <f>IF(OR($C67="",$B$2="",$D$2=0),0,IF(BL$3&lt;0,0,N(INDEX('CURVA PREVISION'!$A$1:$KZ$3000,$C67,11+3*MIN(BL$3,$D$2-1)))))</f>
        <v/>
      </c>
      <c r="BM67" s="130">
        <f>IF(OR($C67="",$B$2="",$D$2=0),0,IF(BM$3&lt;0,0,N(INDEX('CURVA PREVISION'!$A$1:$KZ$3000,$C67,11+3*MIN(BM$3,$D$2-1)))))</f>
        <v/>
      </c>
      <c r="BN67" s="130">
        <f>IF(OR($C67="",$B$2="",$D$2=0),0,IF(BN$3&lt;0,0,N(INDEX('CURVA PREVISION'!$A$1:$KZ$3000,$C67,11+3*MIN(BN$3,$D$2-1)))))</f>
        <v/>
      </c>
      <c r="BO67" s="130">
        <f>IF(OR($C67="",$B$2="",$D$2=0),0,IF(BO$3&lt;0,0,N(INDEX('CURVA PREVISION'!$A$1:$KZ$3000,$C67,11+3*MIN(BO$3,$D$2-1)))))</f>
        <v/>
      </c>
      <c r="BP67" s="130">
        <f>IF(OR($C67="",$B$2="",$D$2=0),0,IF(BP$3&lt;0,0,N(INDEX('CURVA PREVISION'!$A$1:$KZ$3000,$C67,11+3*MIN(BP$3,$D$2-1)))))</f>
        <v/>
      </c>
      <c r="BQ67" s="130">
        <f>IF(OR($C67="",$B$2="",$D$2=0),0,IF(BQ$3&lt;0,0,N(INDEX('CURVA PREVISION'!$A$1:$KZ$3000,$C67,11+3*MIN(BQ$3,$D$2-1)))))</f>
        <v/>
      </c>
      <c r="BR67" s="130">
        <f>IF(OR($C67="",$B$2="",$D$2=0),0,IF(BR$3&lt;0,0,N(INDEX('CURVA PREVISION'!$A$1:$KZ$3000,$C67,11+3*MIN(BR$3,$D$2-1)))))</f>
        <v/>
      </c>
      <c r="BS67" s="130">
        <f>IF(OR($C67="",$B$2="",$D$2=0),0,IF(BS$3&lt;0,0,N(INDEX('CURVA PREVISION'!$A$1:$KZ$3000,$C67,11+3*MIN(BS$3,$D$2-1)))))</f>
        <v/>
      </c>
      <c r="BT67" s="130">
        <f>IF(OR($C67="",$B$2="",$D$2=0),0,IF(BT$3&lt;0,0,N(INDEX('CURVA PREVISION'!$A$1:$KZ$3000,$C67,11+3*MIN(BT$3,$D$2-1)))))</f>
        <v/>
      </c>
      <c r="BU67" s="130">
        <f>IF(OR($C67="",$B$2="",$D$2=0),0,IF(BU$3&lt;0,0,N(INDEX('CURVA PREVISION'!$A$1:$KZ$3000,$C67,11+3*MIN(BU$3,$D$2-1)))))</f>
        <v/>
      </c>
      <c r="BV67" s="130">
        <f>IF(OR($C67="",$B$2="",$D$2=0),0,IF(BV$3&lt;0,0,N(INDEX('CURVA PREVISION'!$A$1:$KZ$3000,$C67,11+3*MIN(BV$3,$D$2-1)))))</f>
        <v/>
      </c>
      <c r="BW67" s="130">
        <f>IF(OR($C67="",$B$2="",$D$2=0),0,IF(BW$3&lt;0,0,N(INDEX('CURVA PREVISION'!$A$1:$KZ$3000,$C67,11+3*MIN(BW$3,$D$2-1)))))</f>
        <v/>
      </c>
    </row>
    <row r="68">
      <c r="A68" s="61">
        <f>IF('VALOR POR PL'!Q32="",'VALOR POR PL'!C32,'VALOR POR PL'!Q32)</f>
        <v/>
      </c>
      <c r="B68" s="51">
        <f>B26</f>
        <v/>
      </c>
      <c r="C68" s="70">
        <f>IFERROR(MATCH(A68,'CURVA PREVISION'!$B$1:$B$3000,0),"")</f>
        <v/>
      </c>
      <c r="D68" s="130">
        <f>IF(OR($C68="",$B$2="",$D$2=0),0,IF(D$3&lt;0,0,N(INDEX('CURVA PREVISION'!$A$1:$KZ$3000,$C68,11+3*MIN(D$3,$D$2-1)))))</f>
        <v/>
      </c>
      <c r="E68" s="130">
        <f>IF(OR($C68="",$B$2="",$D$2=0),0,IF(E$3&lt;0,0,N(INDEX('CURVA PREVISION'!$A$1:$KZ$3000,$C68,11+3*MIN(E$3,$D$2-1)))))</f>
        <v/>
      </c>
      <c r="F68" s="130">
        <f>IF(OR($C68="",$B$2="",$D$2=0),0,IF(F$3&lt;0,0,N(INDEX('CURVA PREVISION'!$A$1:$KZ$3000,$C68,11+3*MIN(F$3,$D$2-1)))))</f>
        <v/>
      </c>
      <c r="G68" s="130">
        <f>IF(OR($C68="",$B$2="",$D$2=0),0,IF(G$3&lt;0,0,N(INDEX('CURVA PREVISION'!$A$1:$KZ$3000,$C68,11+3*MIN(G$3,$D$2-1)))))</f>
        <v/>
      </c>
      <c r="H68" s="130">
        <f>IF(OR($C68="",$B$2="",$D$2=0),0,IF(H$3&lt;0,0,N(INDEX('CURVA PREVISION'!$A$1:$KZ$3000,$C68,11+3*MIN(H$3,$D$2-1)))))</f>
        <v/>
      </c>
      <c r="I68" s="130">
        <f>IF(OR($C68="",$B$2="",$D$2=0),0,IF(I$3&lt;0,0,N(INDEX('CURVA PREVISION'!$A$1:$KZ$3000,$C68,11+3*MIN(I$3,$D$2-1)))))</f>
        <v/>
      </c>
      <c r="J68" s="130">
        <f>IF(OR($C68="",$B$2="",$D$2=0),0,IF(J$3&lt;0,0,N(INDEX('CURVA PREVISION'!$A$1:$KZ$3000,$C68,11+3*MIN(J$3,$D$2-1)))))</f>
        <v/>
      </c>
      <c r="K68" s="130">
        <f>IF(OR($C68="",$B$2="",$D$2=0),0,IF(K$3&lt;0,0,N(INDEX('CURVA PREVISION'!$A$1:$KZ$3000,$C68,11+3*MIN(K$3,$D$2-1)))))</f>
        <v/>
      </c>
      <c r="L68" s="130">
        <f>IF(OR($C68="",$B$2="",$D$2=0),0,IF(L$3&lt;0,0,N(INDEX('CURVA PREVISION'!$A$1:$KZ$3000,$C68,11+3*MIN(L$3,$D$2-1)))))</f>
        <v/>
      </c>
      <c r="M68" s="130">
        <f>IF(OR($C68="",$B$2="",$D$2=0),0,IF(M$3&lt;0,0,N(INDEX('CURVA PREVISION'!$A$1:$KZ$3000,$C68,11+3*MIN(M$3,$D$2-1)))))</f>
        <v/>
      </c>
      <c r="N68" s="130">
        <f>IF(OR($C68="",$B$2="",$D$2=0),0,IF(N$3&lt;0,0,N(INDEX('CURVA PREVISION'!$A$1:$KZ$3000,$C68,11+3*MIN(N$3,$D$2-1)))))</f>
        <v/>
      </c>
      <c r="O68" s="130">
        <f>IF(OR($C68="",$B$2="",$D$2=0),0,IF(O$3&lt;0,0,N(INDEX('CURVA PREVISION'!$A$1:$KZ$3000,$C68,11+3*MIN(O$3,$D$2-1)))))</f>
        <v/>
      </c>
      <c r="P68" s="130">
        <f>IF(OR($C68="",$B$2="",$D$2=0),0,IF(P$3&lt;0,0,N(INDEX('CURVA PREVISION'!$A$1:$KZ$3000,$C68,11+3*MIN(P$3,$D$2-1)))))</f>
        <v/>
      </c>
      <c r="Q68" s="130">
        <f>IF(OR($C68="",$B$2="",$D$2=0),0,IF(Q$3&lt;0,0,N(INDEX('CURVA PREVISION'!$A$1:$KZ$3000,$C68,11+3*MIN(Q$3,$D$2-1)))))</f>
        <v/>
      </c>
      <c r="R68" s="130">
        <f>IF(OR($C68="",$B$2="",$D$2=0),0,IF(R$3&lt;0,0,N(INDEX('CURVA PREVISION'!$A$1:$KZ$3000,$C68,11+3*MIN(R$3,$D$2-1)))))</f>
        <v/>
      </c>
      <c r="S68" s="130">
        <f>IF(OR($C68="",$B$2="",$D$2=0),0,IF(S$3&lt;0,0,N(INDEX('CURVA PREVISION'!$A$1:$KZ$3000,$C68,11+3*MIN(S$3,$D$2-1)))))</f>
        <v/>
      </c>
      <c r="T68" s="130">
        <f>IF(OR($C68="",$B$2="",$D$2=0),0,IF(T$3&lt;0,0,N(INDEX('CURVA PREVISION'!$A$1:$KZ$3000,$C68,11+3*MIN(T$3,$D$2-1)))))</f>
        <v/>
      </c>
      <c r="U68" s="130">
        <f>IF(OR($C68="",$B$2="",$D$2=0),0,IF(U$3&lt;0,0,N(INDEX('CURVA PREVISION'!$A$1:$KZ$3000,$C68,11+3*MIN(U$3,$D$2-1)))))</f>
        <v/>
      </c>
      <c r="V68" s="130">
        <f>IF(OR($C68="",$B$2="",$D$2=0),0,IF(V$3&lt;0,0,N(INDEX('CURVA PREVISION'!$A$1:$KZ$3000,$C68,11+3*MIN(V$3,$D$2-1)))))</f>
        <v/>
      </c>
      <c r="W68" s="130">
        <f>IF(OR($C68="",$B$2="",$D$2=0),0,IF(W$3&lt;0,0,N(INDEX('CURVA PREVISION'!$A$1:$KZ$3000,$C68,11+3*MIN(W$3,$D$2-1)))))</f>
        <v/>
      </c>
      <c r="X68" s="130">
        <f>IF(OR($C68="",$B$2="",$D$2=0),0,IF(X$3&lt;0,0,N(INDEX('CURVA PREVISION'!$A$1:$KZ$3000,$C68,11+3*MIN(X$3,$D$2-1)))))</f>
        <v/>
      </c>
      <c r="Y68" s="130">
        <f>IF(OR($C68="",$B$2="",$D$2=0),0,IF(Y$3&lt;0,0,N(INDEX('CURVA PREVISION'!$A$1:$KZ$3000,$C68,11+3*MIN(Y$3,$D$2-1)))))</f>
        <v/>
      </c>
      <c r="Z68" s="130">
        <f>IF(OR($C68="",$B$2="",$D$2=0),0,IF(Z$3&lt;0,0,N(INDEX('CURVA PREVISION'!$A$1:$KZ$3000,$C68,11+3*MIN(Z$3,$D$2-1)))))</f>
        <v/>
      </c>
      <c r="AA68" s="130">
        <f>IF(OR($C68="",$B$2="",$D$2=0),0,IF(AA$3&lt;0,0,N(INDEX('CURVA PREVISION'!$A$1:$KZ$3000,$C68,11+3*MIN(AA$3,$D$2-1)))))</f>
        <v/>
      </c>
      <c r="AB68" s="130">
        <f>IF(OR($C68="",$B$2="",$D$2=0),0,IF(AB$3&lt;0,0,N(INDEX('CURVA PREVISION'!$A$1:$KZ$3000,$C68,11+3*MIN(AB$3,$D$2-1)))))</f>
        <v/>
      </c>
      <c r="AC68" s="130">
        <f>IF(OR($C68="",$B$2="",$D$2=0),0,IF(AC$3&lt;0,0,N(INDEX('CURVA PREVISION'!$A$1:$KZ$3000,$C68,11+3*MIN(AC$3,$D$2-1)))))</f>
        <v/>
      </c>
      <c r="AD68" s="130">
        <f>IF(OR($C68="",$B$2="",$D$2=0),0,IF(AD$3&lt;0,0,N(INDEX('CURVA PREVISION'!$A$1:$KZ$3000,$C68,11+3*MIN(AD$3,$D$2-1)))))</f>
        <v/>
      </c>
      <c r="AE68" s="130">
        <f>IF(OR($C68="",$B$2="",$D$2=0),0,IF(AE$3&lt;0,0,N(INDEX('CURVA PREVISION'!$A$1:$KZ$3000,$C68,11+3*MIN(AE$3,$D$2-1)))))</f>
        <v/>
      </c>
      <c r="AF68" s="130">
        <f>IF(OR($C68="",$B$2="",$D$2=0),0,IF(AF$3&lt;0,0,N(INDEX('CURVA PREVISION'!$A$1:$KZ$3000,$C68,11+3*MIN(AF$3,$D$2-1)))))</f>
        <v/>
      </c>
      <c r="AG68" s="130">
        <f>IF(OR($C68="",$B$2="",$D$2=0),0,IF(AG$3&lt;0,0,N(INDEX('CURVA PREVISION'!$A$1:$KZ$3000,$C68,11+3*MIN(AG$3,$D$2-1)))))</f>
        <v/>
      </c>
      <c r="AH68" s="130">
        <f>IF(OR($C68="",$B$2="",$D$2=0),0,IF(AH$3&lt;0,0,N(INDEX('CURVA PREVISION'!$A$1:$KZ$3000,$C68,11+3*MIN(AH$3,$D$2-1)))))</f>
        <v/>
      </c>
      <c r="AI68" s="130">
        <f>IF(OR($C68="",$B$2="",$D$2=0),0,IF(AI$3&lt;0,0,N(INDEX('CURVA PREVISION'!$A$1:$KZ$3000,$C68,11+3*MIN(AI$3,$D$2-1)))))</f>
        <v/>
      </c>
      <c r="AJ68" s="130">
        <f>IF(OR($C68="",$B$2="",$D$2=0),0,IF(AJ$3&lt;0,0,N(INDEX('CURVA PREVISION'!$A$1:$KZ$3000,$C68,11+3*MIN(AJ$3,$D$2-1)))))</f>
        <v/>
      </c>
      <c r="AK68" s="130">
        <f>IF(OR($C68="",$B$2="",$D$2=0),0,IF(AK$3&lt;0,0,N(INDEX('CURVA PREVISION'!$A$1:$KZ$3000,$C68,11+3*MIN(AK$3,$D$2-1)))))</f>
        <v/>
      </c>
      <c r="AL68" s="130">
        <f>IF(OR($C68="",$B$2="",$D$2=0),0,IF(AL$3&lt;0,0,N(INDEX('CURVA PREVISION'!$A$1:$KZ$3000,$C68,11+3*MIN(AL$3,$D$2-1)))))</f>
        <v/>
      </c>
      <c r="AM68" s="130">
        <f>IF(OR($C68="",$B$2="",$D$2=0),0,IF(AM$3&lt;0,0,N(INDEX('CURVA PREVISION'!$A$1:$KZ$3000,$C68,11+3*MIN(AM$3,$D$2-1)))))</f>
        <v/>
      </c>
      <c r="AN68" s="130">
        <f>IF(OR($C68="",$B$2="",$D$2=0),0,IF(AN$3&lt;0,0,N(INDEX('CURVA PREVISION'!$A$1:$KZ$3000,$C68,11+3*MIN(AN$3,$D$2-1)))))</f>
        <v/>
      </c>
      <c r="AO68" s="130">
        <f>IF(OR($C68="",$B$2="",$D$2=0),0,IF(AO$3&lt;0,0,N(INDEX('CURVA PREVISION'!$A$1:$KZ$3000,$C68,11+3*MIN(AO$3,$D$2-1)))))</f>
        <v/>
      </c>
      <c r="AP68" s="130">
        <f>IF(OR($C68="",$B$2="",$D$2=0),0,IF(AP$3&lt;0,0,N(INDEX('CURVA PREVISION'!$A$1:$KZ$3000,$C68,11+3*MIN(AP$3,$D$2-1)))))</f>
        <v/>
      </c>
      <c r="AQ68" s="130">
        <f>IF(OR($C68="",$B$2="",$D$2=0),0,IF(AQ$3&lt;0,0,N(INDEX('CURVA PREVISION'!$A$1:$KZ$3000,$C68,11+3*MIN(AQ$3,$D$2-1)))))</f>
        <v/>
      </c>
      <c r="AR68" s="130">
        <f>IF(OR($C68="",$B$2="",$D$2=0),0,IF(AR$3&lt;0,0,N(INDEX('CURVA PREVISION'!$A$1:$KZ$3000,$C68,11+3*MIN(AR$3,$D$2-1)))))</f>
        <v/>
      </c>
      <c r="AS68" s="130">
        <f>IF(OR($C68="",$B$2="",$D$2=0),0,IF(AS$3&lt;0,0,N(INDEX('CURVA PREVISION'!$A$1:$KZ$3000,$C68,11+3*MIN(AS$3,$D$2-1)))))</f>
        <v/>
      </c>
      <c r="AT68" s="130">
        <f>IF(OR($C68="",$B$2="",$D$2=0),0,IF(AT$3&lt;0,0,N(INDEX('CURVA PREVISION'!$A$1:$KZ$3000,$C68,11+3*MIN(AT$3,$D$2-1)))))</f>
        <v/>
      </c>
      <c r="AU68" s="130">
        <f>IF(OR($C68="",$B$2="",$D$2=0),0,IF(AU$3&lt;0,0,N(INDEX('CURVA PREVISION'!$A$1:$KZ$3000,$C68,11+3*MIN(AU$3,$D$2-1)))))</f>
        <v/>
      </c>
      <c r="AV68" s="130">
        <f>IF(OR($C68="",$B$2="",$D$2=0),0,IF(AV$3&lt;0,0,N(INDEX('CURVA PREVISION'!$A$1:$KZ$3000,$C68,11+3*MIN(AV$3,$D$2-1)))))</f>
        <v/>
      </c>
      <c r="AW68" s="130">
        <f>IF(OR($C68="",$B$2="",$D$2=0),0,IF(AW$3&lt;0,0,N(INDEX('CURVA PREVISION'!$A$1:$KZ$3000,$C68,11+3*MIN(AW$3,$D$2-1)))))</f>
        <v/>
      </c>
      <c r="AX68" s="130">
        <f>IF(OR($C68="",$B$2="",$D$2=0),0,IF(AX$3&lt;0,0,N(INDEX('CURVA PREVISION'!$A$1:$KZ$3000,$C68,11+3*MIN(AX$3,$D$2-1)))))</f>
        <v/>
      </c>
      <c r="AY68" s="130">
        <f>IF(OR($C68="",$B$2="",$D$2=0),0,IF(AY$3&lt;0,0,N(INDEX('CURVA PREVISION'!$A$1:$KZ$3000,$C68,11+3*MIN(AY$3,$D$2-1)))))</f>
        <v/>
      </c>
      <c r="AZ68" s="130">
        <f>IF(OR($C68="",$B$2="",$D$2=0),0,IF(AZ$3&lt;0,0,N(INDEX('CURVA PREVISION'!$A$1:$KZ$3000,$C68,11+3*MIN(AZ$3,$D$2-1)))))</f>
        <v/>
      </c>
      <c r="BA68" s="130">
        <f>IF(OR($C68="",$B$2="",$D$2=0),0,IF(BA$3&lt;0,0,N(INDEX('CURVA PREVISION'!$A$1:$KZ$3000,$C68,11+3*MIN(BA$3,$D$2-1)))))</f>
        <v/>
      </c>
      <c r="BB68" s="130">
        <f>IF(OR($C68="",$B$2="",$D$2=0),0,IF(BB$3&lt;0,0,N(INDEX('CURVA PREVISION'!$A$1:$KZ$3000,$C68,11+3*MIN(BB$3,$D$2-1)))))</f>
        <v/>
      </c>
      <c r="BC68" s="130">
        <f>IF(OR($C68="",$B$2="",$D$2=0),0,IF(BC$3&lt;0,0,N(INDEX('CURVA PREVISION'!$A$1:$KZ$3000,$C68,11+3*MIN(BC$3,$D$2-1)))))</f>
        <v/>
      </c>
      <c r="BD68" s="130">
        <f>IF(OR($C68="",$B$2="",$D$2=0),0,IF(BD$3&lt;0,0,N(INDEX('CURVA PREVISION'!$A$1:$KZ$3000,$C68,11+3*MIN(BD$3,$D$2-1)))))</f>
        <v/>
      </c>
      <c r="BE68" s="130">
        <f>IF(OR($C68="",$B$2="",$D$2=0),0,IF(BE$3&lt;0,0,N(INDEX('CURVA PREVISION'!$A$1:$KZ$3000,$C68,11+3*MIN(BE$3,$D$2-1)))))</f>
        <v/>
      </c>
      <c r="BF68" s="130">
        <f>IF(OR($C68="",$B$2="",$D$2=0),0,IF(BF$3&lt;0,0,N(INDEX('CURVA PREVISION'!$A$1:$KZ$3000,$C68,11+3*MIN(BF$3,$D$2-1)))))</f>
        <v/>
      </c>
      <c r="BG68" s="130">
        <f>IF(OR($C68="",$B$2="",$D$2=0),0,IF(BG$3&lt;0,0,N(INDEX('CURVA PREVISION'!$A$1:$KZ$3000,$C68,11+3*MIN(BG$3,$D$2-1)))))</f>
        <v/>
      </c>
      <c r="BH68" s="130">
        <f>IF(OR($C68="",$B$2="",$D$2=0),0,IF(BH$3&lt;0,0,N(INDEX('CURVA PREVISION'!$A$1:$KZ$3000,$C68,11+3*MIN(BH$3,$D$2-1)))))</f>
        <v/>
      </c>
      <c r="BI68" s="130">
        <f>IF(OR($C68="",$B$2="",$D$2=0),0,IF(BI$3&lt;0,0,N(INDEX('CURVA PREVISION'!$A$1:$KZ$3000,$C68,11+3*MIN(BI$3,$D$2-1)))))</f>
        <v/>
      </c>
      <c r="BJ68" s="130">
        <f>IF(OR($C68="",$B$2="",$D$2=0),0,IF(BJ$3&lt;0,0,N(INDEX('CURVA PREVISION'!$A$1:$KZ$3000,$C68,11+3*MIN(BJ$3,$D$2-1)))))</f>
        <v/>
      </c>
      <c r="BK68" s="130">
        <f>IF(OR($C68="",$B$2="",$D$2=0),0,IF(BK$3&lt;0,0,N(INDEX('CURVA PREVISION'!$A$1:$KZ$3000,$C68,11+3*MIN(BK$3,$D$2-1)))))</f>
        <v/>
      </c>
      <c r="BL68" s="130">
        <f>IF(OR($C68="",$B$2="",$D$2=0),0,IF(BL$3&lt;0,0,N(INDEX('CURVA PREVISION'!$A$1:$KZ$3000,$C68,11+3*MIN(BL$3,$D$2-1)))))</f>
        <v/>
      </c>
      <c r="BM68" s="130">
        <f>IF(OR($C68="",$B$2="",$D$2=0),0,IF(BM$3&lt;0,0,N(INDEX('CURVA PREVISION'!$A$1:$KZ$3000,$C68,11+3*MIN(BM$3,$D$2-1)))))</f>
        <v/>
      </c>
      <c r="BN68" s="130">
        <f>IF(OR($C68="",$B$2="",$D$2=0),0,IF(BN$3&lt;0,0,N(INDEX('CURVA PREVISION'!$A$1:$KZ$3000,$C68,11+3*MIN(BN$3,$D$2-1)))))</f>
        <v/>
      </c>
      <c r="BO68" s="130">
        <f>IF(OR($C68="",$B$2="",$D$2=0),0,IF(BO$3&lt;0,0,N(INDEX('CURVA PREVISION'!$A$1:$KZ$3000,$C68,11+3*MIN(BO$3,$D$2-1)))))</f>
        <v/>
      </c>
      <c r="BP68" s="130">
        <f>IF(OR($C68="",$B$2="",$D$2=0),0,IF(BP$3&lt;0,0,N(INDEX('CURVA PREVISION'!$A$1:$KZ$3000,$C68,11+3*MIN(BP$3,$D$2-1)))))</f>
        <v/>
      </c>
      <c r="BQ68" s="130">
        <f>IF(OR($C68="",$B$2="",$D$2=0),0,IF(BQ$3&lt;0,0,N(INDEX('CURVA PREVISION'!$A$1:$KZ$3000,$C68,11+3*MIN(BQ$3,$D$2-1)))))</f>
        <v/>
      </c>
      <c r="BR68" s="130">
        <f>IF(OR($C68="",$B$2="",$D$2=0),0,IF(BR$3&lt;0,0,N(INDEX('CURVA PREVISION'!$A$1:$KZ$3000,$C68,11+3*MIN(BR$3,$D$2-1)))))</f>
        <v/>
      </c>
      <c r="BS68" s="130">
        <f>IF(OR($C68="",$B$2="",$D$2=0),0,IF(BS$3&lt;0,0,N(INDEX('CURVA PREVISION'!$A$1:$KZ$3000,$C68,11+3*MIN(BS$3,$D$2-1)))))</f>
        <v/>
      </c>
      <c r="BT68" s="130">
        <f>IF(OR($C68="",$B$2="",$D$2=0),0,IF(BT$3&lt;0,0,N(INDEX('CURVA PREVISION'!$A$1:$KZ$3000,$C68,11+3*MIN(BT$3,$D$2-1)))))</f>
        <v/>
      </c>
      <c r="BU68" s="130">
        <f>IF(OR($C68="",$B$2="",$D$2=0),0,IF(BU$3&lt;0,0,N(INDEX('CURVA PREVISION'!$A$1:$KZ$3000,$C68,11+3*MIN(BU$3,$D$2-1)))))</f>
        <v/>
      </c>
      <c r="BV68" s="130">
        <f>IF(OR($C68="",$B$2="",$D$2=0),0,IF(BV$3&lt;0,0,N(INDEX('CURVA PREVISION'!$A$1:$KZ$3000,$C68,11+3*MIN(BV$3,$D$2-1)))))</f>
        <v/>
      </c>
      <c r="BW68" s="130">
        <f>IF(OR($C68="",$B$2="",$D$2=0),0,IF(BW$3&lt;0,0,N(INDEX('CURVA PREVISION'!$A$1:$KZ$3000,$C68,11+3*MIN(BW$3,$D$2-1)))))</f>
        <v/>
      </c>
    </row>
    <row r="69">
      <c r="A69" s="61">
        <f>IF('VALOR POR PL'!Q33="",'VALOR POR PL'!C33,'VALOR POR PL'!Q33)</f>
        <v/>
      </c>
      <c r="B69" s="51">
        <f>B27</f>
        <v/>
      </c>
      <c r="C69" s="70">
        <f>IFERROR(MATCH(A69,'CURVA PREVISION'!$B$1:$B$3000,0),"")</f>
        <v/>
      </c>
      <c r="D69" s="130">
        <f>IF(OR($C69="",$B$2="",$D$2=0),0,IF(D$3&lt;0,0,N(INDEX('CURVA PREVISION'!$A$1:$KZ$3000,$C69,11+3*MIN(D$3,$D$2-1)))))</f>
        <v/>
      </c>
      <c r="E69" s="130">
        <f>IF(OR($C69="",$B$2="",$D$2=0),0,IF(E$3&lt;0,0,N(INDEX('CURVA PREVISION'!$A$1:$KZ$3000,$C69,11+3*MIN(E$3,$D$2-1)))))</f>
        <v/>
      </c>
      <c r="F69" s="130">
        <f>IF(OR($C69="",$B$2="",$D$2=0),0,IF(F$3&lt;0,0,N(INDEX('CURVA PREVISION'!$A$1:$KZ$3000,$C69,11+3*MIN(F$3,$D$2-1)))))</f>
        <v/>
      </c>
      <c r="G69" s="130">
        <f>IF(OR($C69="",$B$2="",$D$2=0),0,IF(G$3&lt;0,0,N(INDEX('CURVA PREVISION'!$A$1:$KZ$3000,$C69,11+3*MIN(G$3,$D$2-1)))))</f>
        <v/>
      </c>
      <c r="H69" s="130">
        <f>IF(OR($C69="",$B$2="",$D$2=0),0,IF(H$3&lt;0,0,N(INDEX('CURVA PREVISION'!$A$1:$KZ$3000,$C69,11+3*MIN(H$3,$D$2-1)))))</f>
        <v/>
      </c>
      <c r="I69" s="130">
        <f>IF(OR($C69="",$B$2="",$D$2=0),0,IF(I$3&lt;0,0,N(INDEX('CURVA PREVISION'!$A$1:$KZ$3000,$C69,11+3*MIN(I$3,$D$2-1)))))</f>
        <v/>
      </c>
      <c r="J69" s="130">
        <f>IF(OR($C69="",$B$2="",$D$2=0),0,IF(J$3&lt;0,0,N(INDEX('CURVA PREVISION'!$A$1:$KZ$3000,$C69,11+3*MIN(J$3,$D$2-1)))))</f>
        <v/>
      </c>
      <c r="K69" s="130">
        <f>IF(OR($C69="",$B$2="",$D$2=0),0,IF(K$3&lt;0,0,N(INDEX('CURVA PREVISION'!$A$1:$KZ$3000,$C69,11+3*MIN(K$3,$D$2-1)))))</f>
        <v/>
      </c>
      <c r="L69" s="130">
        <f>IF(OR($C69="",$B$2="",$D$2=0),0,IF(L$3&lt;0,0,N(INDEX('CURVA PREVISION'!$A$1:$KZ$3000,$C69,11+3*MIN(L$3,$D$2-1)))))</f>
        <v/>
      </c>
      <c r="M69" s="130">
        <f>IF(OR($C69="",$B$2="",$D$2=0),0,IF(M$3&lt;0,0,N(INDEX('CURVA PREVISION'!$A$1:$KZ$3000,$C69,11+3*MIN(M$3,$D$2-1)))))</f>
        <v/>
      </c>
      <c r="N69" s="130">
        <f>IF(OR($C69="",$B$2="",$D$2=0),0,IF(N$3&lt;0,0,N(INDEX('CURVA PREVISION'!$A$1:$KZ$3000,$C69,11+3*MIN(N$3,$D$2-1)))))</f>
        <v/>
      </c>
      <c r="O69" s="130">
        <f>IF(OR($C69="",$B$2="",$D$2=0),0,IF(O$3&lt;0,0,N(INDEX('CURVA PREVISION'!$A$1:$KZ$3000,$C69,11+3*MIN(O$3,$D$2-1)))))</f>
        <v/>
      </c>
      <c r="P69" s="130">
        <f>IF(OR($C69="",$B$2="",$D$2=0),0,IF(P$3&lt;0,0,N(INDEX('CURVA PREVISION'!$A$1:$KZ$3000,$C69,11+3*MIN(P$3,$D$2-1)))))</f>
        <v/>
      </c>
      <c r="Q69" s="130">
        <f>IF(OR($C69="",$B$2="",$D$2=0),0,IF(Q$3&lt;0,0,N(INDEX('CURVA PREVISION'!$A$1:$KZ$3000,$C69,11+3*MIN(Q$3,$D$2-1)))))</f>
        <v/>
      </c>
      <c r="R69" s="130">
        <f>IF(OR($C69="",$B$2="",$D$2=0),0,IF(R$3&lt;0,0,N(INDEX('CURVA PREVISION'!$A$1:$KZ$3000,$C69,11+3*MIN(R$3,$D$2-1)))))</f>
        <v/>
      </c>
      <c r="S69" s="130">
        <f>IF(OR($C69="",$B$2="",$D$2=0),0,IF(S$3&lt;0,0,N(INDEX('CURVA PREVISION'!$A$1:$KZ$3000,$C69,11+3*MIN(S$3,$D$2-1)))))</f>
        <v/>
      </c>
      <c r="T69" s="130">
        <f>IF(OR($C69="",$B$2="",$D$2=0),0,IF(T$3&lt;0,0,N(INDEX('CURVA PREVISION'!$A$1:$KZ$3000,$C69,11+3*MIN(T$3,$D$2-1)))))</f>
        <v/>
      </c>
      <c r="U69" s="130">
        <f>IF(OR($C69="",$B$2="",$D$2=0),0,IF(U$3&lt;0,0,N(INDEX('CURVA PREVISION'!$A$1:$KZ$3000,$C69,11+3*MIN(U$3,$D$2-1)))))</f>
        <v/>
      </c>
      <c r="V69" s="130">
        <f>IF(OR($C69="",$B$2="",$D$2=0),0,IF(V$3&lt;0,0,N(INDEX('CURVA PREVISION'!$A$1:$KZ$3000,$C69,11+3*MIN(V$3,$D$2-1)))))</f>
        <v/>
      </c>
      <c r="W69" s="130">
        <f>IF(OR($C69="",$B$2="",$D$2=0),0,IF(W$3&lt;0,0,N(INDEX('CURVA PREVISION'!$A$1:$KZ$3000,$C69,11+3*MIN(W$3,$D$2-1)))))</f>
        <v/>
      </c>
      <c r="X69" s="130">
        <f>IF(OR($C69="",$B$2="",$D$2=0),0,IF(X$3&lt;0,0,N(INDEX('CURVA PREVISION'!$A$1:$KZ$3000,$C69,11+3*MIN(X$3,$D$2-1)))))</f>
        <v/>
      </c>
      <c r="Y69" s="130">
        <f>IF(OR($C69="",$B$2="",$D$2=0),0,IF(Y$3&lt;0,0,N(INDEX('CURVA PREVISION'!$A$1:$KZ$3000,$C69,11+3*MIN(Y$3,$D$2-1)))))</f>
        <v/>
      </c>
      <c r="Z69" s="130">
        <f>IF(OR($C69="",$B$2="",$D$2=0),0,IF(Z$3&lt;0,0,N(INDEX('CURVA PREVISION'!$A$1:$KZ$3000,$C69,11+3*MIN(Z$3,$D$2-1)))))</f>
        <v/>
      </c>
      <c r="AA69" s="130">
        <f>IF(OR($C69="",$B$2="",$D$2=0),0,IF(AA$3&lt;0,0,N(INDEX('CURVA PREVISION'!$A$1:$KZ$3000,$C69,11+3*MIN(AA$3,$D$2-1)))))</f>
        <v/>
      </c>
      <c r="AB69" s="130">
        <f>IF(OR($C69="",$B$2="",$D$2=0),0,IF(AB$3&lt;0,0,N(INDEX('CURVA PREVISION'!$A$1:$KZ$3000,$C69,11+3*MIN(AB$3,$D$2-1)))))</f>
        <v/>
      </c>
      <c r="AC69" s="130">
        <f>IF(OR($C69="",$B$2="",$D$2=0),0,IF(AC$3&lt;0,0,N(INDEX('CURVA PREVISION'!$A$1:$KZ$3000,$C69,11+3*MIN(AC$3,$D$2-1)))))</f>
        <v/>
      </c>
      <c r="AD69" s="130">
        <f>IF(OR($C69="",$B$2="",$D$2=0),0,IF(AD$3&lt;0,0,N(INDEX('CURVA PREVISION'!$A$1:$KZ$3000,$C69,11+3*MIN(AD$3,$D$2-1)))))</f>
        <v/>
      </c>
      <c r="AE69" s="130">
        <f>IF(OR($C69="",$B$2="",$D$2=0),0,IF(AE$3&lt;0,0,N(INDEX('CURVA PREVISION'!$A$1:$KZ$3000,$C69,11+3*MIN(AE$3,$D$2-1)))))</f>
        <v/>
      </c>
      <c r="AF69" s="130">
        <f>IF(OR($C69="",$B$2="",$D$2=0),0,IF(AF$3&lt;0,0,N(INDEX('CURVA PREVISION'!$A$1:$KZ$3000,$C69,11+3*MIN(AF$3,$D$2-1)))))</f>
        <v/>
      </c>
      <c r="AG69" s="130">
        <f>IF(OR($C69="",$B$2="",$D$2=0),0,IF(AG$3&lt;0,0,N(INDEX('CURVA PREVISION'!$A$1:$KZ$3000,$C69,11+3*MIN(AG$3,$D$2-1)))))</f>
        <v/>
      </c>
      <c r="AH69" s="130">
        <f>IF(OR($C69="",$B$2="",$D$2=0),0,IF(AH$3&lt;0,0,N(INDEX('CURVA PREVISION'!$A$1:$KZ$3000,$C69,11+3*MIN(AH$3,$D$2-1)))))</f>
        <v/>
      </c>
      <c r="AI69" s="130">
        <f>IF(OR($C69="",$B$2="",$D$2=0),0,IF(AI$3&lt;0,0,N(INDEX('CURVA PREVISION'!$A$1:$KZ$3000,$C69,11+3*MIN(AI$3,$D$2-1)))))</f>
        <v/>
      </c>
      <c r="AJ69" s="130">
        <f>IF(OR($C69="",$B$2="",$D$2=0),0,IF(AJ$3&lt;0,0,N(INDEX('CURVA PREVISION'!$A$1:$KZ$3000,$C69,11+3*MIN(AJ$3,$D$2-1)))))</f>
        <v/>
      </c>
      <c r="AK69" s="130">
        <f>IF(OR($C69="",$B$2="",$D$2=0),0,IF(AK$3&lt;0,0,N(INDEX('CURVA PREVISION'!$A$1:$KZ$3000,$C69,11+3*MIN(AK$3,$D$2-1)))))</f>
        <v/>
      </c>
      <c r="AL69" s="130">
        <f>IF(OR($C69="",$B$2="",$D$2=0),0,IF(AL$3&lt;0,0,N(INDEX('CURVA PREVISION'!$A$1:$KZ$3000,$C69,11+3*MIN(AL$3,$D$2-1)))))</f>
        <v/>
      </c>
      <c r="AM69" s="130">
        <f>IF(OR($C69="",$B$2="",$D$2=0),0,IF(AM$3&lt;0,0,N(INDEX('CURVA PREVISION'!$A$1:$KZ$3000,$C69,11+3*MIN(AM$3,$D$2-1)))))</f>
        <v/>
      </c>
      <c r="AN69" s="130">
        <f>IF(OR($C69="",$B$2="",$D$2=0),0,IF(AN$3&lt;0,0,N(INDEX('CURVA PREVISION'!$A$1:$KZ$3000,$C69,11+3*MIN(AN$3,$D$2-1)))))</f>
        <v/>
      </c>
      <c r="AO69" s="130">
        <f>IF(OR($C69="",$B$2="",$D$2=0),0,IF(AO$3&lt;0,0,N(INDEX('CURVA PREVISION'!$A$1:$KZ$3000,$C69,11+3*MIN(AO$3,$D$2-1)))))</f>
        <v/>
      </c>
      <c r="AP69" s="130">
        <f>IF(OR($C69="",$B$2="",$D$2=0),0,IF(AP$3&lt;0,0,N(INDEX('CURVA PREVISION'!$A$1:$KZ$3000,$C69,11+3*MIN(AP$3,$D$2-1)))))</f>
        <v/>
      </c>
      <c r="AQ69" s="130">
        <f>IF(OR($C69="",$B$2="",$D$2=0),0,IF(AQ$3&lt;0,0,N(INDEX('CURVA PREVISION'!$A$1:$KZ$3000,$C69,11+3*MIN(AQ$3,$D$2-1)))))</f>
        <v/>
      </c>
      <c r="AR69" s="130">
        <f>IF(OR($C69="",$B$2="",$D$2=0),0,IF(AR$3&lt;0,0,N(INDEX('CURVA PREVISION'!$A$1:$KZ$3000,$C69,11+3*MIN(AR$3,$D$2-1)))))</f>
        <v/>
      </c>
      <c r="AS69" s="130">
        <f>IF(OR($C69="",$B$2="",$D$2=0),0,IF(AS$3&lt;0,0,N(INDEX('CURVA PREVISION'!$A$1:$KZ$3000,$C69,11+3*MIN(AS$3,$D$2-1)))))</f>
        <v/>
      </c>
      <c r="AT69" s="130">
        <f>IF(OR($C69="",$B$2="",$D$2=0),0,IF(AT$3&lt;0,0,N(INDEX('CURVA PREVISION'!$A$1:$KZ$3000,$C69,11+3*MIN(AT$3,$D$2-1)))))</f>
        <v/>
      </c>
      <c r="AU69" s="130">
        <f>IF(OR($C69="",$B$2="",$D$2=0),0,IF(AU$3&lt;0,0,N(INDEX('CURVA PREVISION'!$A$1:$KZ$3000,$C69,11+3*MIN(AU$3,$D$2-1)))))</f>
        <v/>
      </c>
      <c r="AV69" s="130">
        <f>IF(OR($C69="",$B$2="",$D$2=0),0,IF(AV$3&lt;0,0,N(INDEX('CURVA PREVISION'!$A$1:$KZ$3000,$C69,11+3*MIN(AV$3,$D$2-1)))))</f>
        <v/>
      </c>
      <c r="AW69" s="130">
        <f>IF(OR($C69="",$B$2="",$D$2=0),0,IF(AW$3&lt;0,0,N(INDEX('CURVA PREVISION'!$A$1:$KZ$3000,$C69,11+3*MIN(AW$3,$D$2-1)))))</f>
        <v/>
      </c>
      <c r="AX69" s="130">
        <f>IF(OR($C69="",$B$2="",$D$2=0),0,IF(AX$3&lt;0,0,N(INDEX('CURVA PREVISION'!$A$1:$KZ$3000,$C69,11+3*MIN(AX$3,$D$2-1)))))</f>
        <v/>
      </c>
      <c r="AY69" s="130">
        <f>IF(OR($C69="",$B$2="",$D$2=0),0,IF(AY$3&lt;0,0,N(INDEX('CURVA PREVISION'!$A$1:$KZ$3000,$C69,11+3*MIN(AY$3,$D$2-1)))))</f>
        <v/>
      </c>
      <c r="AZ69" s="130">
        <f>IF(OR($C69="",$B$2="",$D$2=0),0,IF(AZ$3&lt;0,0,N(INDEX('CURVA PREVISION'!$A$1:$KZ$3000,$C69,11+3*MIN(AZ$3,$D$2-1)))))</f>
        <v/>
      </c>
      <c r="BA69" s="130">
        <f>IF(OR($C69="",$B$2="",$D$2=0),0,IF(BA$3&lt;0,0,N(INDEX('CURVA PREVISION'!$A$1:$KZ$3000,$C69,11+3*MIN(BA$3,$D$2-1)))))</f>
        <v/>
      </c>
      <c r="BB69" s="130">
        <f>IF(OR($C69="",$B$2="",$D$2=0),0,IF(BB$3&lt;0,0,N(INDEX('CURVA PREVISION'!$A$1:$KZ$3000,$C69,11+3*MIN(BB$3,$D$2-1)))))</f>
        <v/>
      </c>
      <c r="BC69" s="130">
        <f>IF(OR($C69="",$B$2="",$D$2=0),0,IF(BC$3&lt;0,0,N(INDEX('CURVA PREVISION'!$A$1:$KZ$3000,$C69,11+3*MIN(BC$3,$D$2-1)))))</f>
        <v/>
      </c>
      <c r="BD69" s="130">
        <f>IF(OR($C69="",$B$2="",$D$2=0),0,IF(BD$3&lt;0,0,N(INDEX('CURVA PREVISION'!$A$1:$KZ$3000,$C69,11+3*MIN(BD$3,$D$2-1)))))</f>
        <v/>
      </c>
      <c r="BE69" s="130">
        <f>IF(OR($C69="",$B$2="",$D$2=0),0,IF(BE$3&lt;0,0,N(INDEX('CURVA PREVISION'!$A$1:$KZ$3000,$C69,11+3*MIN(BE$3,$D$2-1)))))</f>
        <v/>
      </c>
      <c r="BF69" s="130">
        <f>IF(OR($C69="",$B$2="",$D$2=0),0,IF(BF$3&lt;0,0,N(INDEX('CURVA PREVISION'!$A$1:$KZ$3000,$C69,11+3*MIN(BF$3,$D$2-1)))))</f>
        <v/>
      </c>
      <c r="BG69" s="130">
        <f>IF(OR($C69="",$B$2="",$D$2=0),0,IF(BG$3&lt;0,0,N(INDEX('CURVA PREVISION'!$A$1:$KZ$3000,$C69,11+3*MIN(BG$3,$D$2-1)))))</f>
        <v/>
      </c>
      <c r="BH69" s="130">
        <f>IF(OR($C69="",$B$2="",$D$2=0),0,IF(BH$3&lt;0,0,N(INDEX('CURVA PREVISION'!$A$1:$KZ$3000,$C69,11+3*MIN(BH$3,$D$2-1)))))</f>
        <v/>
      </c>
      <c r="BI69" s="130">
        <f>IF(OR($C69="",$B$2="",$D$2=0),0,IF(BI$3&lt;0,0,N(INDEX('CURVA PREVISION'!$A$1:$KZ$3000,$C69,11+3*MIN(BI$3,$D$2-1)))))</f>
        <v/>
      </c>
      <c r="BJ69" s="130">
        <f>IF(OR($C69="",$B$2="",$D$2=0),0,IF(BJ$3&lt;0,0,N(INDEX('CURVA PREVISION'!$A$1:$KZ$3000,$C69,11+3*MIN(BJ$3,$D$2-1)))))</f>
        <v/>
      </c>
      <c r="BK69" s="130">
        <f>IF(OR($C69="",$B$2="",$D$2=0),0,IF(BK$3&lt;0,0,N(INDEX('CURVA PREVISION'!$A$1:$KZ$3000,$C69,11+3*MIN(BK$3,$D$2-1)))))</f>
        <v/>
      </c>
      <c r="BL69" s="130">
        <f>IF(OR($C69="",$B$2="",$D$2=0),0,IF(BL$3&lt;0,0,N(INDEX('CURVA PREVISION'!$A$1:$KZ$3000,$C69,11+3*MIN(BL$3,$D$2-1)))))</f>
        <v/>
      </c>
      <c r="BM69" s="130">
        <f>IF(OR($C69="",$B$2="",$D$2=0),0,IF(BM$3&lt;0,0,N(INDEX('CURVA PREVISION'!$A$1:$KZ$3000,$C69,11+3*MIN(BM$3,$D$2-1)))))</f>
        <v/>
      </c>
      <c r="BN69" s="130">
        <f>IF(OR($C69="",$B$2="",$D$2=0),0,IF(BN$3&lt;0,0,N(INDEX('CURVA PREVISION'!$A$1:$KZ$3000,$C69,11+3*MIN(BN$3,$D$2-1)))))</f>
        <v/>
      </c>
      <c r="BO69" s="130">
        <f>IF(OR($C69="",$B$2="",$D$2=0),0,IF(BO$3&lt;0,0,N(INDEX('CURVA PREVISION'!$A$1:$KZ$3000,$C69,11+3*MIN(BO$3,$D$2-1)))))</f>
        <v/>
      </c>
      <c r="BP69" s="130">
        <f>IF(OR($C69="",$B$2="",$D$2=0),0,IF(BP$3&lt;0,0,N(INDEX('CURVA PREVISION'!$A$1:$KZ$3000,$C69,11+3*MIN(BP$3,$D$2-1)))))</f>
        <v/>
      </c>
      <c r="BQ69" s="130">
        <f>IF(OR($C69="",$B$2="",$D$2=0),0,IF(BQ$3&lt;0,0,N(INDEX('CURVA PREVISION'!$A$1:$KZ$3000,$C69,11+3*MIN(BQ$3,$D$2-1)))))</f>
        <v/>
      </c>
      <c r="BR69" s="130">
        <f>IF(OR($C69="",$B$2="",$D$2=0),0,IF(BR$3&lt;0,0,N(INDEX('CURVA PREVISION'!$A$1:$KZ$3000,$C69,11+3*MIN(BR$3,$D$2-1)))))</f>
        <v/>
      </c>
      <c r="BS69" s="130">
        <f>IF(OR($C69="",$B$2="",$D$2=0),0,IF(BS$3&lt;0,0,N(INDEX('CURVA PREVISION'!$A$1:$KZ$3000,$C69,11+3*MIN(BS$3,$D$2-1)))))</f>
        <v/>
      </c>
      <c r="BT69" s="130">
        <f>IF(OR($C69="",$B$2="",$D$2=0),0,IF(BT$3&lt;0,0,N(INDEX('CURVA PREVISION'!$A$1:$KZ$3000,$C69,11+3*MIN(BT$3,$D$2-1)))))</f>
        <v/>
      </c>
      <c r="BU69" s="130">
        <f>IF(OR($C69="",$B$2="",$D$2=0),0,IF(BU$3&lt;0,0,N(INDEX('CURVA PREVISION'!$A$1:$KZ$3000,$C69,11+3*MIN(BU$3,$D$2-1)))))</f>
        <v/>
      </c>
      <c r="BV69" s="130">
        <f>IF(OR($C69="",$B$2="",$D$2=0),0,IF(BV$3&lt;0,0,N(INDEX('CURVA PREVISION'!$A$1:$KZ$3000,$C69,11+3*MIN(BV$3,$D$2-1)))))</f>
        <v/>
      </c>
      <c r="BW69" s="130">
        <f>IF(OR($C69="",$B$2="",$D$2=0),0,IF(BW$3&lt;0,0,N(INDEX('CURVA PREVISION'!$A$1:$KZ$3000,$C69,11+3*MIN(BW$3,$D$2-1)))))</f>
        <v/>
      </c>
    </row>
    <row r="70">
      <c r="A70" s="61">
        <f>IF('VALOR POR PL'!Q34="",'VALOR POR PL'!C34,'VALOR POR PL'!Q34)</f>
        <v/>
      </c>
      <c r="B70" s="51">
        <f>B28</f>
        <v/>
      </c>
      <c r="C70" s="70">
        <f>IFERROR(MATCH(A70,'CURVA PREVISION'!$B$1:$B$3000,0),"")</f>
        <v/>
      </c>
      <c r="D70" s="130">
        <f>IF(OR($C70="",$B$2="",$D$2=0),0,IF(D$3&lt;0,0,N(INDEX('CURVA PREVISION'!$A$1:$KZ$3000,$C70,11+3*MIN(D$3,$D$2-1)))))</f>
        <v/>
      </c>
      <c r="E70" s="130">
        <f>IF(OR($C70="",$B$2="",$D$2=0),0,IF(E$3&lt;0,0,N(INDEX('CURVA PREVISION'!$A$1:$KZ$3000,$C70,11+3*MIN(E$3,$D$2-1)))))</f>
        <v/>
      </c>
      <c r="F70" s="130">
        <f>IF(OR($C70="",$B$2="",$D$2=0),0,IF(F$3&lt;0,0,N(INDEX('CURVA PREVISION'!$A$1:$KZ$3000,$C70,11+3*MIN(F$3,$D$2-1)))))</f>
        <v/>
      </c>
      <c r="G70" s="130">
        <f>IF(OR($C70="",$B$2="",$D$2=0),0,IF(G$3&lt;0,0,N(INDEX('CURVA PREVISION'!$A$1:$KZ$3000,$C70,11+3*MIN(G$3,$D$2-1)))))</f>
        <v/>
      </c>
      <c r="H70" s="130">
        <f>IF(OR($C70="",$B$2="",$D$2=0),0,IF(H$3&lt;0,0,N(INDEX('CURVA PREVISION'!$A$1:$KZ$3000,$C70,11+3*MIN(H$3,$D$2-1)))))</f>
        <v/>
      </c>
      <c r="I70" s="130">
        <f>IF(OR($C70="",$B$2="",$D$2=0),0,IF(I$3&lt;0,0,N(INDEX('CURVA PREVISION'!$A$1:$KZ$3000,$C70,11+3*MIN(I$3,$D$2-1)))))</f>
        <v/>
      </c>
      <c r="J70" s="130">
        <f>IF(OR($C70="",$B$2="",$D$2=0),0,IF(J$3&lt;0,0,N(INDEX('CURVA PREVISION'!$A$1:$KZ$3000,$C70,11+3*MIN(J$3,$D$2-1)))))</f>
        <v/>
      </c>
      <c r="K70" s="130">
        <f>IF(OR($C70="",$B$2="",$D$2=0),0,IF(K$3&lt;0,0,N(INDEX('CURVA PREVISION'!$A$1:$KZ$3000,$C70,11+3*MIN(K$3,$D$2-1)))))</f>
        <v/>
      </c>
      <c r="L70" s="130">
        <f>IF(OR($C70="",$B$2="",$D$2=0),0,IF(L$3&lt;0,0,N(INDEX('CURVA PREVISION'!$A$1:$KZ$3000,$C70,11+3*MIN(L$3,$D$2-1)))))</f>
        <v/>
      </c>
      <c r="M70" s="130">
        <f>IF(OR($C70="",$B$2="",$D$2=0),0,IF(M$3&lt;0,0,N(INDEX('CURVA PREVISION'!$A$1:$KZ$3000,$C70,11+3*MIN(M$3,$D$2-1)))))</f>
        <v/>
      </c>
      <c r="N70" s="130">
        <f>IF(OR($C70="",$B$2="",$D$2=0),0,IF(N$3&lt;0,0,N(INDEX('CURVA PREVISION'!$A$1:$KZ$3000,$C70,11+3*MIN(N$3,$D$2-1)))))</f>
        <v/>
      </c>
      <c r="O70" s="130">
        <f>IF(OR($C70="",$B$2="",$D$2=0),0,IF(O$3&lt;0,0,N(INDEX('CURVA PREVISION'!$A$1:$KZ$3000,$C70,11+3*MIN(O$3,$D$2-1)))))</f>
        <v/>
      </c>
      <c r="P70" s="130">
        <f>IF(OR($C70="",$B$2="",$D$2=0),0,IF(P$3&lt;0,0,N(INDEX('CURVA PREVISION'!$A$1:$KZ$3000,$C70,11+3*MIN(P$3,$D$2-1)))))</f>
        <v/>
      </c>
      <c r="Q70" s="130">
        <f>IF(OR($C70="",$B$2="",$D$2=0),0,IF(Q$3&lt;0,0,N(INDEX('CURVA PREVISION'!$A$1:$KZ$3000,$C70,11+3*MIN(Q$3,$D$2-1)))))</f>
        <v/>
      </c>
      <c r="R70" s="130">
        <f>IF(OR($C70="",$B$2="",$D$2=0),0,IF(R$3&lt;0,0,N(INDEX('CURVA PREVISION'!$A$1:$KZ$3000,$C70,11+3*MIN(R$3,$D$2-1)))))</f>
        <v/>
      </c>
      <c r="S70" s="130">
        <f>IF(OR($C70="",$B$2="",$D$2=0),0,IF(S$3&lt;0,0,N(INDEX('CURVA PREVISION'!$A$1:$KZ$3000,$C70,11+3*MIN(S$3,$D$2-1)))))</f>
        <v/>
      </c>
      <c r="T70" s="130">
        <f>IF(OR($C70="",$B$2="",$D$2=0),0,IF(T$3&lt;0,0,N(INDEX('CURVA PREVISION'!$A$1:$KZ$3000,$C70,11+3*MIN(T$3,$D$2-1)))))</f>
        <v/>
      </c>
      <c r="U70" s="130">
        <f>IF(OR($C70="",$B$2="",$D$2=0),0,IF(U$3&lt;0,0,N(INDEX('CURVA PREVISION'!$A$1:$KZ$3000,$C70,11+3*MIN(U$3,$D$2-1)))))</f>
        <v/>
      </c>
      <c r="V70" s="130">
        <f>IF(OR($C70="",$B$2="",$D$2=0),0,IF(V$3&lt;0,0,N(INDEX('CURVA PREVISION'!$A$1:$KZ$3000,$C70,11+3*MIN(V$3,$D$2-1)))))</f>
        <v/>
      </c>
      <c r="W70" s="130">
        <f>IF(OR($C70="",$B$2="",$D$2=0),0,IF(W$3&lt;0,0,N(INDEX('CURVA PREVISION'!$A$1:$KZ$3000,$C70,11+3*MIN(W$3,$D$2-1)))))</f>
        <v/>
      </c>
      <c r="X70" s="130">
        <f>IF(OR($C70="",$B$2="",$D$2=0),0,IF(X$3&lt;0,0,N(INDEX('CURVA PREVISION'!$A$1:$KZ$3000,$C70,11+3*MIN(X$3,$D$2-1)))))</f>
        <v/>
      </c>
      <c r="Y70" s="130">
        <f>IF(OR($C70="",$B$2="",$D$2=0),0,IF(Y$3&lt;0,0,N(INDEX('CURVA PREVISION'!$A$1:$KZ$3000,$C70,11+3*MIN(Y$3,$D$2-1)))))</f>
        <v/>
      </c>
      <c r="Z70" s="130">
        <f>IF(OR($C70="",$B$2="",$D$2=0),0,IF(Z$3&lt;0,0,N(INDEX('CURVA PREVISION'!$A$1:$KZ$3000,$C70,11+3*MIN(Z$3,$D$2-1)))))</f>
        <v/>
      </c>
      <c r="AA70" s="130">
        <f>IF(OR($C70="",$B$2="",$D$2=0),0,IF(AA$3&lt;0,0,N(INDEX('CURVA PREVISION'!$A$1:$KZ$3000,$C70,11+3*MIN(AA$3,$D$2-1)))))</f>
        <v/>
      </c>
      <c r="AB70" s="130">
        <f>IF(OR($C70="",$B$2="",$D$2=0),0,IF(AB$3&lt;0,0,N(INDEX('CURVA PREVISION'!$A$1:$KZ$3000,$C70,11+3*MIN(AB$3,$D$2-1)))))</f>
        <v/>
      </c>
      <c r="AC70" s="130">
        <f>IF(OR($C70="",$B$2="",$D$2=0),0,IF(AC$3&lt;0,0,N(INDEX('CURVA PREVISION'!$A$1:$KZ$3000,$C70,11+3*MIN(AC$3,$D$2-1)))))</f>
        <v/>
      </c>
      <c r="AD70" s="130">
        <f>IF(OR($C70="",$B$2="",$D$2=0),0,IF(AD$3&lt;0,0,N(INDEX('CURVA PREVISION'!$A$1:$KZ$3000,$C70,11+3*MIN(AD$3,$D$2-1)))))</f>
        <v/>
      </c>
      <c r="AE70" s="130">
        <f>IF(OR($C70="",$B$2="",$D$2=0),0,IF(AE$3&lt;0,0,N(INDEX('CURVA PREVISION'!$A$1:$KZ$3000,$C70,11+3*MIN(AE$3,$D$2-1)))))</f>
        <v/>
      </c>
      <c r="AF70" s="130">
        <f>IF(OR($C70="",$B$2="",$D$2=0),0,IF(AF$3&lt;0,0,N(INDEX('CURVA PREVISION'!$A$1:$KZ$3000,$C70,11+3*MIN(AF$3,$D$2-1)))))</f>
        <v/>
      </c>
      <c r="AG70" s="130">
        <f>IF(OR($C70="",$B$2="",$D$2=0),0,IF(AG$3&lt;0,0,N(INDEX('CURVA PREVISION'!$A$1:$KZ$3000,$C70,11+3*MIN(AG$3,$D$2-1)))))</f>
        <v/>
      </c>
      <c r="AH70" s="130">
        <f>IF(OR($C70="",$B$2="",$D$2=0),0,IF(AH$3&lt;0,0,N(INDEX('CURVA PREVISION'!$A$1:$KZ$3000,$C70,11+3*MIN(AH$3,$D$2-1)))))</f>
        <v/>
      </c>
      <c r="AI70" s="130">
        <f>IF(OR($C70="",$B$2="",$D$2=0),0,IF(AI$3&lt;0,0,N(INDEX('CURVA PREVISION'!$A$1:$KZ$3000,$C70,11+3*MIN(AI$3,$D$2-1)))))</f>
        <v/>
      </c>
      <c r="AJ70" s="130">
        <f>IF(OR($C70="",$B$2="",$D$2=0),0,IF(AJ$3&lt;0,0,N(INDEX('CURVA PREVISION'!$A$1:$KZ$3000,$C70,11+3*MIN(AJ$3,$D$2-1)))))</f>
        <v/>
      </c>
      <c r="AK70" s="130">
        <f>IF(OR($C70="",$B$2="",$D$2=0),0,IF(AK$3&lt;0,0,N(INDEX('CURVA PREVISION'!$A$1:$KZ$3000,$C70,11+3*MIN(AK$3,$D$2-1)))))</f>
        <v/>
      </c>
      <c r="AL70" s="130">
        <f>IF(OR($C70="",$B$2="",$D$2=0),0,IF(AL$3&lt;0,0,N(INDEX('CURVA PREVISION'!$A$1:$KZ$3000,$C70,11+3*MIN(AL$3,$D$2-1)))))</f>
        <v/>
      </c>
      <c r="AM70" s="130">
        <f>IF(OR($C70="",$B$2="",$D$2=0),0,IF(AM$3&lt;0,0,N(INDEX('CURVA PREVISION'!$A$1:$KZ$3000,$C70,11+3*MIN(AM$3,$D$2-1)))))</f>
        <v/>
      </c>
      <c r="AN70" s="130">
        <f>IF(OR($C70="",$B$2="",$D$2=0),0,IF(AN$3&lt;0,0,N(INDEX('CURVA PREVISION'!$A$1:$KZ$3000,$C70,11+3*MIN(AN$3,$D$2-1)))))</f>
        <v/>
      </c>
      <c r="AO70" s="130">
        <f>IF(OR($C70="",$B$2="",$D$2=0),0,IF(AO$3&lt;0,0,N(INDEX('CURVA PREVISION'!$A$1:$KZ$3000,$C70,11+3*MIN(AO$3,$D$2-1)))))</f>
        <v/>
      </c>
      <c r="AP70" s="130">
        <f>IF(OR($C70="",$B$2="",$D$2=0),0,IF(AP$3&lt;0,0,N(INDEX('CURVA PREVISION'!$A$1:$KZ$3000,$C70,11+3*MIN(AP$3,$D$2-1)))))</f>
        <v/>
      </c>
      <c r="AQ70" s="130">
        <f>IF(OR($C70="",$B$2="",$D$2=0),0,IF(AQ$3&lt;0,0,N(INDEX('CURVA PREVISION'!$A$1:$KZ$3000,$C70,11+3*MIN(AQ$3,$D$2-1)))))</f>
        <v/>
      </c>
      <c r="AR70" s="130">
        <f>IF(OR($C70="",$B$2="",$D$2=0),0,IF(AR$3&lt;0,0,N(INDEX('CURVA PREVISION'!$A$1:$KZ$3000,$C70,11+3*MIN(AR$3,$D$2-1)))))</f>
        <v/>
      </c>
      <c r="AS70" s="130">
        <f>IF(OR($C70="",$B$2="",$D$2=0),0,IF(AS$3&lt;0,0,N(INDEX('CURVA PREVISION'!$A$1:$KZ$3000,$C70,11+3*MIN(AS$3,$D$2-1)))))</f>
        <v/>
      </c>
      <c r="AT70" s="130">
        <f>IF(OR($C70="",$B$2="",$D$2=0),0,IF(AT$3&lt;0,0,N(INDEX('CURVA PREVISION'!$A$1:$KZ$3000,$C70,11+3*MIN(AT$3,$D$2-1)))))</f>
        <v/>
      </c>
      <c r="AU70" s="130">
        <f>IF(OR($C70="",$B$2="",$D$2=0),0,IF(AU$3&lt;0,0,N(INDEX('CURVA PREVISION'!$A$1:$KZ$3000,$C70,11+3*MIN(AU$3,$D$2-1)))))</f>
        <v/>
      </c>
      <c r="AV70" s="130">
        <f>IF(OR($C70="",$B$2="",$D$2=0),0,IF(AV$3&lt;0,0,N(INDEX('CURVA PREVISION'!$A$1:$KZ$3000,$C70,11+3*MIN(AV$3,$D$2-1)))))</f>
        <v/>
      </c>
      <c r="AW70" s="130">
        <f>IF(OR($C70="",$B$2="",$D$2=0),0,IF(AW$3&lt;0,0,N(INDEX('CURVA PREVISION'!$A$1:$KZ$3000,$C70,11+3*MIN(AW$3,$D$2-1)))))</f>
        <v/>
      </c>
      <c r="AX70" s="130">
        <f>IF(OR($C70="",$B$2="",$D$2=0),0,IF(AX$3&lt;0,0,N(INDEX('CURVA PREVISION'!$A$1:$KZ$3000,$C70,11+3*MIN(AX$3,$D$2-1)))))</f>
        <v/>
      </c>
      <c r="AY70" s="130">
        <f>IF(OR($C70="",$B$2="",$D$2=0),0,IF(AY$3&lt;0,0,N(INDEX('CURVA PREVISION'!$A$1:$KZ$3000,$C70,11+3*MIN(AY$3,$D$2-1)))))</f>
        <v/>
      </c>
      <c r="AZ70" s="130">
        <f>IF(OR($C70="",$B$2="",$D$2=0),0,IF(AZ$3&lt;0,0,N(INDEX('CURVA PREVISION'!$A$1:$KZ$3000,$C70,11+3*MIN(AZ$3,$D$2-1)))))</f>
        <v/>
      </c>
      <c r="BA70" s="130">
        <f>IF(OR($C70="",$B$2="",$D$2=0),0,IF(BA$3&lt;0,0,N(INDEX('CURVA PREVISION'!$A$1:$KZ$3000,$C70,11+3*MIN(BA$3,$D$2-1)))))</f>
        <v/>
      </c>
      <c r="BB70" s="130">
        <f>IF(OR($C70="",$B$2="",$D$2=0),0,IF(BB$3&lt;0,0,N(INDEX('CURVA PREVISION'!$A$1:$KZ$3000,$C70,11+3*MIN(BB$3,$D$2-1)))))</f>
        <v/>
      </c>
      <c r="BC70" s="130">
        <f>IF(OR($C70="",$B$2="",$D$2=0),0,IF(BC$3&lt;0,0,N(INDEX('CURVA PREVISION'!$A$1:$KZ$3000,$C70,11+3*MIN(BC$3,$D$2-1)))))</f>
        <v/>
      </c>
      <c r="BD70" s="130">
        <f>IF(OR($C70="",$B$2="",$D$2=0),0,IF(BD$3&lt;0,0,N(INDEX('CURVA PREVISION'!$A$1:$KZ$3000,$C70,11+3*MIN(BD$3,$D$2-1)))))</f>
        <v/>
      </c>
      <c r="BE70" s="130">
        <f>IF(OR($C70="",$B$2="",$D$2=0),0,IF(BE$3&lt;0,0,N(INDEX('CURVA PREVISION'!$A$1:$KZ$3000,$C70,11+3*MIN(BE$3,$D$2-1)))))</f>
        <v/>
      </c>
      <c r="BF70" s="130">
        <f>IF(OR($C70="",$B$2="",$D$2=0),0,IF(BF$3&lt;0,0,N(INDEX('CURVA PREVISION'!$A$1:$KZ$3000,$C70,11+3*MIN(BF$3,$D$2-1)))))</f>
        <v/>
      </c>
      <c r="BG70" s="130">
        <f>IF(OR($C70="",$B$2="",$D$2=0),0,IF(BG$3&lt;0,0,N(INDEX('CURVA PREVISION'!$A$1:$KZ$3000,$C70,11+3*MIN(BG$3,$D$2-1)))))</f>
        <v/>
      </c>
      <c r="BH70" s="130">
        <f>IF(OR($C70="",$B$2="",$D$2=0),0,IF(BH$3&lt;0,0,N(INDEX('CURVA PREVISION'!$A$1:$KZ$3000,$C70,11+3*MIN(BH$3,$D$2-1)))))</f>
        <v/>
      </c>
      <c r="BI70" s="130">
        <f>IF(OR($C70="",$B$2="",$D$2=0),0,IF(BI$3&lt;0,0,N(INDEX('CURVA PREVISION'!$A$1:$KZ$3000,$C70,11+3*MIN(BI$3,$D$2-1)))))</f>
        <v/>
      </c>
      <c r="BJ70" s="130">
        <f>IF(OR($C70="",$B$2="",$D$2=0),0,IF(BJ$3&lt;0,0,N(INDEX('CURVA PREVISION'!$A$1:$KZ$3000,$C70,11+3*MIN(BJ$3,$D$2-1)))))</f>
        <v/>
      </c>
      <c r="BK70" s="130">
        <f>IF(OR($C70="",$B$2="",$D$2=0),0,IF(BK$3&lt;0,0,N(INDEX('CURVA PREVISION'!$A$1:$KZ$3000,$C70,11+3*MIN(BK$3,$D$2-1)))))</f>
        <v/>
      </c>
      <c r="BL70" s="130">
        <f>IF(OR($C70="",$B$2="",$D$2=0),0,IF(BL$3&lt;0,0,N(INDEX('CURVA PREVISION'!$A$1:$KZ$3000,$C70,11+3*MIN(BL$3,$D$2-1)))))</f>
        <v/>
      </c>
      <c r="BM70" s="130">
        <f>IF(OR($C70="",$B$2="",$D$2=0),0,IF(BM$3&lt;0,0,N(INDEX('CURVA PREVISION'!$A$1:$KZ$3000,$C70,11+3*MIN(BM$3,$D$2-1)))))</f>
        <v/>
      </c>
      <c r="BN70" s="130">
        <f>IF(OR($C70="",$B$2="",$D$2=0),0,IF(BN$3&lt;0,0,N(INDEX('CURVA PREVISION'!$A$1:$KZ$3000,$C70,11+3*MIN(BN$3,$D$2-1)))))</f>
        <v/>
      </c>
      <c r="BO70" s="130">
        <f>IF(OR($C70="",$B$2="",$D$2=0),0,IF(BO$3&lt;0,0,N(INDEX('CURVA PREVISION'!$A$1:$KZ$3000,$C70,11+3*MIN(BO$3,$D$2-1)))))</f>
        <v/>
      </c>
      <c r="BP70" s="130">
        <f>IF(OR($C70="",$B$2="",$D$2=0),0,IF(BP$3&lt;0,0,N(INDEX('CURVA PREVISION'!$A$1:$KZ$3000,$C70,11+3*MIN(BP$3,$D$2-1)))))</f>
        <v/>
      </c>
      <c r="BQ70" s="130">
        <f>IF(OR($C70="",$B$2="",$D$2=0),0,IF(BQ$3&lt;0,0,N(INDEX('CURVA PREVISION'!$A$1:$KZ$3000,$C70,11+3*MIN(BQ$3,$D$2-1)))))</f>
        <v/>
      </c>
      <c r="BR70" s="130">
        <f>IF(OR($C70="",$B$2="",$D$2=0),0,IF(BR$3&lt;0,0,N(INDEX('CURVA PREVISION'!$A$1:$KZ$3000,$C70,11+3*MIN(BR$3,$D$2-1)))))</f>
        <v/>
      </c>
      <c r="BS70" s="130">
        <f>IF(OR($C70="",$B$2="",$D$2=0),0,IF(BS$3&lt;0,0,N(INDEX('CURVA PREVISION'!$A$1:$KZ$3000,$C70,11+3*MIN(BS$3,$D$2-1)))))</f>
        <v/>
      </c>
      <c r="BT70" s="130">
        <f>IF(OR($C70="",$B$2="",$D$2=0),0,IF(BT$3&lt;0,0,N(INDEX('CURVA PREVISION'!$A$1:$KZ$3000,$C70,11+3*MIN(BT$3,$D$2-1)))))</f>
        <v/>
      </c>
      <c r="BU70" s="130">
        <f>IF(OR($C70="",$B$2="",$D$2=0),0,IF(BU$3&lt;0,0,N(INDEX('CURVA PREVISION'!$A$1:$KZ$3000,$C70,11+3*MIN(BU$3,$D$2-1)))))</f>
        <v/>
      </c>
      <c r="BV70" s="130">
        <f>IF(OR($C70="",$B$2="",$D$2=0),0,IF(BV$3&lt;0,0,N(INDEX('CURVA PREVISION'!$A$1:$KZ$3000,$C70,11+3*MIN(BV$3,$D$2-1)))))</f>
        <v/>
      </c>
      <c r="BW70" s="130">
        <f>IF(OR($C70="",$B$2="",$D$2=0),0,IF(BW$3&lt;0,0,N(INDEX('CURVA PREVISION'!$A$1:$KZ$3000,$C70,11+3*MIN(BW$3,$D$2-1)))))</f>
        <v/>
      </c>
    </row>
    <row r="71">
      <c r="A71" s="61">
        <f>IF('VALOR POR PL'!Q35="",'VALOR POR PL'!C35,'VALOR POR PL'!Q35)</f>
        <v/>
      </c>
      <c r="B71" s="51">
        <f>B29</f>
        <v/>
      </c>
      <c r="C71" s="70">
        <f>IFERROR(MATCH(A71,'CURVA PREVISION'!$B$1:$B$3000,0),"")</f>
        <v/>
      </c>
      <c r="D71" s="130">
        <f>IF(OR($C71="",$B$2="",$D$2=0),0,IF(D$3&lt;0,0,N(INDEX('CURVA PREVISION'!$A$1:$KZ$3000,$C71,11+3*MIN(D$3,$D$2-1)))))</f>
        <v/>
      </c>
      <c r="E71" s="130">
        <f>IF(OR($C71="",$B$2="",$D$2=0),0,IF(E$3&lt;0,0,N(INDEX('CURVA PREVISION'!$A$1:$KZ$3000,$C71,11+3*MIN(E$3,$D$2-1)))))</f>
        <v/>
      </c>
      <c r="F71" s="130">
        <f>IF(OR($C71="",$B$2="",$D$2=0),0,IF(F$3&lt;0,0,N(INDEX('CURVA PREVISION'!$A$1:$KZ$3000,$C71,11+3*MIN(F$3,$D$2-1)))))</f>
        <v/>
      </c>
      <c r="G71" s="130">
        <f>IF(OR($C71="",$B$2="",$D$2=0),0,IF(G$3&lt;0,0,N(INDEX('CURVA PREVISION'!$A$1:$KZ$3000,$C71,11+3*MIN(G$3,$D$2-1)))))</f>
        <v/>
      </c>
      <c r="H71" s="130">
        <f>IF(OR($C71="",$B$2="",$D$2=0),0,IF(H$3&lt;0,0,N(INDEX('CURVA PREVISION'!$A$1:$KZ$3000,$C71,11+3*MIN(H$3,$D$2-1)))))</f>
        <v/>
      </c>
      <c r="I71" s="130">
        <f>IF(OR($C71="",$B$2="",$D$2=0),0,IF(I$3&lt;0,0,N(INDEX('CURVA PREVISION'!$A$1:$KZ$3000,$C71,11+3*MIN(I$3,$D$2-1)))))</f>
        <v/>
      </c>
      <c r="J71" s="130">
        <f>IF(OR($C71="",$B$2="",$D$2=0),0,IF(J$3&lt;0,0,N(INDEX('CURVA PREVISION'!$A$1:$KZ$3000,$C71,11+3*MIN(J$3,$D$2-1)))))</f>
        <v/>
      </c>
      <c r="K71" s="130">
        <f>IF(OR($C71="",$B$2="",$D$2=0),0,IF(K$3&lt;0,0,N(INDEX('CURVA PREVISION'!$A$1:$KZ$3000,$C71,11+3*MIN(K$3,$D$2-1)))))</f>
        <v/>
      </c>
      <c r="L71" s="130">
        <f>IF(OR($C71="",$B$2="",$D$2=0),0,IF(L$3&lt;0,0,N(INDEX('CURVA PREVISION'!$A$1:$KZ$3000,$C71,11+3*MIN(L$3,$D$2-1)))))</f>
        <v/>
      </c>
      <c r="M71" s="130">
        <f>IF(OR($C71="",$B$2="",$D$2=0),0,IF(M$3&lt;0,0,N(INDEX('CURVA PREVISION'!$A$1:$KZ$3000,$C71,11+3*MIN(M$3,$D$2-1)))))</f>
        <v/>
      </c>
      <c r="N71" s="130">
        <f>IF(OR($C71="",$B$2="",$D$2=0),0,IF(N$3&lt;0,0,N(INDEX('CURVA PREVISION'!$A$1:$KZ$3000,$C71,11+3*MIN(N$3,$D$2-1)))))</f>
        <v/>
      </c>
      <c r="O71" s="130">
        <f>IF(OR($C71="",$B$2="",$D$2=0),0,IF(O$3&lt;0,0,N(INDEX('CURVA PREVISION'!$A$1:$KZ$3000,$C71,11+3*MIN(O$3,$D$2-1)))))</f>
        <v/>
      </c>
      <c r="P71" s="130">
        <f>IF(OR($C71="",$B$2="",$D$2=0),0,IF(P$3&lt;0,0,N(INDEX('CURVA PREVISION'!$A$1:$KZ$3000,$C71,11+3*MIN(P$3,$D$2-1)))))</f>
        <v/>
      </c>
      <c r="Q71" s="130">
        <f>IF(OR($C71="",$B$2="",$D$2=0),0,IF(Q$3&lt;0,0,N(INDEX('CURVA PREVISION'!$A$1:$KZ$3000,$C71,11+3*MIN(Q$3,$D$2-1)))))</f>
        <v/>
      </c>
      <c r="R71" s="130">
        <f>IF(OR($C71="",$B$2="",$D$2=0),0,IF(R$3&lt;0,0,N(INDEX('CURVA PREVISION'!$A$1:$KZ$3000,$C71,11+3*MIN(R$3,$D$2-1)))))</f>
        <v/>
      </c>
      <c r="S71" s="130">
        <f>IF(OR($C71="",$B$2="",$D$2=0),0,IF(S$3&lt;0,0,N(INDEX('CURVA PREVISION'!$A$1:$KZ$3000,$C71,11+3*MIN(S$3,$D$2-1)))))</f>
        <v/>
      </c>
      <c r="T71" s="130">
        <f>IF(OR($C71="",$B$2="",$D$2=0),0,IF(T$3&lt;0,0,N(INDEX('CURVA PREVISION'!$A$1:$KZ$3000,$C71,11+3*MIN(T$3,$D$2-1)))))</f>
        <v/>
      </c>
      <c r="U71" s="130">
        <f>IF(OR($C71="",$B$2="",$D$2=0),0,IF(U$3&lt;0,0,N(INDEX('CURVA PREVISION'!$A$1:$KZ$3000,$C71,11+3*MIN(U$3,$D$2-1)))))</f>
        <v/>
      </c>
      <c r="V71" s="130">
        <f>IF(OR($C71="",$B$2="",$D$2=0),0,IF(V$3&lt;0,0,N(INDEX('CURVA PREVISION'!$A$1:$KZ$3000,$C71,11+3*MIN(V$3,$D$2-1)))))</f>
        <v/>
      </c>
      <c r="W71" s="130">
        <f>IF(OR($C71="",$B$2="",$D$2=0),0,IF(W$3&lt;0,0,N(INDEX('CURVA PREVISION'!$A$1:$KZ$3000,$C71,11+3*MIN(W$3,$D$2-1)))))</f>
        <v/>
      </c>
      <c r="X71" s="130">
        <f>IF(OR($C71="",$B$2="",$D$2=0),0,IF(X$3&lt;0,0,N(INDEX('CURVA PREVISION'!$A$1:$KZ$3000,$C71,11+3*MIN(X$3,$D$2-1)))))</f>
        <v/>
      </c>
      <c r="Y71" s="130">
        <f>IF(OR($C71="",$B$2="",$D$2=0),0,IF(Y$3&lt;0,0,N(INDEX('CURVA PREVISION'!$A$1:$KZ$3000,$C71,11+3*MIN(Y$3,$D$2-1)))))</f>
        <v/>
      </c>
      <c r="Z71" s="130">
        <f>IF(OR($C71="",$B$2="",$D$2=0),0,IF(Z$3&lt;0,0,N(INDEX('CURVA PREVISION'!$A$1:$KZ$3000,$C71,11+3*MIN(Z$3,$D$2-1)))))</f>
        <v/>
      </c>
      <c r="AA71" s="130">
        <f>IF(OR($C71="",$B$2="",$D$2=0),0,IF(AA$3&lt;0,0,N(INDEX('CURVA PREVISION'!$A$1:$KZ$3000,$C71,11+3*MIN(AA$3,$D$2-1)))))</f>
        <v/>
      </c>
      <c r="AB71" s="130">
        <f>IF(OR($C71="",$B$2="",$D$2=0),0,IF(AB$3&lt;0,0,N(INDEX('CURVA PREVISION'!$A$1:$KZ$3000,$C71,11+3*MIN(AB$3,$D$2-1)))))</f>
        <v/>
      </c>
      <c r="AC71" s="130">
        <f>IF(OR($C71="",$B$2="",$D$2=0),0,IF(AC$3&lt;0,0,N(INDEX('CURVA PREVISION'!$A$1:$KZ$3000,$C71,11+3*MIN(AC$3,$D$2-1)))))</f>
        <v/>
      </c>
      <c r="AD71" s="130">
        <f>IF(OR($C71="",$B$2="",$D$2=0),0,IF(AD$3&lt;0,0,N(INDEX('CURVA PREVISION'!$A$1:$KZ$3000,$C71,11+3*MIN(AD$3,$D$2-1)))))</f>
        <v/>
      </c>
      <c r="AE71" s="130">
        <f>IF(OR($C71="",$B$2="",$D$2=0),0,IF(AE$3&lt;0,0,N(INDEX('CURVA PREVISION'!$A$1:$KZ$3000,$C71,11+3*MIN(AE$3,$D$2-1)))))</f>
        <v/>
      </c>
      <c r="AF71" s="130">
        <f>IF(OR($C71="",$B$2="",$D$2=0),0,IF(AF$3&lt;0,0,N(INDEX('CURVA PREVISION'!$A$1:$KZ$3000,$C71,11+3*MIN(AF$3,$D$2-1)))))</f>
        <v/>
      </c>
      <c r="AG71" s="130">
        <f>IF(OR($C71="",$B$2="",$D$2=0),0,IF(AG$3&lt;0,0,N(INDEX('CURVA PREVISION'!$A$1:$KZ$3000,$C71,11+3*MIN(AG$3,$D$2-1)))))</f>
        <v/>
      </c>
      <c r="AH71" s="130">
        <f>IF(OR($C71="",$B$2="",$D$2=0),0,IF(AH$3&lt;0,0,N(INDEX('CURVA PREVISION'!$A$1:$KZ$3000,$C71,11+3*MIN(AH$3,$D$2-1)))))</f>
        <v/>
      </c>
      <c r="AI71" s="130">
        <f>IF(OR($C71="",$B$2="",$D$2=0),0,IF(AI$3&lt;0,0,N(INDEX('CURVA PREVISION'!$A$1:$KZ$3000,$C71,11+3*MIN(AI$3,$D$2-1)))))</f>
        <v/>
      </c>
      <c r="AJ71" s="130">
        <f>IF(OR($C71="",$B$2="",$D$2=0),0,IF(AJ$3&lt;0,0,N(INDEX('CURVA PREVISION'!$A$1:$KZ$3000,$C71,11+3*MIN(AJ$3,$D$2-1)))))</f>
        <v/>
      </c>
      <c r="AK71" s="130">
        <f>IF(OR($C71="",$B$2="",$D$2=0),0,IF(AK$3&lt;0,0,N(INDEX('CURVA PREVISION'!$A$1:$KZ$3000,$C71,11+3*MIN(AK$3,$D$2-1)))))</f>
        <v/>
      </c>
      <c r="AL71" s="130">
        <f>IF(OR($C71="",$B$2="",$D$2=0),0,IF(AL$3&lt;0,0,N(INDEX('CURVA PREVISION'!$A$1:$KZ$3000,$C71,11+3*MIN(AL$3,$D$2-1)))))</f>
        <v/>
      </c>
      <c r="AM71" s="130">
        <f>IF(OR($C71="",$B$2="",$D$2=0),0,IF(AM$3&lt;0,0,N(INDEX('CURVA PREVISION'!$A$1:$KZ$3000,$C71,11+3*MIN(AM$3,$D$2-1)))))</f>
        <v/>
      </c>
      <c r="AN71" s="130">
        <f>IF(OR($C71="",$B$2="",$D$2=0),0,IF(AN$3&lt;0,0,N(INDEX('CURVA PREVISION'!$A$1:$KZ$3000,$C71,11+3*MIN(AN$3,$D$2-1)))))</f>
        <v/>
      </c>
      <c r="AO71" s="130">
        <f>IF(OR($C71="",$B$2="",$D$2=0),0,IF(AO$3&lt;0,0,N(INDEX('CURVA PREVISION'!$A$1:$KZ$3000,$C71,11+3*MIN(AO$3,$D$2-1)))))</f>
        <v/>
      </c>
      <c r="AP71" s="130">
        <f>IF(OR($C71="",$B$2="",$D$2=0),0,IF(AP$3&lt;0,0,N(INDEX('CURVA PREVISION'!$A$1:$KZ$3000,$C71,11+3*MIN(AP$3,$D$2-1)))))</f>
        <v/>
      </c>
      <c r="AQ71" s="130">
        <f>IF(OR($C71="",$B$2="",$D$2=0),0,IF(AQ$3&lt;0,0,N(INDEX('CURVA PREVISION'!$A$1:$KZ$3000,$C71,11+3*MIN(AQ$3,$D$2-1)))))</f>
        <v/>
      </c>
      <c r="AR71" s="130">
        <f>IF(OR($C71="",$B$2="",$D$2=0),0,IF(AR$3&lt;0,0,N(INDEX('CURVA PREVISION'!$A$1:$KZ$3000,$C71,11+3*MIN(AR$3,$D$2-1)))))</f>
        <v/>
      </c>
      <c r="AS71" s="130">
        <f>IF(OR($C71="",$B$2="",$D$2=0),0,IF(AS$3&lt;0,0,N(INDEX('CURVA PREVISION'!$A$1:$KZ$3000,$C71,11+3*MIN(AS$3,$D$2-1)))))</f>
        <v/>
      </c>
      <c r="AT71" s="130">
        <f>IF(OR($C71="",$B$2="",$D$2=0),0,IF(AT$3&lt;0,0,N(INDEX('CURVA PREVISION'!$A$1:$KZ$3000,$C71,11+3*MIN(AT$3,$D$2-1)))))</f>
        <v/>
      </c>
      <c r="AU71" s="130">
        <f>IF(OR($C71="",$B$2="",$D$2=0),0,IF(AU$3&lt;0,0,N(INDEX('CURVA PREVISION'!$A$1:$KZ$3000,$C71,11+3*MIN(AU$3,$D$2-1)))))</f>
        <v/>
      </c>
      <c r="AV71" s="130">
        <f>IF(OR($C71="",$B$2="",$D$2=0),0,IF(AV$3&lt;0,0,N(INDEX('CURVA PREVISION'!$A$1:$KZ$3000,$C71,11+3*MIN(AV$3,$D$2-1)))))</f>
        <v/>
      </c>
      <c r="AW71" s="130">
        <f>IF(OR($C71="",$B$2="",$D$2=0),0,IF(AW$3&lt;0,0,N(INDEX('CURVA PREVISION'!$A$1:$KZ$3000,$C71,11+3*MIN(AW$3,$D$2-1)))))</f>
        <v/>
      </c>
      <c r="AX71" s="130">
        <f>IF(OR($C71="",$B$2="",$D$2=0),0,IF(AX$3&lt;0,0,N(INDEX('CURVA PREVISION'!$A$1:$KZ$3000,$C71,11+3*MIN(AX$3,$D$2-1)))))</f>
        <v/>
      </c>
      <c r="AY71" s="130">
        <f>IF(OR($C71="",$B$2="",$D$2=0),0,IF(AY$3&lt;0,0,N(INDEX('CURVA PREVISION'!$A$1:$KZ$3000,$C71,11+3*MIN(AY$3,$D$2-1)))))</f>
        <v/>
      </c>
      <c r="AZ71" s="130">
        <f>IF(OR($C71="",$B$2="",$D$2=0),0,IF(AZ$3&lt;0,0,N(INDEX('CURVA PREVISION'!$A$1:$KZ$3000,$C71,11+3*MIN(AZ$3,$D$2-1)))))</f>
        <v/>
      </c>
      <c r="BA71" s="130">
        <f>IF(OR($C71="",$B$2="",$D$2=0),0,IF(BA$3&lt;0,0,N(INDEX('CURVA PREVISION'!$A$1:$KZ$3000,$C71,11+3*MIN(BA$3,$D$2-1)))))</f>
        <v/>
      </c>
      <c r="BB71" s="130">
        <f>IF(OR($C71="",$B$2="",$D$2=0),0,IF(BB$3&lt;0,0,N(INDEX('CURVA PREVISION'!$A$1:$KZ$3000,$C71,11+3*MIN(BB$3,$D$2-1)))))</f>
        <v/>
      </c>
      <c r="BC71" s="130">
        <f>IF(OR($C71="",$B$2="",$D$2=0),0,IF(BC$3&lt;0,0,N(INDEX('CURVA PREVISION'!$A$1:$KZ$3000,$C71,11+3*MIN(BC$3,$D$2-1)))))</f>
        <v/>
      </c>
      <c r="BD71" s="130">
        <f>IF(OR($C71="",$B$2="",$D$2=0),0,IF(BD$3&lt;0,0,N(INDEX('CURVA PREVISION'!$A$1:$KZ$3000,$C71,11+3*MIN(BD$3,$D$2-1)))))</f>
        <v/>
      </c>
      <c r="BE71" s="130">
        <f>IF(OR($C71="",$B$2="",$D$2=0),0,IF(BE$3&lt;0,0,N(INDEX('CURVA PREVISION'!$A$1:$KZ$3000,$C71,11+3*MIN(BE$3,$D$2-1)))))</f>
        <v/>
      </c>
      <c r="BF71" s="130">
        <f>IF(OR($C71="",$B$2="",$D$2=0),0,IF(BF$3&lt;0,0,N(INDEX('CURVA PREVISION'!$A$1:$KZ$3000,$C71,11+3*MIN(BF$3,$D$2-1)))))</f>
        <v/>
      </c>
      <c r="BG71" s="130">
        <f>IF(OR($C71="",$B$2="",$D$2=0),0,IF(BG$3&lt;0,0,N(INDEX('CURVA PREVISION'!$A$1:$KZ$3000,$C71,11+3*MIN(BG$3,$D$2-1)))))</f>
        <v/>
      </c>
      <c r="BH71" s="130">
        <f>IF(OR($C71="",$B$2="",$D$2=0),0,IF(BH$3&lt;0,0,N(INDEX('CURVA PREVISION'!$A$1:$KZ$3000,$C71,11+3*MIN(BH$3,$D$2-1)))))</f>
        <v/>
      </c>
      <c r="BI71" s="130">
        <f>IF(OR($C71="",$B$2="",$D$2=0),0,IF(BI$3&lt;0,0,N(INDEX('CURVA PREVISION'!$A$1:$KZ$3000,$C71,11+3*MIN(BI$3,$D$2-1)))))</f>
        <v/>
      </c>
      <c r="BJ71" s="130">
        <f>IF(OR($C71="",$B$2="",$D$2=0),0,IF(BJ$3&lt;0,0,N(INDEX('CURVA PREVISION'!$A$1:$KZ$3000,$C71,11+3*MIN(BJ$3,$D$2-1)))))</f>
        <v/>
      </c>
      <c r="BK71" s="130">
        <f>IF(OR($C71="",$B$2="",$D$2=0),0,IF(BK$3&lt;0,0,N(INDEX('CURVA PREVISION'!$A$1:$KZ$3000,$C71,11+3*MIN(BK$3,$D$2-1)))))</f>
        <v/>
      </c>
      <c r="BL71" s="130">
        <f>IF(OR($C71="",$B$2="",$D$2=0),0,IF(BL$3&lt;0,0,N(INDEX('CURVA PREVISION'!$A$1:$KZ$3000,$C71,11+3*MIN(BL$3,$D$2-1)))))</f>
        <v/>
      </c>
      <c r="BM71" s="130">
        <f>IF(OR($C71="",$B$2="",$D$2=0),0,IF(BM$3&lt;0,0,N(INDEX('CURVA PREVISION'!$A$1:$KZ$3000,$C71,11+3*MIN(BM$3,$D$2-1)))))</f>
        <v/>
      </c>
      <c r="BN71" s="130">
        <f>IF(OR($C71="",$B$2="",$D$2=0),0,IF(BN$3&lt;0,0,N(INDEX('CURVA PREVISION'!$A$1:$KZ$3000,$C71,11+3*MIN(BN$3,$D$2-1)))))</f>
        <v/>
      </c>
      <c r="BO71" s="130">
        <f>IF(OR($C71="",$B$2="",$D$2=0),0,IF(BO$3&lt;0,0,N(INDEX('CURVA PREVISION'!$A$1:$KZ$3000,$C71,11+3*MIN(BO$3,$D$2-1)))))</f>
        <v/>
      </c>
      <c r="BP71" s="130">
        <f>IF(OR($C71="",$B$2="",$D$2=0),0,IF(BP$3&lt;0,0,N(INDEX('CURVA PREVISION'!$A$1:$KZ$3000,$C71,11+3*MIN(BP$3,$D$2-1)))))</f>
        <v/>
      </c>
      <c r="BQ71" s="130">
        <f>IF(OR($C71="",$B$2="",$D$2=0),0,IF(BQ$3&lt;0,0,N(INDEX('CURVA PREVISION'!$A$1:$KZ$3000,$C71,11+3*MIN(BQ$3,$D$2-1)))))</f>
        <v/>
      </c>
      <c r="BR71" s="130">
        <f>IF(OR($C71="",$B$2="",$D$2=0),0,IF(BR$3&lt;0,0,N(INDEX('CURVA PREVISION'!$A$1:$KZ$3000,$C71,11+3*MIN(BR$3,$D$2-1)))))</f>
        <v/>
      </c>
      <c r="BS71" s="130">
        <f>IF(OR($C71="",$B$2="",$D$2=0),0,IF(BS$3&lt;0,0,N(INDEX('CURVA PREVISION'!$A$1:$KZ$3000,$C71,11+3*MIN(BS$3,$D$2-1)))))</f>
        <v/>
      </c>
      <c r="BT71" s="130">
        <f>IF(OR($C71="",$B$2="",$D$2=0),0,IF(BT$3&lt;0,0,N(INDEX('CURVA PREVISION'!$A$1:$KZ$3000,$C71,11+3*MIN(BT$3,$D$2-1)))))</f>
        <v/>
      </c>
      <c r="BU71" s="130">
        <f>IF(OR($C71="",$B$2="",$D$2=0),0,IF(BU$3&lt;0,0,N(INDEX('CURVA PREVISION'!$A$1:$KZ$3000,$C71,11+3*MIN(BU$3,$D$2-1)))))</f>
        <v/>
      </c>
      <c r="BV71" s="130">
        <f>IF(OR($C71="",$B$2="",$D$2=0),0,IF(BV$3&lt;0,0,N(INDEX('CURVA PREVISION'!$A$1:$KZ$3000,$C71,11+3*MIN(BV$3,$D$2-1)))))</f>
        <v/>
      </c>
      <c r="BW71" s="130">
        <f>IF(OR($C71="",$B$2="",$D$2=0),0,IF(BW$3&lt;0,0,N(INDEX('CURVA PREVISION'!$A$1:$KZ$3000,$C71,11+3*MIN(BW$3,$D$2-1)))))</f>
        <v/>
      </c>
    </row>
    <row r="72">
      <c r="A72" s="61">
        <f>IF('VALOR POR PL'!Q36="",'VALOR POR PL'!C36,'VALOR POR PL'!Q36)</f>
        <v/>
      </c>
      <c r="B72" s="51">
        <f>B30</f>
        <v/>
      </c>
      <c r="C72" s="70">
        <f>IFERROR(MATCH(A72,'CURVA PREVISION'!$B$1:$B$3000,0),"")</f>
        <v/>
      </c>
      <c r="D72" s="130">
        <f>IF(OR($C72="",$B$2="",$D$2=0),0,IF(D$3&lt;0,0,N(INDEX('CURVA PREVISION'!$A$1:$KZ$3000,$C72,11+3*MIN(D$3,$D$2-1)))))</f>
        <v/>
      </c>
      <c r="E72" s="130">
        <f>IF(OR($C72="",$B$2="",$D$2=0),0,IF(E$3&lt;0,0,N(INDEX('CURVA PREVISION'!$A$1:$KZ$3000,$C72,11+3*MIN(E$3,$D$2-1)))))</f>
        <v/>
      </c>
      <c r="F72" s="130">
        <f>IF(OR($C72="",$B$2="",$D$2=0),0,IF(F$3&lt;0,0,N(INDEX('CURVA PREVISION'!$A$1:$KZ$3000,$C72,11+3*MIN(F$3,$D$2-1)))))</f>
        <v/>
      </c>
      <c r="G72" s="130">
        <f>IF(OR($C72="",$B$2="",$D$2=0),0,IF(G$3&lt;0,0,N(INDEX('CURVA PREVISION'!$A$1:$KZ$3000,$C72,11+3*MIN(G$3,$D$2-1)))))</f>
        <v/>
      </c>
      <c r="H72" s="130">
        <f>IF(OR($C72="",$B$2="",$D$2=0),0,IF(H$3&lt;0,0,N(INDEX('CURVA PREVISION'!$A$1:$KZ$3000,$C72,11+3*MIN(H$3,$D$2-1)))))</f>
        <v/>
      </c>
      <c r="I72" s="130">
        <f>IF(OR($C72="",$B$2="",$D$2=0),0,IF(I$3&lt;0,0,N(INDEX('CURVA PREVISION'!$A$1:$KZ$3000,$C72,11+3*MIN(I$3,$D$2-1)))))</f>
        <v/>
      </c>
      <c r="J72" s="130">
        <f>IF(OR($C72="",$B$2="",$D$2=0),0,IF(J$3&lt;0,0,N(INDEX('CURVA PREVISION'!$A$1:$KZ$3000,$C72,11+3*MIN(J$3,$D$2-1)))))</f>
        <v/>
      </c>
      <c r="K72" s="130">
        <f>IF(OR($C72="",$B$2="",$D$2=0),0,IF(K$3&lt;0,0,N(INDEX('CURVA PREVISION'!$A$1:$KZ$3000,$C72,11+3*MIN(K$3,$D$2-1)))))</f>
        <v/>
      </c>
      <c r="L72" s="130">
        <f>IF(OR($C72="",$B$2="",$D$2=0),0,IF(L$3&lt;0,0,N(INDEX('CURVA PREVISION'!$A$1:$KZ$3000,$C72,11+3*MIN(L$3,$D$2-1)))))</f>
        <v/>
      </c>
      <c r="M72" s="130">
        <f>IF(OR($C72="",$B$2="",$D$2=0),0,IF(M$3&lt;0,0,N(INDEX('CURVA PREVISION'!$A$1:$KZ$3000,$C72,11+3*MIN(M$3,$D$2-1)))))</f>
        <v/>
      </c>
      <c r="N72" s="130">
        <f>IF(OR($C72="",$B$2="",$D$2=0),0,IF(N$3&lt;0,0,N(INDEX('CURVA PREVISION'!$A$1:$KZ$3000,$C72,11+3*MIN(N$3,$D$2-1)))))</f>
        <v/>
      </c>
      <c r="O72" s="130">
        <f>IF(OR($C72="",$B$2="",$D$2=0),0,IF(O$3&lt;0,0,N(INDEX('CURVA PREVISION'!$A$1:$KZ$3000,$C72,11+3*MIN(O$3,$D$2-1)))))</f>
        <v/>
      </c>
      <c r="P72" s="130">
        <f>IF(OR($C72="",$B$2="",$D$2=0),0,IF(P$3&lt;0,0,N(INDEX('CURVA PREVISION'!$A$1:$KZ$3000,$C72,11+3*MIN(P$3,$D$2-1)))))</f>
        <v/>
      </c>
      <c r="Q72" s="130">
        <f>IF(OR($C72="",$B$2="",$D$2=0),0,IF(Q$3&lt;0,0,N(INDEX('CURVA PREVISION'!$A$1:$KZ$3000,$C72,11+3*MIN(Q$3,$D$2-1)))))</f>
        <v/>
      </c>
      <c r="R72" s="130">
        <f>IF(OR($C72="",$B$2="",$D$2=0),0,IF(R$3&lt;0,0,N(INDEX('CURVA PREVISION'!$A$1:$KZ$3000,$C72,11+3*MIN(R$3,$D$2-1)))))</f>
        <v/>
      </c>
      <c r="S72" s="130">
        <f>IF(OR($C72="",$B$2="",$D$2=0),0,IF(S$3&lt;0,0,N(INDEX('CURVA PREVISION'!$A$1:$KZ$3000,$C72,11+3*MIN(S$3,$D$2-1)))))</f>
        <v/>
      </c>
      <c r="T72" s="130">
        <f>IF(OR($C72="",$B$2="",$D$2=0),0,IF(T$3&lt;0,0,N(INDEX('CURVA PREVISION'!$A$1:$KZ$3000,$C72,11+3*MIN(T$3,$D$2-1)))))</f>
        <v/>
      </c>
      <c r="U72" s="130">
        <f>IF(OR($C72="",$B$2="",$D$2=0),0,IF(U$3&lt;0,0,N(INDEX('CURVA PREVISION'!$A$1:$KZ$3000,$C72,11+3*MIN(U$3,$D$2-1)))))</f>
        <v/>
      </c>
      <c r="V72" s="130">
        <f>IF(OR($C72="",$B$2="",$D$2=0),0,IF(V$3&lt;0,0,N(INDEX('CURVA PREVISION'!$A$1:$KZ$3000,$C72,11+3*MIN(V$3,$D$2-1)))))</f>
        <v/>
      </c>
      <c r="W72" s="130">
        <f>IF(OR($C72="",$B$2="",$D$2=0),0,IF(W$3&lt;0,0,N(INDEX('CURVA PREVISION'!$A$1:$KZ$3000,$C72,11+3*MIN(W$3,$D$2-1)))))</f>
        <v/>
      </c>
      <c r="X72" s="130">
        <f>IF(OR($C72="",$B$2="",$D$2=0),0,IF(X$3&lt;0,0,N(INDEX('CURVA PREVISION'!$A$1:$KZ$3000,$C72,11+3*MIN(X$3,$D$2-1)))))</f>
        <v/>
      </c>
      <c r="Y72" s="130">
        <f>IF(OR($C72="",$B$2="",$D$2=0),0,IF(Y$3&lt;0,0,N(INDEX('CURVA PREVISION'!$A$1:$KZ$3000,$C72,11+3*MIN(Y$3,$D$2-1)))))</f>
        <v/>
      </c>
      <c r="Z72" s="130">
        <f>IF(OR($C72="",$B$2="",$D$2=0),0,IF(Z$3&lt;0,0,N(INDEX('CURVA PREVISION'!$A$1:$KZ$3000,$C72,11+3*MIN(Z$3,$D$2-1)))))</f>
        <v/>
      </c>
      <c r="AA72" s="130">
        <f>IF(OR($C72="",$B$2="",$D$2=0),0,IF(AA$3&lt;0,0,N(INDEX('CURVA PREVISION'!$A$1:$KZ$3000,$C72,11+3*MIN(AA$3,$D$2-1)))))</f>
        <v/>
      </c>
      <c r="AB72" s="130">
        <f>IF(OR($C72="",$B$2="",$D$2=0),0,IF(AB$3&lt;0,0,N(INDEX('CURVA PREVISION'!$A$1:$KZ$3000,$C72,11+3*MIN(AB$3,$D$2-1)))))</f>
        <v/>
      </c>
      <c r="AC72" s="130">
        <f>IF(OR($C72="",$B$2="",$D$2=0),0,IF(AC$3&lt;0,0,N(INDEX('CURVA PREVISION'!$A$1:$KZ$3000,$C72,11+3*MIN(AC$3,$D$2-1)))))</f>
        <v/>
      </c>
      <c r="AD72" s="130">
        <f>IF(OR($C72="",$B$2="",$D$2=0),0,IF(AD$3&lt;0,0,N(INDEX('CURVA PREVISION'!$A$1:$KZ$3000,$C72,11+3*MIN(AD$3,$D$2-1)))))</f>
        <v/>
      </c>
      <c r="AE72" s="130">
        <f>IF(OR($C72="",$B$2="",$D$2=0),0,IF(AE$3&lt;0,0,N(INDEX('CURVA PREVISION'!$A$1:$KZ$3000,$C72,11+3*MIN(AE$3,$D$2-1)))))</f>
        <v/>
      </c>
      <c r="AF72" s="130">
        <f>IF(OR($C72="",$B$2="",$D$2=0),0,IF(AF$3&lt;0,0,N(INDEX('CURVA PREVISION'!$A$1:$KZ$3000,$C72,11+3*MIN(AF$3,$D$2-1)))))</f>
        <v/>
      </c>
      <c r="AG72" s="130">
        <f>IF(OR($C72="",$B$2="",$D$2=0),0,IF(AG$3&lt;0,0,N(INDEX('CURVA PREVISION'!$A$1:$KZ$3000,$C72,11+3*MIN(AG$3,$D$2-1)))))</f>
        <v/>
      </c>
      <c r="AH72" s="130">
        <f>IF(OR($C72="",$B$2="",$D$2=0),0,IF(AH$3&lt;0,0,N(INDEX('CURVA PREVISION'!$A$1:$KZ$3000,$C72,11+3*MIN(AH$3,$D$2-1)))))</f>
        <v/>
      </c>
      <c r="AI72" s="130">
        <f>IF(OR($C72="",$B$2="",$D$2=0),0,IF(AI$3&lt;0,0,N(INDEX('CURVA PREVISION'!$A$1:$KZ$3000,$C72,11+3*MIN(AI$3,$D$2-1)))))</f>
        <v/>
      </c>
      <c r="AJ72" s="130">
        <f>IF(OR($C72="",$B$2="",$D$2=0),0,IF(AJ$3&lt;0,0,N(INDEX('CURVA PREVISION'!$A$1:$KZ$3000,$C72,11+3*MIN(AJ$3,$D$2-1)))))</f>
        <v/>
      </c>
      <c r="AK72" s="130">
        <f>IF(OR($C72="",$B$2="",$D$2=0),0,IF(AK$3&lt;0,0,N(INDEX('CURVA PREVISION'!$A$1:$KZ$3000,$C72,11+3*MIN(AK$3,$D$2-1)))))</f>
        <v/>
      </c>
      <c r="AL72" s="130">
        <f>IF(OR($C72="",$B$2="",$D$2=0),0,IF(AL$3&lt;0,0,N(INDEX('CURVA PREVISION'!$A$1:$KZ$3000,$C72,11+3*MIN(AL$3,$D$2-1)))))</f>
        <v/>
      </c>
      <c r="AM72" s="130">
        <f>IF(OR($C72="",$B$2="",$D$2=0),0,IF(AM$3&lt;0,0,N(INDEX('CURVA PREVISION'!$A$1:$KZ$3000,$C72,11+3*MIN(AM$3,$D$2-1)))))</f>
        <v/>
      </c>
      <c r="AN72" s="130">
        <f>IF(OR($C72="",$B$2="",$D$2=0),0,IF(AN$3&lt;0,0,N(INDEX('CURVA PREVISION'!$A$1:$KZ$3000,$C72,11+3*MIN(AN$3,$D$2-1)))))</f>
        <v/>
      </c>
      <c r="AO72" s="130">
        <f>IF(OR($C72="",$B$2="",$D$2=0),0,IF(AO$3&lt;0,0,N(INDEX('CURVA PREVISION'!$A$1:$KZ$3000,$C72,11+3*MIN(AO$3,$D$2-1)))))</f>
        <v/>
      </c>
      <c r="AP72" s="130">
        <f>IF(OR($C72="",$B$2="",$D$2=0),0,IF(AP$3&lt;0,0,N(INDEX('CURVA PREVISION'!$A$1:$KZ$3000,$C72,11+3*MIN(AP$3,$D$2-1)))))</f>
        <v/>
      </c>
      <c r="AQ72" s="130">
        <f>IF(OR($C72="",$B$2="",$D$2=0),0,IF(AQ$3&lt;0,0,N(INDEX('CURVA PREVISION'!$A$1:$KZ$3000,$C72,11+3*MIN(AQ$3,$D$2-1)))))</f>
        <v/>
      </c>
      <c r="AR72" s="130">
        <f>IF(OR($C72="",$B$2="",$D$2=0),0,IF(AR$3&lt;0,0,N(INDEX('CURVA PREVISION'!$A$1:$KZ$3000,$C72,11+3*MIN(AR$3,$D$2-1)))))</f>
        <v/>
      </c>
      <c r="AS72" s="130">
        <f>IF(OR($C72="",$B$2="",$D$2=0),0,IF(AS$3&lt;0,0,N(INDEX('CURVA PREVISION'!$A$1:$KZ$3000,$C72,11+3*MIN(AS$3,$D$2-1)))))</f>
        <v/>
      </c>
      <c r="AT72" s="130">
        <f>IF(OR($C72="",$B$2="",$D$2=0),0,IF(AT$3&lt;0,0,N(INDEX('CURVA PREVISION'!$A$1:$KZ$3000,$C72,11+3*MIN(AT$3,$D$2-1)))))</f>
        <v/>
      </c>
      <c r="AU72" s="130">
        <f>IF(OR($C72="",$B$2="",$D$2=0),0,IF(AU$3&lt;0,0,N(INDEX('CURVA PREVISION'!$A$1:$KZ$3000,$C72,11+3*MIN(AU$3,$D$2-1)))))</f>
        <v/>
      </c>
      <c r="AV72" s="130">
        <f>IF(OR($C72="",$B$2="",$D$2=0),0,IF(AV$3&lt;0,0,N(INDEX('CURVA PREVISION'!$A$1:$KZ$3000,$C72,11+3*MIN(AV$3,$D$2-1)))))</f>
        <v/>
      </c>
      <c r="AW72" s="130">
        <f>IF(OR($C72="",$B$2="",$D$2=0),0,IF(AW$3&lt;0,0,N(INDEX('CURVA PREVISION'!$A$1:$KZ$3000,$C72,11+3*MIN(AW$3,$D$2-1)))))</f>
        <v/>
      </c>
      <c r="AX72" s="130">
        <f>IF(OR($C72="",$B$2="",$D$2=0),0,IF(AX$3&lt;0,0,N(INDEX('CURVA PREVISION'!$A$1:$KZ$3000,$C72,11+3*MIN(AX$3,$D$2-1)))))</f>
        <v/>
      </c>
      <c r="AY72" s="130">
        <f>IF(OR($C72="",$B$2="",$D$2=0),0,IF(AY$3&lt;0,0,N(INDEX('CURVA PREVISION'!$A$1:$KZ$3000,$C72,11+3*MIN(AY$3,$D$2-1)))))</f>
        <v/>
      </c>
      <c r="AZ72" s="130">
        <f>IF(OR($C72="",$B$2="",$D$2=0),0,IF(AZ$3&lt;0,0,N(INDEX('CURVA PREVISION'!$A$1:$KZ$3000,$C72,11+3*MIN(AZ$3,$D$2-1)))))</f>
        <v/>
      </c>
      <c r="BA72" s="130">
        <f>IF(OR($C72="",$B$2="",$D$2=0),0,IF(BA$3&lt;0,0,N(INDEX('CURVA PREVISION'!$A$1:$KZ$3000,$C72,11+3*MIN(BA$3,$D$2-1)))))</f>
        <v/>
      </c>
      <c r="BB72" s="130">
        <f>IF(OR($C72="",$B$2="",$D$2=0),0,IF(BB$3&lt;0,0,N(INDEX('CURVA PREVISION'!$A$1:$KZ$3000,$C72,11+3*MIN(BB$3,$D$2-1)))))</f>
        <v/>
      </c>
      <c r="BC72" s="130">
        <f>IF(OR($C72="",$B$2="",$D$2=0),0,IF(BC$3&lt;0,0,N(INDEX('CURVA PREVISION'!$A$1:$KZ$3000,$C72,11+3*MIN(BC$3,$D$2-1)))))</f>
        <v/>
      </c>
      <c r="BD72" s="130">
        <f>IF(OR($C72="",$B$2="",$D$2=0),0,IF(BD$3&lt;0,0,N(INDEX('CURVA PREVISION'!$A$1:$KZ$3000,$C72,11+3*MIN(BD$3,$D$2-1)))))</f>
        <v/>
      </c>
      <c r="BE72" s="130">
        <f>IF(OR($C72="",$B$2="",$D$2=0),0,IF(BE$3&lt;0,0,N(INDEX('CURVA PREVISION'!$A$1:$KZ$3000,$C72,11+3*MIN(BE$3,$D$2-1)))))</f>
        <v/>
      </c>
      <c r="BF72" s="130">
        <f>IF(OR($C72="",$B$2="",$D$2=0),0,IF(BF$3&lt;0,0,N(INDEX('CURVA PREVISION'!$A$1:$KZ$3000,$C72,11+3*MIN(BF$3,$D$2-1)))))</f>
        <v/>
      </c>
      <c r="BG72" s="130">
        <f>IF(OR($C72="",$B$2="",$D$2=0),0,IF(BG$3&lt;0,0,N(INDEX('CURVA PREVISION'!$A$1:$KZ$3000,$C72,11+3*MIN(BG$3,$D$2-1)))))</f>
        <v/>
      </c>
      <c r="BH72" s="130">
        <f>IF(OR($C72="",$B$2="",$D$2=0),0,IF(BH$3&lt;0,0,N(INDEX('CURVA PREVISION'!$A$1:$KZ$3000,$C72,11+3*MIN(BH$3,$D$2-1)))))</f>
        <v/>
      </c>
      <c r="BI72" s="130">
        <f>IF(OR($C72="",$B$2="",$D$2=0),0,IF(BI$3&lt;0,0,N(INDEX('CURVA PREVISION'!$A$1:$KZ$3000,$C72,11+3*MIN(BI$3,$D$2-1)))))</f>
        <v/>
      </c>
      <c r="BJ72" s="130">
        <f>IF(OR($C72="",$B$2="",$D$2=0),0,IF(BJ$3&lt;0,0,N(INDEX('CURVA PREVISION'!$A$1:$KZ$3000,$C72,11+3*MIN(BJ$3,$D$2-1)))))</f>
        <v/>
      </c>
      <c r="BK72" s="130">
        <f>IF(OR($C72="",$B$2="",$D$2=0),0,IF(BK$3&lt;0,0,N(INDEX('CURVA PREVISION'!$A$1:$KZ$3000,$C72,11+3*MIN(BK$3,$D$2-1)))))</f>
        <v/>
      </c>
      <c r="BL72" s="130">
        <f>IF(OR($C72="",$B$2="",$D$2=0),0,IF(BL$3&lt;0,0,N(INDEX('CURVA PREVISION'!$A$1:$KZ$3000,$C72,11+3*MIN(BL$3,$D$2-1)))))</f>
        <v/>
      </c>
      <c r="BM72" s="130">
        <f>IF(OR($C72="",$B$2="",$D$2=0),0,IF(BM$3&lt;0,0,N(INDEX('CURVA PREVISION'!$A$1:$KZ$3000,$C72,11+3*MIN(BM$3,$D$2-1)))))</f>
        <v/>
      </c>
      <c r="BN72" s="130">
        <f>IF(OR($C72="",$B$2="",$D$2=0),0,IF(BN$3&lt;0,0,N(INDEX('CURVA PREVISION'!$A$1:$KZ$3000,$C72,11+3*MIN(BN$3,$D$2-1)))))</f>
        <v/>
      </c>
      <c r="BO72" s="130">
        <f>IF(OR($C72="",$B$2="",$D$2=0),0,IF(BO$3&lt;0,0,N(INDEX('CURVA PREVISION'!$A$1:$KZ$3000,$C72,11+3*MIN(BO$3,$D$2-1)))))</f>
        <v/>
      </c>
      <c r="BP72" s="130">
        <f>IF(OR($C72="",$B$2="",$D$2=0),0,IF(BP$3&lt;0,0,N(INDEX('CURVA PREVISION'!$A$1:$KZ$3000,$C72,11+3*MIN(BP$3,$D$2-1)))))</f>
        <v/>
      </c>
      <c r="BQ72" s="130">
        <f>IF(OR($C72="",$B$2="",$D$2=0),0,IF(BQ$3&lt;0,0,N(INDEX('CURVA PREVISION'!$A$1:$KZ$3000,$C72,11+3*MIN(BQ$3,$D$2-1)))))</f>
        <v/>
      </c>
      <c r="BR72" s="130">
        <f>IF(OR($C72="",$B$2="",$D$2=0),0,IF(BR$3&lt;0,0,N(INDEX('CURVA PREVISION'!$A$1:$KZ$3000,$C72,11+3*MIN(BR$3,$D$2-1)))))</f>
        <v/>
      </c>
      <c r="BS72" s="130">
        <f>IF(OR($C72="",$B$2="",$D$2=0),0,IF(BS$3&lt;0,0,N(INDEX('CURVA PREVISION'!$A$1:$KZ$3000,$C72,11+3*MIN(BS$3,$D$2-1)))))</f>
        <v/>
      </c>
      <c r="BT72" s="130">
        <f>IF(OR($C72="",$B$2="",$D$2=0),0,IF(BT$3&lt;0,0,N(INDEX('CURVA PREVISION'!$A$1:$KZ$3000,$C72,11+3*MIN(BT$3,$D$2-1)))))</f>
        <v/>
      </c>
      <c r="BU72" s="130">
        <f>IF(OR($C72="",$B$2="",$D$2=0),0,IF(BU$3&lt;0,0,N(INDEX('CURVA PREVISION'!$A$1:$KZ$3000,$C72,11+3*MIN(BU$3,$D$2-1)))))</f>
        <v/>
      </c>
      <c r="BV72" s="130">
        <f>IF(OR($C72="",$B$2="",$D$2=0),0,IF(BV$3&lt;0,0,N(INDEX('CURVA PREVISION'!$A$1:$KZ$3000,$C72,11+3*MIN(BV$3,$D$2-1)))))</f>
        <v/>
      </c>
      <c r="BW72" s="130">
        <f>IF(OR($C72="",$B$2="",$D$2=0),0,IF(BW$3&lt;0,0,N(INDEX('CURVA PREVISION'!$A$1:$KZ$3000,$C72,11+3*MIN(BW$3,$D$2-1)))))</f>
        <v/>
      </c>
    </row>
    <row r="73">
      <c r="A73" s="61">
        <f>IF('VALOR POR PL'!Q37="",'VALOR POR PL'!C37,'VALOR POR PL'!Q37)</f>
        <v/>
      </c>
      <c r="B73" s="51">
        <f>B31</f>
        <v/>
      </c>
      <c r="C73" s="70">
        <f>IFERROR(MATCH(A73,'CURVA PREVISION'!$B$1:$B$3000,0),"")</f>
        <v/>
      </c>
      <c r="D73" s="130">
        <f>IF(OR($C73="",$B$2="",$D$2=0),0,IF(D$3&lt;0,0,N(INDEX('CURVA PREVISION'!$A$1:$KZ$3000,$C73,11+3*MIN(D$3,$D$2-1)))))</f>
        <v/>
      </c>
      <c r="E73" s="130">
        <f>IF(OR($C73="",$B$2="",$D$2=0),0,IF(E$3&lt;0,0,N(INDEX('CURVA PREVISION'!$A$1:$KZ$3000,$C73,11+3*MIN(E$3,$D$2-1)))))</f>
        <v/>
      </c>
      <c r="F73" s="130">
        <f>IF(OR($C73="",$B$2="",$D$2=0),0,IF(F$3&lt;0,0,N(INDEX('CURVA PREVISION'!$A$1:$KZ$3000,$C73,11+3*MIN(F$3,$D$2-1)))))</f>
        <v/>
      </c>
      <c r="G73" s="130">
        <f>IF(OR($C73="",$B$2="",$D$2=0),0,IF(G$3&lt;0,0,N(INDEX('CURVA PREVISION'!$A$1:$KZ$3000,$C73,11+3*MIN(G$3,$D$2-1)))))</f>
        <v/>
      </c>
      <c r="H73" s="130">
        <f>IF(OR($C73="",$B$2="",$D$2=0),0,IF(H$3&lt;0,0,N(INDEX('CURVA PREVISION'!$A$1:$KZ$3000,$C73,11+3*MIN(H$3,$D$2-1)))))</f>
        <v/>
      </c>
      <c r="I73" s="130">
        <f>IF(OR($C73="",$B$2="",$D$2=0),0,IF(I$3&lt;0,0,N(INDEX('CURVA PREVISION'!$A$1:$KZ$3000,$C73,11+3*MIN(I$3,$D$2-1)))))</f>
        <v/>
      </c>
      <c r="J73" s="130">
        <f>IF(OR($C73="",$B$2="",$D$2=0),0,IF(J$3&lt;0,0,N(INDEX('CURVA PREVISION'!$A$1:$KZ$3000,$C73,11+3*MIN(J$3,$D$2-1)))))</f>
        <v/>
      </c>
      <c r="K73" s="130">
        <f>IF(OR($C73="",$B$2="",$D$2=0),0,IF(K$3&lt;0,0,N(INDEX('CURVA PREVISION'!$A$1:$KZ$3000,$C73,11+3*MIN(K$3,$D$2-1)))))</f>
        <v/>
      </c>
      <c r="L73" s="130">
        <f>IF(OR($C73="",$B$2="",$D$2=0),0,IF(L$3&lt;0,0,N(INDEX('CURVA PREVISION'!$A$1:$KZ$3000,$C73,11+3*MIN(L$3,$D$2-1)))))</f>
        <v/>
      </c>
      <c r="M73" s="130">
        <f>IF(OR($C73="",$B$2="",$D$2=0),0,IF(M$3&lt;0,0,N(INDEX('CURVA PREVISION'!$A$1:$KZ$3000,$C73,11+3*MIN(M$3,$D$2-1)))))</f>
        <v/>
      </c>
      <c r="N73" s="130">
        <f>IF(OR($C73="",$B$2="",$D$2=0),0,IF(N$3&lt;0,0,N(INDEX('CURVA PREVISION'!$A$1:$KZ$3000,$C73,11+3*MIN(N$3,$D$2-1)))))</f>
        <v/>
      </c>
      <c r="O73" s="130">
        <f>IF(OR($C73="",$B$2="",$D$2=0),0,IF(O$3&lt;0,0,N(INDEX('CURVA PREVISION'!$A$1:$KZ$3000,$C73,11+3*MIN(O$3,$D$2-1)))))</f>
        <v/>
      </c>
      <c r="P73" s="130">
        <f>IF(OR($C73="",$B$2="",$D$2=0),0,IF(P$3&lt;0,0,N(INDEX('CURVA PREVISION'!$A$1:$KZ$3000,$C73,11+3*MIN(P$3,$D$2-1)))))</f>
        <v/>
      </c>
      <c r="Q73" s="130">
        <f>IF(OR($C73="",$B$2="",$D$2=0),0,IF(Q$3&lt;0,0,N(INDEX('CURVA PREVISION'!$A$1:$KZ$3000,$C73,11+3*MIN(Q$3,$D$2-1)))))</f>
        <v/>
      </c>
      <c r="R73" s="130">
        <f>IF(OR($C73="",$B$2="",$D$2=0),0,IF(R$3&lt;0,0,N(INDEX('CURVA PREVISION'!$A$1:$KZ$3000,$C73,11+3*MIN(R$3,$D$2-1)))))</f>
        <v/>
      </c>
      <c r="S73" s="130">
        <f>IF(OR($C73="",$B$2="",$D$2=0),0,IF(S$3&lt;0,0,N(INDEX('CURVA PREVISION'!$A$1:$KZ$3000,$C73,11+3*MIN(S$3,$D$2-1)))))</f>
        <v/>
      </c>
      <c r="T73" s="130">
        <f>IF(OR($C73="",$B$2="",$D$2=0),0,IF(T$3&lt;0,0,N(INDEX('CURVA PREVISION'!$A$1:$KZ$3000,$C73,11+3*MIN(T$3,$D$2-1)))))</f>
        <v/>
      </c>
      <c r="U73" s="130">
        <f>IF(OR($C73="",$B$2="",$D$2=0),0,IF(U$3&lt;0,0,N(INDEX('CURVA PREVISION'!$A$1:$KZ$3000,$C73,11+3*MIN(U$3,$D$2-1)))))</f>
        <v/>
      </c>
      <c r="V73" s="130">
        <f>IF(OR($C73="",$B$2="",$D$2=0),0,IF(V$3&lt;0,0,N(INDEX('CURVA PREVISION'!$A$1:$KZ$3000,$C73,11+3*MIN(V$3,$D$2-1)))))</f>
        <v/>
      </c>
      <c r="W73" s="130">
        <f>IF(OR($C73="",$B$2="",$D$2=0),0,IF(W$3&lt;0,0,N(INDEX('CURVA PREVISION'!$A$1:$KZ$3000,$C73,11+3*MIN(W$3,$D$2-1)))))</f>
        <v/>
      </c>
      <c r="X73" s="130">
        <f>IF(OR($C73="",$B$2="",$D$2=0),0,IF(X$3&lt;0,0,N(INDEX('CURVA PREVISION'!$A$1:$KZ$3000,$C73,11+3*MIN(X$3,$D$2-1)))))</f>
        <v/>
      </c>
      <c r="Y73" s="130">
        <f>IF(OR($C73="",$B$2="",$D$2=0),0,IF(Y$3&lt;0,0,N(INDEX('CURVA PREVISION'!$A$1:$KZ$3000,$C73,11+3*MIN(Y$3,$D$2-1)))))</f>
        <v/>
      </c>
      <c r="Z73" s="130">
        <f>IF(OR($C73="",$B$2="",$D$2=0),0,IF(Z$3&lt;0,0,N(INDEX('CURVA PREVISION'!$A$1:$KZ$3000,$C73,11+3*MIN(Z$3,$D$2-1)))))</f>
        <v/>
      </c>
      <c r="AA73" s="130">
        <f>IF(OR($C73="",$B$2="",$D$2=0),0,IF(AA$3&lt;0,0,N(INDEX('CURVA PREVISION'!$A$1:$KZ$3000,$C73,11+3*MIN(AA$3,$D$2-1)))))</f>
        <v/>
      </c>
      <c r="AB73" s="130">
        <f>IF(OR($C73="",$B$2="",$D$2=0),0,IF(AB$3&lt;0,0,N(INDEX('CURVA PREVISION'!$A$1:$KZ$3000,$C73,11+3*MIN(AB$3,$D$2-1)))))</f>
        <v/>
      </c>
      <c r="AC73" s="130">
        <f>IF(OR($C73="",$B$2="",$D$2=0),0,IF(AC$3&lt;0,0,N(INDEX('CURVA PREVISION'!$A$1:$KZ$3000,$C73,11+3*MIN(AC$3,$D$2-1)))))</f>
        <v/>
      </c>
      <c r="AD73" s="130">
        <f>IF(OR($C73="",$B$2="",$D$2=0),0,IF(AD$3&lt;0,0,N(INDEX('CURVA PREVISION'!$A$1:$KZ$3000,$C73,11+3*MIN(AD$3,$D$2-1)))))</f>
        <v/>
      </c>
      <c r="AE73" s="130">
        <f>IF(OR($C73="",$B$2="",$D$2=0),0,IF(AE$3&lt;0,0,N(INDEX('CURVA PREVISION'!$A$1:$KZ$3000,$C73,11+3*MIN(AE$3,$D$2-1)))))</f>
        <v/>
      </c>
      <c r="AF73" s="130">
        <f>IF(OR($C73="",$B$2="",$D$2=0),0,IF(AF$3&lt;0,0,N(INDEX('CURVA PREVISION'!$A$1:$KZ$3000,$C73,11+3*MIN(AF$3,$D$2-1)))))</f>
        <v/>
      </c>
      <c r="AG73" s="130">
        <f>IF(OR($C73="",$B$2="",$D$2=0),0,IF(AG$3&lt;0,0,N(INDEX('CURVA PREVISION'!$A$1:$KZ$3000,$C73,11+3*MIN(AG$3,$D$2-1)))))</f>
        <v/>
      </c>
      <c r="AH73" s="130">
        <f>IF(OR($C73="",$B$2="",$D$2=0),0,IF(AH$3&lt;0,0,N(INDEX('CURVA PREVISION'!$A$1:$KZ$3000,$C73,11+3*MIN(AH$3,$D$2-1)))))</f>
        <v/>
      </c>
      <c r="AI73" s="130">
        <f>IF(OR($C73="",$B$2="",$D$2=0),0,IF(AI$3&lt;0,0,N(INDEX('CURVA PREVISION'!$A$1:$KZ$3000,$C73,11+3*MIN(AI$3,$D$2-1)))))</f>
        <v/>
      </c>
      <c r="AJ73" s="130">
        <f>IF(OR($C73="",$B$2="",$D$2=0),0,IF(AJ$3&lt;0,0,N(INDEX('CURVA PREVISION'!$A$1:$KZ$3000,$C73,11+3*MIN(AJ$3,$D$2-1)))))</f>
        <v/>
      </c>
      <c r="AK73" s="130">
        <f>IF(OR($C73="",$B$2="",$D$2=0),0,IF(AK$3&lt;0,0,N(INDEX('CURVA PREVISION'!$A$1:$KZ$3000,$C73,11+3*MIN(AK$3,$D$2-1)))))</f>
        <v/>
      </c>
      <c r="AL73" s="130">
        <f>IF(OR($C73="",$B$2="",$D$2=0),0,IF(AL$3&lt;0,0,N(INDEX('CURVA PREVISION'!$A$1:$KZ$3000,$C73,11+3*MIN(AL$3,$D$2-1)))))</f>
        <v/>
      </c>
      <c r="AM73" s="130">
        <f>IF(OR($C73="",$B$2="",$D$2=0),0,IF(AM$3&lt;0,0,N(INDEX('CURVA PREVISION'!$A$1:$KZ$3000,$C73,11+3*MIN(AM$3,$D$2-1)))))</f>
        <v/>
      </c>
      <c r="AN73" s="130">
        <f>IF(OR($C73="",$B$2="",$D$2=0),0,IF(AN$3&lt;0,0,N(INDEX('CURVA PREVISION'!$A$1:$KZ$3000,$C73,11+3*MIN(AN$3,$D$2-1)))))</f>
        <v/>
      </c>
      <c r="AO73" s="130">
        <f>IF(OR($C73="",$B$2="",$D$2=0),0,IF(AO$3&lt;0,0,N(INDEX('CURVA PREVISION'!$A$1:$KZ$3000,$C73,11+3*MIN(AO$3,$D$2-1)))))</f>
        <v/>
      </c>
      <c r="AP73" s="130">
        <f>IF(OR($C73="",$B$2="",$D$2=0),0,IF(AP$3&lt;0,0,N(INDEX('CURVA PREVISION'!$A$1:$KZ$3000,$C73,11+3*MIN(AP$3,$D$2-1)))))</f>
        <v/>
      </c>
      <c r="AQ73" s="130">
        <f>IF(OR($C73="",$B$2="",$D$2=0),0,IF(AQ$3&lt;0,0,N(INDEX('CURVA PREVISION'!$A$1:$KZ$3000,$C73,11+3*MIN(AQ$3,$D$2-1)))))</f>
        <v/>
      </c>
      <c r="AR73" s="130">
        <f>IF(OR($C73="",$B$2="",$D$2=0),0,IF(AR$3&lt;0,0,N(INDEX('CURVA PREVISION'!$A$1:$KZ$3000,$C73,11+3*MIN(AR$3,$D$2-1)))))</f>
        <v/>
      </c>
      <c r="AS73" s="130">
        <f>IF(OR($C73="",$B$2="",$D$2=0),0,IF(AS$3&lt;0,0,N(INDEX('CURVA PREVISION'!$A$1:$KZ$3000,$C73,11+3*MIN(AS$3,$D$2-1)))))</f>
        <v/>
      </c>
      <c r="AT73" s="130">
        <f>IF(OR($C73="",$B$2="",$D$2=0),0,IF(AT$3&lt;0,0,N(INDEX('CURVA PREVISION'!$A$1:$KZ$3000,$C73,11+3*MIN(AT$3,$D$2-1)))))</f>
        <v/>
      </c>
      <c r="AU73" s="130">
        <f>IF(OR($C73="",$B$2="",$D$2=0),0,IF(AU$3&lt;0,0,N(INDEX('CURVA PREVISION'!$A$1:$KZ$3000,$C73,11+3*MIN(AU$3,$D$2-1)))))</f>
        <v/>
      </c>
      <c r="AV73" s="130">
        <f>IF(OR($C73="",$B$2="",$D$2=0),0,IF(AV$3&lt;0,0,N(INDEX('CURVA PREVISION'!$A$1:$KZ$3000,$C73,11+3*MIN(AV$3,$D$2-1)))))</f>
        <v/>
      </c>
      <c r="AW73" s="130">
        <f>IF(OR($C73="",$B$2="",$D$2=0),0,IF(AW$3&lt;0,0,N(INDEX('CURVA PREVISION'!$A$1:$KZ$3000,$C73,11+3*MIN(AW$3,$D$2-1)))))</f>
        <v/>
      </c>
      <c r="AX73" s="130">
        <f>IF(OR($C73="",$B$2="",$D$2=0),0,IF(AX$3&lt;0,0,N(INDEX('CURVA PREVISION'!$A$1:$KZ$3000,$C73,11+3*MIN(AX$3,$D$2-1)))))</f>
        <v/>
      </c>
      <c r="AY73" s="130">
        <f>IF(OR($C73="",$B$2="",$D$2=0),0,IF(AY$3&lt;0,0,N(INDEX('CURVA PREVISION'!$A$1:$KZ$3000,$C73,11+3*MIN(AY$3,$D$2-1)))))</f>
        <v/>
      </c>
      <c r="AZ73" s="130">
        <f>IF(OR($C73="",$B$2="",$D$2=0),0,IF(AZ$3&lt;0,0,N(INDEX('CURVA PREVISION'!$A$1:$KZ$3000,$C73,11+3*MIN(AZ$3,$D$2-1)))))</f>
        <v/>
      </c>
      <c r="BA73" s="130">
        <f>IF(OR($C73="",$B$2="",$D$2=0),0,IF(BA$3&lt;0,0,N(INDEX('CURVA PREVISION'!$A$1:$KZ$3000,$C73,11+3*MIN(BA$3,$D$2-1)))))</f>
        <v/>
      </c>
      <c r="BB73" s="130">
        <f>IF(OR($C73="",$B$2="",$D$2=0),0,IF(BB$3&lt;0,0,N(INDEX('CURVA PREVISION'!$A$1:$KZ$3000,$C73,11+3*MIN(BB$3,$D$2-1)))))</f>
        <v/>
      </c>
      <c r="BC73" s="130">
        <f>IF(OR($C73="",$B$2="",$D$2=0),0,IF(BC$3&lt;0,0,N(INDEX('CURVA PREVISION'!$A$1:$KZ$3000,$C73,11+3*MIN(BC$3,$D$2-1)))))</f>
        <v/>
      </c>
      <c r="BD73" s="130">
        <f>IF(OR($C73="",$B$2="",$D$2=0),0,IF(BD$3&lt;0,0,N(INDEX('CURVA PREVISION'!$A$1:$KZ$3000,$C73,11+3*MIN(BD$3,$D$2-1)))))</f>
        <v/>
      </c>
      <c r="BE73" s="130">
        <f>IF(OR($C73="",$B$2="",$D$2=0),0,IF(BE$3&lt;0,0,N(INDEX('CURVA PREVISION'!$A$1:$KZ$3000,$C73,11+3*MIN(BE$3,$D$2-1)))))</f>
        <v/>
      </c>
      <c r="BF73" s="130">
        <f>IF(OR($C73="",$B$2="",$D$2=0),0,IF(BF$3&lt;0,0,N(INDEX('CURVA PREVISION'!$A$1:$KZ$3000,$C73,11+3*MIN(BF$3,$D$2-1)))))</f>
        <v/>
      </c>
      <c r="BG73" s="130">
        <f>IF(OR($C73="",$B$2="",$D$2=0),0,IF(BG$3&lt;0,0,N(INDEX('CURVA PREVISION'!$A$1:$KZ$3000,$C73,11+3*MIN(BG$3,$D$2-1)))))</f>
        <v/>
      </c>
      <c r="BH73" s="130">
        <f>IF(OR($C73="",$B$2="",$D$2=0),0,IF(BH$3&lt;0,0,N(INDEX('CURVA PREVISION'!$A$1:$KZ$3000,$C73,11+3*MIN(BH$3,$D$2-1)))))</f>
        <v/>
      </c>
      <c r="BI73" s="130">
        <f>IF(OR($C73="",$B$2="",$D$2=0),0,IF(BI$3&lt;0,0,N(INDEX('CURVA PREVISION'!$A$1:$KZ$3000,$C73,11+3*MIN(BI$3,$D$2-1)))))</f>
        <v/>
      </c>
      <c r="BJ73" s="130">
        <f>IF(OR($C73="",$B$2="",$D$2=0),0,IF(BJ$3&lt;0,0,N(INDEX('CURVA PREVISION'!$A$1:$KZ$3000,$C73,11+3*MIN(BJ$3,$D$2-1)))))</f>
        <v/>
      </c>
      <c r="BK73" s="130">
        <f>IF(OR($C73="",$B$2="",$D$2=0),0,IF(BK$3&lt;0,0,N(INDEX('CURVA PREVISION'!$A$1:$KZ$3000,$C73,11+3*MIN(BK$3,$D$2-1)))))</f>
        <v/>
      </c>
      <c r="BL73" s="130">
        <f>IF(OR($C73="",$B$2="",$D$2=0),0,IF(BL$3&lt;0,0,N(INDEX('CURVA PREVISION'!$A$1:$KZ$3000,$C73,11+3*MIN(BL$3,$D$2-1)))))</f>
        <v/>
      </c>
      <c r="BM73" s="130">
        <f>IF(OR($C73="",$B$2="",$D$2=0),0,IF(BM$3&lt;0,0,N(INDEX('CURVA PREVISION'!$A$1:$KZ$3000,$C73,11+3*MIN(BM$3,$D$2-1)))))</f>
        <v/>
      </c>
      <c r="BN73" s="130">
        <f>IF(OR($C73="",$B$2="",$D$2=0),0,IF(BN$3&lt;0,0,N(INDEX('CURVA PREVISION'!$A$1:$KZ$3000,$C73,11+3*MIN(BN$3,$D$2-1)))))</f>
        <v/>
      </c>
      <c r="BO73" s="130">
        <f>IF(OR($C73="",$B$2="",$D$2=0),0,IF(BO$3&lt;0,0,N(INDEX('CURVA PREVISION'!$A$1:$KZ$3000,$C73,11+3*MIN(BO$3,$D$2-1)))))</f>
        <v/>
      </c>
      <c r="BP73" s="130">
        <f>IF(OR($C73="",$B$2="",$D$2=0),0,IF(BP$3&lt;0,0,N(INDEX('CURVA PREVISION'!$A$1:$KZ$3000,$C73,11+3*MIN(BP$3,$D$2-1)))))</f>
        <v/>
      </c>
      <c r="BQ73" s="130">
        <f>IF(OR($C73="",$B$2="",$D$2=0),0,IF(BQ$3&lt;0,0,N(INDEX('CURVA PREVISION'!$A$1:$KZ$3000,$C73,11+3*MIN(BQ$3,$D$2-1)))))</f>
        <v/>
      </c>
      <c r="BR73" s="130">
        <f>IF(OR($C73="",$B$2="",$D$2=0),0,IF(BR$3&lt;0,0,N(INDEX('CURVA PREVISION'!$A$1:$KZ$3000,$C73,11+3*MIN(BR$3,$D$2-1)))))</f>
        <v/>
      </c>
      <c r="BS73" s="130">
        <f>IF(OR($C73="",$B$2="",$D$2=0),0,IF(BS$3&lt;0,0,N(INDEX('CURVA PREVISION'!$A$1:$KZ$3000,$C73,11+3*MIN(BS$3,$D$2-1)))))</f>
        <v/>
      </c>
      <c r="BT73" s="130">
        <f>IF(OR($C73="",$B$2="",$D$2=0),0,IF(BT$3&lt;0,0,N(INDEX('CURVA PREVISION'!$A$1:$KZ$3000,$C73,11+3*MIN(BT$3,$D$2-1)))))</f>
        <v/>
      </c>
      <c r="BU73" s="130">
        <f>IF(OR($C73="",$B$2="",$D$2=0),0,IF(BU$3&lt;0,0,N(INDEX('CURVA PREVISION'!$A$1:$KZ$3000,$C73,11+3*MIN(BU$3,$D$2-1)))))</f>
        <v/>
      </c>
      <c r="BV73" s="130">
        <f>IF(OR($C73="",$B$2="",$D$2=0),0,IF(BV$3&lt;0,0,N(INDEX('CURVA PREVISION'!$A$1:$KZ$3000,$C73,11+3*MIN(BV$3,$D$2-1)))))</f>
        <v/>
      </c>
      <c r="BW73" s="130">
        <f>IF(OR($C73="",$B$2="",$D$2=0),0,IF(BW$3&lt;0,0,N(INDEX('CURVA PREVISION'!$A$1:$KZ$3000,$C73,11+3*MIN(BW$3,$D$2-1)))))</f>
        <v/>
      </c>
    </row>
    <row r="74">
      <c r="A74" s="61">
        <f>IF('VALOR POR PL'!Q38="",'VALOR POR PL'!C38,'VALOR POR PL'!Q38)</f>
        <v/>
      </c>
      <c r="B74" s="51">
        <f>B32</f>
        <v/>
      </c>
      <c r="C74" s="70">
        <f>IFERROR(MATCH(A74,'CURVA PREVISION'!$B$1:$B$3000,0),"")</f>
        <v/>
      </c>
      <c r="D74" s="130">
        <f>IF(OR($C74="",$B$2="",$D$2=0),0,IF(D$3&lt;0,0,N(INDEX('CURVA PREVISION'!$A$1:$KZ$3000,$C74,11+3*MIN(D$3,$D$2-1)))))</f>
        <v/>
      </c>
      <c r="E74" s="130">
        <f>IF(OR($C74="",$B$2="",$D$2=0),0,IF(E$3&lt;0,0,N(INDEX('CURVA PREVISION'!$A$1:$KZ$3000,$C74,11+3*MIN(E$3,$D$2-1)))))</f>
        <v/>
      </c>
      <c r="F74" s="130">
        <f>IF(OR($C74="",$B$2="",$D$2=0),0,IF(F$3&lt;0,0,N(INDEX('CURVA PREVISION'!$A$1:$KZ$3000,$C74,11+3*MIN(F$3,$D$2-1)))))</f>
        <v/>
      </c>
      <c r="G74" s="130">
        <f>IF(OR($C74="",$B$2="",$D$2=0),0,IF(G$3&lt;0,0,N(INDEX('CURVA PREVISION'!$A$1:$KZ$3000,$C74,11+3*MIN(G$3,$D$2-1)))))</f>
        <v/>
      </c>
      <c r="H74" s="130">
        <f>IF(OR($C74="",$B$2="",$D$2=0),0,IF(H$3&lt;0,0,N(INDEX('CURVA PREVISION'!$A$1:$KZ$3000,$C74,11+3*MIN(H$3,$D$2-1)))))</f>
        <v/>
      </c>
      <c r="I74" s="130">
        <f>IF(OR($C74="",$B$2="",$D$2=0),0,IF(I$3&lt;0,0,N(INDEX('CURVA PREVISION'!$A$1:$KZ$3000,$C74,11+3*MIN(I$3,$D$2-1)))))</f>
        <v/>
      </c>
      <c r="J74" s="130">
        <f>IF(OR($C74="",$B$2="",$D$2=0),0,IF(J$3&lt;0,0,N(INDEX('CURVA PREVISION'!$A$1:$KZ$3000,$C74,11+3*MIN(J$3,$D$2-1)))))</f>
        <v/>
      </c>
      <c r="K74" s="130">
        <f>IF(OR($C74="",$B$2="",$D$2=0),0,IF(K$3&lt;0,0,N(INDEX('CURVA PREVISION'!$A$1:$KZ$3000,$C74,11+3*MIN(K$3,$D$2-1)))))</f>
        <v/>
      </c>
      <c r="L74" s="130">
        <f>IF(OR($C74="",$B$2="",$D$2=0),0,IF(L$3&lt;0,0,N(INDEX('CURVA PREVISION'!$A$1:$KZ$3000,$C74,11+3*MIN(L$3,$D$2-1)))))</f>
        <v/>
      </c>
      <c r="M74" s="130">
        <f>IF(OR($C74="",$B$2="",$D$2=0),0,IF(M$3&lt;0,0,N(INDEX('CURVA PREVISION'!$A$1:$KZ$3000,$C74,11+3*MIN(M$3,$D$2-1)))))</f>
        <v/>
      </c>
      <c r="N74" s="130">
        <f>IF(OR($C74="",$B$2="",$D$2=0),0,IF(N$3&lt;0,0,N(INDEX('CURVA PREVISION'!$A$1:$KZ$3000,$C74,11+3*MIN(N$3,$D$2-1)))))</f>
        <v/>
      </c>
      <c r="O74" s="130">
        <f>IF(OR($C74="",$B$2="",$D$2=0),0,IF(O$3&lt;0,0,N(INDEX('CURVA PREVISION'!$A$1:$KZ$3000,$C74,11+3*MIN(O$3,$D$2-1)))))</f>
        <v/>
      </c>
      <c r="P74" s="130">
        <f>IF(OR($C74="",$B$2="",$D$2=0),0,IF(P$3&lt;0,0,N(INDEX('CURVA PREVISION'!$A$1:$KZ$3000,$C74,11+3*MIN(P$3,$D$2-1)))))</f>
        <v/>
      </c>
      <c r="Q74" s="130">
        <f>IF(OR($C74="",$B$2="",$D$2=0),0,IF(Q$3&lt;0,0,N(INDEX('CURVA PREVISION'!$A$1:$KZ$3000,$C74,11+3*MIN(Q$3,$D$2-1)))))</f>
        <v/>
      </c>
      <c r="R74" s="130">
        <f>IF(OR($C74="",$B$2="",$D$2=0),0,IF(R$3&lt;0,0,N(INDEX('CURVA PREVISION'!$A$1:$KZ$3000,$C74,11+3*MIN(R$3,$D$2-1)))))</f>
        <v/>
      </c>
      <c r="S74" s="130">
        <f>IF(OR($C74="",$B$2="",$D$2=0),0,IF(S$3&lt;0,0,N(INDEX('CURVA PREVISION'!$A$1:$KZ$3000,$C74,11+3*MIN(S$3,$D$2-1)))))</f>
        <v/>
      </c>
      <c r="T74" s="130">
        <f>IF(OR($C74="",$B$2="",$D$2=0),0,IF(T$3&lt;0,0,N(INDEX('CURVA PREVISION'!$A$1:$KZ$3000,$C74,11+3*MIN(T$3,$D$2-1)))))</f>
        <v/>
      </c>
      <c r="U74" s="130">
        <f>IF(OR($C74="",$B$2="",$D$2=0),0,IF(U$3&lt;0,0,N(INDEX('CURVA PREVISION'!$A$1:$KZ$3000,$C74,11+3*MIN(U$3,$D$2-1)))))</f>
        <v/>
      </c>
      <c r="V74" s="130">
        <f>IF(OR($C74="",$B$2="",$D$2=0),0,IF(V$3&lt;0,0,N(INDEX('CURVA PREVISION'!$A$1:$KZ$3000,$C74,11+3*MIN(V$3,$D$2-1)))))</f>
        <v/>
      </c>
      <c r="W74" s="130">
        <f>IF(OR($C74="",$B$2="",$D$2=0),0,IF(W$3&lt;0,0,N(INDEX('CURVA PREVISION'!$A$1:$KZ$3000,$C74,11+3*MIN(W$3,$D$2-1)))))</f>
        <v/>
      </c>
      <c r="X74" s="130">
        <f>IF(OR($C74="",$B$2="",$D$2=0),0,IF(X$3&lt;0,0,N(INDEX('CURVA PREVISION'!$A$1:$KZ$3000,$C74,11+3*MIN(X$3,$D$2-1)))))</f>
        <v/>
      </c>
      <c r="Y74" s="130">
        <f>IF(OR($C74="",$B$2="",$D$2=0),0,IF(Y$3&lt;0,0,N(INDEX('CURVA PREVISION'!$A$1:$KZ$3000,$C74,11+3*MIN(Y$3,$D$2-1)))))</f>
        <v/>
      </c>
      <c r="Z74" s="130">
        <f>IF(OR($C74="",$B$2="",$D$2=0),0,IF(Z$3&lt;0,0,N(INDEX('CURVA PREVISION'!$A$1:$KZ$3000,$C74,11+3*MIN(Z$3,$D$2-1)))))</f>
        <v/>
      </c>
      <c r="AA74" s="130">
        <f>IF(OR($C74="",$B$2="",$D$2=0),0,IF(AA$3&lt;0,0,N(INDEX('CURVA PREVISION'!$A$1:$KZ$3000,$C74,11+3*MIN(AA$3,$D$2-1)))))</f>
        <v/>
      </c>
      <c r="AB74" s="130">
        <f>IF(OR($C74="",$B$2="",$D$2=0),0,IF(AB$3&lt;0,0,N(INDEX('CURVA PREVISION'!$A$1:$KZ$3000,$C74,11+3*MIN(AB$3,$D$2-1)))))</f>
        <v/>
      </c>
      <c r="AC74" s="130">
        <f>IF(OR($C74="",$B$2="",$D$2=0),0,IF(AC$3&lt;0,0,N(INDEX('CURVA PREVISION'!$A$1:$KZ$3000,$C74,11+3*MIN(AC$3,$D$2-1)))))</f>
        <v/>
      </c>
      <c r="AD74" s="130">
        <f>IF(OR($C74="",$B$2="",$D$2=0),0,IF(AD$3&lt;0,0,N(INDEX('CURVA PREVISION'!$A$1:$KZ$3000,$C74,11+3*MIN(AD$3,$D$2-1)))))</f>
        <v/>
      </c>
      <c r="AE74" s="130">
        <f>IF(OR($C74="",$B$2="",$D$2=0),0,IF(AE$3&lt;0,0,N(INDEX('CURVA PREVISION'!$A$1:$KZ$3000,$C74,11+3*MIN(AE$3,$D$2-1)))))</f>
        <v/>
      </c>
      <c r="AF74" s="130">
        <f>IF(OR($C74="",$B$2="",$D$2=0),0,IF(AF$3&lt;0,0,N(INDEX('CURVA PREVISION'!$A$1:$KZ$3000,$C74,11+3*MIN(AF$3,$D$2-1)))))</f>
        <v/>
      </c>
      <c r="AG74" s="130">
        <f>IF(OR($C74="",$B$2="",$D$2=0),0,IF(AG$3&lt;0,0,N(INDEX('CURVA PREVISION'!$A$1:$KZ$3000,$C74,11+3*MIN(AG$3,$D$2-1)))))</f>
        <v/>
      </c>
      <c r="AH74" s="130">
        <f>IF(OR($C74="",$B$2="",$D$2=0),0,IF(AH$3&lt;0,0,N(INDEX('CURVA PREVISION'!$A$1:$KZ$3000,$C74,11+3*MIN(AH$3,$D$2-1)))))</f>
        <v/>
      </c>
      <c r="AI74" s="130">
        <f>IF(OR($C74="",$B$2="",$D$2=0),0,IF(AI$3&lt;0,0,N(INDEX('CURVA PREVISION'!$A$1:$KZ$3000,$C74,11+3*MIN(AI$3,$D$2-1)))))</f>
        <v/>
      </c>
      <c r="AJ74" s="130">
        <f>IF(OR($C74="",$B$2="",$D$2=0),0,IF(AJ$3&lt;0,0,N(INDEX('CURVA PREVISION'!$A$1:$KZ$3000,$C74,11+3*MIN(AJ$3,$D$2-1)))))</f>
        <v/>
      </c>
      <c r="AK74" s="130">
        <f>IF(OR($C74="",$B$2="",$D$2=0),0,IF(AK$3&lt;0,0,N(INDEX('CURVA PREVISION'!$A$1:$KZ$3000,$C74,11+3*MIN(AK$3,$D$2-1)))))</f>
        <v/>
      </c>
      <c r="AL74" s="130">
        <f>IF(OR($C74="",$B$2="",$D$2=0),0,IF(AL$3&lt;0,0,N(INDEX('CURVA PREVISION'!$A$1:$KZ$3000,$C74,11+3*MIN(AL$3,$D$2-1)))))</f>
        <v/>
      </c>
      <c r="AM74" s="130">
        <f>IF(OR($C74="",$B$2="",$D$2=0),0,IF(AM$3&lt;0,0,N(INDEX('CURVA PREVISION'!$A$1:$KZ$3000,$C74,11+3*MIN(AM$3,$D$2-1)))))</f>
        <v/>
      </c>
      <c r="AN74" s="130">
        <f>IF(OR($C74="",$B$2="",$D$2=0),0,IF(AN$3&lt;0,0,N(INDEX('CURVA PREVISION'!$A$1:$KZ$3000,$C74,11+3*MIN(AN$3,$D$2-1)))))</f>
        <v/>
      </c>
      <c r="AO74" s="130">
        <f>IF(OR($C74="",$B$2="",$D$2=0),0,IF(AO$3&lt;0,0,N(INDEX('CURVA PREVISION'!$A$1:$KZ$3000,$C74,11+3*MIN(AO$3,$D$2-1)))))</f>
        <v/>
      </c>
      <c r="AP74" s="130">
        <f>IF(OR($C74="",$B$2="",$D$2=0),0,IF(AP$3&lt;0,0,N(INDEX('CURVA PREVISION'!$A$1:$KZ$3000,$C74,11+3*MIN(AP$3,$D$2-1)))))</f>
        <v/>
      </c>
      <c r="AQ74" s="130">
        <f>IF(OR($C74="",$B$2="",$D$2=0),0,IF(AQ$3&lt;0,0,N(INDEX('CURVA PREVISION'!$A$1:$KZ$3000,$C74,11+3*MIN(AQ$3,$D$2-1)))))</f>
        <v/>
      </c>
      <c r="AR74" s="130">
        <f>IF(OR($C74="",$B$2="",$D$2=0),0,IF(AR$3&lt;0,0,N(INDEX('CURVA PREVISION'!$A$1:$KZ$3000,$C74,11+3*MIN(AR$3,$D$2-1)))))</f>
        <v/>
      </c>
      <c r="AS74" s="130">
        <f>IF(OR($C74="",$B$2="",$D$2=0),0,IF(AS$3&lt;0,0,N(INDEX('CURVA PREVISION'!$A$1:$KZ$3000,$C74,11+3*MIN(AS$3,$D$2-1)))))</f>
        <v/>
      </c>
      <c r="AT74" s="130">
        <f>IF(OR($C74="",$B$2="",$D$2=0),0,IF(AT$3&lt;0,0,N(INDEX('CURVA PREVISION'!$A$1:$KZ$3000,$C74,11+3*MIN(AT$3,$D$2-1)))))</f>
        <v/>
      </c>
      <c r="AU74" s="130">
        <f>IF(OR($C74="",$B$2="",$D$2=0),0,IF(AU$3&lt;0,0,N(INDEX('CURVA PREVISION'!$A$1:$KZ$3000,$C74,11+3*MIN(AU$3,$D$2-1)))))</f>
        <v/>
      </c>
      <c r="AV74" s="130">
        <f>IF(OR($C74="",$B$2="",$D$2=0),0,IF(AV$3&lt;0,0,N(INDEX('CURVA PREVISION'!$A$1:$KZ$3000,$C74,11+3*MIN(AV$3,$D$2-1)))))</f>
        <v/>
      </c>
      <c r="AW74" s="130">
        <f>IF(OR($C74="",$B$2="",$D$2=0),0,IF(AW$3&lt;0,0,N(INDEX('CURVA PREVISION'!$A$1:$KZ$3000,$C74,11+3*MIN(AW$3,$D$2-1)))))</f>
        <v/>
      </c>
      <c r="AX74" s="130">
        <f>IF(OR($C74="",$B$2="",$D$2=0),0,IF(AX$3&lt;0,0,N(INDEX('CURVA PREVISION'!$A$1:$KZ$3000,$C74,11+3*MIN(AX$3,$D$2-1)))))</f>
        <v/>
      </c>
      <c r="AY74" s="130">
        <f>IF(OR($C74="",$B$2="",$D$2=0),0,IF(AY$3&lt;0,0,N(INDEX('CURVA PREVISION'!$A$1:$KZ$3000,$C74,11+3*MIN(AY$3,$D$2-1)))))</f>
        <v/>
      </c>
      <c r="AZ74" s="130">
        <f>IF(OR($C74="",$B$2="",$D$2=0),0,IF(AZ$3&lt;0,0,N(INDEX('CURVA PREVISION'!$A$1:$KZ$3000,$C74,11+3*MIN(AZ$3,$D$2-1)))))</f>
        <v/>
      </c>
      <c r="BA74" s="130">
        <f>IF(OR($C74="",$B$2="",$D$2=0),0,IF(BA$3&lt;0,0,N(INDEX('CURVA PREVISION'!$A$1:$KZ$3000,$C74,11+3*MIN(BA$3,$D$2-1)))))</f>
        <v/>
      </c>
      <c r="BB74" s="130">
        <f>IF(OR($C74="",$B$2="",$D$2=0),0,IF(BB$3&lt;0,0,N(INDEX('CURVA PREVISION'!$A$1:$KZ$3000,$C74,11+3*MIN(BB$3,$D$2-1)))))</f>
        <v/>
      </c>
      <c r="BC74" s="130">
        <f>IF(OR($C74="",$B$2="",$D$2=0),0,IF(BC$3&lt;0,0,N(INDEX('CURVA PREVISION'!$A$1:$KZ$3000,$C74,11+3*MIN(BC$3,$D$2-1)))))</f>
        <v/>
      </c>
      <c r="BD74" s="130">
        <f>IF(OR($C74="",$B$2="",$D$2=0),0,IF(BD$3&lt;0,0,N(INDEX('CURVA PREVISION'!$A$1:$KZ$3000,$C74,11+3*MIN(BD$3,$D$2-1)))))</f>
        <v/>
      </c>
      <c r="BE74" s="130">
        <f>IF(OR($C74="",$B$2="",$D$2=0),0,IF(BE$3&lt;0,0,N(INDEX('CURVA PREVISION'!$A$1:$KZ$3000,$C74,11+3*MIN(BE$3,$D$2-1)))))</f>
        <v/>
      </c>
      <c r="BF74" s="130">
        <f>IF(OR($C74="",$B$2="",$D$2=0),0,IF(BF$3&lt;0,0,N(INDEX('CURVA PREVISION'!$A$1:$KZ$3000,$C74,11+3*MIN(BF$3,$D$2-1)))))</f>
        <v/>
      </c>
      <c r="BG74" s="130">
        <f>IF(OR($C74="",$B$2="",$D$2=0),0,IF(BG$3&lt;0,0,N(INDEX('CURVA PREVISION'!$A$1:$KZ$3000,$C74,11+3*MIN(BG$3,$D$2-1)))))</f>
        <v/>
      </c>
      <c r="BH74" s="130">
        <f>IF(OR($C74="",$B$2="",$D$2=0),0,IF(BH$3&lt;0,0,N(INDEX('CURVA PREVISION'!$A$1:$KZ$3000,$C74,11+3*MIN(BH$3,$D$2-1)))))</f>
        <v/>
      </c>
      <c r="BI74" s="130">
        <f>IF(OR($C74="",$B$2="",$D$2=0),0,IF(BI$3&lt;0,0,N(INDEX('CURVA PREVISION'!$A$1:$KZ$3000,$C74,11+3*MIN(BI$3,$D$2-1)))))</f>
        <v/>
      </c>
      <c r="BJ74" s="130">
        <f>IF(OR($C74="",$B$2="",$D$2=0),0,IF(BJ$3&lt;0,0,N(INDEX('CURVA PREVISION'!$A$1:$KZ$3000,$C74,11+3*MIN(BJ$3,$D$2-1)))))</f>
        <v/>
      </c>
      <c r="BK74" s="130">
        <f>IF(OR($C74="",$B$2="",$D$2=0),0,IF(BK$3&lt;0,0,N(INDEX('CURVA PREVISION'!$A$1:$KZ$3000,$C74,11+3*MIN(BK$3,$D$2-1)))))</f>
        <v/>
      </c>
      <c r="BL74" s="130">
        <f>IF(OR($C74="",$B$2="",$D$2=0),0,IF(BL$3&lt;0,0,N(INDEX('CURVA PREVISION'!$A$1:$KZ$3000,$C74,11+3*MIN(BL$3,$D$2-1)))))</f>
        <v/>
      </c>
      <c r="BM74" s="130">
        <f>IF(OR($C74="",$B$2="",$D$2=0),0,IF(BM$3&lt;0,0,N(INDEX('CURVA PREVISION'!$A$1:$KZ$3000,$C74,11+3*MIN(BM$3,$D$2-1)))))</f>
        <v/>
      </c>
      <c r="BN74" s="130">
        <f>IF(OR($C74="",$B$2="",$D$2=0),0,IF(BN$3&lt;0,0,N(INDEX('CURVA PREVISION'!$A$1:$KZ$3000,$C74,11+3*MIN(BN$3,$D$2-1)))))</f>
        <v/>
      </c>
      <c r="BO74" s="130">
        <f>IF(OR($C74="",$B$2="",$D$2=0),0,IF(BO$3&lt;0,0,N(INDEX('CURVA PREVISION'!$A$1:$KZ$3000,$C74,11+3*MIN(BO$3,$D$2-1)))))</f>
        <v/>
      </c>
      <c r="BP74" s="130">
        <f>IF(OR($C74="",$B$2="",$D$2=0),0,IF(BP$3&lt;0,0,N(INDEX('CURVA PREVISION'!$A$1:$KZ$3000,$C74,11+3*MIN(BP$3,$D$2-1)))))</f>
        <v/>
      </c>
      <c r="BQ74" s="130">
        <f>IF(OR($C74="",$B$2="",$D$2=0),0,IF(BQ$3&lt;0,0,N(INDEX('CURVA PREVISION'!$A$1:$KZ$3000,$C74,11+3*MIN(BQ$3,$D$2-1)))))</f>
        <v/>
      </c>
      <c r="BR74" s="130">
        <f>IF(OR($C74="",$B$2="",$D$2=0),0,IF(BR$3&lt;0,0,N(INDEX('CURVA PREVISION'!$A$1:$KZ$3000,$C74,11+3*MIN(BR$3,$D$2-1)))))</f>
        <v/>
      </c>
      <c r="BS74" s="130">
        <f>IF(OR($C74="",$B$2="",$D$2=0),0,IF(BS$3&lt;0,0,N(INDEX('CURVA PREVISION'!$A$1:$KZ$3000,$C74,11+3*MIN(BS$3,$D$2-1)))))</f>
        <v/>
      </c>
      <c r="BT74" s="130">
        <f>IF(OR($C74="",$B$2="",$D$2=0),0,IF(BT$3&lt;0,0,N(INDEX('CURVA PREVISION'!$A$1:$KZ$3000,$C74,11+3*MIN(BT$3,$D$2-1)))))</f>
        <v/>
      </c>
      <c r="BU74" s="130">
        <f>IF(OR($C74="",$B$2="",$D$2=0),0,IF(BU$3&lt;0,0,N(INDEX('CURVA PREVISION'!$A$1:$KZ$3000,$C74,11+3*MIN(BU$3,$D$2-1)))))</f>
        <v/>
      </c>
      <c r="BV74" s="130">
        <f>IF(OR($C74="",$B$2="",$D$2=0),0,IF(BV$3&lt;0,0,N(INDEX('CURVA PREVISION'!$A$1:$KZ$3000,$C74,11+3*MIN(BV$3,$D$2-1)))))</f>
        <v/>
      </c>
      <c r="BW74" s="130">
        <f>IF(OR($C74="",$B$2="",$D$2=0),0,IF(BW$3&lt;0,0,N(INDEX('CURVA PREVISION'!$A$1:$KZ$3000,$C74,11+3*MIN(BW$3,$D$2-1)))))</f>
        <v/>
      </c>
    </row>
    <row r="75">
      <c r="A75" s="61">
        <f>IF('VALOR POR PL'!Q39="",'VALOR POR PL'!C39,'VALOR POR PL'!Q39)</f>
        <v/>
      </c>
      <c r="B75" s="51">
        <f>B33</f>
        <v/>
      </c>
      <c r="C75" s="70">
        <f>IFERROR(MATCH(A75,'CURVA PREVISION'!$B$1:$B$3000,0),"")</f>
        <v/>
      </c>
      <c r="D75" s="130">
        <f>IF(OR($C75="",$B$2="",$D$2=0),0,IF(D$3&lt;0,0,N(INDEX('CURVA PREVISION'!$A$1:$KZ$3000,$C75,11+3*MIN(D$3,$D$2-1)))))</f>
        <v/>
      </c>
      <c r="E75" s="130">
        <f>IF(OR($C75="",$B$2="",$D$2=0),0,IF(E$3&lt;0,0,N(INDEX('CURVA PREVISION'!$A$1:$KZ$3000,$C75,11+3*MIN(E$3,$D$2-1)))))</f>
        <v/>
      </c>
      <c r="F75" s="130">
        <f>IF(OR($C75="",$B$2="",$D$2=0),0,IF(F$3&lt;0,0,N(INDEX('CURVA PREVISION'!$A$1:$KZ$3000,$C75,11+3*MIN(F$3,$D$2-1)))))</f>
        <v/>
      </c>
      <c r="G75" s="130">
        <f>IF(OR($C75="",$B$2="",$D$2=0),0,IF(G$3&lt;0,0,N(INDEX('CURVA PREVISION'!$A$1:$KZ$3000,$C75,11+3*MIN(G$3,$D$2-1)))))</f>
        <v/>
      </c>
      <c r="H75" s="130">
        <f>IF(OR($C75="",$B$2="",$D$2=0),0,IF(H$3&lt;0,0,N(INDEX('CURVA PREVISION'!$A$1:$KZ$3000,$C75,11+3*MIN(H$3,$D$2-1)))))</f>
        <v/>
      </c>
      <c r="I75" s="130">
        <f>IF(OR($C75="",$B$2="",$D$2=0),0,IF(I$3&lt;0,0,N(INDEX('CURVA PREVISION'!$A$1:$KZ$3000,$C75,11+3*MIN(I$3,$D$2-1)))))</f>
        <v/>
      </c>
      <c r="J75" s="130">
        <f>IF(OR($C75="",$B$2="",$D$2=0),0,IF(J$3&lt;0,0,N(INDEX('CURVA PREVISION'!$A$1:$KZ$3000,$C75,11+3*MIN(J$3,$D$2-1)))))</f>
        <v/>
      </c>
      <c r="K75" s="130">
        <f>IF(OR($C75="",$B$2="",$D$2=0),0,IF(K$3&lt;0,0,N(INDEX('CURVA PREVISION'!$A$1:$KZ$3000,$C75,11+3*MIN(K$3,$D$2-1)))))</f>
        <v/>
      </c>
      <c r="L75" s="130">
        <f>IF(OR($C75="",$B$2="",$D$2=0),0,IF(L$3&lt;0,0,N(INDEX('CURVA PREVISION'!$A$1:$KZ$3000,$C75,11+3*MIN(L$3,$D$2-1)))))</f>
        <v/>
      </c>
      <c r="M75" s="130">
        <f>IF(OR($C75="",$B$2="",$D$2=0),0,IF(M$3&lt;0,0,N(INDEX('CURVA PREVISION'!$A$1:$KZ$3000,$C75,11+3*MIN(M$3,$D$2-1)))))</f>
        <v/>
      </c>
      <c r="N75" s="130">
        <f>IF(OR($C75="",$B$2="",$D$2=0),0,IF(N$3&lt;0,0,N(INDEX('CURVA PREVISION'!$A$1:$KZ$3000,$C75,11+3*MIN(N$3,$D$2-1)))))</f>
        <v/>
      </c>
      <c r="O75" s="130">
        <f>IF(OR($C75="",$B$2="",$D$2=0),0,IF(O$3&lt;0,0,N(INDEX('CURVA PREVISION'!$A$1:$KZ$3000,$C75,11+3*MIN(O$3,$D$2-1)))))</f>
        <v/>
      </c>
      <c r="P75" s="130">
        <f>IF(OR($C75="",$B$2="",$D$2=0),0,IF(P$3&lt;0,0,N(INDEX('CURVA PREVISION'!$A$1:$KZ$3000,$C75,11+3*MIN(P$3,$D$2-1)))))</f>
        <v/>
      </c>
      <c r="Q75" s="130">
        <f>IF(OR($C75="",$B$2="",$D$2=0),0,IF(Q$3&lt;0,0,N(INDEX('CURVA PREVISION'!$A$1:$KZ$3000,$C75,11+3*MIN(Q$3,$D$2-1)))))</f>
        <v/>
      </c>
      <c r="R75" s="130">
        <f>IF(OR($C75="",$B$2="",$D$2=0),0,IF(R$3&lt;0,0,N(INDEX('CURVA PREVISION'!$A$1:$KZ$3000,$C75,11+3*MIN(R$3,$D$2-1)))))</f>
        <v/>
      </c>
      <c r="S75" s="130">
        <f>IF(OR($C75="",$B$2="",$D$2=0),0,IF(S$3&lt;0,0,N(INDEX('CURVA PREVISION'!$A$1:$KZ$3000,$C75,11+3*MIN(S$3,$D$2-1)))))</f>
        <v/>
      </c>
      <c r="T75" s="130">
        <f>IF(OR($C75="",$B$2="",$D$2=0),0,IF(T$3&lt;0,0,N(INDEX('CURVA PREVISION'!$A$1:$KZ$3000,$C75,11+3*MIN(T$3,$D$2-1)))))</f>
        <v/>
      </c>
      <c r="U75" s="130">
        <f>IF(OR($C75="",$B$2="",$D$2=0),0,IF(U$3&lt;0,0,N(INDEX('CURVA PREVISION'!$A$1:$KZ$3000,$C75,11+3*MIN(U$3,$D$2-1)))))</f>
        <v/>
      </c>
      <c r="V75" s="130">
        <f>IF(OR($C75="",$B$2="",$D$2=0),0,IF(V$3&lt;0,0,N(INDEX('CURVA PREVISION'!$A$1:$KZ$3000,$C75,11+3*MIN(V$3,$D$2-1)))))</f>
        <v/>
      </c>
      <c r="W75" s="130">
        <f>IF(OR($C75="",$B$2="",$D$2=0),0,IF(W$3&lt;0,0,N(INDEX('CURVA PREVISION'!$A$1:$KZ$3000,$C75,11+3*MIN(W$3,$D$2-1)))))</f>
        <v/>
      </c>
      <c r="X75" s="130">
        <f>IF(OR($C75="",$B$2="",$D$2=0),0,IF(X$3&lt;0,0,N(INDEX('CURVA PREVISION'!$A$1:$KZ$3000,$C75,11+3*MIN(X$3,$D$2-1)))))</f>
        <v/>
      </c>
      <c r="Y75" s="130">
        <f>IF(OR($C75="",$B$2="",$D$2=0),0,IF(Y$3&lt;0,0,N(INDEX('CURVA PREVISION'!$A$1:$KZ$3000,$C75,11+3*MIN(Y$3,$D$2-1)))))</f>
        <v/>
      </c>
      <c r="Z75" s="130">
        <f>IF(OR($C75="",$B$2="",$D$2=0),0,IF(Z$3&lt;0,0,N(INDEX('CURVA PREVISION'!$A$1:$KZ$3000,$C75,11+3*MIN(Z$3,$D$2-1)))))</f>
        <v/>
      </c>
      <c r="AA75" s="130">
        <f>IF(OR($C75="",$B$2="",$D$2=0),0,IF(AA$3&lt;0,0,N(INDEX('CURVA PREVISION'!$A$1:$KZ$3000,$C75,11+3*MIN(AA$3,$D$2-1)))))</f>
        <v/>
      </c>
      <c r="AB75" s="130">
        <f>IF(OR($C75="",$B$2="",$D$2=0),0,IF(AB$3&lt;0,0,N(INDEX('CURVA PREVISION'!$A$1:$KZ$3000,$C75,11+3*MIN(AB$3,$D$2-1)))))</f>
        <v/>
      </c>
      <c r="AC75" s="130">
        <f>IF(OR($C75="",$B$2="",$D$2=0),0,IF(AC$3&lt;0,0,N(INDEX('CURVA PREVISION'!$A$1:$KZ$3000,$C75,11+3*MIN(AC$3,$D$2-1)))))</f>
        <v/>
      </c>
      <c r="AD75" s="130">
        <f>IF(OR($C75="",$B$2="",$D$2=0),0,IF(AD$3&lt;0,0,N(INDEX('CURVA PREVISION'!$A$1:$KZ$3000,$C75,11+3*MIN(AD$3,$D$2-1)))))</f>
        <v/>
      </c>
      <c r="AE75" s="130">
        <f>IF(OR($C75="",$B$2="",$D$2=0),0,IF(AE$3&lt;0,0,N(INDEX('CURVA PREVISION'!$A$1:$KZ$3000,$C75,11+3*MIN(AE$3,$D$2-1)))))</f>
        <v/>
      </c>
      <c r="AF75" s="130">
        <f>IF(OR($C75="",$B$2="",$D$2=0),0,IF(AF$3&lt;0,0,N(INDEX('CURVA PREVISION'!$A$1:$KZ$3000,$C75,11+3*MIN(AF$3,$D$2-1)))))</f>
        <v/>
      </c>
      <c r="AG75" s="130">
        <f>IF(OR($C75="",$B$2="",$D$2=0),0,IF(AG$3&lt;0,0,N(INDEX('CURVA PREVISION'!$A$1:$KZ$3000,$C75,11+3*MIN(AG$3,$D$2-1)))))</f>
        <v/>
      </c>
      <c r="AH75" s="130">
        <f>IF(OR($C75="",$B$2="",$D$2=0),0,IF(AH$3&lt;0,0,N(INDEX('CURVA PREVISION'!$A$1:$KZ$3000,$C75,11+3*MIN(AH$3,$D$2-1)))))</f>
        <v/>
      </c>
      <c r="AI75" s="130">
        <f>IF(OR($C75="",$B$2="",$D$2=0),0,IF(AI$3&lt;0,0,N(INDEX('CURVA PREVISION'!$A$1:$KZ$3000,$C75,11+3*MIN(AI$3,$D$2-1)))))</f>
        <v/>
      </c>
      <c r="AJ75" s="130">
        <f>IF(OR($C75="",$B$2="",$D$2=0),0,IF(AJ$3&lt;0,0,N(INDEX('CURVA PREVISION'!$A$1:$KZ$3000,$C75,11+3*MIN(AJ$3,$D$2-1)))))</f>
        <v/>
      </c>
      <c r="AK75" s="130">
        <f>IF(OR($C75="",$B$2="",$D$2=0),0,IF(AK$3&lt;0,0,N(INDEX('CURVA PREVISION'!$A$1:$KZ$3000,$C75,11+3*MIN(AK$3,$D$2-1)))))</f>
        <v/>
      </c>
      <c r="AL75" s="130">
        <f>IF(OR($C75="",$B$2="",$D$2=0),0,IF(AL$3&lt;0,0,N(INDEX('CURVA PREVISION'!$A$1:$KZ$3000,$C75,11+3*MIN(AL$3,$D$2-1)))))</f>
        <v/>
      </c>
      <c r="AM75" s="130">
        <f>IF(OR($C75="",$B$2="",$D$2=0),0,IF(AM$3&lt;0,0,N(INDEX('CURVA PREVISION'!$A$1:$KZ$3000,$C75,11+3*MIN(AM$3,$D$2-1)))))</f>
        <v/>
      </c>
      <c r="AN75" s="130">
        <f>IF(OR($C75="",$B$2="",$D$2=0),0,IF(AN$3&lt;0,0,N(INDEX('CURVA PREVISION'!$A$1:$KZ$3000,$C75,11+3*MIN(AN$3,$D$2-1)))))</f>
        <v/>
      </c>
      <c r="AO75" s="130">
        <f>IF(OR($C75="",$B$2="",$D$2=0),0,IF(AO$3&lt;0,0,N(INDEX('CURVA PREVISION'!$A$1:$KZ$3000,$C75,11+3*MIN(AO$3,$D$2-1)))))</f>
        <v/>
      </c>
      <c r="AP75" s="130">
        <f>IF(OR($C75="",$B$2="",$D$2=0),0,IF(AP$3&lt;0,0,N(INDEX('CURVA PREVISION'!$A$1:$KZ$3000,$C75,11+3*MIN(AP$3,$D$2-1)))))</f>
        <v/>
      </c>
      <c r="AQ75" s="130">
        <f>IF(OR($C75="",$B$2="",$D$2=0),0,IF(AQ$3&lt;0,0,N(INDEX('CURVA PREVISION'!$A$1:$KZ$3000,$C75,11+3*MIN(AQ$3,$D$2-1)))))</f>
        <v/>
      </c>
      <c r="AR75" s="130">
        <f>IF(OR($C75="",$B$2="",$D$2=0),0,IF(AR$3&lt;0,0,N(INDEX('CURVA PREVISION'!$A$1:$KZ$3000,$C75,11+3*MIN(AR$3,$D$2-1)))))</f>
        <v/>
      </c>
      <c r="AS75" s="130">
        <f>IF(OR($C75="",$B$2="",$D$2=0),0,IF(AS$3&lt;0,0,N(INDEX('CURVA PREVISION'!$A$1:$KZ$3000,$C75,11+3*MIN(AS$3,$D$2-1)))))</f>
        <v/>
      </c>
      <c r="AT75" s="130">
        <f>IF(OR($C75="",$B$2="",$D$2=0),0,IF(AT$3&lt;0,0,N(INDEX('CURVA PREVISION'!$A$1:$KZ$3000,$C75,11+3*MIN(AT$3,$D$2-1)))))</f>
        <v/>
      </c>
      <c r="AU75" s="130">
        <f>IF(OR($C75="",$B$2="",$D$2=0),0,IF(AU$3&lt;0,0,N(INDEX('CURVA PREVISION'!$A$1:$KZ$3000,$C75,11+3*MIN(AU$3,$D$2-1)))))</f>
        <v/>
      </c>
      <c r="AV75" s="130">
        <f>IF(OR($C75="",$B$2="",$D$2=0),0,IF(AV$3&lt;0,0,N(INDEX('CURVA PREVISION'!$A$1:$KZ$3000,$C75,11+3*MIN(AV$3,$D$2-1)))))</f>
        <v/>
      </c>
      <c r="AW75" s="130">
        <f>IF(OR($C75="",$B$2="",$D$2=0),0,IF(AW$3&lt;0,0,N(INDEX('CURVA PREVISION'!$A$1:$KZ$3000,$C75,11+3*MIN(AW$3,$D$2-1)))))</f>
        <v/>
      </c>
      <c r="AX75" s="130">
        <f>IF(OR($C75="",$B$2="",$D$2=0),0,IF(AX$3&lt;0,0,N(INDEX('CURVA PREVISION'!$A$1:$KZ$3000,$C75,11+3*MIN(AX$3,$D$2-1)))))</f>
        <v/>
      </c>
      <c r="AY75" s="130">
        <f>IF(OR($C75="",$B$2="",$D$2=0),0,IF(AY$3&lt;0,0,N(INDEX('CURVA PREVISION'!$A$1:$KZ$3000,$C75,11+3*MIN(AY$3,$D$2-1)))))</f>
        <v/>
      </c>
      <c r="AZ75" s="130">
        <f>IF(OR($C75="",$B$2="",$D$2=0),0,IF(AZ$3&lt;0,0,N(INDEX('CURVA PREVISION'!$A$1:$KZ$3000,$C75,11+3*MIN(AZ$3,$D$2-1)))))</f>
        <v/>
      </c>
      <c r="BA75" s="130">
        <f>IF(OR($C75="",$B$2="",$D$2=0),0,IF(BA$3&lt;0,0,N(INDEX('CURVA PREVISION'!$A$1:$KZ$3000,$C75,11+3*MIN(BA$3,$D$2-1)))))</f>
        <v/>
      </c>
      <c r="BB75" s="130">
        <f>IF(OR($C75="",$B$2="",$D$2=0),0,IF(BB$3&lt;0,0,N(INDEX('CURVA PREVISION'!$A$1:$KZ$3000,$C75,11+3*MIN(BB$3,$D$2-1)))))</f>
        <v/>
      </c>
      <c r="BC75" s="130">
        <f>IF(OR($C75="",$B$2="",$D$2=0),0,IF(BC$3&lt;0,0,N(INDEX('CURVA PREVISION'!$A$1:$KZ$3000,$C75,11+3*MIN(BC$3,$D$2-1)))))</f>
        <v/>
      </c>
      <c r="BD75" s="130">
        <f>IF(OR($C75="",$B$2="",$D$2=0),0,IF(BD$3&lt;0,0,N(INDEX('CURVA PREVISION'!$A$1:$KZ$3000,$C75,11+3*MIN(BD$3,$D$2-1)))))</f>
        <v/>
      </c>
      <c r="BE75" s="130">
        <f>IF(OR($C75="",$B$2="",$D$2=0),0,IF(BE$3&lt;0,0,N(INDEX('CURVA PREVISION'!$A$1:$KZ$3000,$C75,11+3*MIN(BE$3,$D$2-1)))))</f>
        <v/>
      </c>
      <c r="BF75" s="130">
        <f>IF(OR($C75="",$B$2="",$D$2=0),0,IF(BF$3&lt;0,0,N(INDEX('CURVA PREVISION'!$A$1:$KZ$3000,$C75,11+3*MIN(BF$3,$D$2-1)))))</f>
        <v/>
      </c>
      <c r="BG75" s="130">
        <f>IF(OR($C75="",$B$2="",$D$2=0),0,IF(BG$3&lt;0,0,N(INDEX('CURVA PREVISION'!$A$1:$KZ$3000,$C75,11+3*MIN(BG$3,$D$2-1)))))</f>
        <v/>
      </c>
      <c r="BH75" s="130">
        <f>IF(OR($C75="",$B$2="",$D$2=0),0,IF(BH$3&lt;0,0,N(INDEX('CURVA PREVISION'!$A$1:$KZ$3000,$C75,11+3*MIN(BH$3,$D$2-1)))))</f>
        <v/>
      </c>
      <c r="BI75" s="130">
        <f>IF(OR($C75="",$B$2="",$D$2=0),0,IF(BI$3&lt;0,0,N(INDEX('CURVA PREVISION'!$A$1:$KZ$3000,$C75,11+3*MIN(BI$3,$D$2-1)))))</f>
        <v/>
      </c>
      <c r="BJ75" s="130">
        <f>IF(OR($C75="",$B$2="",$D$2=0),0,IF(BJ$3&lt;0,0,N(INDEX('CURVA PREVISION'!$A$1:$KZ$3000,$C75,11+3*MIN(BJ$3,$D$2-1)))))</f>
        <v/>
      </c>
      <c r="BK75" s="130">
        <f>IF(OR($C75="",$B$2="",$D$2=0),0,IF(BK$3&lt;0,0,N(INDEX('CURVA PREVISION'!$A$1:$KZ$3000,$C75,11+3*MIN(BK$3,$D$2-1)))))</f>
        <v/>
      </c>
      <c r="BL75" s="130">
        <f>IF(OR($C75="",$B$2="",$D$2=0),0,IF(BL$3&lt;0,0,N(INDEX('CURVA PREVISION'!$A$1:$KZ$3000,$C75,11+3*MIN(BL$3,$D$2-1)))))</f>
        <v/>
      </c>
      <c r="BM75" s="130">
        <f>IF(OR($C75="",$B$2="",$D$2=0),0,IF(BM$3&lt;0,0,N(INDEX('CURVA PREVISION'!$A$1:$KZ$3000,$C75,11+3*MIN(BM$3,$D$2-1)))))</f>
        <v/>
      </c>
      <c r="BN75" s="130">
        <f>IF(OR($C75="",$B$2="",$D$2=0),0,IF(BN$3&lt;0,0,N(INDEX('CURVA PREVISION'!$A$1:$KZ$3000,$C75,11+3*MIN(BN$3,$D$2-1)))))</f>
        <v/>
      </c>
      <c r="BO75" s="130">
        <f>IF(OR($C75="",$B$2="",$D$2=0),0,IF(BO$3&lt;0,0,N(INDEX('CURVA PREVISION'!$A$1:$KZ$3000,$C75,11+3*MIN(BO$3,$D$2-1)))))</f>
        <v/>
      </c>
      <c r="BP75" s="130">
        <f>IF(OR($C75="",$B$2="",$D$2=0),0,IF(BP$3&lt;0,0,N(INDEX('CURVA PREVISION'!$A$1:$KZ$3000,$C75,11+3*MIN(BP$3,$D$2-1)))))</f>
        <v/>
      </c>
      <c r="BQ75" s="130">
        <f>IF(OR($C75="",$B$2="",$D$2=0),0,IF(BQ$3&lt;0,0,N(INDEX('CURVA PREVISION'!$A$1:$KZ$3000,$C75,11+3*MIN(BQ$3,$D$2-1)))))</f>
        <v/>
      </c>
      <c r="BR75" s="130">
        <f>IF(OR($C75="",$B$2="",$D$2=0),0,IF(BR$3&lt;0,0,N(INDEX('CURVA PREVISION'!$A$1:$KZ$3000,$C75,11+3*MIN(BR$3,$D$2-1)))))</f>
        <v/>
      </c>
      <c r="BS75" s="130">
        <f>IF(OR($C75="",$B$2="",$D$2=0),0,IF(BS$3&lt;0,0,N(INDEX('CURVA PREVISION'!$A$1:$KZ$3000,$C75,11+3*MIN(BS$3,$D$2-1)))))</f>
        <v/>
      </c>
      <c r="BT75" s="130">
        <f>IF(OR($C75="",$B$2="",$D$2=0),0,IF(BT$3&lt;0,0,N(INDEX('CURVA PREVISION'!$A$1:$KZ$3000,$C75,11+3*MIN(BT$3,$D$2-1)))))</f>
        <v/>
      </c>
      <c r="BU75" s="130">
        <f>IF(OR($C75="",$B$2="",$D$2=0),0,IF(BU$3&lt;0,0,N(INDEX('CURVA PREVISION'!$A$1:$KZ$3000,$C75,11+3*MIN(BU$3,$D$2-1)))))</f>
        <v/>
      </c>
      <c r="BV75" s="130">
        <f>IF(OR($C75="",$B$2="",$D$2=0),0,IF(BV$3&lt;0,0,N(INDEX('CURVA PREVISION'!$A$1:$KZ$3000,$C75,11+3*MIN(BV$3,$D$2-1)))))</f>
        <v/>
      </c>
      <c r="BW75" s="130">
        <f>IF(OR($C75="",$B$2="",$D$2=0),0,IF(BW$3&lt;0,0,N(INDEX('CURVA PREVISION'!$A$1:$KZ$3000,$C75,11+3*MIN(BW$3,$D$2-1)))))</f>
        <v/>
      </c>
    </row>
    <row r="76">
      <c r="A76" s="61">
        <f>IF('VALOR POR PL'!Q40="",'VALOR POR PL'!C40,'VALOR POR PL'!Q40)</f>
        <v/>
      </c>
      <c r="B76" s="51">
        <f>B34</f>
        <v/>
      </c>
      <c r="C76" s="70">
        <f>IFERROR(MATCH(A76,'CURVA PREVISION'!$B$1:$B$3000,0),"")</f>
        <v/>
      </c>
      <c r="D76" s="130">
        <f>IF(OR($C76="",$B$2="",$D$2=0),0,IF(D$3&lt;0,0,N(INDEX('CURVA PREVISION'!$A$1:$KZ$3000,$C76,11+3*MIN(D$3,$D$2-1)))))</f>
        <v/>
      </c>
      <c r="E76" s="130">
        <f>IF(OR($C76="",$B$2="",$D$2=0),0,IF(E$3&lt;0,0,N(INDEX('CURVA PREVISION'!$A$1:$KZ$3000,$C76,11+3*MIN(E$3,$D$2-1)))))</f>
        <v/>
      </c>
      <c r="F76" s="130">
        <f>IF(OR($C76="",$B$2="",$D$2=0),0,IF(F$3&lt;0,0,N(INDEX('CURVA PREVISION'!$A$1:$KZ$3000,$C76,11+3*MIN(F$3,$D$2-1)))))</f>
        <v/>
      </c>
      <c r="G76" s="130">
        <f>IF(OR($C76="",$B$2="",$D$2=0),0,IF(G$3&lt;0,0,N(INDEX('CURVA PREVISION'!$A$1:$KZ$3000,$C76,11+3*MIN(G$3,$D$2-1)))))</f>
        <v/>
      </c>
      <c r="H76" s="130">
        <f>IF(OR($C76="",$B$2="",$D$2=0),0,IF(H$3&lt;0,0,N(INDEX('CURVA PREVISION'!$A$1:$KZ$3000,$C76,11+3*MIN(H$3,$D$2-1)))))</f>
        <v/>
      </c>
      <c r="I76" s="130">
        <f>IF(OR($C76="",$B$2="",$D$2=0),0,IF(I$3&lt;0,0,N(INDEX('CURVA PREVISION'!$A$1:$KZ$3000,$C76,11+3*MIN(I$3,$D$2-1)))))</f>
        <v/>
      </c>
      <c r="J76" s="130">
        <f>IF(OR($C76="",$B$2="",$D$2=0),0,IF(J$3&lt;0,0,N(INDEX('CURVA PREVISION'!$A$1:$KZ$3000,$C76,11+3*MIN(J$3,$D$2-1)))))</f>
        <v/>
      </c>
      <c r="K76" s="130">
        <f>IF(OR($C76="",$B$2="",$D$2=0),0,IF(K$3&lt;0,0,N(INDEX('CURVA PREVISION'!$A$1:$KZ$3000,$C76,11+3*MIN(K$3,$D$2-1)))))</f>
        <v/>
      </c>
      <c r="L76" s="130">
        <f>IF(OR($C76="",$B$2="",$D$2=0),0,IF(L$3&lt;0,0,N(INDEX('CURVA PREVISION'!$A$1:$KZ$3000,$C76,11+3*MIN(L$3,$D$2-1)))))</f>
        <v/>
      </c>
      <c r="M76" s="130">
        <f>IF(OR($C76="",$B$2="",$D$2=0),0,IF(M$3&lt;0,0,N(INDEX('CURVA PREVISION'!$A$1:$KZ$3000,$C76,11+3*MIN(M$3,$D$2-1)))))</f>
        <v/>
      </c>
      <c r="N76" s="130">
        <f>IF(OR($C76="",$B$2="",$D$2=0),0,IF(N$3&lt;0,0,N(INDEX('CURVA PREVISION'!$A$1:$KZ$3000,$C76,11+3*MIN(N$3,$D$2-1)))))</f>
        <v/>
      </c>
      <c r="O76" s="130">
        <f>IF(OR($C76="",$B$2="",$D$2=0),0,IF(O$3&lt;0,0,N(INDEX('CURVA PREVISION'!$A$1:$KZ$3000,$C76,11+3*MIN(O$3,$D$2-1)))))</f>
        <v/>
      </c>
      <c r="P76" s="130">
        <f>IF(OR($C76="",$B$2="",$D$2=0),0,IF(P$3&lt;0,0,N(INDEX('CURVA PREVISION'!$A$1:$KZ$3000,$C76,11+3*MIN(P$3,$D$2-1)))))</f>
        <v/>
      </c>
      <c r="Q76" s="130">
        <f>IF(OR($C76="",$B$2="",$D$2=0),0,IF(Q$3&lt;0,0,N(INDEX('CURVA PREVISION'!$A$1:$KZ$3000,$C76,11+3*MIN(Q$3,$D$2-1)))))</f>
        <v/>
      </c>
      <c r="R76" s="130">
        <f>IF(OR($C76="",$B$2="",$D$2=0),0,IF(R$3&lt;0,0,N(INDEX('CURVA PREVISION'!$A$1:$KZ$3000,$C76,11+3*MIN(R$3,$D$2-1)))))</f>
        <v/>
      </c>
      <c r="S76" s="130">
        <f>IF(OR($C76="",$B$2="",$D$2=0),0,IF(S$3&lt;0,0,N(INDEX('CURVA PREVISION'!$A$1:$KZ$3000,$C76,11+3*MIN(S$3,$D$2-1)))))</f>
        <v/>
      </c>
      <c r="T76" s="130">
        <f>IF(OR($C76="",$B$2="",$D$2=0),0,IF(T$3&lt;0,0,N(INDEX('CURVA PREVISION'!$A$1:$KZ$3000,$C76,11+3*MIN(T$3,$D$2-1)))))</f>
        <v/>
      </c>
      <c r="U76" s="130">
        <f>IF(OR($C76="",$B$2="",$D$2=0),0,IF(U$3&lt;0,0,N(INDEX('CURVA PREVISION'!$A$1:$KZ$3000,$C76,11+3*MIN(U$3,$D$2-1)))))</f>
        <v/>
      </c>
      <c r="V76" s="130">
        <f>IF(OR($C76="",$B$2="",$D$2=0),0,IF(V$3&lt;0,0,N(INDEX('CURVA PREVISION'!$A$1:$KZ$3000,$C76,11+3*MIN(V$3,$D$2-1)))))</f>
        <v/>
      </c>
      <c r="W76" s="130">
        <f>IF(OR($C76="",$B$2="",$D$2=0),0,IF(W$3&lt;0,0,N(INDEX('CURVA PREVISION'!$A$1:$KZ$3000,$C76,11+3*MIN(W$3,$D$2-1)))))</f>
        <v/>
      </c>
      <c r="X76" s="130">
        <f>IF(OR($C76="",$B$2="",$D$2=0),0,IF(X$3&lt;0,0,N(INDEX('CURVA PREVISION'!$A$1:$KZ$3000,$C76,11+3*MIN(X$3,$D$2-1)))))</f>
        <v/>
      </c>
      <c r="Y76" s="130">
        <f>IF(OR($C76="",$B$2="",$D$2=0),0,IF(Y$3&lt;0,0,N(INDEX('CURVA PREVISION'!$A$1:$KZ$3000,$C76,11+3*MIN(Y$3,$D$2-1)))))</f>
        <v/>
      </c>
      <c r="Z76" s="130">
        <f>IF(OR($C76="",$B$2="",$D$2=0),0,IF(Z$3&lt;0,0,N(INDEX('CURVA PREVISION'!$A$1:$KZ$3000,$C76,11+3*MIN(Z$3,$D$2-1)))))</f>
        <v/>
      </c>
      <c r="AA76" s="130">
        <f>IF(OR($C76="",$B$2="",$D$2=0),0,IF(AA$3&lt;0,0,N(INDEX('CURVA PREVISION'!$A$1:$KZ$3000,$C76,11+3*MIN(AA$3,$D$2-1)))))</f>
        <v/>
      </c>
      <c r="AB76" s="130">
        <f>IF(OR($C76="",$B$2="",$D$2=0),0,IF(AB$3&lt;0,0,N(INDEX('CURVA PREVISION'!$A$1:$KZ$3000,$C76,11+3*MIN(AB$3,$D$2-1)))))</f>
        <v/>
      </c>
      <c r="AC76" s="130">
        <f>IF(OR($C76="",$B$2="",$D$2=0),0,IF(AC$3&lt;0,0,N(INDEX('CURVA PREVISION'!$A$1:$KZ$3000,$C76,11+3*MIN(AC$3,$D$2-1)))))</f>
        <v/>
      </c>
      <c r="AD76" s="130">
        <f>IF(OR($C76="",$B$2="",$D$2=0),0,IF(AD$3&lt;0,0,N(INDEX('CURVA PREVISION'!$A$1:$KZ$3000,$C76,11+3*MIN(AD$3,$D$2-1)))))</f>
        <v/>
      </c>
      <c r="AE76" s="130">
        <f>IF(OR($C76="",$B$2="",$D$2=0),0,IF(AE$3&lt;0,0,N(INDEX('CURVA PREVISION'!$A$1:$KZ$3000,$C76,11+3*MIN(AE$3,$D$2-1)))))</f>
        <v/>
      </c>
      <c r="AF76" s="130">
        <f>IF(OR($C76="",$B$2="",$D$2=0),0,IF(AF$3&lt;0,0,N(INDEX('CURVA PREVISION'!$A$1:$KZ$3000,$C76,11+3*MIN(AF$3,$D$2-1)))))</f>
        <v/>
      </c>
      <c r="AG76" s="130">
        <f>IF(OR($C76="",$B$2="",$D$2=0),0,IF(AG$3&lt;0,0,N(INDEX('CURVA PREVISION'!$A$1:$KZ$3000,$C76,11+3*MIN(AG$3,$D$2-1)))))</f>
        <v/>
      </c>
      <c r="AH76" s="130">
        <f>IF(OR($C76="",$B$2="",$D$2=0),0,IF(AH$3&lt;0,0,N(INDEX('CURVA PREVISION'!$A$1:$KZ$3000,$C76,11+3*MIN(AH$3,$D$2-1)))))</f>
        <v/>
      </c>
      <c r="AI76" s="130">
        <f>IF(OR($C76="",$B$2="",$D$2=0),0,IF(AI$3&lt;0,0,N(INDEX('CURVA PREVISION'!$A$1:$KZ$3000,$C76,11+3*MIN(AI$3,$D$2-1)))))</f>
        <v/>
      </c>
      <c r="AJ76" s="130">
        <f>IF(OR($C76="",$B$2="",$D$2=0),0,IF(AJ$3&lt;0,0,N(INDEX('CURVA PREVISION'!$A$1:$KZ$3000,$C76,11+3*MIN(AJ$3,$D$2-1)))))</f>
        <v/>
      </c>
      <c r="AK76" s="130">
        <f>IF(OR($C76="",$B$2="",$D$2=0),0,IF(AK$3&lt;0,0,N(INDEX('CURVA PREVISION'!$A$1:$KZ$3000,$C76,11+3*MIN(AK$3,$D$2-1)))))</f>
        <v/>
      </c>
      <c r="AL76" s="130">
        <f>IF(OR($C76="",$B$2="",$D$2=0),0,IF(AL$3&lt;0,0,N(INDEX('CURVA PREVISION'!$A$1:$KZ$3000,$C76,11+3*MIN(AL$3,$D$2-1)))))</f>
        <v/>
      </c>
      <c r="AM76" s="130">
        <f>IF(OR($C76="",$B$2="",$D$2=0),0,IF(AM$3&lt;0,0,N(INDEX('CURVA PREVISION'!$A$1:$KZ$3000,$C76,11+3*MIN(AM$3,$D$2-1)))))</f>
        <v/>
      </c>
      <c r="AN76" s="130">
        <f>IF(OR($C76="",$B$2="",$D$2=0),0,IF(AN$3&lt;0,0,N(INDEX('CURVA PREVISION'!$A$1:$KZ$3000,$C76,11+3*MIN(AN$3,$D$2-1)))))</f>
        <v/>
      </c>
      <c r="AO76" s="130">
        <f>IF(OR($C76="",$B$2="",$D$2=0),0,IF(AO$3&lt;0,0,N(INDEX('CURVA PREVISION'!$A$1:$KZ$3000,$C76,11+3*MIN(AO$3,$D$2-1)))))</f>
        <v/>
      </c>
      <c r="AP76" s="130">
        <f>IF(OR($C76="",$B$2="",$D$2=0),0,IF(AP$3&lt;0,0,N(INDEX('CURVA PREVISION'!$A$1:$KZ$3000,$C76,11+3*MIN(AP$3,$D$2-1)))))</f>
        <v/>
      </c>
      <c r="AQ76" s="130">
        <f>IF(OR($C76="",$B$2="",$D$2=0),0,IF(AQ$3&lt;0,0,N(INDEX('CURVA PREVISION'!$A$1:$KZ$3000,$C76,11+3*MIN(AQ$3,$D$2-1)))))</f>
        <v/>
      </c>
      <c r="AR76" s="130">
        <f>IF(OR($C76="",$B$2="",$D$2=0),0,IF(AR$3&lt;0,0,N(INDEX('CURVA PREVISION'!$A$1:$KZ$3000,$C76,11+3*MIN(AR$3,$D$2-1)))))</f>
        <v/>
      </c>
      <c r="AS76" s="130">
        <f>IF(OR($C76="",$B$2="",$D$2=0),0,IF(AS$3&lt;0,0,N(INDEX('CURVA PREVISION'!$A$1:$KZ$3000,$C76,11+3*MIN(AS$3,$D$2-1)))))</f>
        <v/>
      </c>
      <c r="AT76" s="130">
        <f>IF(OR($C76="",$B$2="",$D$2=0),0,IF(AT$3&lt;0,0,N(INDEX('CURVA PREVISION'!$A$1:$KZ$3000,$C76,11+3*MIN(AT$3,$D$2-1)))))</f>
        <v/>
      </c>
      <c r="AU76" s="130">
        <f>IF(OR($C76="",$B$2="",$D$2=0),0,IF(AU$3&lt;0,0,N(INDEX('CURVA PREVISION'!$A$1:$KZ$3000,$C76,11+3*MIN(AU$3,$D$2-1)))))</f>
        <v/>
      </c>
      <c r="AV76" s="130">
        <f>IF(OR($C76="",$B$2="",$D$2=0),0,IF(AV$3&lt;0,0,N(INDEX('CURVA PREVISION'!$A$1:$KZ$3000,$C76,11+3*MIN(AV$3,$D$2-1)))))</f>
        <v/>
      </c>
      <c r="AW76" s="130">
        <f>IF(OR($C76="",$B$2="",$D$2=0),0,IF(AW$3&lt;0,0,N(INDEX('CURVA PREVISION'!$A$1:$KZ$3000,$C76,11+3*MIN(AW$3,$D$2-1)))))</f>
        <v/>
      </c>
      <c r="AX76" s="130">
        <f>IF(OR($C76="",$B$2="",$D$2=0),0,IF(AX$3&lt;0,0,N(INDEX('CURVA PREVISION'!$A$1:$KZ$3000,$C76,11+3*MIN(AX$3,$D$2-1)))))</f>
        <v/>
      </c>
      <c r="AY76" s="130">
        <f>IF(OR($C76="",$B$2="",$D$2=0),0,IF(AY$3&lt;0,0,N(INDEX('CURVA PREVISION'!$A$1:$KZ$3000,$C76,11+3*MIN(AY$3,$D$2-1)))))</f>
        <v/>
      </c>
      <c r="AZ76" s="130">
        <f>IF(OR($C76="",$B$2="",$D$2=0),0,IF(AZ$3&lt;0,0,N(INDEX('CURVA PREVISION'!$A$1:$KZ$3000,$C76,11+3*MIN(AZ$3,$D$2-1)))))</f>
        <v/>
      </c>
      <c r="BA76" s="130">
        <f>IF(OR($C76="",$B$2="",$D$2=0),0,IF(BA$3&lt;0,0,N(INDEX('CURVA PREVISION'!$A$1:$KZ$3000,$C76,11+3*MIN(BA$3,$D$2-1)))))</f>
        <v/>
      </c>
      <c r="BB76" s="130">
        <f>IF(OR($C76="",$B$2="",$D$2=0),0,IF(BB$3&lt;0,0,N(INDEX('CURVA PREVISION'!$A$1:$KZ$3000,$C76,11+3*MIN(BB$3,$D$2-1)))))</f>
        <v/>
      </c>
      <c r="BC76" s="130">
        <f>IF(OR($C76="",$B$2="",$D$2=0),0,IF(BC$3&lt;0,0,N(INDEX('CURVA PREVISION'!$A$1:$KZ$3000,$C76,11+3*MIN(BC$3,$D$2-1)))))</f>
        <v/>
      </c>
      <c r="BD76" s="130">
        <f>IF(OR($C76="",$B$2="",$D$2=0),0,IF(BD$3&lt;0,0,N(INDEX('CURVA PREVISION'!$A$1:$KZ$3000,$C76,11+3*MIN(BD$3,$D$2-1)))))</f>
        <v/>
      </c>
      <c r="BE76" s="130">
        <f>IF(OR($C76="",$B$2="",$D$2=0),0,IF(BE$3&lt;0,0,N(INDEX('CURVA PREVISION'!$A$1:$KZ$3000,$C76,11+3*MIN(BE$3,$D$2-1)))))</f>
        <v/>
      </c>
      <c r="BF76" s="130">
        <f>IF(OR($C76="",$B$2="",$D$2=0),0,IF(BF$3&lt;0,0,N(INDEX('CURVA PREVISION'!$A$1:$KZ$3000,$C76,11+3*MIN(BF$3,$D$2-1)))))</f>
        <v/>
      </c>
      <c r="BG76" s="130">
        <f>IF(OR($C76="",$B$2="",$D$2=0),0,IF(BG$3&lt;0,0,N(INDEX('CURVA PREVISION'!$A$1:$KZ$3000,$C76,11+3*MIN(BG$3,$D$2-1)))))</f>
        <v/>
      </c>
      <c r="BH76" s="130">
        <f>IF(OR($C76="",$B$2="",$D$2=0),0,IF(BH$3&lt;0,0,N(INDEX('CURVA PREVISION'!$A$1:$KZ$3000,$C76,11+3*MIN(BH$3,$D$2-1)))))</f>
        <v/>
      </c>
      <c r="BI76" s="130">
        <f>IF(OR($C76="",$B$2="",$D$2=0),0,IF(BI$3&lt;0,0,N(INDEX('CURVA PREVISION'!$A$1:$KZ$3000,$C76,11+3*MIN(BI$3,$D$2-1)))))</f>
        <v/>
      </c>
      <c r="BJ76" s="130">
        <f>IF(OR($C76="",$B$2="",$D$2=0),0,IF(BJ$3&lt;0,0,N(INDEX('CURVA PREVISION'!$A$1:$KZ$3000,$C76,11+3*MIN(BJ$3,$D$2-1)))))</f>
        <v/>
      </c>
      <c r="BK76" s="130">
        <f>IF(OR($C76="",$B$2="",$D$2=0),0,IF(BK$3&lt;0,0,N(INDEX('CURVA PREVISION'!$A$1:$KZ$3000,$C76,11+3*MIN(BK$3,$D$2-1)))))</f>
        <v/>
      </c>
      <c r="BL76" s="130">
        <f>IF(OR($C76="",$B$2="",$D$2=0),0,IF(BL$3&lt;0,0,N(INDEX('CURVA PREVISION'!$A$1:$KZ$3000,$C76,11+3*MIN(BL$3,$D$2-1)))))</f>
        <v/>
      </c>
      <c r="BM76" s="130">
        <f>IF(OR($C76="",$B$2="",$D$2=0),0,IF(BM$3&lt;0,0,N(INDEX('CURVA PREVISION'!$A$1:$KZ$3000,$C76,11+3*MIN(BM$3,$D$2-1)))))</f>
        <v/>
      </c>
      <c r="BN76" s="130">
        <f>IF(OR($C76="",$B$2="",$D$2=0),0,IF(BN$3&lt;0,0,N(INDEX('CURVA PREVISION'!$A$1:$KZ$3000,$C76,11+3*MIN(BN$3,$D$2-1)))))</f>
        <v/>
      </c>
      <c r="BO76" s="130">
        <f>IF(OR($C76="",$B$2="",$D$2=0),0,IF(BO$3&lt;0,0,N(INDEX('CURVA PREVISION'!$A$1:$KZ$3000,$C76,11+3*MIN(BO$3,$D$2-1)))))</f>
        <v/>
      </c>
      <c r="BP76" s="130">
        <f>IF(OR($C76="",$B$2="",$D$2=0),0,IF(BP$3&lt;0,0,N(INDEX('CURVA PREVISION'!$A$1:$KZ$3000,$C76,11+3*MIN(BP$3,$D$2-1)))))</f>
        <v/>
      </c>
      <c r="BQ76" s="130">
        <f>IF(OR($C76="",$B$2="",$D$2=0),0,IF(BQ$3&lt;0,0,N(INDEX('CURVA PREVISION'!$A$1:$KZ$3000,$C76,11+3*MIN(BQ$3,$D$2-1)))))</f>
        <v/>
      </c>
      <c r="BR76" s="130">
        <f>IF(OR($C76="",$B$2="",$D$2=0),0,IF(BR$3&lt;0,0,N(INDEX('CURVA PREVISION'!$A$1:$KZ$3000,$C76,11+3*MIN(BR$3,$D$2-1)))))</f>
        <v/>
      </c>
      <c r="BS76" s="130">
        <f>IF(OR($C76="",$B$2="",$D$2=0),0,IF(BS$3&lt;0,0,N(INDEX('CURVA PREVISION'!$A$1:$KZ$3000,$C76,11+3*MIN(BS$3,$D$2-1)))))</f>
        <v/>
      </c>
      <c r="BT76" s="130">
        <f>IF(OR($C76="",$B$2="",$D$2=0),0,IF(BT$3&lt;0,0,N(INDEX('CURVA PREVISION'!$A$1:$KZ$3000,$C76,11+3*MIN(BT$3,$D$2-1)))))</f>
        <v/>
      </c>
      <c r="BU76" s="130">
        <f>IF(OR($C76="",$B$2="",$D$2=0),0,IF(BU$3&lt;0,0,N(INDEX('CURVA PREVISION'!$A$1:$KZ$3000,$C76,11+3*MIN(BU$3,$D$2-1)))))</f>
        <v/>
      </c>
      <c r="BV76" s="130">
        <f>IF(OR($C76="",$B$2="",$D$2=0),0,IF(BV$3&lt;0,0,N(INDEX('CURVA PREVISION'!$A$1:$KZ$3000,$C76,11+3*MIN(BV$3,$D$2-1)))))</f>
        <v/>
      </c>
      <c r="BW76" s="130">
        <f>IF(OR($C76="",$B$2="",$D$2=0),0,IF(BW$3&lt;0,0,N(INDEX('CURVA PREVISION'!$A$1:$KZ$3000,$C76,11+3*MIN(BW$3,$D$2-1)))))</f>
        <v/>
      </c>
    </row>
    <row r="77">
      <c r="A77" s="61">
        <f>IF('VALOR POR PL'!Q41="",'VALOR POR PL'!C41,'VALOR POR PL'!Q41)</f>
        <v/>
      </c>
      <c r="B77" s="51">
        <f>B35</f>
        <v/>
      </c>
      <c r="C77" s="70">
        <f>IFERROR(MATCH(A77,'CURVA PREVISION'!$B$1:$B$3000,0),"")</f>
        <v/>
      </c>
      <c r="D77" s="130">
        <f>IF(OR($C77="",$B$2="",$D$2=0),0,IF(D$3&lt;0,0,N(INDEX('CURVA PREVISION'!$A$1:$KZ$3000,$C77,11+3*MIN(D$3,$D$2-1)))))</f>
        <v/>
      </c>
      <c r="E77" s="130">
        <f>IF(OR($C77="",$B$2="",$D$2=0),0,IF(E$3&lt;0,0,N(INDEX('CURVA PREVISION'!$A$1:$KZ$3000,$C77,11+3*MIN(E$3,$D$2-1)))))</f>
        <v/>
      </c>
      <c r="F77" s="130">
        <f>IF(OR($C77="",$B$2="",$D$2=0),0,IF(F$3&lt;0,0,N(INDEX('CURVA PREVISION'!$A$1:$KZ$3000,$C77,11+3*MIN(F$3,$D$2-1)))))</f>
        <v/>
      </c>
      <c r="G77" s="130">
        <f>IF(OR($C77="",$B$2="",$D$2=0),0,IF(G$3&lt;0,0,N(INDEX('CURVA PREVISION'!$A$1:$KZ$3000,$C77,11+3*MIN(G$3,$D$2-1)))))</f>
        <v/>
      </c>
      <c r="H77" s="130">
        <f>IF(OR($C77="",$B$2="",$D$2=0),0,IF(H$3&lt;0,0,N(INDEX('CURVA PREVISION'!$A$1:$KZ$3000,$C77,11+3*MIN(H$3,$D$2-1)))))</f>
        <v/>
      </c>
      <c r="I77" s="130">
        <f>IF(OR($C77="",$B$2="",$D$2=0),0,IF(I$3&lt;0,0,N(INDEX('CURVA PREVISION'!$A$1:$KZ$3000,$C77,11+3*MIN(I$3,$D$2-1)))))</f>
        <v/>
      </c>
      <c r="J77" s="130">
        <f>IF(OR($C77="",$B$2="",$D$2=0),0,IF(J$3&lt;0,0,N(INDEX('CURVA PREVISION'!$A$1:$KZ$3000,$C77,11+3*MIN(J$3,$D$2-1)))))</f>
        <v/>
      </c>
      <c r="K77" s="130">
        <f>IF(OR($C77="",$B$2="",$D$2=0),0,IF(K$3&lt;0,0,N(INDEX('CURVA PREVISION'!$A$1:$KZ$3000,$C77,11+3*MIN(K$3,$D$2-1)))))</f>
        <v/>
      </c>
      <c r="L77" s="130">
        <f>IF(OR($C77="",$B$2="",$D$2=0),0,IF(L$3&lt;0,0,N(INDEX('CURVA PREVISION'!$A$1:$KZ$3000,$C77,11+3*MIN(L$3,$D$2-1)))))</f>
        <v/>
      </c>
      <c r="M77" s="130">
        <f>IF(OR($C77="",$B$2="",$D$2=0),0,IF(M$3&lt;0,0,N(INDEX('CURVA PREVISION'!$A$1:$KZ$3000,$C77,11+3*MIN(M$3,$D$2-1)))))</f>
        <v/>
      </c>
      <c r="N77" s="130">
        <f>IF(OR($C77="",$B$2="",$D$2=0),0,IF(N$3&lt;0,0,N(INDEX('CURVA PREVISION'!$A$1:$KZ$3000,$C77,11+3*MIN(N$3,$D$2-1)))))</f>
        <v/>
      </c>
      <c r="O77" s="130">
        <f>IF(OR($C77="",$B$2="",$D$2=0),0,IF(O$3&lt;0,0,N(INDEX('CURVA PREVISION'!$A$1:$KZ$3000,$C77,11+3*MIN(O$3,$D$2-1)))))</f>
        <v/>
      </c>
      <c r="P77" s="130">
        <f>IF(OR($C77="",$B$2="",$D$2=0),0,IF(P$3&lt;0,0,N(INDEX('CURVA PREVISION'!$A$1:$KZ$3000,$C77,11+3*MIN(P$3,$D$2-1)))))</f>
        <v/>
      </c>
      <c r="Q77" s="130">
        <f>IF(OR($C77="",$B$2="",$D$2=0),0,IF(Q$3&lt;0,0,N(INDEX('CURVA PREVISION'!$A$1:$KZ$3000,$C77,11+3*MIN(Q$3,$D$2-1)))))</f>
        <v/>
      </c>
      <c r="R77" s="130">
        <f>IF(OR($C77="",$B$2="",$D$2=0),0,IF(R$3&lt;0,0,N(INDEX('CURVA PREVISION'!$A$1:$KZ$3000,$C77,11+3*MIN(R$3,$D$2-1)))))</f>
        <v/>
      </c>
      <c r="S77" s="130">
        <f>IF(OR($C77="",$B$2="",$D$2=0),0,IF(S$3&lt;0,0,N(INDEX('CURVA PREVISION'!$A$1:$KZ$3000,$C77,11+3*MIN(S$3,$D$2-1)))))</f>
        <v/>
      </c>
      <c r="T77" s="130">
        <f>IF(OR($C77="",$B$2="",$D$2=0),0,IF(T$3&lt;0,0,N(INDEX('CURVA PREVISION'!$A$1:$KZ$3000,$C77,11+3*MIN(T$3,$D$2-1)))))</f>
        <v/>
      </c>
      <c r="U77" s="130">
        <f>IF(OR($C77="",$B$2="",$D$2=0),0,IF(U$3&lt;0,0,N(INDEX('CURVA PREVISION'!$A$1:$KZ$3000,$C77,11+3*MIN(U$3,$D$2-1)))))</f>
        <v/>
      </c>
      <c r="V77" s="130">
        <f>IF(OR($C77="",$B$2="",$D$2=0),0,IF(V$3&lt;0,0,N(INDEX('CURVA PREVISION'!$A$1:$KZ$3000,$C77,11+3*MIN(V$3,$D$2-1)))))</f>
        <v/>
      </c>
      <c r="W77" s="130">
        <f>IF(OR($C77="",$B$2="",$D$2=0),0,IF(W$3&lt;0,0,N(INDEX('CURVA PREVISION'!$A$1:$KZ$3000,$C77,11+3*MIN(W$3,$D$2-1)))))</f>
        <v/>
      </c>
      <c r="X77" s="130">
        <f>IF(OR($C77="",$B$2="",$D$2=0),0,IF(X$3&lt;0,0,N(INDEX('CURVA PREVISION'!$A$1:$KZ$3000,$C77,11+3*MIN(X$3,$D$2-1)))))</f>
        <v/>
      </c>
      <c r="Y77" s="130">
        <f>IF(OR($C77="",$B$2="",$D$2=0),0,IF(Y$3&lt;0,0,N(INDEX('CURVA PREVISION'!$A$1:$KZ$3000,$C77,11+3*MIN(Y$3,$D$2-1)))))</f>
        <v/>
      </c>
      <c r="Z77" s="130">
        <f>IF(OR($C77="",$B$2="",$D$2=0),0,IF(Z$3&lt;0,0,N(INDEX('CURVA PREVISION'!$A$1:$KZ$3000,$C77,11+3*MIN(Z$3,$D$2-1)))))</f>
        <v/>
      </c>
      <c r="AA77" s="130">
        <f>IF(OR($C77="",$B$2="",$D$2=0),0,IF(AA$3&lt;0,0,N(INDEX('CURVA PREVISION'!$A$1:$KZ$3000,$C77,11+3*MIN(AA$3,$D$2-1)))))</f>
        <v/>
      </c>
      <c r="AB77" s="130">
        <f>IF(OR($C77="",$B$2="",$D$2=0),0,IF(AB$3&lt;0,0,N(INDEX('CURVA PREVISION'!$A$1:$KZ$3000,$C77,11+3*MIN(AB$3,$D$2-1)))))</f>
        <v/>
      </c>
      <c r="AC77" s="130">
        <f>IF(OR($C77="",$B$2="",$D$2=0),0,IF(AC$3&lt;0,0,N(INDEX('CURVA PREVISION'!$A$1:$KZ$3000,$C77,11+3*MIN(AC$3,$D$2-1)))))</f>
        <v/>
      </c>
      <c r="AD77" s="130">
        <f>IF(OR($C77="",$B$2="",$D$2=0),0,IF(AD$3&lt;0,0,N(INDEX('CURVA PREVISION'!$A$1:$KZ$3000,$C77,11+3*MIN(AD$3,$D$2-1)))))</f>
        <v/>
      </c>
      <c r="AE77" s="130">
        <f>IF(OR($C77="",$B$2="",$D$2=0),0,IF(AE$3&lt;0,0,N(INDEX('CURVA PREVISION'!$A$1:$KZ$3000,$C77,11+3*MIN(AE$3,$D$2-1)))))</f>
        <v/>
      </c>
      <c r="AF77" s="130">
        <f>IF(OR($C77="",$B$2="",$D$2=0),0,IF(AF$3&lt;0,0,N(INDEX('CURVA PREVISION'!$A$1:$KZ$3000,$C77,11+3*MIN(AF$3,$D$2-1)))))</f>
        <v/>
      </c>
      <c r="AG77" s="130">
        <f>IF(OR($C77="",$B$2="",$D$2=0),0,IF(AG$3&lt;0,0,N(INDEX('CURVA PREVISION'!$A$1:$KZ$3000,$C77,11+3*MIN(AG$3,$D$2-1)))))</f>
        <v/>
      </c>
      <c r="AH77" s="130">
        <f>IF(OR($C77="",$B$2="",$D$2=0),0,IF(AH$3&lt;0,0,N(INDEX('CURVA PREVISION'!$A$1:$KZ$3000,$C77,11+3*MIN(AH$3,$D$2-1)))))</f>
        <v/>
      </c>
      <c r="AI77" s="130">
        <f>IF(OR($C77="",$B$2="",$D$2=0),0,IF(AI$3&lt;0,0,N(INDEX('CURVA PREVISION'!$A$1:$KZ$3000,$C77,11+3*MIN(AI$3,$D$2-1)))))</f>
        <v/>
      </c>
      <c r="AJ77" s="130">
        <f>IF(OR($C77="",$B$2="",$D$2=0),0,IF(AJ$3&lt;0,0,N(INDEX('CURVA PREVISION'!$A$1:$KZ$3000,$C77,11+3*MIN(AJ$3,$D$2-1)))))</f>
        <v/>
      </c>
      <c r="AK77" s="130">
        <f>IF(OR($C77="",$B$2="",$D$2=0),0,IF(AK$3&lt;0,0,N(INDEX('CURVA PREVISION'!$A$1:$KZ$3000,$C77,11+3*MIN(AK$3,$D$2-1)))))</f>
        <v/>
      </c>
      <c r="AL77" s="130">
        <f>IF(OR($C77="",$B$2="",$D$2=0),0,IF(AL$3&lt;0,0,N(INDEX('CURVA PREVISION'!$A$1:$KZ$3000,$C77,11+3*MIN(AL$3,$D$2-1)))))</f>
        <v/>
      </c>
      <c r="AM77" s="130">
        <f>IF(OR($C77="",$B$2="",$D$2=0),0,IF(AM$3&lt;0,0,N(INDEX('CURVA PREVISION'!$A$1:$KZ$3000,$C77,11+3*MIN(AM$3,$D$2-1)))))</f>
        <v/>
      </c>
      <c r="AN77" s="130">
        <f>IF(OR($C77="",$B$2="",$D$2=0),0,IF(AN$3&lt;0,0,N(INDEX('CURVA PREVISION'!$A$1:$KZ$3000,$C77,11+3*MIN(AN$3,$D$2-1)))))</f>
        <v/>
      </c>
      <c r="AO77" s="130">
        <f>IF(OR($C77="",$B$2="",$D$2=0),0,IF(AO$3&lt;0,0,N(INDEX('CURVA PREVISION'!$A$1:$KZ$3000,$C77,11+3*MIN(AO$3,$D$2-1)))))</f>
        <v/>
      </c>
      <c r="AP77" s="130">
        <f>IF(OR($C77="",$B$2="",$D$2=0),0,IF(AP$3&lt;0,0,N(INDEX('CURVA PREVISION'!$A$1:$KZ$3000,$C77,11+3*MIN(AP$3,$D$2-1)))))</f>
        <v/>
      </c>
      <c r="AQ77" s="130">
        <f>IF(OR($C77="",$B$2="",$D$2=0),0,IF(AQ$3&lt;0,0,N(INDEX('CURVA PREVISION'!$A$1:$KZ$3000,$C77,11+3*MIN(AQ$3,$D$2-1)))))</f>
        <v/>
      </c>
      <c r="AR77" s="130">
        <f>IF(OR($C77="",$B$2="",$D$2=0),0,IF(AR$3&lt;0,0,N(INDEX('CURVA PREVISION'!$A$1:$KZ$3000,$C77,11+3*MIN(AR$3,$D$2-1)))))</f>
        <v/>
      </c>
      <c r="AS77" s="130">
        <f>IF(OR($C77="",$B$2="",$D$2=0),0,IF(AS$3&lt;0,0,N(INDEX('CURVA PREVISION'!$A$1:$KZ$3000,$C77,11+3*MIN(AS$3,$D$2-1)))))</f>
        <v/>
      </c>
      <c r="AT77" s="130">
        <f>IF(OR($C77="",$B$2="",$D$2=0),0,IF(AT$3&lt;0,0,N(INDEX('CURVA PREVISION'!$A$1:$KZ$3000,$C77,11+3*MIN(AT$3,$D$2-1)))))</f>
        <v/>
      </c>
      <c r="AU77" s="130">
        <f>IF(OR($C77="",$B$2="",$D$2=0),0,IF(AU$3&lt;0,0,N(INDEX('CURVA PREVISION'!$A$1:$KZ$3000,$C77,11+3*MIN(AU$3,$D$2-1)))))</f>
        <v/>
      </c>
      <c r="AV77" s="130">
        <f>IF(OR($C77="",$B$2="",$D$2=0),0,IF(AV$3&lt;0,0,N(INDEX('CURVA PREVISION'!$A$1:$KZ$3000,$C77,11+3*MIN(AV$3,$D$2-1)))))</f>
        <v/>
      </c>
      <c r="AW77" s="130">
        <f>IF(OR($C77="",$B$2="",$D$2=0),0,IF(AW$3&lt;0,0,N(INDEX('CURVA PREVISION'!$A$1:$KZ$3000,$C77,11+3*MIN(AW$3,$D$2-1)))))</f>
        <v/>
      </c>
      <c r="AX77" s="130">
        <f>IF(OR($C77="",$B$2="",$D$2=0),0,IF(AX$3&lt;0,0,N(INDEX('CURVA PREVISION'!$A$1:$KZ$3000,$C77,11+3*MIN(AX$3,$D$2-1)))))</f>
        <v/>
      </c>
      <c r="AY77" s="130">
        <f>IF(OR($C77="",$B$2="",$D$2=0),0,IF(AY$3&lt;0,0,N(INDEX('CURVA PREVISION'!$A$1:$KZ$3000,$C77,11+3*MIN(AY$3,$D$2-1)))))</f>
        <v/>
      </c>
      <c r="AZ77" s="130">
        <f>IF(OR($C77="",$B$2="",$D$2=0),0,IF(AZ$3&lt;0,0,N(INDEX('CURVA PREVISION'!$A$1:$KZ$3000,$C77,11+3*MIN(AZ$3,$D$2-1)))))</f>
        <v/>
      </c>
      <c r="BA77" s="130">
        <f>IF(OR($C77="",$B$2="",$D$2=0),0,IF(BA$3&lt;0,0,N(INDEX('CURVA PREVISION'!$A$1:$KZ$3000,$C77,11+3*MIN(BA$3,$D$2-1)))))</f>
        <v/>
      </c>
      <c r="BB77" s="130">
        <f>IF(OR($C77="",$B$2="",$D$2=0),0,IF(BB$3&lt;0,0,N(INDEX('CURVA PREVISION'!$A$1:$KZ$3000,$C77,11+3*MIN(BB$3,$D$2-1)))))</f>
        <v/>
      </c>
      <c r="BC77" s="130">
        <f>IF(OR($C77="",$B$2="",$D$2=0),0,IF(BC$3&lt;0,0,N(INDEX('CURVA PREVISION'!$A$1:$KZ$3000,$C77,11+3*MIN(BC$3,$D$2-1)))))</f>
        <v/>
      </c>
      <c r="BD77" s="130">
        <f>IF(OR($C77="",$B$2="",$D$2=0),0,IF(BD$3&lt;0,0,N(INDEX('CURVA PREVISION'!$A$1:$KZ$3000,$C77,11+3*MIN(BD$3,$D$2-1)))))</f>
        <v/>
      </c>
      <c r="BE77" s="130">
        <f>IF(OR($C77="",$B$2="",$D$2=0),0,IF(BE$3&lt;0,0,N(INDEX('CURVA PREVISION'!$A$1:$KZ$3000,$C77,11+3*MIN(BE$3,$D$2-1)))))</f>
        <v/>
      </c>
      <c r="BF77" s="130">
        <f>IF(OR($C77="",$B$2="",$D$2=0),0,IF(BF$3&lt;0,0,N(INDEX('CURVA PREVISION'!$A$1:$KZ$3000,$C77,11+3*MIN(BF$3,$D$2-1)))))</f>
        <v/>
      </c>
      <c r="BG77" s="130">
        <f>IF(OR($C77="",$B$2="",$D$2=0),0,IF(BG$3&lt;0,0,N(INDEX('CURVA PREVISION'!$A$1:$KZ$3000,$C77,11+3*MIN(BG$3,$D$2-1)))))</f>
        <v/>
      </c>
      <c r="BH77" s="130">
        <f>IF(OR($C77="",$B$2="",$D$2=0),0,IF(BH$3&lt;0,0,N(INDEX('CURVA PREVISION'!$A$1:$KZ$3000,$C77,11+3*MIN(BH$3,$D$2-1)))))</f>
        <v/>
      </c>
      <c r="BI77" s="130">
        <f>IF(OR($C77="",$B$2="",$D$2=0),0,IF(BI$3&lt;0,0,N(INDEX('CURVA PREVISION'!$A$1:$KZ$3000,$C77,11+3*MIN(BI$3,$D$2-1)))))</f>
        <v/>
      </c>
      <c r="BJ77" s="130">
        <f>IF(OR($C77="",$B$2="",$D$2=0),0,IF(BJ$3&lt;0,0,N(INDEX('CURVA PREVISION'!$A$1:$KZ$3000,$C77,11+3*MIN(BJ$3,$D$2-1)))))</f>
        <v/>
      </c>
      <c r="BK77" s="130">
        <f>IF(OR($C77="",$B$2="",$D$2=0),0,IF(BK$3&lt;0,0,N(INDEX('CURVA PREVISION'!$A$1:$KZ$3000,$C77,11+3*MIN(BK$3,$D$2-1)))))</f>
        <v/>
      </c>
      <c r="BL77" s="130">
        <f>IF(OR($C77="",$B$2="",$D$2=0),0,IF(BL$3&lt;0,0,N(INDEX('CURVA PREVISION'!$A$1:$KZ$3000,$C77,11+3*MIN(BL$3,$D$2-1)))))</f>
        <v/>
      </c>
      <c r="BM77" s="130">
        <f>IF(OR($C77="",$B$2="",$D$2=0),0,IF(BM$3&lt;0,0,N(INDEX('CURVA PREVISION'!$A$1:$KZ$3000,$C77,11+3*MIN(BM$3,$D$2-1)))))</f>
        <v/>
      </c>
      <c r="BN77" s="130">
        <f>IF(OR($C77="",$B$2="",$D$2=0),0,IF(BN$3&lt;0,0,N(INDEX('CURVA PREVISION'!$A$1:$KZ$3000,$C77,11+3*MIN(BN$3,$D$2-1)))))</f>
        <v/>
      </c>
      <c r="BO77" s="130">
        <f>IF(OR($C77="",$B$2="",$D$2=0),0,IF(BO$3&lt;0,0,N(INDEX('CURVA PREVISION'!$A$1:$KZ$3000,$C77,11+3*MIN(BO$3,$D$2-1)))))</f>
        <v/>
      </c>
      <c r="BP77" s="130">
        <f>IF(OR($C77="",$B$2="",$D$2=0),0,IF(BP$3&lt;0,0,N(INDEX('CURVA PREVISION'!$A$1:$KZ$3000,$C77,11+3*MIN(BP$3,$D$2-1)))))</f>
        <v/>
      </c>
      <c r="BQ77" s="130">
        <f>IF(OR($C77="",$B$2="",$D$2=0),0,IF(BQ$3&lt;0,0,N(INDEX('CURVA PREVISION'!$A$1:$KZ$3000,$C77,11+3*MIN(BQ$3,$D$2-1)))))</f>
        <v/>
      </c>
      <c r="BR77" s="130">
        <f>IF(OR($C77="",$B$2="",$D$2=0),0,IF(BR$3&lt;0,0,N(INDEX('CURVA PREVISION'!$A$1:$KZ$3000,$C77,11+3*MIN(BR$3,$D$2-1)))))</f>
        <v/>
      </c>
      <c r="BS77" s="130">
        <f>IF(OR($C77="",$B$2="",$D$2=0),0,IF(BS$3&lt;0,0,N(INDEX('CURVA PREVISION'!$A$1:$KZ$3000,$C77,11+3*MIN(BS$3,$D$2-1)))))</f>
        <v/>
      </c>
      <c r="BT77" s="130">
        <f>IF(OR($C77="",$B$2="",$D$2=0),0,IF(BT$3&lt;0,0,N(INDEX('CURVA PREVISION'!$A$1:$KZ$3000,$C77,11+3*MIN(BT$3,$D$2-1)))))</f>
        <v/>
      </c>
      <c r="BU77" s="130">
        <f>IF(OR($C77="",$B$2="",$D$2=0),0,IF(BU$3&lt;0,0,N(INDEX('CURVA PREVISION'!$A$1:$KZ$3000,$C77,11+3*MIN(BU$3,$D$2-1)))))</f>
        <v/>
      </c>
      <c r="BV77" s="130">
        <f>IF(OR($C77="",$B$2="",$D$2=0),0,IF(BV$3&lt;0,0,N(INDEX('CURVA PREVISION'!$A$1:$KZ$3000,$C77,11+3*MIN(BV$3,$D$2-1)))))</f>
        <v/>
      </c>
      <c r="BW77" s="130">
        <f>IF(OR($C77="",$B$2="",$D$2=0),0,IF(BW$3&lt;0,0,N(INDEX('CURVA PREVISION'!$A$1:$KZ$3000,$C77,11+3*MIN(BW$3,$D$2-1)))))</f>
        <v/>
      </c>
    </row>
    <row r="78">
      <c r="A78" s="61">
        <f>IF('VALOR POR PL'!Q42="",'VALOR POR PL'!C42,'VALOR POR PL'!Q42)</f>
        <v/>
      </c>
      <c r="B78" s="51">
        <f>B36</f>
        <v/>
      </c>
      <c r="C78" s="70">
        <f>IFERROR(MATCH(A78,'CURVA PREVISION'!$B$1:$B$3000,0),"")</f>
        <v/>
      </c>
      <c r="D78" s="130">
        <f>IF(OR($C78="",$B$2="",$D$2=0),0,IF(D$3&lt;0,0,N(INDEX('CURVA PREVISION'!$A$1:$KZ$3000,$C78,11+3*MIN(D$3,$D$2-1)))))</f>
        <v/>
      </c>
      <c r="E78" s="130">
        <f>IF(OR($C78="",$B$2="",$D$2=0),0,IF(E$3&lt;0,0,N(INDEX('CURVA PREVISION'!$A$1:$KZ$3000,$C78,11+3*MIN(E$3,$D$2-1)))))</f>
        <v/>
      </c>
      <c r="F78" s="130">
        <f>IF(OR($C78="",$B$2="",$D$2=0),0,IF(F$3&lt;0,0,N(INDEX('CURVA PREVISION'!$A$1:$KZ$3000,$C78,11+3*MIN(F$3,$D$2-1)))))</f>
        <v/>
      </c>
      <c r="G78" s="130">
        <f>IF(OR($C78="",$B$2="",$D$2=0),0,IF(G$3&lt;0,0,N(INDEX('CURVA PREVISION'!$A$1:$KZ$3000,$C78,11+3*MIN(G$3,$D$2-1)))))</f>
        <v/>
      </c>
      <c r="H78" s="130">
        <f>IF(OR($C78="",$B$2="",$D$2=0),0,IF(H$3&lt;0,0,N(INDEX('CURVA PREVISION'!$A$1:$KZ$3000,$C78,11+3*MIN(H$3,$D$2-1)))))</f>
        <v/>
      </c>
      <c r="I78" s="130">
        <f>IF(OR($C78="",$B$2="",$D$2=0),0,IF(I$3&lt;0,0,N(INDEX('CURVA PREVISION'!$A$1:$KZ$3000,$C78,11+3*MIN(I$3,$D$2-1)))))</f>
        <v/>
      </c>
      <c r="J78" s="130">
        <f>IF(OR($C78="",$B$2="",$D$2=0),0,IF(J$3&lt;0,0,N(INDEX('CURVA PREVISION'!$A$1:$KZ$3000,$C78,11+3*MIN(J$3,$D$2-1)))))</f>
        <v/>
      </c>
      <c r="K78" s="130">
        <f>IF(OR($C78="",$B$2="",$D$2=0),0,IF(K$3&lt;0,0,N(INDEX('CURVA PREVISION'!$A$1:$KZ$3000,$C78,11+3*MIN(K$3,$D$2-1)))))</f>
        <v/>
      </c>
      <c r="L78" s="130">
        <f>IF(OR($C78="",$B$2="",$D$2=0),0,IF(L$3&lt;0,0,N(INDEX('CURVA PREVISION'!$A$1:$KZ$3000,$C78,11+3*MIN(L$3,$D$2-1)))))</f>
        <v/>
      </c>
      <c r="M78" s="130">
        <f>IF(OR($C78="",$B$2="",$D$2=0),0,IF(M$3&lt;0,0,N(INDEX('CURVA PREVISION'!$A$1:$KZ$3000,$C78,11+3*MIN(M$3,$D$2-1)))))</f>
        <v/>
      </c>
      <c r="N78" s="130">
        <f>IF(OR($C78="",$B$2="",$D$2=0),0,IF(N$3&lt;0,0,N(INDEX('CURVA PREVISION'!$A$1:$KZ$3000,$C78,11+3*MIN(N$3,$D$2-1)))))</f>
        <v/>
      </c>
      <c r="O78" s="130">
        <f>IF(OR($C78="",$B$2="",$D$2=0),0,IF(O$3&lt;0,0,N(INDEX('CURVA PREVISION'!$A$1:$KZ$3000,$C78,11+3*MIN(O$3,$D$2-1)))))</f>
        <v/>
      </c>
      <c r="P78" s="130">
        <f>IF(OR($C78="",$B$2="",$D$2=0),0,IF(P$3&lt;0,0,N(INDEX('CURVA PREVISION'!$A$1:$KZ$3000,$C78,11+3*MIN(P$3,$D$2-1)))))</f>
        <v/>
      </c>
      <c r="Q78" s="130">
        <f>IF(OR($C78="",$B$2="",$D$2=0),0,IF(Q$3&lt;0,0,N(INDEX('CURVA PREVISION'!$A$1:$KZ$3000,$C78,11+3*MIN(Q$3,$D$2-1)))))</f>
        <v/>
      </c>
      <c r="R78" s="130">
        <f>IF(OR($C78="",$B$2="",$D$2=0),0,IF(R$3&lt;0,0,N(INDEX('CURVA PREVISION'!$A$1:$KZ$3000,$C78,11+3*MIN(R$3,$D$2-1)))))</f>
        <v/>
      </c>
      <c r="S78" s="130">
        <f>IF(OR($C78="",$B$2="",$D$2=0),0,IF(S$3&lt;0,0,N(INDEX('CURVA PREVISION'!$A$1:$KZ$3000,$C78,11+3*MIN(S$3,$D$2-1)))))</f>
        <v/>
      </c>
      <c r="T78" s="130">
        <f>IF(OR($C78="",$B$2="",$D$2=0),0,IF(T$3&lt;0,0,N(INDEX('CURVA PREVISION'!$A$1:$KZ$3000,$C78,11+3*MIN(T$3,$D$2-1)))))</f>
        <v/>
      </c>
      <c r="U78" s="130">
        <f>IF(OR($C78="",$B$2="",$D$2=0),0,IF(U$3&lt;0,0,N(INDEX('CURVA PREVISION'!$A$1:$KZ$3000,$C78,11+3*MIN(U$3,$D$2-1)))))</f>
        <v/>
      </c>
      <c r="V78" s="130">
        <f>IF(OR($C78="",$B$2="",$D$2=0),0,IF(V$3&lt;0,0,N(INDEX('CURVA PREVISION'!$A$1:$KZ$3000,$C78,11+3*MIN(V$3,$D$2-1)))))</f>
        <v/>
      </c>
      <c r="W78" s="130">
        <f>IF(OR($C78="",$B$2="",$D$2=0),0,IF(W$3&lt;0,0,N(INDEX('CURVA PREVISION'!$A$1:$KZ$3000,$C78,11+3*MIN(W$3,$D$2-1)))))</f>
        <v/>
      </c>
      <c r="X78" s="130">
        <f>IF(OR($C78="",$B$2="",$D$2=0),0,IF(X$3&lt;0,0,N(INDEX('CURVA PREVISION'!$A$1:$KZ$3000,$C78,11+3*MIN(X$3,$D$2-1)))))</f>
        <v/>
      </c>
      <c r="Y78" s="130">
        <f>IF(OR($C78="",$B$2="",$D$2=0),0,IF(Y$3&lt;0,0,N(INDEX('CURVA PREVISION'!$A$1:$KZ$3000,$C78,11+3*MIN(Y$3,$D$2-1)))))</f>
        <v/>
      </c>
      <c r="Z78" s="130">
        <f>IF(OR($C78="",$B$2="",$D$2=0),0,IF(Z$3&lt;0,0,N(INDEX('CURVA PREVISION'!$A$1:$KZ$3000,$C78,11+3*MIN(Z$3,$D$2-1)))))</f>
        <v/>
      </c>
      <c r="AA78" s="130">
        <f>IF(OR($C78="",$B$2="",$D$2=0),0,IF(AA$3&lt;0,0,N(INDEX('CURVA PREVISION'!$A$1:$KZ$3000,$C78,11+3*MIN(AA$3,$D$2-1)))))</f>
        <v/>
      </c>
      <c r="AB78" s="130">
        <f>IF(OR($C78="",$B$2="",$D$2=0),0,IF(AB$3&lt;0,0,N(INDEX('CURVA PREVISION'!$A$1:$KZ$3000,$C78,11+3*MIN(AB$3,$D$2-1)))))</f>
        <v/>
      </c>
      <c r="AC78" s="130">
        <f>IF(OR($C78="",$B$2="",$D$2=0),0,IF(AC$3&lt;0,0,N(INDEX('CURVA PREVISION'!$A$1:$KZ$3000,$C78,11+3*MIN(AC$3,$D$2-1)))))</f>
        <v/>
      </c>
      <c r="AD78" s="130">
        <f>IF(OR($C78="",$B$2="",$D$2=0),0,IF(AD$3&lt;0,0,N(INDEX('CURVA PREVISION'!$A$1:$KZ$3000,$C78,11+3*MIN(AD$3,$D$2-1)))))</f>
        <v/>
      </c>
      <c r="AE78" s="130">
        <f>IF(OR($C78="",$B$2="",$D$2=0),0,IF(AE$3&lt;0,0,N(INDEX('CURVA PREVISION'!$A$1:$KZ$3000,$C78,11+3*MIN(AE$3,$D$2-1)))))</f>
        <v/>
      </c>
      <c r="AF78" s="130">
        <f>IF(OR($C78="",$B$2="",$D$2=0),0,IF(AF$3&lt;0,0,N(INDEX('CURVA PREVISION'!$A$1:$KZ$3000,$C78,11+3*MIN(AF$3,$D$2-1)))))</f>
        <v/>
      </c>
      <c r="AG78" s="130">
        <f>IF(OR($C78="",$B$2="",$D$2=0),0,IF(AG$3&lt;0,0,N(INDEX('CURVA PREVISION'!$A$1:$KZ$3000,$C78,11+3*MIN(AG$3,$D$2-1)))))</f>
        <v/>
      </c>
      <c r="AH78" s="130">
        <f>IF(OR($C78="",$B$2="",$D$2=0),0,IF(AH$3&lt;0,0,N(INDEX('CURVA PREVISION'!$A$1:$KZ$3000,$C78,11+3*MIN(AH$3,$D$2-1)))))</f>
        <v/>
      </c>
      <c r="AI78" s="130">
        <f>IF(OR($C78="",$B$2="",$D$2=0),0,IF(AI$3&lt;0,0,N(INDEX('CURVA PREVISION'!$A$1:$KZ$3000,$C78,11+3*MIN(AI$3,$D$2-1)))))</f>
        <v/>
      </c>
      <c r="AJ78" s="130">
        <f>IF(OR($C78="",$B$2="",$D$2=0),0,IF(AJ$3&lt;0,0,N(INDEX('CURVA PREVISION'!$A$1:$KZ$3000,$C78,11+3*MIN(AJ$3,$D$2-1)))))</f>
        <v/>
      </c>
      <c r="AK78" s="130">
        <f>IF(OR($C78="",$B$2="",$D$2=0),0,IF(AK$3&lt;0,0,N(INDEX('CURVA PREVISION'!$A$1:$KZ$3000,$C78,11+3*MIN(AK$3,$D$2-1)))))</f>
        <v/>
      </c>
      <c r="AL78" s="130">
        <f>IF(OR($C78="",$B$2="",$D$2=0),0,IF(AL$3&lt;0,0,N(INDEX('CURVA PREVISION'!$A$1:$KZ$3000,$C78,11+3*MIN(AL$3,$D$2-1)))))</f>
        <v/>
      </c>
      <c r="AM78" s="130">
        <f>IF(OR($C78="",$B$2="",$D$2=0),0,IF(AM$3&lt;0,0,N(INDEX('CURVA PREVISION'!$A$1:$KZ$3000,$C78,11+3*MIN(AM$3,$D$2-1)))))</f>
        <v/>
      </c>
      <c r="AN78" s="130">
        <f>IF(OR($C78="",$B$2="",$D$2=0),0,IF(AN$3&lt;0,0,N(INDEX('CURVA PREVISION'!$A$1:$KZ$3000,$C78,11+3*MIN(AN$3,$D$2-1)))))</f>
        <v/>
      </c>
      <c r="AO78" s="130">
        <f>IF(OR($C78="",$B$2="",$D$2=0),0,IF(AO$3&lt;0,0,N(INDEX('CURVA PREVISION'!$A$1:$KZ$3000,$C78,11+3*MIN(AO$3,$D$2-1)))))</f>
        <v/>
      </c>
      <c r="AP78" s="130">
        <f>IF(OR($C78="",$B$2="",$D$2=0),0,IF(AP$3&lt;0,0,N(INDEX('CURVA PREVISION'!$A$1:$KZ$3000,$C78,11+3*MIN(AP$3,$D$2-1)))))</f>
        <v/>
      </c>
      <c r="AQ78" s="130">
        <f>IF(OR($C78="",$B$2="",$D$2=0),0,IF(AQ$3&lt;0,0,N(INDEX('CURVA PREVISION'!$A$1:$KZ$3000,$C78,11+3*MIN(AQ$3,$D$2-1)))))</f>
        <v/>
      </c>
      <c r="AR78" s="130">
        <f>IF(OR($C78="",$B$2="",$D$2=0),0,IF(AR$3&lt;0,0,N(INDEX('CURVA PREVISION'!$A$1:$KZ$3000,$C78,11+3*MIN(AR$3,$D$2-1)))))</f>
        <v/>
      </c>
      <c r="AS78" s="130">
        <f>IF(OR($C78="",$B$2="",$D$2=0),0,IF(AS$3&lt;0,0,N(INDEX('CURVA PREVISION'!$A$1:$KZ$3000,$C78,11+3*MIN(AS$3,$D$2-1)))))</f>
        <v/>
      </c>
      <c r="AT78" s="130">
        <f>IF(OR($C78="",$B$2="",$D$2=0),0,IF(AT$3&lt;0,0,N(INDEX('CURVA PREVISION'!$A$1:$KZ$3000,$C78,11+3*MIN(AT$3,$D$2-1)))))</f>
        <v/>
      </c>
      <c r="AU78" s="130">
        <f>IF(OR($C78="",$B$2="",$D$2=0),0,IF(AU$3&lt;0,0,N(INDEX('CURVA PREVISION'!$A$1:$KZ$3000,$C78,11+3*MIN(AU$3,$D$2-1)))))</f>
        <v/>
      </c>
      <c r="AV78" s="130">
        <f>IF(OR($C78="",$B$2="",$D$2=0),0,IF(AV$3&lt;0,0,N(INDEX('CURVA PREVISION'!$A$1:$KZ$3000,$C78,11+3*MIN(AV$3,$D$2-1)))))</f>
        <v/>
      </c>
      <c r="AW78" s="130">
        <f>IF(OR($C78="",$B$2="",$D$2=0),0,IF(AW$3&lt;0,0,N(INDEX('CURVA PREVISION'!$A$1:$KZ$3000,$C78,11+3*MIN(AW$3,$D$2-1)))))</f>
        <v/>
      </c>
      <c r="AX78" s="130">
        <f>IF(OR($C78="",$B$2="",$D$2=0),0,IF(AX$3&lt;0,0,N(INDEX('CURVA PREVISION'!$A$1:$KZ$3000,$C78,11+3*MIN(AX$3,$D$2-1)))))</f>
        <v/>
      </c>
      <c r="AY78" s="130">
        <f>IF(OR($C78="",$B$2="",$D$2=0),0,IF(AY$3&lt;0,0,N(INDEX('CURVA PREVISION'!$A$1:$KZ$3000,$C78,11+3*MIN(AY$3,$D$2-1)))))</f>
        <v/>
      </c>
      <c r="AZ78" s="130">
        <f>IF(OR($C78="",$B$2="",$D$2=0),0,IF(AZ$3&lt;0,0,N(INDEX('CURVA PREVISION'!$A$1:$KZ$3000,$C78,11+3*MIN(AZ$3,$D$2-1)))))</f>
        <v/>
      </c>
      <c r="BA78" s="130">
        <f>IF(OR($C78="",$B$2="",$D$2=0),0,IF(BA$3&lt;0,0,N(INDEX('CURVA PREVISION'!$A$1:$KZ$3000,$C78,11+3*MIN(BA$3,$D$2-1)))))</f>
        <v/>
      </c>
      <c r="BB78" s="130">
        <f>IF(OR($C78="",$B$2="",$D$2=0),0,IF(BB$3&lt;0,0,N(INDEX('CURVA PREVISION'!$A$1:$KZ$3000,$C78,11+3*MIN(BB$3,$D$2-1)))))</f>
        <v/>
      </c>
      <c r="BC78" s="130">
        <f>IF(OR($C78="",$B$2="",$D$2=0),0,IF(BC$3&lt;0,0,N(INDEX('CURVA PREVISION'!$A$1:$KZ$3000,$C78,11+3*MIN(BC$3,$D$2-1)))))</f>
        <v/>
      </c>
      <c r="BD78" s="130">
        <f>IF(OR($C78="",$B$2="",$D$2=0),0,IF(BD$3&lt;0,0,N(INDEX('CURVA PREVISION'!$A$1:$KZ$3000,$C78,11+3*MIN(BD$3,$D$2-1)))))</f>
        <v/>
      </c>
      <c r="BE78" s="130">
        <f>IF(OR($C78="",$B$2="",$D$2=0),0,IF(BE$3&lt;0,0,N(INDEX('CURVA PREVISION'!$A$1:$KZ$3000,$C78,11+3*MIN(BE$3,$D$2-1)))))</f>
        <v/>
      </c>
      <c r="BF78" s="130">
        <f>IF(OR($C78="",$B$2="",$D$2=0),0,IF(BF$3&lt;0,0,N(INDEX('CURVA PREVISION'!$A$1:$KZ$3000,$C78,11+3*MIN(BF$3,$D$2-1)))))</f>
        <v/>
      </c>
      <c r="BG78" s="130">
        <f>IF(OR($C78="",$B$2="",$D$2=0),0,IF(BG$3&lt;0,0,N(INDEX('CURVA PREVISION'!$A$1:$KZ$3000,$C78,11+3*MIN(BG$3,$D$2-1)))))</f>
        <v/>
      </c>
      <c r="BH78" s="130">
        <f>IF(OR($C78="",$B$2="",$D$2=0),0,IF(BH$3&lt;0,0,N(INDEX('CURVA PREVISION'!$A$1:$KZ$3000,$C78,11+3*MIN(BH$3,$D$2-1)))))</f>
        <v/>
      </c>
      <c r="BI78" s="130">
        <f>IF(OR($C78="",$B$2="",$D$2=0),0,IF(BI$3&lt;0,0,N(INDEX('CURVA PREVISION'!$A$1:$KZ$3000,$C78,11+3*MIN(BI$3,$D$2-1)))))</f>
        <v/>
      </c>
      <c r="BJ78" s="130">
        <f>IF(OR($C78="",$B$2="",$D$2=0),0,IF(BJ$3&lt;0,0,N(INDEX('CURVA PREVISION'!$A$1:$KZ$3000,$C78,11+3*MIN(BJ$3,$D$2-1)))))</f>
        <v/>
      </c>
      <c r="BK78" s="130">
        <f>IF(OR($C78="",$B$2="",$D$2=0),0,IF(BK$3&lt;0,0,N(INDEX('CURVA PREVISION'!$A$1:$KZ$3000,$C78,11+3*MIN(BK$3,$D$2-1)))))</f>
        <v/>
      </c>
      <c r="BL78" s="130">
        <f>IF(OR($C78="",$B$2="",$D$2=0),0,IF(BL$3&lt;0,0,N(INDEX('CURVA PREVISION'!$A$1:$KZ$3000,$C78,11+3*MIN(BL$3,$D$2-1)))))</f>
        <v/>
      </c>
      <c r="BM78" s="130">
        <f>IF(OR($C78="",$B$2="",$D$2=0),0,IF(BM$3&lt;0,0,N(INDEX('CURVA PREVISION'!$A$1:$KZ$3000,$C78,11+3*MIN(BM$3,$D$2-1)))))</f>
        <v/>
      </c>
      <c r="BN78" s="130">
        <f>IF(OR($C78="",$B$2="",$D$2=0),0,IF(BN$3&lt;0,0,N(INDEX('CURVA PREVISION'!$A$1:$KZ$3000,$C78,11+3*MIN(BN$3,$D$2-1)))))</f>
        <v/>
      </c>
      <c r="BO78" s="130">
        <f>IF(OR($C78="",$B$2="",$D$2=0),0,IF(BO$3&lt;0,0,N(INDEX('CURVA PREVISION'!$A$1:$KZ$3000,$C78,11+3*MIN(BO$3,$D$2-1)))))</f>
        <v/>
      </c>
      <c r="BP78" s="130">
        <f>IF(OR($C78="",$B$2="",$D$2=0),0,IF(BP$3&lt;0,0,N(INDEX('CURVA PREVISION'!$A$1:$KZ$3000,$C78,11+3*MIN(BP$3,$D$2-1)))))</f>
        <v/>
      </c>
      <c r="BQ78" s="130">
        <f>IF(OR($C78="",$B$2="",$D$2=0),0,IF(BQ$3&lt;0,0,N(INDEX('CURVA PREVISION'!$A$1:$KZ$3000,$C78,11+3*MIN(BQ$3,$D$2-1)))))</f>
        <v/>
      </c>
      <c r="BR78" s="130">
        <f>IF(OR($C78="",$B$2="",$D$2=0),0,IF(BR$3&lt;0,0,N(INDEX('CURVA PREVISION'!$A$1:$KZ$3000,$C78,11+3*MIN(BR$3,$D$2-1)))))</f>
        <v/>
      </c>
      <c r="BS78" s="130">
        <f>IF(OR($C78="",$B$2="",$D$2=0),0,IF(BS$3&lt;0,0,N(INDEX('CURVA PREVISION'!$A$1:$KZ$3000,$C78,11+3*MIN(BS$3,$D$2-1)))))</f>
        <v/>
      </c>
      <c r="BT78" s="130">
        <f>IF(OR($C78="",$B$2="",$D$2=0),0,IF(BT$3&lt;0,0,N(INDEX('CURVA PREVISION'!$A$1:$KZ$3000,$C78,11+3*MIN(BT$3,$D$2-1)))))</f>
        <v/>
      </c>
      <c r="BU78" s="130">
        <f>IF(OR($C78="",$B$2="",$D$2=0),0,IF(BU$3&lt;0,0,N(INDEX('CURVA PREVISION'!$A$1:$KZ$3000,$C78,11+3*MIN(BU$3,$D$2-1)))))</f>
        <v/>
      </c>
      <c r="BV78" s="130">
        <f>IF(OR($C78="",$B$2="",$D$2=0),0,IF(BV$3&lt;0,0,N(INDEX('CURVA PREVISION'!$A$1:$KZ$3000,$C78,11+3*MIN(BV$3,$D$2-1)))))</f>
        <v/>
      </c>
      <c r="BW78" s="130">
        <f>IF(OR($C78="",$B$2="",$D$2=0),0,IF(BW$3&lt;0,0,N(INDEX('CURVA PREVISION'!$A$1:$KZ$3000,$C78,11+3*MIN(BW$3,$D$2-1)))))</f>
        <v/>
      </c>
    </row>
    <row r="79">
      <c r="A79" s="61">
        <f>IF('VALOR POR PL'!Q43="",'VALOR POR PL'!C43,'VALOR POR PL'!Q43)</f>
        <v/>
      </c>
      <c r="B79" s="51">
        <f>B37</f>
        <v/>
      </c>
      <c r="C79" s="70">
        <f>IFERROR(MATCH(A79,'CURVA PREVISION'!$B$1:$B$3000,0),"")</f>
        <v/>
      </c>
      <c r="D79" s="130">
        <f>IF(OR($C79="",$B$2="",$D$2=0),0,IF(D$3&lt;0,0,N(INDEX('CURVA PREVISION'!$A$1:$KZ$3000,$C79,11+3*MIN(D$3,$D$2-1)))))</f>
        <v/>
      </c>
      <c r="E79" s="130">
        <f>IF(OR($C79="",$B$2="",$D$2=0),0,IF(E$3&lt;0,0,N(INDEX('CURVA PREVISION'!$A$1:$KZ$3000,$C79,11+3*MIN(E$3,$D$2-1)))))</f>
        <v/>
      </c>
      <c r="F79" s="130">
        <f>IF(OR($C79="",$B$2="",$D$2=0),0,IF(F$3&lt;0,0,N(INDEX('CURVA PREVISION'!$A$1:$KZ$3000,$C79,11+3*MIN(F$3,$D$2-1)))))</f>
        <v/>
      </c>
      <c r="G79" s="130">
        <f>IF(OR($C79="",$B$2="",$D$2=0),0,IF(G$3&lt;0,0,N(INDEX('CURVA PREVISION'!$A$1:$KZ$3000,$C79,11+3*MIN(G$3,$D$2-1)))))</f>
        <v/>
      </c>
      <c r="H79" s="130">
        <f>IF(OR($C79="",$B$2="",$D$2=0),0,IF(H$3&lt;0,0,N(INDEX('CURVA PREVISION'!$A$1:$KZ$3000,$C79,11+3*MIN(H$3,$D$2-1)))))</f>
        <v/>
      </c>
      <c r="I79" s="130">
        <f>IF(OR($C79="",$B$2="",$D$2=0),0,IF(I$3&lt;0,0,N(INDEX('CURVA PREVISION'!$A$1:$KZ$3000,$C79,11+3*MIN(I$3,$D$2-1)))))</f>
        <v/>
      </c>
      <c r="J79" s="130">
        <f>IF(OR($C79="",$B$2="",$D$2=0),0,IF(J$3&lt;0,0,N(INDEX('CURVA PREVISION'!$A$1:$KZ$3000,$C79,11+3*MIN(J$3,$D$2-1)))))</f>
        <v/>
      </c>
      <c r="K79" s="130">
        <f>IF(OR($C79="",$B$2="",$D$2=0),0,IF(K$3&lt;0,0,N(INDEX('CURVA PREVISION'!$A$1:$KZ$3000,$C79,11+3*MIN(K$3,$D$2-1)))))</f>
        <v/>
      </c>
      <c r="L79" s="130">
        <f>IF(OR($C79="",$B$2="",$D$2=0),0,IF(L$3&lt;0,0,N(INDEX('CURVA PREVISION'!$A$1:$KZ$3000,$C79,11+3*MIN(L$3,$D$2-1)))))</f>
        <v/>
      </c>
      <c r="M79" s="130">
        <f>IF(OR($C79="",$B$2="",$D$2=0),0,IF(M$3&lt;0,0,N(INDEX('CURVA PREVISION'!$A$1:$KZ$3000,$C79,11+3*MIN(M$3,$D$2-1)))))</f>
        <v/>
      </c>
      <c r="N79" s="130">
        <f>IF(OR($C79="",$B$2="",$D$2=0),0,IF(N$3&lt;0,0,N(INDEX('CURVA PREVISION'!$A$1:$KZ$3000,$C79,11+3*MIN(N$3,$D$2-1)))))</f>
        <v/>
      </c>
      <c r="O79" s="130">
        <f>IF(OR($C79="",$B$2="",$D$2=0),0,IF(O$3&lt;0,0,N(INDEX('CURVA PREVISION'!$A$1:$KZ$3000,$C79,11+3*MIN(O$3,$D$2-1)))))</f>
        <v/>
      </c>
      <c r="P79" s="130">
        <f>IF(OR($C79="",$B$2="",$D$2=0),0,IF(P$3&lt;0,0,N(INDEX('CURVA PREVISION'!$A$1:$KZ$3000,$C79,11+3*MIN(P$3,$D$2-1)))))</f>
        <v/>
      </c>
      <c r="Q79" s="130">
        <f>IF(OR($C79="",$B$2="",$D$2=0),0,IF(Q$3&lt;0,0,N(INDEX('CURVA PREVISION'!$A$1:$KZ$3000,$C79,11+3*MIN(Q$3,$D$2-1)))))</f>
        <v/>
      </c>
      <c r="R79" s="130">
        <f>IF(OR($C79="",$B$2="",$D$2=0),0,IF(R$3&lt;0,0,N(INDEX('CURVA PREVISION'!$A$1:$KZ$3000,$C79,11+3*MIN(R$3,$D$2-1)))))</f>
        <v/>
      </c>
      <c r="S79" s="130">
        <f>IF(OR($C79="",$B$2="",$D$2=0),0,IF(S$3&lt;0,0,N(INDEX('CURVA PREVISION'!$A$1:$KZ$3000,$C79,11+3*MIN(S$3,$D$2-1)))))</f>
        <v/>
      </c>
      <c r="T79" s="130">
        <f>IF(OR($C79="",$B$2="",$D$2=0),0,IF(T$3&lt;0,0,N(INDEX('CURVA PREVISION'!$A$1:$KZ$3000,$C79,11+3*MIN(T$3,$D$2-1)))))</f>
        <v/>
      </c>
      <c r="U79" s="130">
        <f>IF(OR($C79="",$B$2="",$D$2=0),0,IF(U$3&lt;0,0,N(INDEX('CURVA PREVISION'!$A$1:$KZ$3000,$C79,11+3*MIN(U$3,$D$2-1)))))</f>
        <v/>
      </c>
      <c r="V79" s="130">
        <f>IF(OR($C79="",$B$2="",$D$2=0),0,IF(V$3&lt;0,0,N(INDEX('CURVA PREVISION'!$A$1:$KZ$3000,$C79,11+3*MIN(V$3,$D$2-1)))))</f>
        <v/>
      </c>
      <c r="W79" s="130">
        <f>IF(OR($C79="",$B$2="",$D$2=0),0,IF(W$3&lt;0,0,N(INDEX('CURVA PREVISION'!$A$1:$KZ$3000,$C79,11+3*MIN(W$3,$D$2-1)))))</f>
        <v/>
      </c>
      <c r="X79" s="130">
        <f>IF(OR($C79="",$B$2="",$D$2=0),0,IF(X$3&lt;0,0,N(INDEX('CURVA PREVISION'!$A$1:$KZ$3000,$C79,11+3*MIN(X$3,$D$2-1)))))</f>
        <v/>
      </c>
      <c r="Y79" s="130">
        <f>IF(OR($C79="",$B$2="",$D$2=0),0,IF(Y$3&lt;0,0,N(INDEX('CURVA PREVISION'!$A$1:$KZ$3000,$C79,11+3*MIN(Y$3,$D$2-1)))))</f>
        <v/>
      </c>
      <c r="Z79" s="130">
        <f>IF(OR($C79="",$B$2="",$D$2=0),0,IF(Z$3&lt;0,0,N(INDEX('CURVA PREVISION'!$A$1:$KZ$3000,$C79,11+3*MIN(Z$3,$D$2-1)))))</f>
        <v/>
      </c>
      <c r="AA79" s="130">
        <f>IF(OR($C79="",$B$2="",$D$2=0),0,IF(AA$3&lt;0,0,N(INDEX('CURVA PREVISION'!$A$1:$KZ$3000,$C79,11+3*MIN(AA$3,$D$2-1)))))</f>
        <v/>
      </c>
      <c r="AB79" s="130">
        <f>IF(OR($C79="",$B$2="",$D$2=0),0,IF(AB$3&lt;0,0,N(INDEX('CURVA PREVISION'!$A$1:$KZ$3000,$C79,11+3*MIN(AB$3,$D$2-1)))))</f>
        <v/>
      </c>
      <c r="AC79" s="130">
        <f>IF(OR($C79="",$B$2="",$D$2=0),0,IF(AC$3&lt;0,0,N(INDEX('CURVA PREVISION'!$A$1:$KZ$3000,$C79,11+3*MIN(AC$3,$D$2-1)))))</f>
        <v/>
      </c>
      <c r="AD79" s="130">
        <f>IF(OR($C79="",$B$2="",$D$2=0),0,IF(AD$3&lt;0,0,N(INDEX('CURVA PREVISION'!$A$1:$KZ$3000,$C79,11+3*MIN(AD$3,$D$2-1)))))</f>
        <v/>
      </c>
      <c r="AE79" s="130">
        <f>IF(OR($C79="",$B$2="",$D$2=0),0,IF(AE$3&lt;0,0,N(INDEX('CURVA PREVISION'!$A$1:$KZ$3000,$C79,11+3*MIN(AE$3,$D$2-1)))))</f>
        <v/>
      </c>
      <c r="AF79" s="130">
        <f>IF(OR($C79="",$B$2="",$D$2=0),0,IF(AF$3&lt;0,0,N(INDEX('CURVA PREVISION'!$A$1:$KZ$3000,$C79,11+3*MIN(AF$3,$D$2-1)))))</f>
        <v/>
      </c>
      <c r="AG79" s="130">
        <f>IF(OR($C79="",$B$2="",$D$2=0),0,IF(AG$3&lt;0,0,N(INDEX('CURVA PREVISION'!$A$1:$KZ$3000,$C79,11+3*MIN(AG$3,$D$2-1)))))</f>
        <v/>
      </c>
      <c r="AH79" s="130">
        <f>IF(OR($C79="",$B$2="",$D$2=0),0,IF(AH$3&lt;0,0,N(INDEX('CURVA PREVISION'!$A$1:$KZ$3000,$C79,11+3*MIN(AH$3,$D$2-1)))))</f>
        <v/>
      </c>
      <c r="AI79" s="130">
        <f>IF(OR($C79="",$B$2="",$D$2=0),0,IF(AI$3&lt;0,0,N(INDEX('CURVA PREVISION'!$A$1:$KZ$3000,$C79,11+3*MIN(AI$3,$D$2-1)))))</f>
        <v/>
      </c>
      <c r="AJ79" s="130">
        <f>IF(OR($C79="",$B$2="",$D$2=0),0,IF(AJ$3&lt;0,0,N(INDEX('CURVA PREVISION'!$A$1:$KZ$3000,$C79,11+3*MIN(AJ$3,$D$2-1)))))</f>
        <v/>
      </c>
      <c r="AK79" s="130">
        <f>IF(OR($C79="",$B$2="",$D$2=0),0,IF(AK$3&lt;0,0,N(INDEX('CURVA PREVISION'!$A$1:$KZ$3000,$C79,11+3*MIN(AK$3,$D$2-1)))))</f>
        <v/>
      </c>
      <c r="AL79" s="130">
        <f>IF(OR($C79="",$B$2="",$D$2=0),0,IF(AL$3&lt;0,0,N(INDEX('CURVA PREVISION'!$A$1:$KZ$3000,$C79,11+3*MIN(AL$3,$D$2-1)))))</f>
        <v/>
      </c>
      <c r="AM79" s="130">
        <f>IF(OR($C79="",$B$2="",$D$2=0),0,IF(AM$3&lt;0,0,N(INDEX('CURVA PREVISION'!$A$1:$KZ$3000,$C79,11+3*MIN(AM$3,$D$2-1)))))</f>
        <v/>
      </c>
      <c r="AN79" s="130">
        <f>IF(OR($C79="",$B$2="",$D$2=0),0,IF(AN$3&lt;0,0,N(INDEX('CURVA PREVISION'!$A$1:$KZ$3000,$C79,11+3*MIN(AN$3,$D$2-1)))))</f>
        <v/>
      </c>
      <c r="AO79" s="130">
        <f>IF(OR($C79="",$B$2="",$D$2=0),0,IF(AO$3&lt;0,0,N(INDEX('CURVA PREVISION'!$A$1:$KZ$3000,$C79,11+3*MIN(AO$3,$D$2-1)))))</f>
        <v/>
      </c>
      <c r="AP79" s="130">
        <f>IF(OR($C79="",$B$2="",$D$2=0),0,IF(AP$3&lt;0,0,N(INDEX('CURVA PREVISION'!$A$1:$KZ$3000,$C79,11+3*MIN(AP$3,$D$2-1)))))</f>
        <v/>
      </c>
      <c r="AQ79" s="130">
        <f>IF(OR($C79="",$B$2="",$D$2=0),0,IF(AQ$3&lt;0,0,N(INDEX('CURVA PREVISION'!$A$1:$KZ$3000,$C79,11+3*MIN(AQ$3,$D$2-1)))))</f>
        <v/>
      </c>
      <c r="AR79" s="130">
        <f>IF(OR($C79="",$B$2="",$D$2=0),0,IF(AR$3&lt;0,0,N(INDEX('CURVA PREVISION'!$A$1:$KZ$3000,$C79,11+3*MIN(AR$3,$D$2-1)))))</f>
        <v/>
      </c>
      <c r="AS79" s="130">
        <f>IF(OR($C79="",$B$2="",$D$2=0),0,IF(AS$3&lt;0,0,N(INDEX('CURVA PREVISION'!$A$1:$KZ$3000,$C79,11+3*MIN(AS$3,$D$2-1)))))</f>
        <v/>
      </c>
      <c r="AT79" s="130">
        <f>IF(OR($C79="",$B$2="",$D$2=0),0,IF(AT$3&lt;0,0,N(INDEX('CURVA PREVISION'!$A$1:$KZ$3000,$C79,11+3*MIN(AT$3,$D$2-1)))))</f>
        <v/>
      </c>
      <c r="AU79" s="130">
        <f>IF(OR($C79="",$B$2="",$D$2=0),0,IF(AU$3&lt;0,0,N(INDEX('CURVA PREVISION'!$A$1:$KZ$3000,$C79,11+3*MIN(AU$3,$D$2-1)))))</f>
        <v/>
      </c>
      <c r="AV79" s="130">
        <f>IF(OR($C79="",$B$2="",$D$2=0),0,IF(AV$3&lt;0,0,N(INDEX('CURVA PREVISION'!$A$1:$KZ$3000,$C79,11+3*MIN(AV$3,$D$2-1)))))</f>
        <v/>
      </c>
      <c r="AW79" s="130">
        <f>IF(OR($C79="",$B$2="",$D$2=0),0,IF(AW$3&lt;0,0,N(INDEX('CURVA PREVISION'!$A$1:$KZ$3000,$C79,11+3*MIN(AW$3,$D$2-1)))))</f>
        <v/>
      </c>
      <c r="AX79" s="130">
        <f>IF(OR($C79="",$B$2="",$D$2=0),0,IF(AX$3&lt;0,0,N(INDEX('CURVA PREVISION'!$A$1:$KZ$3000,$C79,11+3*MIN(AX$3,$D$2-1)))))</f>
        <v/>
      </c>
      <c r="AY79" s="130">
        <f>IF(OR($C79="",$B$2="",$D$2=0),0,IF(AY$3&lt;0,0,N(INDEX('CURVA PREVISION'!$A$1:$KZ$3000,$C79,11+3*MIN(AY$3,$D$2-1)))))</f>
        <v/>
      </c>
      <c r="AZ79" s="130">
        <f>IF(OR($C79="",$B$2="",$D$2=0),0,IF(AZ$3&lt;0,0,N(INDEX('CURVA PREVISION'!$A$1:$KZ$3000,$C79,11+3*MIN(AZ$3,$D$2-1)))))</f>
        <v/>
      </c>
      <c r="BA79" s="130">
        <f>IF(OR($C79="",$B$2="",$D$2=0),0,IF(BA$3&lt;0,0,N(INDEX('CURVA PREVISION'!$A$1:$KZ$3000,$C79,11+3*MIN(BA$3,$D$2-1)))))</f>
        <v/>
      </c>
      <c r="BB79" s="130">
        <f>IF(OR($C79="",$B$2="",$D$2=0),0,IF(BB$3&lt;0,0,N(INDEX('CURVA PREVISION'!$A$1:$KZ$3000,$C79,11+3*MIN(BB$3,$D$2-1)))))</f>
        <v/>
      </c>
      <c r="BC79" s="130">
        <f>IF(OR($C79="",$B$2="",$D$2=0),0,IF(BC$3&lt;0,0,N(INDEX('CURVA PREVISION'!$A$1:$KZ$3000,$C79,11+3*MIN(BC$3,$D$2-1)))))</f>
        <v/>
      </c>
      <c r="BD79" s="130">
        <f>IF(OR($C79="",$B$2="",$D$2=0),0,IF(BD$3&lt;0,0,N(INDEX('CURVA PREVISION'!$A$1:$KZ$3000,$C79,11+3*MIN(BD$3,$D$2-1)))))</f>
        <v/>
      </c>
      <c r="BE79" s="130">
        <f>IF(OR($C79="",$B$2="",$D$2=0),0,IF(BE$3&lt;0,0,N(INDEX('CURVA PREVISION'!$A$1:$KZ$3000,$C79,11+3*MIN(BE$3,$D$2-1)))))</f>
        <v/>
      </c>
      <c r="BF79" s="130">
        <f>IF(OR($C79="",$B$2="",$D$2=0),0,IF(BF$3&lt;0,0,N(INDEX('CURVA PREVISION'!$A$1:$KZ$3000,$C79,11+3*MIN(BF$3,$D$2-1)))))</f>
        <v/>
      </c>
      <c r="BG79" s="130">
        <f>IF(OR($C79="",$B$2="",$D$2=0),0,IF(BG$3&lt;0,0,N(INDEX('CURVA PREVISION'!$A$1:$KZ$3000,$C79,11+3*MIN(BG$3,$D$2-1)))))</f>
        <v/>
      </c>
      <c r="BH79" s="130">
        <f>IF(OR($C79="",$B$2="",$D$2=0),0,IF(BH$3&lt;0,0,N(INDEX('CURVA PREVISION'!$A$1:$KZ$3000,$C79,11+3*MIN(BH$3,$D$2-1)))))</f>
        <v/>
      </c>
      <c r="BI79" s="130">
        <f>IF(OR($C79="",$B$2="",$D$2=0),0,IF(BI$3&lt;0,0,N(INDEX('CURVA PREVISION'!$A$1:$KZ$3000,$C79,11+3*MIN(BI$3,$D$2-1)))))</f>
        <v/>
      </c>
      <c r="BJ79" s="130">
        <f>IF(OR($C79="",$B$2="",$D$2=0),0,IF(BJ$3&lt;0,0,N(INDEX('CURVA PREVISION'!$A$1:$KZ$3000,$C79,11+3*MIN(BJ$3,$D$2-1)))))</f>
        <v/>
      </c>
      <c r="BK79" s="130">
        <f>IF(OR($C79="",$B$2="",$D$2=0),0,IF(BK$3&lt;0,0,N(INDEX('CURVA PREVISION'!$A$1:$KZ$3000,$C79,11+3*MIN(BK$3,$D$2-1)))))</f>
        <v/>
      </c>
      <c r="BL79" s="130">
        <f>IF(OR($C79="",$B$2="",$D$2=0),0,IF(BL$3&lt;0,0,N(INDEX('CURVA PREVISION'!$A$1:$KZ$3000,$C79,11+3*MIN(BL$3,$D$2-1)))))</f>
        <v/>
      </c>
      <c r="BM79" s="130">
        <f>IF(OR($C79="",$B$2="",$D$2=0),0,IF(BM$3&lt;0,0,N(INDEX('CURVA PREVISION'!$A$1:$KZ$3000,$C79,11+3*MIN(BM$3,$D$2-1)))))</f>
        <v/>
      </c>
      <c r="BN79" s="130">
        <f>IF(OR($C79="",$B$2="",$D$2=0),0,IF(BN$3&lt;0,0,N(INDEX('CURVA PREVISION'!$A$1:$KZ$3000,$C79,11+3*MIN(BN$3,$D$2-1)))))</f>
        <v/>
      </c>
      <c r="BO79" s="130">
        <f>IF(OR($C79="",$B$2="",$D$2=0),0,IF(BO$3&lt;0,0,N(INDEX('CURVA PREVISION'!$A$1:$KZ$3000,$C79,11+3*MIN(BO$3,$D$2-1)))))</f>
        <v/>
      </c>
      <c r="BP79" s="130">
        <f>IF(OR($C79="",$B$2="",$D$2=0),0,IF(BP$3&lt;0,0,N(INDEX('CURVA PREVISION'!$A$1:$KZ$3000,$C79,11+3*MIN(BP$3,$D$2-1)))))</f>
        <v/>
      </c>
      <c r="BQ79" s="130">
        <f>IF(OR($C79="",$B$2="",$D$2=0),0,IF(BQ$3&lt;0,0,N(INDEX('CURVA PREVISION'!$A$1:$KZ$3000,$C79,11+3*MIN(BQ$3,$D$2-1)))))</f>
        <v/>
      </c>
      <c r="BR79" s="130">
        <f>IF(OR($C79="",$B$2="",$D$2=0),0,IF(BR$3&lt;0,0,N(INDEX('CURVA PREVISION'!$A$1:$KZ$3000,$C79,11+3*MIN(BR$3,$D$2-1)))))</f>
        <v/>
      </c>
      <c r="BS79" s="130">
        <f>IF(OR($C79="",$B$2="",$D$2=0),0,IF(BS$3&lt;0,0,N(INDEX('CURVA PREVISION'!$A$1:$KZ$3000,$C79,11+3*MIN(BS$3,$D$2-1)))))</f>
        <v/>
      </c>
      <c r="BT79" s="130">
        <f>IF(OR($C79="",$B$2="",$D$2=0),0,IF(BT$3&lt;0,0,N(INDEX('CURVA PREVISION'!$A$1:$KZ$3000,$C79,11+3*MIN(BT$3,$D$2-1)))))</f>
        <v/>
      </c>
      <c r="BU79" s="130">
        <f>IF(OR($C79="",$B$2="",$D$2=0),0,IF(BU$3&lt;0,0,N(INDEX('CURVA PREVISION'!$A$1:$KZ$3000,$C79,11+3*MIN(BU$3,$D$2-1)))))</f>
        <v/>
      </c>
      <c r="BV79" s="130">
        <f>IF(OR($C79="",$B$2="",$D$2=0),0,IF(BV$3&lt;0,0,N(INDEX('CURVA PREVISION'!$A$1:$KZ$3000,$C79,11+3*MIN(BV$3,$D$2-1)))))</f>
        <v/>
      </c>
      <c r="BW79" s="130">
        <f>IF(OR($C79="",$B$2="",$D$2=0),0,IF(BW$3&lt;0,0,N(INDEX('CURVA PREVISION'!$A$1:$KZ$3000,$C79,11+3*MIN(BW$3,$D$2-1)))))</f>
        <v/>
      </c>
    </row>
    <row r="80">
      <c r="A80" s="61">
        <f>IF('VALOR POR PL'!Q44="",'VALOR POR PL'!C44,'VALOR POR PL'!Q44)</f>
        <v/>
      </c>
      <c r="B80" s="51">
        <f>B38</f>
        <v/>
      </c>
      <c r="C80" s="70">
        <f>IFERROR(MATCH(A80,'CURVA PREVISION'!$B$1:$B$3000,0),"")</f>
        <v/>
      </c>
      <c r="D80" s="130">
        <f>IF(OR($C80="",$B$2="",$D$2=0),0,IF(D$3&lt;0,0,N(INDEX('CURVA PREVISION'!$A$1:$KZ$3000,$C80,11+3*MIN(D$3,$D$2-1)))))</f>
        <v/>
      </c>
      <c r="E80" s="130">
        <f>IF(OR($C80="",$B$2="",$D$2=0),0,IF(E$3&lt;0,0,N(INDEX('CURVA PREVISION'!$A$1:$KZ$3000,$C80,11+3*MIN(E$3,$D$2-1)))))</f>
        <v/>
      </c>
      <c r="F80" s="130">
        <f>IF(OR($C80="",$B$2="",$D$2=0),0,IF(F$3&lt;0,0,N(INDEX('CURVA PREVISION'!$A$1:$KZ$3000,$C80,11+3*MIN(F$3,$D$2-1)))))</f>
        <v/>
      </c>
      <c r="G80" s="130">
        <f>IF(OR($C80="",$B$2="",$D$2=0),0,IF(G$3&lt;0,0,N(INDEX('CURVA PREVISION'!$A$1:$KZ$3000,$C80,11+3*MIN(G$3,$D$2-1)))))</f>
        <v/>
      </c>
      <c r="H80" s="130">
        <f>IF(OR($C80="",$B$2="",$D$2=0),0,IF(H$3&lt;0,0,N(INDEX('CURVA PREVISION'!$A$1:$KZ$3000,$C80,11+3*MIN(H$3,$D$2-1)))))</f>
        <v/>
      </c>
      <c r="I80" s="130">
        <f>IF(OR($C80="",$B$2="",$D$2=0),0,IF(I$3&lt;0,0,N(INDEX('CURVA PREVISION'!$A$1:$KZ$3000,$C80,11+3*MIN(I$3,$D$2-1)))))</f>
        <v/>
      </c>
      <c r="J80" s="130">
        <f>IF(OR($C80="",$B$2="",$D$2=0),0,IF(J$3&lt;0,0,N(INDEX('CURVA PREVISION'!$A$1:$KZ$3000,$C80,11+3*MIN(J$3,$D$2-1)))))</f>
        <v/>
      </c>
      <c r="K80" s="130">
        <f>IF(OR($C80="",$B$2="",$D$2=0),0,IF(K$3&lt;0,0,N(INDEX('CURVA PREVISION'!$A$1:$KZ$3000,$C80,11+3*MIN(K$3,$D$2-1)))))</f>
        <v/>
      </c>
      <c r="L80" s="130">
        <f>IF(OR($C80="",$B$2="",$D$2=0),0,IF(L$3&lt;0,0,N(INDEX('CURVA PREVISION'!$A$1:$KZ$3000,$C80,11+3*MIN(L$3,$D$2-1)))))</f>
        <v/>
      </c>
      <c r="M80" s="130">
        <f>IF(OR($C80="",$B$2="",$D$2=0),0,IF(M$3&lt;0,0,N(INDEX('CURVA PREVISION'!$A$1:$KZ$3000,$C80,11+3*MIN(M$3,$D$2-1)))))</f>
        <v/>
      </c>
      <c r="N80" s="130">
        <f>IF(OR($C80="",$B$2="",$D$2=0),0,IF(N$3&lt;0,0,N(INDEX('CURVA PREVISION'!$A$1:$KZ$3000,$C80,11+3*MIN(N$3,$D$2-1)))))</f>
        <v/>
      </c>
      <c r="O80" s="130">
        <f>IF(OR($C80="",$B$2="",$D$2=0),0,IF(O$3&lt;0,0,N(INDEX('CURVA PREVISION'!$A$1:$KZ$3000,$C80,11+3*MIN(O$3,$D$2-1)))))</f>
        <v/>
      </c>
      <c r="P80" s="130">
        <f>IF(OR($C80="",$B$2="",$D$2=0),0,IF(P$3&lt;0,0,N(INDEX('CURVA PREVISION'!$A$1:$KZ$3000,$C80,11+3*MIN(P$3,$D$2-1)))))</f>
        <v/>
      </c>
      <c r="Q80" s="130">
        <f>IF(OR($C80="",$B$2="",$D$2=0),0,IF(Q$3&lt;0,0,N(INDEX('CURVA PREVISION'!$A$1:$KZ$3000,$C80,11+3*MIN(Q$3,$D$2-1)))))</f>
        <v/>
      </c>
      <c r="R80" s="130">
        <f>IF(OR($C80="",$B$2="",$D$2=0),0,IF(R$3&lt;0,0,N(INDEX('CURVA PREVISION'!$A$1:$KZ$3000,$C80,11+3*MIN(R$3,$D$2-1)))))</f>
        <v/>
      </c>
      <c r="S80" s="130">
        <f>IF(OR($C80="",$B$2="",$D$2=0),0,IF(S$3&lt;0,0,N(INDEX('CURVA PREVISION'!$A$1:$KZ$3000,$C80,11+3*MIN(S$3,$D$2-1)))))</f>
        <v/>
      </c>
      <c r="T80" s="130">
        <f>IF(OR($C80="",$B$2="",$D$2=0),0,IF(T$3&lt;0,0,N(INDEX('CURVA PREVISION'!$A$1:$KZ$3000,$C80,11+3*MIN(T$3,$D$2-1)))))</f>
        <v/>
      </c>
      <c r="U80" s="130">
        <f>IF(OR($C80="",$B$2="",$D$2=0),0,IF(U$3&lt;0,0,N(INDEX('CURVA PREVISION'!$A$1:$KZ$3000,$C80,11+3*MIN(U$3,$D$2-1)))))</f>
        <v/>
      </c>
      <c r="V80" s="130">
        <f>IF(OR($C80="",$B$2="",$D$2=0),0,IF(V$3&lt;0,0,N(INDEX('CURVA PREVISION'!$A$1:$KZ$3000,$C80,11+3*MIN(V$3,$D$2-1)))))</f>
        <v/>
      </c>
      <c r="W80" s="130">
        <f>IF(OR($C80="",$B$2="",$D$2=0),0,IF(W$3&lt;0,0,N(INDEX('CURVA PREVISION'!$A$1:$KZ$3000,$C80,11+3*MIN(W$3,$D$2-1)))))</f>
        <v/>
      </c>
      <c r="X80" s="130">
        <f>IF(OR($C80="",$B$2="",$D$2=0),0,IF(X$3&lt;0,0,N(INDEX('CURVA PREVISION'!$A$1:$KZ$3000,$C80,11+3*MIN(X$3,$D$2-1)))))</f>
        <v/>
      </c>
      <c r="Y80" s="130">
        <f>IF(OR($C80="",$B$2="",$D$2=0),0,IF(Y$3&lt;0,0,N(INDEX('CURVA PREVISION'!$A$1:$KZ$3000,$C80,11+3*MIN(Y$3,$D$2-1)))))</f>
        <v/>
      </c>
      <c r="Z80" s="130">
        <f>IF(OR($C80="",$B$2="",$D$2=0),0,IF(Z$3&lt;0,0,N(INDEX('CURVA PREVISION'!$A$1:$KZ$3000,$C80,11+3*MIN(Z$3,$D$2-1)))))</f>
        <v/>
      </c>
      <c r="AA80" s="130">
        <f>IF(OR($C80="",$B$2="",$D$2=0),0,IF(AA$3&lt;0,0,N(INDEX('CURVA PREVISION'!$A$1:$KZ$3000,$C80,11+3*MIN(AA$3,$D$2-1)))))</f>
        <v/>
      </c>
      <c r="AB80" s="130">
        <f>IF(OR($C80="",$B$2="",$D$2=0),0,IF(AB$3&lt;0,0,N(INDEX('CURVA PREVISION'!$A$1:$KZ$3000,$C80,11+3*MIN(AB$3,$D$2-1)))))</f>
        <v/>
      </c>
      <c r="AC80" s="130">
        <f>IF(OR($C80="",$B$2="",$D$2=0),0,IF(AC$3&lt;0,0,N(INDEX('CURVA PREVISION'!$A$1:$KZ$3000,$C80,11+3*MIN(AC$3,$D$2-1)))))</f>
        <v/>
      </c>
      <c r="AD80" s="130">
        <f>IF(OR($C80="",$B$2="",$D$2=0),0,IF(AD$3&lt;0,0,N(INDEX('CURVA PREVISION'!$A$1:$KZ$3000,$C80,11+3*MIN(AD$3,$D$2-1)))))</f>
        <v/>
      </c>
      <c r="AE80" s="130">
        <f>IF(OR($C80="",$B$2="",$D$2=0),0,IF(AE$3&lt;0,0,N(INDEX('CURVA PREVISION'!$A$1:$KZ$3000,$C80,11+3*MIN(AE$3,$D$2-1)))))</f>
        <v/>
      </c>
      <c r="AF80" s="130">
        <f>IF(OR($C80="",$B$2="",$D$2=0),0,IF(AF$3&lt;0,0,N(INDEX('CURVA PREVISION'!$A$1:$KZ$3000,$C80,11+3*MIN(AF$3,$D$2-1)))))</f>
        <v/>
      </c>
      <c r="AG80" s="130">
        <f>IF(OR($C80="",$B$2="",$D$2=0),0,IF(AG$3&lt;0,0,N(INDEX('CURVA PREVISION'!$A$1:$KZ$3000,$C80,11+3*MIN(AG$3,$D$2-1)))))</f>
        <v/>
      </c>
      <c r="AH80" s="130">
        <f>IF(OR($C80="",$B$2="",$D$2=0),0,IF(AH$3&lt;0,0,N(INDEX('CURVA PREVISION'!$A$1:$KZ$3000,$C80,11+3*MIN(AH$3,$D$2-1)))))</f>
        <v/>
      </c>
      <c r="AI80" s="130">
        <f>IF(OR($C80="",$B$2="",$D$2=0),0,IF(AI$3&lt;0,0,N(INDEX('CURVA PREVISION'!$A$1:$KZ$3000,$C80,11+3*MIN(AI$3,$D$2-1)))))</f>
        <v/>
      </c>
      <c r="AJ80" s="130">
        <f>IF(OR($C80="",$B$2="",$D$2=0),0,IF(AJ$3&lt;0,0,N(INDEX('CURVA PREVISION'!$A$1:$KZ$3000,$C80,11+3*MIN(AJ$3,$D$2-1)))))</f>
        <v/>
      </c>
      <c r="AK80" s="130">
        <f>IF(OR($C80="",$B$2="",$D$2=0),0,IF(AK$3&lt;0,0,N(INDEX('CURVA PREVISION'!$A$1:$KZ$3000,$C80,11+3*MIN(AK$3,$D$2-1)))))</f>
        <v/>
      </c>
      <c r="AL80" s="130">
        <f>IF(OR($C80="",$B$2="",$D$2=0),0,IF(AL$3&lt;0,0,N(INDEX('CURVA PREVISION'!$A$1:$KZ$3000,$C80,11+3*MIN(AL$3,$D$2-1)))))</f>
        <v/>
      </c>
      <c r="AM80" s="130">
        <f>IF(OR($C80="",$B$2="",$D$2=0),0,IF(AM$3&lt;0,0,N(INDEX('CURVA PREVISION'!$A$1:$KZ$3000,$C80,11+3*MIN(AM$3,$D$2-1)))))</f>
        <v/>
      </c>
      <c r="AN80" s="130">
        <f>IF(OR($C80="",$B$2="",$D$2=0),0,IF(AN$3&lt;0,0,N(INDEX('CURVA PREVISION'!$A$1:$KZ$3000,$C80,11+3*MIN(AN$3,$D$2-1)))))</f>
        <v/>
      </c>
      <c r="AO80" s="130">
        <f>IF(OR($C80="",$B$2="",$D$2=0),0,IF(AO$3&lt;0,0,N(INDEX('CURVA PREVISION'!$A$1:$KZ$3000,$C80,11+3*MIN(AO$3,$D$2-1)))))</f>
        <v/>
      </c>
      <c r="AP80" s="130">
        <f>IF(OR($C80="",$B$2="",$D$2=0),0,IF(AP$3&lt;0,0,N(INDEX('CURVA PREVISION'!$A$1:$KZ$3000,$C80,11+3*MIN(AP$3,$D$2-1)))))</f>
        <v/>
      </c>
      <c r="AQ80" s="130">
        <f>IF(OR($C80="",$B$2="",$D$2=0),0,IF(AQ$3&lt;0,0,N(INDEX('CURVA PREVISION'!$A$1:$KZ$3000,$C80,11+3*MIN(AQ$3,$D$2-1)))))</f>
        <v/>
      </c>
      <c r="AR80" s="130">
        <f>IF(OR($C80="",$B$2="",$D$2=0),0,IF(AR$3&lt;0,0,N(INDEX('CURVA PREVISION'!$A$1:$KZ$3000,$C80,11+3*MIN(AR$3,$D$2-1)))))</f>
        <v/>
      </c>
      <c r="AS80" s="130">
        <f>IF(OR($C80="",$B$2="",$D$2=0),0,IF(AS$3&lt;0,0,N(INDEX('CURVA PREVISION'!$A$1:$KZ$3000,$C80,11+3*MIN(AS$3,$D$2-1)))))</f>
        <v/>
      </c>
      <c r="AT80" s="130">
        <f>IF(OR($C80="",$B$2="",$D$2=0),0,IF(AT$3&lt;0,0,N(INDEX('CURVA PREVISION'!$A$1:$KZ$3000,$C80,11+3*MIN(AT$3,$D$2-1)))))</f>
        <v/>
      </c>
      <c r="AU80" s="130">
        <f>IF(OR($C80="",$B$2="",$D$2=0),0,IF(AU$3&lt;0,0,N(INDEX('CURVA PREVISION'!$A$1:$KZ$3000,$C80,11+3*MIN(AU$3,$D$2-1)))))</f>
        <v/>
      </c>
      <c r="AV80" s="130">
        <f>IF(OR($C80="",$B$2="",$D$2=0),0,IF(AV$3&lt;0,0,N(INDEX('CURVA PREVISION'!$A$1:$KZ$3000,$C80,11+3*MIN(AV$3,$D$2-1)))))</f>
        <v/>
      </c>
      <c r="AW80" s="130">
        <f>IF(OR($C80="",$B$2="",$D$2=0),0,IF(AW$3&lt;0,0,N(INDEX('CURVA PREVISION'!$A$1:$KZ$3000,$C80,11+3*MIN(AW$3,$D$2-1)))))</f>
        <v/>
      </c>
      <c r="AX80" s="130">
        <f>IF(OR($C80="",$B$2="",$D$2=0),0,IF(AX$3&lt;0,0,N(INDEX('CURVA PREVISION'!$A$1:$KZ$3000,$C80,11+3*MIN(AX$3,$D$2-1)))))</f>
        <v/>
      </c>
      <c r="AY80" s="130">
        <f>IF(OR($C80="",$B$2="",$D$2=0),0,IF(AY$3&lt;0,0,N(INDEX('CURVA PREVISION'!$A$1:$KZ$3000,$C80,11+3*MIN(AY$3,$D$2-1)))))</f>
        <v/>
      </c>
      <c r="AZ80" s="130">
        <f>IF(OR($C80="",$B$2="",$D$2=0),0,IF(AZ$3&lt;0,0,N(INDEX('CURVA PREVISION'!$A$1:$KZ$3000,$C80,11+3*MIN(AZ$3,$D$2-1)))))</f>
        <v/>
      </c>
      <c r="BA80" s="130">
        <f>IF(OR($C80="",$B$2="",$D$2=0),0,IF(BA$3&lt;0,0,N(INDEX('CURVA PREVISION'!$A$1:$KZ$3000,$C80,11+3*MIN(BA$3,$D$2-1)))))</f>
        <v/>
      </c>
      <c r="BB80" s="130">
        <f>IF(OR($C80="",$B$2="",$D$2=0),0,IF(BB$3&lt;0,0,N(INDEX('CURVA PREVISION'!$A$1:$KZ$3000,$C80,11+3*MIN(BB$3,$D$2-1)))))</f>
        <v/>
      </c>
      <c r="BC80" s="130">
        <f>IF(OR($C80="",$B$2="",$D$2=0),0,IF(BC$3&lt;0,0,N(INDEX('CURVA PREVISION'!$A$1:$KZ$3000,$C80,11+3*MIN(BC$3,$D$2-1)))))</f>
        <v/>
      </c>
      <c r="BD80" s="130">
        <f>IF(OR($C80="",$B$2="",$D$2=0),0,IF(BD$3&lt;0,0,N(INDEX('CURVA PREVISION'!$A$1:$KZ$3000,$C80,11+3*MIN(BD$3,$D$2-1)))))</f>
        <v/>
      </c>
      <c r="BE80" s="130">
        <f>IF(OR($C80="",$B$2="",$D$2=0),0,IF(BE$3&lt;0,0,N(INDEX('CURVA PREVISION'!$A$1:$KZ$3000,$C80,11+3*MIN(BE$3,$D$2-1)))))</f>
        <v/>
      </c>
      <c r="BF80" s="130">
        <f>IF(OR($C80="",$B$2="",$D$2=0),0,IF(BF$3&lt;0,0,N(INDEX('CURVA PREVISION'!$A$1:$KZ$3000,$C80,11+3*MIN(BF$3,$D$2-1)))))</f>
        <v/>
      </c>
      <c r="BG80" s="130">
        <f>IF(OR($C80="",$B$2="",$D$2=0),0,IF(BG$3&lt;0,0,N(INDEX('CURVA PREVISION'!$A$1:$KZ$3000,$C80,11+3*MIN(BG$3,$D$2-1)))))</f>
        <v/>
      </c>
      <c r="BH80" s="130">
        <f>IF(OR($C80="",$B$2="",$D$2=0),0,IF(BH$3&lt;0,0,N(INDEX('CURVA PREVISION'!$A$1:$KZ$3000,$C80,11+3*MIN(BH$3,$D$2-1)))))</f>
        <v/>
      </c>
      <c r="BI80" s="130">
        <f>IF(OR($C80="",$B$2="",$D$2=0),0,IF(BI$3&lt;0,0,N(INDEX('CURVA PREVISION'!$A$1:$KZ$3000,$C80,11+3*MIN(BI$3,$D$2-1)))))</f>
        <v/>
      </c>
      <c r="BJ80" s="130">
        <f>IF(OR($C80="",$B$2="",$D$2=0),0,IF(BJ$3&lt;0,0,N(INDEX('CURVA PREVISION'!$A$1:$KZ$3000,$C80,11+3*MIN(BJ$3,$D$2-1)))))</f>
        <v/>
      </c>
      <c r="BK80" s="130">
        <f>IF(OR($C80="",$B$2="",$D$2=0),0,IF(BK$3&lt;0,0,N(INDEX('CURVA PREVISION'!$A$1:$KZ$3000,$C80,11+3*MIN(BK$3,$D$2-1)))))</f>
        <v/>
      </c>
      <c r="BL80" s="130">
        <f>IF(OR($C80="",$B$2="",$D$2=0),0,IF(BL$3&lt;0,0,N(INDEX('CURVA PREVISION'!$A$1:$KZ$3000,$C80,11+3*MIN(BL$3,$D$2-1)))))</f>
        <v/>
      </c>
      <c r="BM80" s="130">
        <f>IF(OR($C80="",$B$2="",$D$2=0),0,IF(BM$3&lt;0,0,N(INDEX('CURVA PREVISION'!$A$1:$KZ$3000,$C80,11+3*MIN(BM$3,$D$2-1)))))</f>
        <v/>
      </c>
      <c r="BN80" s="130">
        <f>IF(OR($C80="",$B$2="",$D$2=0),0,IF(BN$3&lt;0,0,N(INDEX('CURVA PREVISION'!$A$1:$KZ$3000,$C80,11+3*MIN(BN$3,$D$2-1)))))</f>
        <v/>
      </c>
      <c r="BO80" s="130">
        <f>IF(OR($C80="",$B$2="",$D$2=0),0,IF(BO$3&lt;0,0,N(INDEX('CURVA PREVISION'!$A$1:$KZ$3000,$C80,11+3*MIN(BO$3,$D$2-1)))))</f>
        <v/>
      </c>
      <c r="BP80" s="130">
        <f>IF(OR($C80="",$B$2="",$D$2=0),0,IF(BP$3&lt;0,0,N(INDEX('CURVA PREVISION'!$A$1:$KZ$3000,$C80,11+3*MIN(BP$3,$D$2-1)))))</f>
        <v/>
      </c>
      <c r="BQ80" s="130">
        <f>IF(OR($C80="",$B$2="",$D$2=0),0,IF(BQ$3&lt;0,0,N(INDEX('CURVA PREVISION'!$A$1:$KZ$3000,$C80,11+3*MIN(BQ$3,$D$2-1)))))</f>
        <v/>
      </c>
      <c r="BR80" s="130">
        <f>IF(OR($C80="",$B$2="",$D$2=0),0,IF(BR$3&lt;0,0,N(INDEX('CURVA PREVISION'!$A$1:$KZ$3000,$C80,11+3*MIN(BR$3,$D$2-1)))))</f>
        <v/>
      </c>
      <c r="BS80" s="130">
        <f>IF(OR($C80="",$B$2="",$D$2=0),0,IF(BS$3&lt;0,0,N(INDEX('CURVA PREVISION'!$A$1:$KZ$3000,$C80,11+3*MIN(BS$3,$D$2-1)))))</f>
        <v/>
      </c>
      <c r="BT80" s="130">
        <f>IF(OR($C80="",$B$2="",$D$2=0),0,IF(BT$3&lt;0,0,N(INDEX('CURVA PREVISION'!$A$1:$KZ$3000,$C80,11+3*MIN(BT$3,$D$2-1)))))</f>
        <v/>
      </c>
      <c r="BU80" s="130">
        <f>IF(OR($C80="",$B$2="",$D$2=0),0,IF(BU$3&lt;0,0,N(INDEX('CURVA PREVISION'!$A$1:$KZ$3000,$C80,11+3*MIN(BU$3,$D$2-1)))))</f>
        <v/>
      </c>
      <c r="BV80" s="130">
        <f>IF(OR($C80="",$B$2="",$D$2=0),0,IF(BV$3&lt;0,0,N(INDEX('CURVA PREVISION'!$A$1:$KZ$3000,$C80,11+3*MIN(BV$3,$D$2-1)))))</f>
        <v/>
      </c>
      <c r="BW80" s="130">
        <f>IF(OR($C80="",$B$2="",$D$2=0),0,IF(BW$3&lt;0,0,N(INDEX('CURVA PREVISION'!$A$1:$KZ$3000,$C80,11+3*MIN(BW$3,$D$2-1)))))</f>
        <v/>
      </c>
    </row>
    <row r="81">
      <c r="A81" s="61">
        <f>IF('VALOR POR PL'!Q45="",'VALOR POR PL'!C45,'VALOR POR PL'!Q45)</f>
        <v/>
      </c>
      <c r="B81" s="51">
        <f>B39</f>
        <v/>
      </c>
      <c r="C81" s="70">
        <f>IFERROR(MATCH(A81,'CURVA PREVISION'!$B$1:$B$3000,0),"")</f>
        <v/>
      </c>
      <c r="D81" s="130">
        <f>IF(OR($C81="",$B$2="",$D$2=0),0,IF(D$3&lt;0,0,N(INDEX('CURVA PREVISION'!$A$1:$KZ$3000,$C81,11+3*MIN(D$3,$D$2-1)))))</f>
        <v/>
      </c>
      <c r="E81" s="130">
        <f>IF(OR($C81="",$B$2="",$D$2=0),0,IF(E$3&lt;0,0,N(INDEX('CURVA PREVISION'!$A$1:$KZ$3000,$C81,11+3*MIN(E$3,$D$2-1)))))</f>
        <v/>
      </c>
      <c r="F81" s="130">
        <f>IF(OR($C81="",$B$2="",$D$2=0),0,IF(F$3&lt;0,0,N(INDEX('CURVA PREVISION'!$A$1:$KZ$3000,$C81,11+3*MIN(F$3,$D$2-1)))))</f>
        <v/>
      </c>
      <c r="G81" s="130">
        <f>IF(OR($C81="",$B$2="",$D$2=0),0,IF(G$3&lt;0,0,N(INDEX('CURVA PREVISION'!$A$1:$KZ$3000,$C81,11+3*MIN(G$3,$D$2-1)))))</f>
        <v/>
      </c>
      <c r="H81" s="130">
        <f>IF(OR($C81="",$B$2="",$D$2=0),0,IF(H$3&lt;0,0,N(INDEX('CURVA PREVISION'!$A$1:$KZ$3000,$C81,11+3*MIN(H$3,$D$2-1)))))</f>
        <v/>
      </c>
      <c r="I81" s="130">
        <f>IF(OR($C81="",$B$2="",$D$2=0),0,IF(I$3&lt;0,0,N(INDEX('CURVA PREVISION'!$A$1:$KZ$3000,$C81,11+3*MIN(I$3,$D$2-1)))))</f>
        <v/>
      </c>
      <c r="J81" s="130">
        <f>IF(OR($C81="",$B$2="",$D$2=0),0,IF(J$3&lt;0,0,N(INDEX('CURVA PREVISION'!$A$1:$KZ$3000,$C81,11+3*MIN(J$3,$D$2-1)))))</f>
        <v/>
      </c>
      <c r="K81" s="130">
        <f>IF(OR($C81="",$B$2="",$D$2=0),0,IF(K$3&lt;0,0,N(INDEX('CURVA PREVISION'!$A$1:$KZ$3000,$C81,11+3*MIN(K$3,$D$2-1)))))</f>
        <v/>
      </c>
      <c r="L81" s="130">
        <f>IF(OR($C81="",$B$2="",$D$2=0),0,IF(L$3&lt;0,0,N(INDEX('CURVA PREVISION'!$A$1:$KZ$3000,$C81,11+3*MIN(L$3,$D$2-1)))))</f>
        <v/>
      </c>
      <c r="M81" s="130">
        <f>IF(OR($C81="",$B$2="",$D$2=0),0,IF(M$3&lt;0,0,N(INDEX('CURVA PREVISION'!$A$1:$KZ$3000,$C81,11+3*MIN(M$3,$D$2-1)))))</f>
        <v/>
      </c>
      <c r="N81" s="130">
        <f>IF(OR($C81="",$B$2="",$D$2=0),0,IF(N$3&lt;0,0,N(INDEX('CURVA PREVISION'!$A$1:$KZ$3000,$C81,11+3*MIN(N$3,$D$2-1)))))</f>
        <v/>
      </c>
      <c r="O81" s="130">
        <f>IF(OR($C81="",$B$2="",$D$2=0),0,IF(O$3&lt;0,0,N(INDEX('CURVA PREVISION'!$A$1:$KZ$3000,$C81,11+3*MIN(O$3,$D$2-1)))))</f>
        <v/>
      </c>
      <c r="P81" s="130">
        <f>IF(OR($C81="",$B$2="",$D$2=0),0,IF(P$3&lt;0,0,N(INDEX('CURVA PREVISION'!$A$1:$KZ$3000,$C81,11+3*MIN(P$3,$D$2-1)))))</f>
        <v/>
      </c>
      <c r="Q81" s="130">
        <f>IF(OR($C81="",$B$2="",$D$2=0),0,IF(Q$3&lt;0,0,N(INDEX('CURVA PREVISION'!$A$1:$KZ$3000,$C81,11+3*MIN(Q$3,$D$2-1)))))</f>
        <v/>
      </c>
      <c r="R81" s="130">
        <f>IF(OR($C81="",$B$2="",$D$2=0),0,IF(R$3&lt;0,0,N(INDEX('CURVA PREVISION'!$A$1:$KZ$3000,$C81,11+3*MIN(R$3,$D$2-1)))))</f>
        <v/>
      </c>
      <c r="S81" s="130">
        <f>IF(OR($C81="",$B$2="",$D$2=0),0,IF(S$3&lt;0,0,N(INDEX('CURVA PREVISION'!$A$1:$KZ$3000,$C81,11+3*MIN(S$3,$D$2-1)))))</f>
        <v/>
      </c>
      <c r="T81" s="130">
        <f>IF(OR($C81="",$B$2="",$D$2=0),0,IF(T$3&lt;0,0,N(INDEX('CURVA PREVISION'!$A$1:$KZ$3000,$C81,11+3*MIN(T$3,$D$2-1)))))</f>
        <v/>
      </c>
      <c r="U81" s="130">
        <f>IF(OR($C81="",$B$2="",$D$2=0),0,IF(U$3&lt;0,0,N(INDEX('CURVA PREVISION'!$A$1:$KZ$3000,$C81,11+3*MIN(U$3,$D$2-1)))))</f>
        <v/>
      </c>
      <c r="V81" s="130">
        <f>IF(OR($C81="",$B$2="",$D$2=0),0,IF(V$3&lt;0,0,N(INDEX('CURVA PREVISION'!$A$1:$KZ$3000,$C81,11+3*MIN(V$3,$D$2-1)))))</f>
        <v/>
      </c>
      <c r="W81" s="130">
        <f>IF(OR($C81="",$B$2="",$D$2=0),0,IF(W$3&lt;0,0,N(INDEX('CURVA PREVISION'!$A$1:$KZ$3000,$C81,11+3*MIN(W$3,$D$2-1)))))</f>
        <v/>
      </c>
      <c r="X81" s="130">
        <f>IF(OR($C81="",$B$2="",$D$2=0),0,IF(X$3&lt;0,0,N(INDEX('CURVA PREVISION'!$A$1:$KZ$3000,$C81,11+3*MIN(X$3,$D$2-1)))))</f>
        <v/>
      </c>
      <c r="Y81" s="130">
        <f>IF(OR($C81="",$B$2="",$D$2=0),0,IF(Y$3&lt;0,0,N(INDEX('CURVA PREVISION'!$A$1:$KZ$3000,$C81,11+3*MIN(Y$3,$D$2-1)))))</f>
        <v/>
      </c>
      <c r="Z81" s="130">
        <f>IF(OR($C81="",$B$2="",$D$2=0),0,IF(Z$3&lt;0,0,N(INDEX('CURVA PREVISION'!$A$1:$KZ$3000,$C81,11+3*MIN(Z$3,$D$2-1)))))</f>
        <v/>
      </c>
      <c r="AA81" s="130">
        <f>IF(OR($C81="",$B$2="",$D$2=0),0,IF(AA$3&lt;0,0,N(INDEX('CURVA PREVISION'!$A$1:$KZ$3000,$C81,11+3*MIN(AA$3,$D$2-1)))))</f>
        <v/>
      </c>
      <c r="AB81" s="130">
        <f>IF(OR($C81="",$B$2="",$D$2=0),0,IF(AB$3&lt;0,0,N(INDEX('CURVA PREVISION'!$A$1:$KZ$3000,$C81,11+3*MIN(AB$3,$D$2-1)))))</f>
        <v/>
      </c>
      <c r="AC81" s="130">
        <f>IF(OR($C81="",$B$2="",$D$2=0),0,IF(AC$3&lt;0,0,N(INDEX('CURVA PREVISION'!$A$1:$KZ$3000,$C81,11+3*MIN(AC$3,$D$2-1)))))</f>
        <v/>
      </c>
      <c r="AD81" s="130">
        <f>IF(OR($C81="",$B$2="",$D$2=0),0,IF(AD$3&lt;0,0,N(INDEX('CURVA PREVISION'!$A$1:$KZ$3000,$C81,11+3*MIN(AD$3,$D$2-1)))))</f>
        <v/>
      </c>
      <c r="AE81" s="130">
        <f>IF(OR($C81="",$B$2="",$D$2=0),0,IF(AE$3&lt;0,0,N(INDEX('CURVA PREVISION'!$A$1:$KZ$3000,$C81,11+3*MIN(AE$3,$D$2-1)))))</f>
        <v/>
      </c>
      <c r="AF81" s="130">
        <f>IF(OR($C81="",$B$2="",$D$2=0),0,IF(AF$3&lt;0,0,N(INDEX('CURVA PREVISION'!$A$1:$KZ$3000,$C81,11+3*MIN(AF$3,$D$2-1)))))</f>
        <v/>
      </c>
      <c r="AG81" s="130">
        <f>IF(OR($C81="",$B$2="",$D$2=0),0,IF(AG$3&lt;0,0,N(INDEX('CURVA PREVISION'!$A$1:$KZ$3000,$C81,11+3*MIN(AG$3,$D$2-1)))))</f>
        <v/>
      </c>
      <c r="AH81" s="130">
        <f>IF(OR($C81="",$B$2="",$D$2=0),0,IF(AH$3&lt;0,0,N(INDEX('CURVA PREVISION'!$A$1:$KZ$3000,$C81,11+3*MIN(AH$3,$D$2-1)))))</f>
        <v/>
      </c>
      <c r="AI81" s="130">
        <f>IF(OR($C81="",$B$2="",$D$2=0),0,IF(AI$3&lt;0,0,N(INDEX('CURVA PREVISION'!$A$1:$KZ$3000,$C81,11+3*MIN(AI$3,$D$2-1)))))</f>
        <v/>
      </c>
      <c r="AJ81" s="130">
        <f>IF(OR($C81="",$B$2="",$D$2=0),0,IF(AJ$3&lt;0,0,N(INDEX('CURVA PREVISION'!$A$1:$KZ$3000,$C81,11+3*MIN(AJ$3,$D$2-1)))))</f>
        <v/>
      </c>
      <c r="AK81" s="130">
        <f>IF(OR($C81="",$B$2="",$D$2=0),0,IF(AK$3&lt;0,0,N(INDEX('CURVA PREVISION'!$A$1:$KZ$3000,$C81,11+3*MIN(AK$3,$D$2-1)))))</f>
        <v/>
      </c>
      <c r="AL81" s="130">
        <f>IF(OR($C81="",$B$2="",$D$2=0),0,IF(AL$3&lt;0,0,N(INDEX('CURVA PREVISION'!$A$1:$KZ$3000,$C81,11+3*MIN(AL$3,$D$2-1)))))</f>
        <v/>
      </c>
      <c r="AM81" s="130">
        <f>IF(OR($C81="",$B$2="",$D$2=0),0,IF(AM$3&lt;0,0,N(INDEX('CURVA PREVISION'!$A$1:$KZ$3000,$C81,11+3*MIN(AM$3,$D$2-1)))))</f>
        <v/>
      </c>
      <c r="AN81" s="130">
        <f>IF(OR($C81="",$B$2="",$D$2=0),0,IF(AN$3&lt;0,0,N(INDEX('CURVA PREVISION'!$A$1:$KZ$3000,$C81,11+3*MIN(AN$3,$D$2-1)))))</f>
        <v/>
      </c>
      <c r="AO81" s="130">
        <f>IF(OR($C81="",$B$2="",$D$2=0),0,IF(AO$3&lt;0,0,N(INDEX('CURVA PREVISION'!$A$1:$KZ$3000,$C81,11+3*MIN(AO$3,$D$2-1)))))</f>
        <v/>
      </c>
      <c r="AP81" s="130">
        <f>IF(OR($C81="",$B$2="",$D$2=0),0,IF(AP$3&lt;0,0,N(INDEX('CURVA PREVISION'!$A$1:$KZ$3000,$C81,11+3*MIN(AP$3,$D$2-1)))))</f>
        <v/>
      </c>
      <c r="AQ81" s="130">
        <f>IF(OR($C81="",$B$2="",$D$2=0),0,IF(AQ$3&lt;0,0,N(INDEX('CURVA PREVISION'!$A$1:$KZ$3000,$C81,11+3*MIN(AQ$3,$D$2-1)))))</f>
        <v/>
      </c>
      <c r="AR81" s="130">
        <f>IF(OR($C81="",$B$2="",$D$2=0),0,IF(AR$3&lt;0,0,N(INDEX('CURVA PREVISION'!$A$1:$KZ$3000,$C81,11+3*MIN(AR$3,$D$2-1)))))</f>
        <v/>
      </c>
      <c r="AS81" s="130">
        <f>IF(OR($C81="",$B$2="",$D$2=0),0,IF(AS$3&lt;0,0,N(INDEX('CURVA PREVISION'!$A$1:$KZ$3000,$C81,11+3*MIN(AS$3,$D$2-1)))))</f>
        <v/>
      </c>
      <c r="AT81" s="130">
        <f>IF(OR($C81="",$B$2="",$D$2=0),0,IF(AT$3&lt;0,0,N(INDEX('CURVA PREVISION'!$A$1:$KZ$3000,$C81,11+3*MIN(AT$3,$D$2-1)))))</f>
        <v/>
      </c>
      <c r="AU81" s="130">
        <f>IF(OR($C81="",$B$2="",$D$2=0),0,IF(AU$3&lt;0,0,N(INDEX('CURVA PREVISION'!$A$1:$KZ$3000,$C81,11+3*MIN(AU$3,$D$2-1)))))</f>
        <v/>
      </c>
      <c r="AV81" s="130">
        <f>IF(OR($C81="",$B$2="",$D$2=0),0,IF(AV$3&lt;0,0,N(INDEX('CURVA PREVISION'!$A$1:$KZ$3000,$C81,11+3*MIN(AV$3,$D$2-1)))))</f>
        <v/>
      </c>
      <c r="AW81" s="130">
        <f>IF(OR($C81="",$B$2="",$D$2=0),0,IF(AW$3&lt;0,0,N(INDEX('CURVA PREVISION'!$A$1:$KZ$3000,$C81,11+3*MIN(AW$3,$D$2-1)))))</f>
        <v/>
      </c>
      <c r="AX81" s="130">
        <f>IF(OR($C81="",$B$2="",$D$2=0),0,IF(AX$3&lt;0,0,N(INDEX('CURVA PREVISION'!$A$1:$KZ$3000,$C81,11+3*MIN(AX$3,$D$2-1)))))</f>
        <v/>
      </c>
      <c r="AY81" s="130">
        <f>IF(OR($C81="",$B$2="",$D$2=0),0,IF(AY$3&lt;0,0,N(INDEX('CURVA PREVISION'!$A$1:$KZ$3000,$C81,11+3*MIN(AY$3,$D$2-1)))))</f>
        <v/>
      </c>
      <c r="AZ81" s="130">
        <f>IF(OR($C81="",$B$2="",$D$2=0),0,IF(AZ$3&lt;0,0,N(INDEX('CURVA PREVISION'!$A$1:$KZ$3000,$C81,11+3*MIN(AZ$3,$D$2-1)))))</f>
        <v/>
      </c>
      <c r="BA81" s="130">
        <f>IF(OR($C81="",$B$2="",$D$2=0),0,IF(BA$3&lt;0,0,N(INDEX('CURVA PREVISION'!$A$1:$KZ$3000,$C81,11+3*MIN(BA$3,$D$2-1)))))</f>
        <v/>
      </c>
      <c r="BB81" s="130">
        <f>IF(OR($C81="",$B$2="",$D$2=0),0,IF(BB$3&lt;0,0,N(INDEX('CURVA PREVISION'!$A$1:$KZ$3000,$C81,11+3*MIN(BB$3,$D$2-1)))))</f>
        <v/>
      </c>
      <c r="BC81" s="130">
        <f>IF(OR($C81="",$B$2="",$D$2=0),0,IF(BC$3&lt;0,0,N(INDEX('CURVA PREVISION'!$A$1:$KZ$3000,$C81,11+3*MIN(BC$3,$D$2-1)))))</f>
        <v/>
      </c>
      <c r="BD81" s="130">
        <f>IF(OR($C81="",$B$2="",$D$2=0),0,IF(BD$3&lt;0,0,N(INDEX('CURVA PREVISION'!$A$1:$KZ$3000,$C81,11+3*MIN(BD$3,$D$2-1)))))</f>
        <v/>
      </c>
      <c r="BE81" s="130">
        <f>IF(OR($C81="",$B$2="",$D$2=0),0,IF(BE$3&lt;0,0,N(INDEX('CURVA PREVISION'!$A$1:$KZ$3000,$C81,11+3*MIN(BE$3,$D$2-1)))))</f>
        <v/>
      </c>
      <c r="BF81" s="130">
        <f>IF(OR($C81="",$B$2="",$D$2=0),0,IF(BF$3&lt;0,0,N(INDEX('CURVA PREVISION'!$A$1:$KZ$3000,$C81,11+3*MIN(BF$3,$D$2-1)))))</f>
        <v/>
      </c>
      <c r="BG81" s="130">
        <f>IF(OR($C81="",$B$2="",$D$2=0),0,IF(BG$3&lt;0,0,N(INDEX('CURVA PREVISION'!$A$1:$KZ$3000,$C81,11+3*MIN(BG$3,$D$2-1)))))</f>
        <v/>
      </c>
      <c r="BH81" s="130">
        <f>IF(OR($C81="",$B$2="",$D$2=0),0,IF(BH$3&lt;0,0,N(INDEX('CURVA PREVISION'!$A$1:$KZ$3000,$C81,11+3*MIN(BH$3,$D$2-1)))))</f>
        <v/>
      </c>
      <c r="BI81" s="130">
        <f>IF(OR($C81="",$B$2="",$D$2=0),0,IF(BI$3&lt;0,0,N(INDEX('CURVA PREVISION'!$A$1:$KZ$3000,$C81,11+3*MIN(BI$3,$D$2-1)))))</f>
        <v/>
      </c>
      <c r="BJ81" s="130">
        <f>IF(OR($C81="",$B$2="",$D$2=0),0,IF(BJ$3&lt;0,0,N(INDEX('CURVA PREVISION'!$A$1:$KZ$3000,$C81,11+3*MIN(BJ$3,$D$2-1)))))</f>
        <v/>
      </c>
      <c r="BK81" s="130">
        <f>IF(OR($C81="",$B$2="",$D$2=0),0,IF(BK$3&lt;0,0,N(INDEX('CURVA PREVISION'!$A$1:$KZ$3000,$C81,11+3*MIN(BK$3,$D$2-1)))))</f>
        <v/>
      </c>
      <c r="BL81" s="130">
        <f>IF(OR($C81="",$B$2="",$D$2=0),0,IF(BL$3&lt;0,0,N(INDEX('CURVA PREVISION'!$A$1:$KZ$3000,$C81,11+3*MIN(BL$3,$D$2-1)))))</f>
        <v/>
      </c>
      <c r="BM81" s="130">
        <f>IF(OR($C81="",$B$2="",$D$2=0),0,IF(BM$3&lt;0,0,N(INDEX('CURVA PREVISION'!$A$1:$KZ$3000,$C81,11+3*MIN(BM$3,$D$2-1)))))</f>
        <v/>
      </c>
      <c r="BN81" s="130">
        <f>IF(OR($C81="",$B$2="",$D$2=0),0,IF(BN$3&lt;0,0,N(INDEX('CURVA PREVISION'!$A$1:$KZ$3000,$C81,11+3*MIN(BN$3,$D$2-1)))))</f>
        <v/>
      </c>
      <c r="BO81" s="130">
        <f>IF(OR($C81="",$B$2="",$D$2=0),0,IF(BO$3&lt;0,0,N(INDEX('CURVA PREVISION'!$A$1:$KZ$3000,$C81,11+3*MIN(BO$3,$D$2-1)))))</f>
        <v/>
      </c>
      <c r="BP81" s="130">
        <f>IF(OR($C81="",$B$2="",$D$2=0),0,IF(BP$3&lt;0,0,N(INDEX('CURVA PREVISION'!$A$1:$KZ$3000,$C81,11+3*MIN(BP$3,$D$2-1)))))</f>
        <v/>
      </c>
      <c r="BQ81" s="130">
        <f>IF(OR($C81="",$B$2="",$D$2=0),0,IF(BQ$3&lt;0,0,N(INDEX('CURVA PREVISION'!$A$1:$KZ$3000,$C81,11+3*MIN(BQ$3,$D$2-1)))))</f>
        <v/>
      </c>
      <c r="BR81" s="130">
        <f>IF(OR($C81="",$B$2="",$D$2=0),0,IF(BR$3&lt;0,0,N(INDEX('CURVA PREVISION'!$A$1:$KZ$3000,$C81,11+3*MIN(BR$3,$D$2-1)))))</f>
        <v/>
      </c>
      <c r="BS81" s="130">
        <f>IF(OR($C81="",$B$2="",$D$2=0),0,IF(BS$3&lt;0,0,N(INDEX('CURVA PREVISION'!$A$1:$KZ$3000,$C81,11+3*MIN(BS$3,$D$2-1)))))</f>
        <v/>
      </c>
      <c r="BT81" s="130">
        <f>IF(OR($C81="",$B$2="",$D$2=0),0,IF(BT$3&lt;0,0,N(INDEX('CURVA PREVISION'!$A$1:$KZ$3000,$C81,11+3*MIN(BT$3,$D$2-1)))))</f>
        <v/>
      </c>
      <c r="BU81" s="130">
        <f>IF(OR($C81="",$B$2="",$D$2=0),0,IF(BU$3&lt;0,0,N(INDEX('CURVA PREVISION'!$A$1:$KZ$3000,$C81,11+3*MIN(BU$3,$D$2-1)))))</f>
        <v/>
      </c>
      <c r="BV81" s="130">
        <f>IF(OR($C81="",$B$2="",$D$2=0),0,IF(BV$3&lt;0,0,N(INDEX('CURVA PREVISION'!$A$1:$KZ$3000,$C81,11+3*MIN(BV$3,$D$2-1)))))</f>
        <v/>
      </c>
      <c r="BW81" s="130">
        <f>IF(OR($C81="",$B$2="",$D$2=0),0,IF(BW$3&lt;0,0,N(INDEX('CURVA PREVISION'!$A$1:$KZ$3000,$C81,11+3*MIN(BW$3,$D$2-1)))))</f>
        <v/>
      </c>
    </row>
    <row r="82">
      <c r="A82" s="61">
        <f>IF('VALOR POR PL'!Q46="",'VALOR POR PL'!C46,'VALOR POR PL'!Q46)</f>
        <v/>
      </c>
      <c r="B82" s="51">
        <f>B40</f>
        <v/>
      </c>
      <c r="C82" s="70">
        <f>IFERROR(MATCH(A82,'CURVA PREVISION'!$B$1:$B$3000,0),"")</f>
        <v/>
      </c>
      <c r="D82" s="130">
        <f>IF(OR($C82="",$B$2="",$D$2=0),0,IF(D$3&lt;0,0,N(INDEX('CURVA PREVISION'!$A$1:$KZ$3000,$C82,11+3*MIN(D$3,$D$2-1)))))</f>
        <v/>
      </c>
      <c r="E82" s="130">
        <f>IF(OR($C82="",$B$2="",$D$2=0),0,IF(E$3&lt;0,0,N(INDEX('CURVA PREVISION'!$A$1:$KZ$3000,$C82,11+3*MIN(E$3,$D$2-1)))))</f>
        <v/>
      </c>
      <c r="F82" s="130">
        <f>IF(OR($C82="",$B$2="",$D$2=0),0,IF(F$3&lt;0,0,N(INDEX('CURVA PREVISION'!$A$1:$KZ$3000,$C82,11+3*MIN(F$3,$D$2-1)))))</f>
        <v/>
      </c>
      <c r="G82" s="130">
        <f>IF(OR($C82="",$B$2="",$D$2=0),0,IF(G$3&lt;0,0,N(INDEX('CURVA PREVISION'!$A$1:$KZ$3000,$C82,11+3*MIN(G$3,$D$2-1)))))</f>
        <v/>
      </c>
      <c r="H82" s="130">
        <f>IF(OR($C82="",$B$2="",$D$2=0),0,IF(H$3&lt;0,0,N(INDEX('CURVA PREVISION'!$A$1:$KZ$3000,$C82,11+3*MIN(H$3,$D$2-1)))))</f>
        <v/>
      </c>
      <c r="I82" s="130">
        <f>IF(OR($C82="",$B$2="",$D$2=0),0,IF(I$3&lt;0,0,N(INDEX('CURVA PREVISION'!$A$1:$KZ$3000,$C82,11+3*MIN(I$3,$D$2-1)))))</f>
        <v/>
      </c>
      <c r="J82" s="130">
        <f>IF(OR($C82="",$B$2="",$D$2=0),0,IF(J$3&lt;0,0,N(INDEX('CURVA PREVISION'!$A$1:$KZ$3000,$C82,11+3*MIN(J$3,$D$2-1)))))</f>
        <v/>
      </c>
      <c r="K82" s="130">
        <f>IF(OR($C82="",$B$2="",$D$2=0),0,IF(K$3&lt;0,0,N(INDEX('CURVA PREVISION'!$A$1:$KZ$3000,$C82,11+3*MIN(K$3,$D$2-1)))))</f>
        <v/>
      </c>
      <c r="L82" s="130">
        <f>IF(OR($C82="",$B$2="",$D$2=0),0,IF(L$3&lt;0,0,N(INDEX('CURVA PREVISION'!$A$1:$KZ$3000,$C82,11+3*MIN(L$3,$D$2-1)))))</f>
        <v/>
      </c>
      <c r="M82" s="130">
        <f>IF(OR($C82="",$B$2="",$D$2=0),0,IF(M$3&lt;0,0,N(INDEX('CURVA PREVISION'!$A$1:$KZ$3000,$C82,11+3*MIN(M$3,$D$2-1)))))</f>
        <v/>
      </c>
      <c r="N82" s="130">
        <f>IF(OR($C82="",$B$2="",$D$2=0),0,IF(N$3&lt;0,0,N(INDEX('CURVA PREVISION'!$A$1:$KZ$3000,$C82,11+3*MIN(N$3,$D$2-1)))))</f>
        <v/>
      </c>
      <c r="O82" s="130">
        <f>IF(OR($C82="",$B$2="",$D$2=0),0,IF(O$3&lt;0,0,N(INDEX('CURVA PREVISION'!$A$1:$KZ$3000,$C82,11+3*MIN(O$3,$D$2-1)))))</f>
        <v/>
      </c>
      <c r="P82" s="130">
        <f>IF(OR($C82="",$B$2="",$D$2=0),0,IF(P$3&lt;0,0,N(INDEX('CURVA PREVISION'!$A$1:$KZ$3000,$C82,11+3*MIN(P$3,$D$2-1)))))</f>
        <v/>
      </c>
      <c r="Q82" s="130">
        <f>IF(OR($C82="",$B$2="",$D$2=0),0,IF(Q$3&lt;0,0,N(INDEX('CURVA PREVISION'!$A$1:$KZ$3000,$C82,11+3*MIN(Q$3,$D$2-1)))))</f>
        <v/>
      </c>
      <c r="R82" s="130">
        <f>IF(OR($C82="",$B$2="",$D$2=0),0,IF(R$3&lt;0,0,N(INDEX('CURVA PREVISION'!$A$1:$KZ$3000,$C82,11+3*MIN(R$3,$D$2-1)))))</f>
        <v/>
      </c>
      <c r="S82" s="130">
        <f>IF(OR($C82="",$B$2="",$D$2=0),0,IF(S$3&lt;0,0,N(INDEX('CURVA PREVISION'!$A$1:$KZ$3000,$C82,11+3*MIN(S$3,$D$2-1)))))</f>
        <v/>
      </c>
      <c r="T82" s="130">
        <f>IF(OR($C82="",$B$2="",$D$2=0),0,IF(T$3&lt;0,0,N(INDEX('CURVA PREVISION'!$A$1:$KZ$3000,$C82,11+3*MIN(T$3,$D$2-1)))))</f>
        <v/>
      </c>
      <c r="U82" s="130">
        <f>IF(OR($C82="",$B$2="",$D$2=0),0,IF(U$3&lt;0,0,N(INDEX('CURVA PREVISION'!$A$1:$KZ$3000,$C82,11+3*MIN(U$3,$D$2-1)))))</f>
        <v/>
      </c>
      <c r="V82" s="130">
        <f>IF(OR($C82="",$B$2="",$D$2=0),0,IF(V$3&lt;0,0,N(INDEX('CURVA PREVISION'!$A$1:$KZ$3000,$C82,11+3*MIN(V$3,$D$2-1)))))</f>
        <v/>
      </c>
      <c r="W82" s="130">
        <f>IF(OR($C82="",$B$2="",$D$2=0),0,IF(W$3&lt;0,0,N(INDEX('CURVA PREVISION'!$A$1:$KZ$3000,$C82,11+3*MIN(W$3,$D$2-1)))))</f>
        <v/>
      </c>
      <c r="X82" s="130">
        <f>IF(OR($C82="",$B$2="",$D$2=0),0,IF(X$3&lt;0,0,N(INDEX('CURVA PREVISION'!$A$1:$KZ$3000,$C82,11+3*MIN(X$3,$D$2-1)))))</f>
        <v/>
      </c>
      <c r="Y82" s="130">
        <f>IF(OR($C82="",$B$2="",$D$2=0),0,IF(Y$3&lt;0,0,N(INDEX('CURVA PREVISION'!$A$1:$KZ$3000,$C82,11+3*MIN(Y$3,$D$2-1)))))</f>
        <v/>
      </c>
      <c r="Z82" s="130">
        <f>IF(OR($C82="",$B$2="",$D$2=0),0,IF(Z$3&lt;0,0,N(INDEX('CURVA PREVISION'!$A$1:$KZ$3000,$C82,11+3*MIN(Z$3,$D$2-1)))))</f>
        <v/>
      </c>
      <c r="AA82" s="130">
        <f>IF(OR($C82="",$B$2="",$D$2=0),0,IF(AA$3&lt;0,0,N(INDEX('CURVA PREVISION'!$A$1:$KZ$3000,$C82,11+3*MIN(AA$3,$D$2-1)))))</f>
        <v/>
      </c>
      <c r="AB82" s="130">
        <f>IF(OR($C82="",$B$2="",$D$2=0),0,IF(AB$3&lt;0,0,N(INDEX('CURVA PREVISION'!$A$1:$KZ$3000,$C82,11+3*MIN(AB$3,$D$2-1)))))</f>
        <v/>
      </c>
      <c r="AC82" s="130">
        <f>IF(OR($C82="",$B$2="",$D$2=0),0,IF(AC$3&lt;0,0,N(INDEX('CURVA PREVISION'!$A$1:$KZ$3000,$C82,11+3*MIN(AC$3,$D$2-1)))))</f>
        <v/>
      </c>
      <c r="AD82" s="130">
        <f>IF(OR($C82="",$B$2="",$D$2=0),0,IF(AD$3&lt;0,0,N(INDEX('CURVA PREVISION'!$A$1:$KZ$3000,$C82,11+3*MIN(AD$3,$D$2-1)))))</f>
        <v/>
      </c>
      <c r="AE82" s="130">
        <f>IF(OR($C82="",$B$2="",$D$2=0),0,IF(AE$3&lt;0,0,N(INDEX('CURVA PREVISION'!$A$1:$KZ$3000,$C82,11+3*MIN(AE$3,$D$2-1)))))</f>
        <v/>
      </c>
      <c r="AF82" s="130">
        <f>IF(OR($C82="",$B$2="",$D$2=0),0,IF(AF$3&lt;0,0,N(INDEX('CURVA PREVISION'!$A$1:$KZ$3000,$C82,11+3*MIN(AF$3,$D$2-1)))))</f>
        <v/>
      </c>
      <c r="AG82" s="130">
        <f>IF(OR($C82="",$B$2="",$D$2=0),0,IF(AG$3&lt;0,0,N(INDEX('CURVA PREVISION'!$A$1:$KZ$3000,$C82,11+3*MIN(AG$3,$D$2-1)))))</f>
        <v/>
      </c>
      <c r="AH82" s="130">
        <f>IF(OR($C82="",$B$2="",$D$2=0),0,IF(AH$3&lt;0,0,N(INDEX('CURVA PREVISION'!$A$1:$KZ$3000,$C82,11+3*MIN(AH$3,$D$2-1)))))</f>
        <v/>
      </c>
      <c r="AI82" s="130">
        <f>IF(OR($C82="",$B$2="",$D$2=0),0,IF(AI$3&lt;0,0,N(INDEX('CURVA PREVISION'!$A$1:$KZ$3000,$C82,11+3*MIN(AI$3,$D$2-1)))))</f>
        <v/>
      </c>
      <c r="AJ82" s="130">
        <f>IF(OR($C82="",$B$2="",$D$2=0),0,IF(AJ$3&lt;0,0,N(INDEX('CURVA PREVISION'!$A$1:$KZ$3000,$C82,11+3*MIN(AJ$3,$D$2-1)))))</f>
        <v/>
      </c>
      <c r="AK82" s="130">
        <f>IF(OR($C82="",$B$2="",$D$2=0),0,IF(AK$3&lt;0,0,N(INDEX('CURVA PREVISION'!$A$1:$KZ$3000,$C82,11+3*MIN(AK$3,$D$2-1)))))</f>
        <v/>
      </c>
      <c r="AL82" s="130">
        <f>IF(OR($C82="",$B$2="",$D$2=0),0,IF(AL$3&lt;0,0,N(INDEX('CURVA PREVISION'!$A$1:$KZ$3000,$C82,11+3*MIN(AL$3,$D$2-1)))))</f>
        <v/>
      </c>
      <c r="AM82" s="130">
        <f>IF(OR($C82="",$B$2="",$D$2=0),0,IF(AM$3&lt;0,0,N(INDEX('CURVA PREVISION'!$A$1:$KZ$3000,$C82,11+3*MIN(AM$3,$D$2-1)))))</f>
        <v/>
      </c>
      <c r="AN82" s="130">
        <f>IF(OR($C82="",$B$2="",$D$2=0),0,IF(AN$3&lt;0,0,N(INDEX('CURVA PREVISION'!$A$1:$KZ$3000,$C82,11+3*MIN(AN$3,$D$2-1)))))</f>
        <v/>
      </c>
      <c r="AO82" s="130">
        <f>IF(OR($C82="",$B$2="",$D$2=0),0,IF(AO$3&lt;0,0,N(INDEX('CURVA PREVISION'!$A$1:$KZ$3000,$C82,11+3*MIN(AO$3,$D$2-1)))))</f>
        <v/>
      </c>
      <c r="AP82" s="130">
        <f>IF(OR($C82="",$B$2="",$D$2=0),0,IF(AP$3&lt;0,0,N(INDEX('CURVA PREVISION'!$A$1:$KZ$3000,$C82,11+3*MIN(AP$3,$D$2-1)))))</f>
        <v/>
      </c>
      <c r="AQ82" s="130">
        <f>IF(OR($C82="",$B$2="",$D$2=0),0,IF(AQ$3&lt;0,0,N(INDEX('CURVA PREVISION'!$A$1:$KZ$3000,$C82,11+3*MIN(AQ$3,$D$2-1)))))</f>
        <v/>
      </c>
      <c r="AR82" s="130">
        <f>IF(OR($C82="",$B$2="",$D$2=0),0,IF(AR$3&lt;0,0,N(INDEX('CURVA PREVISION'!$A$1:$KZ$3000,$C82,11+3*MIN(AR$3,$D$2-1)))))</f>
        <v/>
      </c>
      <c r="AS82" s="130">
        <f>IF(OR($C82="",$B$2="",$D$2=0),0,IF(AS$3&lt;0,0,N(INDEX('CURVA PREVISION'!$A$1:$KZ$3000,$C82,11+3*MIN(AS$3,$D$2-1)))))</f>
        <v/>
      </c>
      <c r="AT82" s="130">
        <f>IF(OR($C82="",$B$2="",$D$2=0),0,IF(AT$3&lt;0,0,N(INDEX('CURVA PREVISION'!$A$1:$KZ$3000,$C82,11+3*MIN(AT$3,$D$2-1)))))</f>
        <v/>
      </c>
      <c r="AU82" s="130">
        <f>IF(OR($C82="",$B$2="",$D$2=0),0,IF(AU$3&lt;0,0,N(INDEX('CURVA PREVISION'!$A$1:$KZ$3000,$C82,11+3*MIN(AU$3,$D$2-1)))))</f>
        <v/>
      </c>
      <c r="AV82" s="130">
        <f>IF(OR($C82="",$B$2="",$D$2=0),0,IF(AV$3&lt;0,0,N(INDEX('CURVA PREVISION'!$A$1:$KZ$3000,$C82,11+3*MIN(AV$3,$D$2-1)))))</f>
        <v/>
      </c>
      <c r="AW82" s="130">
        <f>IF(OR($C82="",$B$2="",$D$2=0),0,IF(AW$3&lt;0,0,N(INDEX('CURVA PREVISION'!$A$1:$KZ$3000,$C82,11+3*MIN(AW$3,$D$2-1)))))</f>
        <v/>
      </c>
      <c r="AX82" s="130">
        <f>IF(OR($C82="",$B$2="",$D$2=0),0,IF(AX$3&lt;0,0,N(INDEX('CURVA PREVISION'!$A$1:$KZ$3000,$C82,11+3*MIN(AX$3,$D$2-1)))))</f>
        <v/>
      </c>
      <c r="AY82" s="130">
        <f>IF(OR($C82="",$B$2="",$D$2=0),0,IF(AY$3&lt;0,0,N(INDEX('CURVA PREVISION'!$A$1:$KZ$3000,$C82,11+3*MIN(AY$3,$D$2-1)))))</f>
        <v/>
      </c>
      <c r="AZ82" s="130">
        <f>IF(OR($C82="",$B$2="",$D$2=0),0,IF(AZ$3&lt;0,0,N(INDEX('CURVA PREVISION'!$A$1:$KZ$3000,$C82,11+3*MIN(AZ$3,$D$2-1)))))</f>
        <v/>
      </c>
      <c r="BA82" s="130">
        <f>IF(OR($C82="",$B$2="",$D$2=0),0,IF(BA$3&lt;0,0,N(INDEX('CURVA PREVISION'!$A$1:$KZ$3000,$C82,11+3*MIN(BA$3,$D$2-1)))))</f>
        <v/>
      </c>
      <c r="BB82" s="130">
        <f>IF(OR($C82="",$B$2="",$D$2=0),0,IF(BB$3&lt;0,0,N(INDEX('CURVA PREVISION'!$A$1:$KZ$3000,$C82,11+3*MIN(BB$3,$D$2-1)))))</f>
        <v/>
      </c>
      <c r="BC82" s="130">
        <f>IF(OR($C82="",$B$2="",$D$2=0),0,IF(BC$3&lt;0,0,N(INDEX('CURVA PREVISION'!$A$1:$KZ$3000,$C82,11+3*MIN(BC$3,$D$2-1)))))</f>
        <v/>
      </c>
      <c r="BD82" s="130">
        <f>IF(OR($C82="",$B$2="",$D$2=0),0,IF(BD$3&lt;0,0,N(INDEX('CURVA PREVISION'!$A$1:$KZ$3000,$C82,11+3*MIN(BD$3,$D$2-1)))))</f>
        <v/>
      </c>
      <c r="BE82" s="130">
        <f>IF(OR($C82="",$B$2="",$D$2=0),0,IF(BE$3&lt;0,0,N(INDEX('CURVA PREVISION'!$A$1:$KZ$3000,$C82,11+3*MIN(BE$3,$D$2-1)))))</f>
        <v/>
      </c>
      <c r="BF82" s="130">
        <f>IF(OR($C82="",$B$2="",$D$2=0),0,IF(BF$3&lt;0,0,N(INDEX('CURVA PREVISION'!$A$1:$KZ$3000,$C82,11+3*MIN(BF$3,$D$2-1)))))</f>
        <v/>
      </c>
      <c r="BG82" s="130">
        <f>IF(OR($C82="",$B$2="",$D$2=0),0,IF(BG$3&lt;0,0,N(INDEX('CURVA PREVISION'!$A$1:$KZ$3000,$C82,11+3*MIN(BG$3,$D$2-1)))))</f>
        <v/>
      </c>
      <c r="BH82" s="130">
        <f>IF(OR($C82="",$B$2="",$D$2=0),0,IF(BH$3&lt;0,0,N(INDEX('CURVA PREVISION'!$A$1:$KZ$3000,$C82,11+3*MIN(BH$3,$D$2-1)))))</f>
        <v/>
      </c>
      <c r="BI82" s="130">
        <f>IF(OR($C82="",$B$2="",$D$2=0),0,IF(BI$3&lt;0,0,N(INDEX('CURVA PREVISION'!$A$1:$KZ$3000,$C82,11+3*MIN(BI$3,$D$2-1)))))</f>
        <v/>
      </c>
      <c r="BJ82" s="130">
        <f>IF(OR($C82="",$B$2="",$D$2=0),0,IF(BJ$3&lt;0,0,N(INDEX('CURVA PREVISION'!$A$1:$KZ$3000,$C82,11+3*MIN(BJ$3,$D$2-1)))))</f>
        <v/>
      </c>
      <c r="BK82" s="130">
        <f>IF(OR($C82="",$B$2="",$D$2=0),0,IF(BK$3&lt;0,0,N(INDEX('CURVA PREVISION'!$A$1:$KZ$3000,$C82,11+3*MIN(BK$3,$D$2-1)))))</f>
        <v/>
      </c>
      <c r="BL82" s="130">
        <f>IF(OR($C82="",$B$2="",$D$2=0),0,IF(BL$3&lt;0,0,N(INDEX('CURVA PREVISION'!$A$1:$KZ$3000,$C82,11+3*MIN(BL$3,$D$2-1)))))</f>
        <v/>
      </c>
      <c r="BM82" s="130">
        <f>IF(OR($C82="",$B$2="",$D$2=0),0,IF(BM$3&lt;0,0,N(INDEX('CURVA PREVISION'!$A$1:$KZ$3000,$C82,11+3*MIN(BM$3,$D$2-1)))))</f>
        <v/>
      </c>
      <c r="BN82" s="130">
        <f>IF(OR($C82="",$B$2="",$D$2=0),0,IF(BN$3&lt;0,0,N(INDEX('CURVA PREVISION'!$A$1:$KZ$3000,$C82,11+3*MIN(BN$3,$D$2-1)))))</f>
        <v/>
      </c>
      <c r="BO82" s="130">
        <f>IF(OR($C82="",$B$2="",$D$2=0),0,IF(BO$3&lt;0,0,N(INDEX('CURVA PREVISION'!$A$1:$KZ$3000,$C82,11+3*MIN(BO$3,$D$2-1)))))</f>
        <v/>
      </c>
      <c r="BP82" s="130">
        <f>IF(OR($C82="",$B$2="",$D$2=0),0,IF(BP$3&lt;0,0,N(INDEX('CURVA PREVISION'!$A$1:$KZ$3000,$C82,11+3*MIN(BP$3,$D$2-1)))))</f>
        <v/>
      </c>
      <c r="BQ82" s="130">
        <f>IF(OR($C82="",$B$2="",$D$2=0),0,IF(BQ$3&lt;0,0,N(INDEX('CURVA PREVISION'!$A$1:$KZ$3000,$C82,11+3*MIN(BQ$3,$D$2-1)))))</f>
        <v/>
      </c>
      <c r="BR82" s="130">
        <f>IF(OR($C82="",$B$2="",$D$2=0),0,IF(BR$3&lt;0,0,N(INDEX('CURVA PREVISION'!$A$1:$KZ$3000,$C82,11+3*MIN(BR$3,$D$2-1)))))</f>
        <v/>
      </c>
      <c r="BS82" s="130">
        <f>IF(OR($C82="",$B$2="",$D$2=0),0,IF(BS$3&lt;0,0,N(INDEX('CURVA PREVISION'!$A$1:$KZ$3000,$C82,11+3*MIN(BS$3,$D$2-1)))))</f>
        <v/>
      </c>
      <c r="BT82" s="130">
        <f>IF(OR($C82="",$B$2="",$D$2=0),0,IF(BT$3&lt;0,0,N(INDEX('CURVA PREVISION'!$A$1:$KZ$3000,$C82,11+3*MIN(BT$3,$D$2-1)))))</f>
        <v/>
      </c>
      <c r="BU82" s="130">
        <f>IF(OR($C82="",$B$2="",$D$2=0),0,IF(BU$3&lt;0,0,N(INDEX('CURVA PREVISION'!$A$1:$KZ$3000,$C82,11+3*MIN(BU$3,$D$2-1)))))</f>
        <v/>
      </c>
      <c r="BV82" s="130">
        <f>IF(OR($C82="",$B$2="",$D$2=0),0,IF(BV$3&lt;0,0,N(INDEX('CURVA PREVISION'!$A$1:$KZ$3000,$C82,11+3*MIN(BV$3,$D$2-1)))))</f>
        <v/>
      </c>
      <c r="BW82" s="130">
        <f>IF(OR($C82="",$B$2="",$D$2=0),0,IF(BW$3&lt;0,0,N(INDEX('CURVA PREVISION'!$A$1:$KZ$3000,$C82,11+3*MIN(BW$3,$D$2-1)))))</f>
        <v/>
      </c>
    </row>
    <row r="83">
      <c r="A83" s="61">
        <f>IF('VALOR POR PL'!Q47="",'VALOR POR PL'!C47,'VALOR POR PL'!Q47)</f>
        <v/>
      </c>
      <c r="B83" s="51">
        <f>B41</f>
        <v/>
      </c>
      <c r="C83" s="70">
        <f>IFERROR(MATCH(A83,'CURVA PREVISION'!$B$1:$B$3000,0),"")</f>
        <v/>
      </c>
      <c r="D83" s="130">
        <f>IF(OR($C83="",$B$2="",$D$2=0),0,IF(D$3&lt;0,0,N(INDEX('CURVA PREVISION'!$A$1:$KZ$3000,$C83,11+3*MIN(D$3,$D$2-1)))))</f>
        <v/>
      </c>
      <c r="E83" s="130">
        <f>IF(OR($C83="",$B$2="",$D$2=0),0,IF(E$3&lt;0,0,N(INDEX('CURVA PREVISION'!$A$1:$KZ$3000,$C83,11+3*MIN(E$3,$D$2-1)))))</f>
        <v/>
      </c>
      <c r="F83" s="130">
        <f>IF(OR($C83="",$B$2="",$D$2=0),0,IF(F$3&lt;0,0,N(INDEX('CURVA PREVISION'!$A$1:$KZ$3000,$C83,11+3*MIN(F$3,$D$2-1)))))</f>
        <v/>
      </c>
      <c r="G83" s="130">
        <f>IF(OR($C83="",$B$2="",$D$2=0),0,IF(G$3&lt;0,0,N(INDEX('CURVA PREVISION'!$A$1:$KZ$3000,$C83,11+3*MIN(G$3,$D$2-1)))))</f>
        <v/>
      </c>
      <c r="H83" s="130">
        <f>IF(OR($C83="",$B$2="",$D$2=0),0,IF(H$3&lt;0,0,N(INDEX('CURVA PREVISION'!$A$1:$KZ$3000,$C83,11+3*MIN(H$3,$D$2-1)))))</f>
        <v/>
      </c>
      <c r="I83" s="130">
        <f>IF(OR($C83="",$B$2="",$D$2=0),0,IF(I$3&lt;0,0,N(INDEX('CURVA PREVISION'!$A$1:$KZ$3000,$C83,11+3*MIN(I$3,$D$2-1)))))</f>
        <v/>
      </c>
      <c r="J83" s="130">
        <f>IF(OR($C83="",$B$2="",$D$2=0),0,IF(J$3&lt;0,0,N(INDEX('CURVA PREVISION'!$A$1:$KZ$3000,$C83,11+3*MIN(J$3,$D$2-1)))))</f>
        <v/>
      </c>
      <c r="K83" s="130">
        <f>IF(OR($C83="",$B$2="",$D$2=0),0,IF(K$3&lt;0,0,N(INDEX('CURVA PREVISION'!$A$1:$KZ$3000,$C83,11+3*MIN(K$3,$D$2-1)))))</f>
        <v/>
      </c>
      <c r="L83" s="130">
        <f>IF(OR($C83="",$B$2="",$D$2=0),0,IF(L$3&lt;0,0,N(INDEX('CURVA PREVISION'!$A$1:$KZ$3000,$C83,11+3*MIN(L$3,$D$2-1)))))</f>
        <v/>
      </c>
      <c r="M83" s="130">
        <f>IF(OR($C83="",$B$2="",$D$2=0),0,IF(M$3&lt;0,0,N(INDEX('CURVA PREVISION'!$A$1:$KZ$3000,$C83,11+3*MIN(M$3,$D$2-1)))))</f>
        <v/>
      </c>
      <c r="N83" s="130">
        <f>IF(OR($C83="",$B$2="",$D$2=0),0,IF(N$3&lt;0,0,N(INDEX('CURVA PREVISION'!$A$1:$KZ$3000,$C83,11+3*MIN(N$3,$D$2-1)))))</f>
        <v/>
      </c>
      <c r="O83" s="130">
        <f>IF(OR($C83="",$B$2="",$D$2=0),0,IF(O$3&lt;0,0,N(INDEX('CURVA PREVISION'!$A$1:$KZ$3000,$C83,11+3*MIN(O$3,$D$2-1)))))</f>
        <v/>
      </c>
      <c r="P83" s="130">
        <f>IF(OR($C83="",$B$2="",$D$2=0),0,IF(P$3&lt;0,0,N(INDEX('CURVA PREVISION'!$A$1:$KZ$3000,$C83,11+3*MIN(P$3,$D$2-1)))))</f>
        <v/>
      </c>
      <c r="Q83" s="130">
        <f>IF(OR($C83="",$B$2="",$D$2=0),0,IF(Q$3&lt;0,0,N(INDEX('CURVA PREVISION'!$A$1:$KZ$3000,$C83,11+3*MIN(Q$3,$D$2-1)))))</f>
        <v/>
      </c>
      <c r="R83" s="130">
        <f>IF(OR($C83="",$B$2="",$D$2=0),0,IF(R$3&lt;0,0,N(INDEX('CURVA PREVISION'!$A$1:$KZ$3000,$C83,11+3*MIN(R$3,$D$2-1)))))</f>
        <v/>
      </c>
      <c r="S83" s="130">
        <f>IF(OR($C83="",$B$2="",$D$2=0),0,IF(S$3&lt;0,0,N(INDEX('CURVA PREVISION'!$A$1:$KZ$3000,$C83,11+3*MIN(S$3,$D$2-1)))))</f>
        <v/>
      </c>
      <c r="T83" s="130">
        <f>IF(OR($C83="",$B$2="",$D$2=0),0,IF(T$3&lt;0,0,N(INDEX('CURVA PREVISION'!$A$1:$KZ$3000,$C83,11+3*MIN(T$3,$D$2-1)))))</f>
        <v/>
      </c>
      <c r="U83" s="130">
        <f>IF(OR($C83="",$B$2="",$D$2=0),0,IF(U$3&lt;0,0,N(INDEX('CURVA PREVISION'!$A$1:$KZ$3000,$C83,11+3*MIN(U$3,$D$2-1)))))</f>
        <v/>
      </c>
      <c r="V83" s="130">
        <f>IF(OR($C83="",$B$2="",$D$2=0),0,IF(V$3&lt;0,0,N(INDEX('CURVA PREVISION'!$A$1:$KZ$3000,$C83,11+3*MIN(V$3,$D$2-1)))))</f>
        <v/>
      </c>
      <c r="W83" s="130">
        <f>IF(OR($C83="",$B$2="",$D$2=0),0,IF(W$3&lt;0,0,N(INDEX('CURVA PREVISION'!$A$1:$KZ$3000,$C83,11+3*MIN(W$3,$D$2-1)))))</f>
        <v/>
      </c>
      <c r="X83" s="130">
        <f>IF(OR($C83="",$B$2="",$D$2=0),0,IF(X$3&lt;0,0,N(INDEX('CURVA PREVISION'!$A$1:$KZ$3000,$C83,11+3*MIN(X$3,$D$2-1)))))</f>
        <v/>
      </c>
      <c r="Y83" s="130">
        <f>IF(OR($C83="",$B$2="",$D$2=0),0,IF(Y$3&lt;0,0,N(INDEX('CURVA PREVISION'!$A$1:$KZ$3000,$C83,11+3*MIN(Y$3,$D$2-1)))))</f>
        <v/>
      </c>
      <c r="Z83" s="130">
        <f>IF(OR($C83="",$B$2="",$D$2=0),0,IF(Z$3&lt;0,0,N(INDEX('CURVA PREVISION'!$A$1:$KZ$3000,$C83,11+3*MIN(Z$3,$D$2-1)))))</f>
        <v/>
      </c>
      <c r="AA83" s="130">
        <f>IF(OR($C83="",$B$2="",$D$2=0),0,IF(AA$3&lt;0,0,N(INDEX('CURVA PREVISION'!$A$1:$KZ$3000,$C83,11+3*MIN(AA$3,$D$2-1)))))</f>
        <v/>
      </c>
      <c r="AB83" s="130">
        <f>IF(OR($C83="",$B$2="",$D$2=0),0,IF(AB$3&lt;0,0,N(INDEX('CURVA PREVISION'!$A$1:$KZ$3000,$C83,11+3*MIN(AB$3,$D$2-1)))))</f>
        <v/>
      </c>
      <c r="AC83" s="130">
        <f>IF(OR($C83="",$B$2="",$D$2=0),0,IF(AC$3&lt;0,0,N(INDEX('CURVA PREVISION'!$A$1:$KZ$3000,$C83,11+3*MIN(AC$3,$D$2-1)))))</f>
        <v/>
      </c>
      <c r="AD83" s="130">
        <f>IF(OR($C83="",$B$2="",$D$2=0),0,IF(AD$3&lt;0,0,N(INDEX('CURVA PREVISION'!$A$1:$KZ$3000,$C83,11+3*MIN(AD$3,$D$2-1)))))</f>
        <v/>
      </c>
      <c r="AE83" s="130">
        <f>IF(OR($C83="",$B$2="",$D$2=0),0,IF(AE$3&lt;0,0,N(INDEX('CURVA PREVISION'!$A$1:$KZ$3000,$C83,11+3*MIN(AE$3,$D$2-1)))))</f>
        <v/>
      </c>
      <c r="AF83" s="130">
        <f>IF(OR($C83="",$B$2="",$D$2=0),0,IF(AF$3&lt;0,0,N(INDEX('CURVA PREVISION'!$A$1:$KZ$3000,$C83,11+3*MIN(AF$3,$D$2-1)))))</f>
        <v/>
      </c>
      <c r="AG83" s="130">
        <f>IF(OR($C83="",$B$2="",$D$2=0),0,IF(AG$3&lt;0,0,N(INDEX('CURVA PREVISION'!$A$1:$KZ$3000,$C83,11+3*MIN(AG$3,$D$2-1)))))</f>
        <v/>
      </c>
      <c r="AH83" s="130">
        <f>IF(OR($C83="",$B$2="",$D$2=0),0,IF(AH$3&lt;0,0,N(INDEX('CURVA PREVISION'!$A$1:$KZ$3000,$C83,11+3*MIN(AH$3,$D$2-1)))))</f>
        <v/>
      </c>
      <c r="AI83" s="130">
        <f>IF(OR($C83="",$B$2="",$D$2=0),0,IF(AI$3&lt;0,0,N(INDEX('CURVA PREVISION'!$A$1:$KZ$3000,$C83,11+3*MIN(AI$3,$D$2-1)))))</f>
        <v/>
      </c>
      <c r="AJ83" s="130">
        <f>IF(OR($C83="",$B$2="",$D$2=0),0,IF(AJ$3&lt;0,0,N(INDEX('CURVA PREVISION'!$A$1:$KZ$3000,$C83,11+3*MIN(AJ$3,$D$2-1)))))</f>
        <v/>
      </c>
      <c r="AK83" s="130">
        <f>IF(OR($C83="",$B$2="",$D$2=0),0,IF(AK$3&lt;0,0,N(INDEX('CURVA PREVISION'!$A$1:$KZ$3000,$C83,11+3*MIN(AK$3,$D$2-1)))))</f>
        <v/>
      </c>
      <c r="AL83" s="130">
        <f>IF(OR($C83="",$B$2="",$D$2=0),0,IF(AL$3&lt;0,0,N(INDEX('CURVA PREVISION'!$A$1:$KZ$3000,$C83,11+3*MIN(AL$3,$D$2-1)))))</f>
        <v/>
      </c>
      <c r="AM83" s="130">
        <f>IF(OR($C83="",$B$2="",$D$2=0),0,IF(AM$3&lt;0,0,N(INDEX('CURVA PREVISION'!$A$1:$KZ$3000,$C83,11+3*MIN(AM$3,$D$2-1)))))</f>
        <v/>
      </c>
      <c r="AN83" s="130">
        <f>IF(OR($C83="",$B$2="",$D$2=0),0,IF(AN$3&lt;0,0,N(INDEX('CURVA PREVISION'!$A$1:$KZ$3000,$C83,11+3*MIN(AN$3,$D$2-1)))))</f>
        <v/>
      </c>
      <c r="AO83" s="130">
        <f>IF(OR($C83="",$B$2="",$D$2=0),0,IF(AO$3&lt;0,0,N(INDEX('CURVA PREVISION'!$A$1:$KZ$3000,$C83,11+3*MIN(AO$3,$D$2-1)))))</f>
        <v/>
      </c>
      <c r="AP83" s="130">
        <f>IF(OR($C83="",$B$2="",$D$2=0),0,IF(AP$3&lt;0,0,N(INDEX('CURVA PREVISION'!$A$1:$KZ$3000,$C83,11+3*MIN(AP$3,$D$2-1)))))</f>
        <v/>
      </c>
      <c r="AQ83" s="130">
        <f>IF(OR($C83="",$B$2="",$D$2=0),0,IF(AQ$3&lt;0,0,N(INDEX('CURVA PREVISION'!$A$1:$KZ$3000,$C83,11+3*MIN(AQ$3,$D$2-1)))))</f>
        <v/>
      </c>
      <c r="AR83" s="130">
        <f>IF(OR($C83="",$B$2="",$D$2=0),0,IF(AR$3&lt;0,0,N(INDEX('CURVA PREVISION'!$A$1:$KZ$3000,$C83,11+3*MIN(AR$3,$D$2-1)))))</f>
        <v/>
      </c>
      <c r="AS83" s="130">
        <f>IF(OR($C83="",$B$2="",$D$2=0),0,IF(AS$3&lt;0,0,N(INDEX('CURVA PREVISION'!$A$1:$KZ$3000,$C83,11+3*MIN(AS$3,$D$2-1)))))</f>
        <v/>
      </c>
      <c r="AT83" s="130">
        <f>IF(OR($C83="",$B$2="",$D$2=0),0,IF(AT$3&lt;0,0,N(INDEX('CURVA PREVISION'!$A$1:$KZ$3000,$C83,11+3*MIN(AT$3,$D$2-1)))))</f>
        <v/>
      </c>
      <c r="AU83" s="130">
        <f>IF(OR($C83="",$B$2="",$D$2=0),0,IF(AU$3&lt;0,0,N(INDEX('CURVA PREVISION'!$A$1:$KZ$3000,$C83,11+3*MIN(AU$3,$D$2-1)))))</f>
        <v/>
      </c>
      <c r="AV83" s="130">
        <f>IF(OR($C83="",$B$2="",$D$2=0),0,IF(AV$3&lt;0,0,N(INDEX('CURVA PREVISION'!$A$1:$KZ$3000,$C83,11+3*MIN(AV$3,$D$2-1)))))</f>
        <v/>
      </c>
      <c r="AW83" s="130">
        <f>IF(OR($C83="",$B$2="",$D$2=0),0,IF(AW$3&lt;0,0,N(INDEX('CURVA PREVISION'!$A$1:$KZ$3000,$C83,11+3*MIN(AW$3,$D$2-1)))))</f>
        <v/>
      </c>
      <c r="AX83" s="130">
        <f>IF(OR($C83="",$B$2="",$D$2=0),0,IF(AX$3&lt;0,0,N(INDEX('CURVA PREVISION'!$A$1:$KZ$3000,$C83,11+3*MIN(AX$3,$D$2-1)))))</f>
        <v/>
      </c>
      <c r="AY83" s="130">
        <f>IF(OR($C83="",$B$2="",$D$2=0),0,IF(AY$3&lt;0,0,N(INDEX('CURVA PREVISION'!$A$1:$KZ$3000,$C83,11+3*MIN(AY$3,$D$2-1)))))</f>
        <v/>
      </c>
      <c r="AZ83" s="130">
        <f>IF(OR($C83="",$B$2="",$D$2=0),0,IF(AZ$3&lt;0,0,N(INDEX('CURVA PREVISION'!$A$1:$KZ$3000,$C83,11+3*MIN(AZ$3,$D$2-1)))))</f>
        <v/>
      </c>
      <c r="BA83" s="130">
        <f>IF(OR($C83="",$B$2="",$D$2=0),0,IF(BA$3&lt;0,0,N(INDEX('CURVA PREVISION'!$A$1:$KZ$3000,$C83,11+3*MIN(BA$3,$D$2-1)))))</f>
        <v/>
      </c>
      <c r="BB83" s="130">
        <f>IF(OR($C83="",$B$2="",$D$2=0),0,IF(BB$3&lt;0,0,N(INDEX('CURVA PREVISION'!$A$1:$KZ$3000,$C83,11+3*MIN(BB$3,$D$2-1)))))</f>
        <v/>
      </c>
      <c r="BC83" s="130">
        <f>IF(OR($C83="",$B$2="",$D$2=0),0,IF(BC$3&lt;0,0,N(INDEX('CURVA PREVISION'!$A$1:$KZ$3000,$C83,11+3*MIN(BC$3,$D$2-1)))))</f>
        <v/>
      </c>
      <c r="BD83" s="130">
        <f>IF(OR($C83="",$B$2="",$D$2=0),0,IF(BD$3&lt;0,0,N(INDEX('CURVA PREVISION'!$A$1:$KZ$3000,$C83,11+3*MIN(BD$3,$D$2-1)))))</f>
        <v/>
      </c>
      <c r="BE83" s="130">
        <f>IF(OR($C83="",$B$2="",$D$2=0),0,IF(BE$3&lt;0,0,N(INDEX('CURVA PREVISION'!$A$1:$KZ$3000,$C83,11+3*MIN(BE$3,$D$2-1)))))</f>
        <v/>
      </c>
      <c r="BF83" s="130">
        <f>IF(OR($C83="",$B$2="",$D$2=0),0,IF(BF$3&lt;0,0,N(INDEX('CURVA PREVISION'!$A$1:$KZ$3000,$C83,11+3*MIN(BF$3,$D$2-1)))))</f>
        <v/>
      </c>
      <c r="BG83" s="130">
        <f>IF(OR($C83="",$B$2="",$D$2=0),0,IF(BG$3&lt;0,0,N(INDEX('CURVA PREVISION'!$A$1:$KZ$3000,$C83,11+3*MIN(BG$3,$D$2-1)))))</f>
        <v/>
      </c>
      <c r="BH83" s="130">
        <f>IF(OR($C83="",$B$2="",$D$2=0),0,IF(BH$3&lt;0,0,N(INDEX('CURVA PREVISION'!$A$1:$KZ$3000,$C83,11+3*MIN(BH$3,$D$2-1)))))</f>
        <v/>
      </c>
      <c r="BI83" s="130">
        <f>IF(OR($C83="",$B$2="",$D$2=0),0,IF(BI$3&lt;0,0,N(INDEX('CURVA PREVISION'!$A$1:$KZ$3000,$C83,11+3*MIN(BI$3,$D$2-1)))))</f>
        <v/>
      </c>
      <c r="BJ83" s="130">
        <f>IF(OR($C83="",$B$2="",$D$2=0),0,IF(BJ$3&lt;0,0,N(INDEX('CURVA PREVISION'!$A$1:$KZ$3000,$C83,11+3*MIN(BJ$3,$D$2-1)))))</f>
        <v/>
      </c>
      <c r="BK83" s="130">
        <f>IF(OR($C83="",$B$2="",$D$2=0),0,IF(BK$3&lt;0,0,N(INDEX('CURVA PREVISION'!$A$1:$KZ$3000,$C83,11+3*MIN(BK$3,$D$2-1)))))</f>
        <v/>
      </c>
      <c r="BL83" s="130">
        <f>IF(OR($C83="",$B$2="",$D$2=0),0,IF(BL$3&lt;0,0,N(INDEX('CURVA PREVISION'!$A$1:$KZ$3000,$C83,11+3*MIN(BL$3,$D$2-1)))))</f>
        <v/>
      </c>
      <c r="BM83" s="130">
        <f>IF(OR($C83="",$B$2="",$D$2=0),0,IF(BM$3&lt;0,0,N(INDEX('CURVA PREVISION'!$A$1:$KZ$3000,$C83,11+3*MIN(BM$3,$D$2-1)))))</f>
        <v/>
      </c>
      <c r="BN83" s="130">
        <f>IF(OR($C83="",$B$2="",$D$2=0),0,IF(BN$3&lt;0,0,N(INDEX('CURVA PREVISION'!$A$1:$KZ$3000,$C83,11+3*MIN(BN$3,$D$2-1)))))</f>
        <v/>
      </c>
      <c r="BO83" s="130">
        <f>IF(OR($C83="",$B$2="",$D$2=0),0,IF(BO$3&lt;0,0,N(INDEX('CURVA PREVISION'!$A$1:$KZ$3000,$C83,11+3*MIN(BO$3,$D$2-1)))))</f>
        <v/>
      </c>
      <c r="BP83" s="130">
        <f>IF(OR($C83="",$B$2="",$D$2=0),0,IF(BP$3&lt;0,0,N(INDEX('CURVA PREVISION'!$A$1:$KZ$3000,$C83,11+3*MIN(BP$3,$D$2-1)))))</f>
        <v/>
      </c>
      <c r="BQ83" s="130">
        <f>IF(OR($C83="",$B$2="",$D$2=0),0,IF(BQ$3&lt;0,0,N(INDEX('CURVA PREVISION'!$A$1:$KZ$3000,$C83,11+3*MIN(BQ$3,$D$2-1)))))</f>
        <v/>
      </c>
      <c r="BR83" s="130">
        <f>IF(OR($C83="",$B$2="",$D$2=0),0,IF(BR$3&lt;0,0,N(INDEX('CURVA PREVISION'!$A$1:$KZ$3000,$C83,11+3*MIN(BR$3,$D$2-1)))))</f>
        <v/>
      </c>
      <c r="BS83" s="130">
        <f>IF(OR($C83="",$B$2="",$D$2=0),0,IF(BS$3&lt;0,0,N(INDEX('CURVA PREVISION'!$A$1:$KZ$3000,$C83,11+3*MIN(BS$3,$D$2-1)))))</f>
        <v/>
      </c>
      <c r="BT83" s="130">
        <f>IF(OR($C83="",$B$2="",$D$2=0),0,IF(BT$3&lt;0,0,N(INDEX('CURVA PREVISION'!$A$1:$KZ$3000,$C83,11+3*MIN(BT$3,$D$2-1)))))</f>
        <v/>
      </c>
      <c r="BU83" s="130">
        <f>IF(OR($C83="",$B$2="",$D$2=0),0,IF(BU$3&lt;0,0,N(INDEX('CURVA PREVISION'!$A$1:$KZ$3000,$C83,11+3*MIN(BU$3,$D$2-1)))))</f>
        <v/>
      </c>
      <c r="BV83" s="130">
        <f>IF(OR($C83="",$B$2="",$D$2=0),0,IF(BV$3&lt;0,0,N(INDEX('CURVA PREVISION'!$A$1:$KZ$3000,$C83,11+3*MIN(BV$3,$D$2-1)))))</f>
        <v/>
      </c>
      <c r="BW83" s="130">
        <f>IF(OR($C83="",$B$2="",$D$2=0),0,IF(BW$3&lt;0,0,N(INDEX('CURVA PREVISION'!$A$1:$KZ$3000,$C83,11+3*MIN(BW$3,$D$2-1)))))</f>
        <v/>
      </c>
    </row>
    <row r="84">
      <c r="A84" s="61">
        <f>IF('VALOR POR PL'!Q48="",'VALOR POR PL'!C48,'VALOR POR PL'!Q48)</f>
        <v/>
      </c>
      <c r="B84" s="51">
        <f>B42</f>
        <v/>
      </c>
      <c r="C84" s="70">
        <f>IFERROR(MATCH(A84,'CURVA PREVISION'!$B$1:$B$3000,0),"")</f>
        <v/>
      </c>
      <c r="D84" s="130">
        <f>IF(OR($C84="",$B$2="",$D$2=0),0,IF(D$3&lt;0,0,N(INDEX('CURVA PREVISION'!$A$1:$KZ$3000,$C84,11+3*MIN(D$3,$D$2-1)))))</f>
        <v/>
      </c>
      <c r="E84" s="130">
        <f>IF(OR($C84="",$B$2="",$D$2=0),0,IF(E$3&lt;0,0,N(INDEX('CURVA PREVISION'!$A$1:$KZ$3000,$C84,11+3*MIN(E$3,$D$2-1)))))</f>
        <v/>
      </c>
      <c r="F84" s="130">
        <f>IF(OR($C84="",$B$2="",$D$2=0),0,IF(F$3&lt;0,0,N(INDEX('CURVA PREVISION'!$A$1:$KZ$3000,$C84,11+3*MIN(F$3,$D$2-1)))))</f>
        <v/>
      </c>
      <c r="G84" s="130">
        <f>IF(OR($C84="",$B$2="",$D$2=0),0,IF(G$3&lt;0,0,N(INDEX('CURVA PREVISION'!$A$1:$KZ$3000,$C84,11+3*MIN(G$3,$D$2-1)))))</f>
        <v/>
      </c>
      <c r="H84" s="130">
        <f>IF(OR($C84="",$B$2="",$D$2=0),0,IF(H$3&lt;0,0,N(INDEX('CURVA PREVISION'!$A$1:$KZ$3000,$C84,11+3*MIN(H$3,$D$2-1)))))</f>
        <v/>
      </c>
      <c r="I84" s="130">
        <f>IF(OR($C84="",$B$2="",$D$2=0),0,IF(I$3&lt;0,0,N(INDEX('CURVA PREVISION'!$A$1:$KZ$3000,$C84,11+3*MIN(I$3,$D$2-1)))))</f>
        <v/>
      </c>
      <c r="J84" s="130">
        <f>IF(OR($C84="",$B$2="",$D$2=0),0,IF(J$3&lt;0,0,N(INDEX('CURVA PREVISION'!$A$1:$KZ$3000,$C84,11+3*MIN(J$3,$D$2-1)))))</f>
        <v/>
      </c>
      <c r="K84" s="130">
        <f>IF(OR($C84="",$B$2="",$D$2=0),0,IF(K$3&lt;0,0,N(INDEX('CURVA PREVISION'!$A$1:$KZ$3000,$C84,11+3*MIN(K$3,$D$2-1)))))</f>
        <v/>
      </c>
      <c r="L84" s="130">
        <f>IF(OR($C84="",$B$2="",$D$2=0),0,IF(L$3&lt;0,0,N(INDEX('CURVA PREVISION'!$A$1:$KZ$3000,$C84,11+3*MIN(L$3,$D$2-1)))))</f>
        <v/>
      </c>
      <c r="M84" s="130">
        <f>IF(OR($C84="",$B$2="",$D$2=0),0,IF(M$3&lt;0,0,N(INDEX('CURVA PREVISION'!$A$1:$KZ$3000,$C84,11+3*MIN(M$3,$D$2-1)))))</f>
        <v/>
      </c>
      <c r="N84" s="130">
        <f>IF(OR($C84="",$B$2="",$D$2=0),0,IF(N$3&lt;0,0,N(INDEX('CURVA PREVISION'!$A$1:$KZ$3000,$C84,11+3*MIN(N$3,$D$2-1)))))</f>
        <v/>
      </c>
      <c r="O84" s="130">
        <f>IF(OR($C84="",$B$2="",$D$2=0),0,IF(O$3&lt;0,0,N(INDEX('CURVA PREVISION'!$A$1:$KZ$3000,$C84,11+3*MIN(O$3,$D$2-1)))))</f>
        <v/>
      </c>
      <c r="P84" s="130">
        <f>IF(OR($C84="",$B$2="",$D$2=0),0,IF(P$3&lt;0,0,N(INDEX('CURVA PREVISION'!$A$1:$KZ$3000,$C84,11+3*MIN(P$3,$D$2-1)))))</f>
        <v/>
      </c>
      <c r="Q84" s="130">
        <f>IF(OR($C84="",$B$2="",$D$2=0),0,IF(Q$3&lt;0,0,N(INDEX('CURVA PREVISION'!$A$1:$KZ$3000,$C84,11+3*MIN(Q$3,$D$2-1)))))</f>
        <v/>
      </c>
      <c r="R84" s="130">
        <f>IF(OR($C84="",$B$2="",$D$2=0),0,IF(R$3&lt;0,0,N(INDEX('CURVA PREVISION'!$A$1:$KZ$3000,$C84,11+3*MIN(R$3,$D$2-1)))))</f>
        <v/>
      </c>
      <c r="S84" s="130">
        <f>IF(OR($C84="",$B$2="",$D$2=0),0,IF(S$3&lt;0,0,N(INDEX('CURVA PREVISION'!$A$1:$KZ$3000,$C84,11+3*MIN(S$3,$D$2-1)))))</f>
        <v/>
      </c>
      <c r="T84" s="130">
        <f>IF(OR($C84="",$B$2="",$D$2=0),0,IF(T$3&lt;0,0,N(INDEX('CURVA PREVISION'!$A$1:$KZ$3000,$C84,11+3*MIN(T$3,$D$2-1)))))</f>
        <v/>
      </c>
      <c r="U84" s="130">
        <f>IF(OR($C84="",$B$2="",$D$2=0),0,IF(U$3&lt;0,0,N(INDEX('CURVA PREVISION'!$A$1:$KZ$3000,$C84,11+3*MIN(U$3,$D$2-1)))))</f>
        <v/>
      </c>
      <c r="V84" s="130">
        <f>IF(OR($C84="",$B$2="",$D$2=0),0,IF(V$3&lt;0,0,N(INDEX('CURVA PREVISION'!$A$1:$KZ$3000,$C84,11+3*MIN(V$3,$D$2-1)))))</f>
        <v/>
      </c>
      <c r="W84" s="130">
        <f>IF(OR($C84="",$B$2="",$D$2=0),0,IF(W$3&lt;0,0,N(INDEX('CURVA PREVISION'!$A$1:$KZ$3000,$C84,11+3*MIN(W$3,$D$2-1)))))</f>
        <v/>
      </c>
      <c r="X84" s="130">
        <f>IF(OR($C84="",$B$2="",$D$2=0),0,IF(X$3&lt;0,0,N(INDEX('CURVA PREVISION'!$A$1:$KZ$3000,$C84,11+3*MIN(X$3,$D$2-1)))))</f>
        <v/>
      </c>
      <c r="Y84" s="130">
        <f>IF(OR($C84="",$B$2="",$D$2=0),0,IF(Y$3&lt;0,0,N(INDEX('CURVA PREVISION'!$A$1:$KZ$3000,$C84,11+3*MIN(Y$3,$D$2-1)))))</f>
        <v/>
      </c>
      <c r="Z84" s="130">
        <f>IF(OR($C84="",$B$2="",$D$2=0),0,IF(Z$3&lt;0,0,N(INDEX('CURVA PREVISION'!$A$1:$KZ$3000,$C84,11+3*MIN(Z$3,$D$2-1)))))</f>
        <v/>
      </c>
      <c r="AA84" s="130">
        <f>IF(OR($C84="",$B$2="",$D$2=0),0,IF(AA$3&lt;0,0,N(INDEX('CURVA PREVISION'!$A$1:$KZ$3000,$C84,11+3*MIN(AA$3,$D$2-1)))))</f>
        <v/>
      </c>
      <c r="AB84" s="130">
        <f>IF(OR($C84="",$B$2="",$D$2=0),0,IF(AB$3&lt;0,0,N(INDEX('CURVA PREVISION'!$A$1:$KZ$3000,$C84,11+3*MIN(AB$3,$D$2-1)))))</f>
        <v/>
      </c>
      <c r="AC84" s="130">
        <f>IF(OR($C84="",$B$2="",$D$2=0),0,IF(AC$3&lt;0,0,N(INDEX('CURVA PREVISION'!$A$1:$KZ$3000,$C84,11+3*MIN(AC$3,$D$2-1)))))</f>
        <v/>
      </c>
      <c r="AD84" s="130">
        <f>IF(OR($C84="",$B$2="",$D$2=0),0,IF(AD$3&lt;0,0,N(INDEX('CURVA PREVISION'!$A$1:$KZ$3000,$C84,11+3*MIN(AD$3,$D$2-1)))))</f>
        <v/>
      </c>
      <c r="AE84" s="130">
        <f>IF(OR($C84="",$B$2="",$D$2=0),0,IF(AE$3&lt;0,0,N(INDEX('CURVA PREVISION'!$A$1:$KZ$3000,$C84,11+3*MIN(AE$3,$D$2-1)))))</f>
        <v/>
      </c>
      <c r="AF84" s="130">
        <f>IF(OR($C84="",$B$2="",$D$2=0),0,IF(AF$3&lt;0,0,N(INDEX('CURVA PREVISION'!$A$1:$KZ$3000,$C84,11+3*MIN(AF$3,$D$2-1)))))</f>
        <v/>
      </c>
      <c r="AG84" s="130">
        <f>IF(OR($C84="",$B$2="",$D$2=0),0,IF(AG$3&lt;0,0,N(INDEX('CURVA PREVISION'!$A$1:$KZ$3000,$C84,11+3*MIN(AG$3,$D$2-1)))))</f>
        <v/>
      </c>
      <c r="AH84" s="130">
        <f>IF(OR($C84="",$B$2="",$D$2=0),0,IF(AH$3&lt;0,0,N(INDEX('CURVA PREVISION'!$A$1:$KZ$3000,$C84,11+3*MIN(AH$3,$D$2-1)))))</f>
        <v/>
      </c>
      <c r="AI84" s="130">
        <f>IF(OR($C84="",$B$2="",$D$2=0),0,IF(AI$3&lt;0,0,N(INDEX('CURVA PREVISION'!$A$1:$KZ$3000,$C84,11+3*MIN(AI$3,$D$2-1)))))</f>
        <v/>
      </c>
      <c r="AJ84" s="130">
        <f>IF(OR($C84="",$B$2="",$D$2=0),0,IF(AJ$3&lt;0,0,N(INDEX('CURVA PREVISION'!$A$1:$KZ$3000,$C84,11+3*MIN(AJ$3,$D$2-1)))))</f>
        <v/>
      </c>
      <c r="AK84" s="130">
        <f>IF(OR($C84="",$B$2="",$D$2=0),0,IF(AK$3&lt;0,0,N(INDEX('CURVA PREVISION'!$A$1:$KZ$3000,$C84,11+3*MIN(AK$3,$D$2-1)))))</f>
        <v/>
      </c>
      <c r="AL84" s="130">
        <f>IF(OR($C84="",$B$2="",$D$2=0),0,IF(AL$3&lt;0,0,N(INDEX('CURVA PREVISION'!$A$1:$KZ$3000,$C84,11+3*MIN(AL$3,$D$2-1)))))</f>
        <v/>
      </c>
      <c r="AM84" s="130">
        <f>IF(OR($C84="",$B$2="",$D$2=0),0,IF(AM$3&lt;0,0,N(INDEX('CURVA PREVISION'!$A$1:$KZ$3000,$C84,11+3*MIN(AM$3,$D$2-1)))))</f>
        <v/>
      </c>
      <c r="AN84" s="130">
        <f>IF(OR($C84="",$B$2="",$D$2=0),0,IF(AN$3&lt;0,0,N(INDEX('CURVA PREVISION'!$A$1:$KZ$3000,$C84,11+3*MIN(AN$3,$D$2-1)))))</f>
        <v/>
      </c>
      <c r="AO84" s="130">
        <f>IF(OR($C84="",$B$2="",$D$2=0),0,IF(AO$3&lt;0,0,N(INDEX('CURVA PREVISION'!$A$1:$KZ$3000,$C84,11+3*MIN(AO$3,$D$2-1)))))</f>
        <v/>
      </c>
      <c r="AP84" s="130">
        <f>IF(OR($C84="",$B$2="",$D$2=0),0,IF(AP$3&lt;0,0,N(INDEX('CURVA PREVISION'!$A$1:$KZ$3000,$C84,11+3*MIN(AP$3,$D$2-1)))))</f>
        <v/>
      </c>
      <c r="AQ84" s="130">
        <f>IF(OR($C84="",$B$2="",$D$2=0),0,IF(AQ$3&lt;0,0,N(INDEX('CURVA PREVISION'!$A$1:$KZ$3000,$C84,11+3*MIN(AQ$3,$D$2-1)))))</f>
        <v/>
      </c>
      <c r="AR84" s="130">
        <f>IF(OR($C84="",$B$2="",$D$2=0),0,IF(AR$3&lt;0,0,N(INDEX('CURVA PREVISION'!$A$1:$KZ$3000,$C84,11+3*MIN(AR$3,$D$2-1)))))</f>
        <v/>
      </c>
      <c r="AS84" s="130">
        <f>IF(OR($C84="",$B$2="",$D$2=0),0,IF(AS$3&lt;0,0,N(INDEX('CURVA PREVISION'!$A$1:$KZ$3000,$C84,11+3*MIN(AS$3,$D$2-1)))))</f>
        <v/>
      </c>
      <c r="AT84" s="130">
        <f>IF(OR($C84="",$B$2="",$D$2=0),0,IF(AT$3&lt;0,0,N(INDEX('CURVA PREVISION'!$A$1:$KZ$3000,$C84,11+3*MIN(AT$3,$D$2-1)))))</f>
        <v/>
      </c>
      <c r="AU84" s="130">
        <f>IF(OR($C84="",$B$2="",$D$2=0),0,IF(AU$3&lt;0,0,N(INDEX('CURVA PREVISION'!$A$1:$KZ$3000,$C84,11+3*MIN(AU$3,$D$2-1)))))</f>
        <v/>
      </c>
      <c r="AV84" s="130">
        <f>IF(OR($C84="",$B$2="",$D$2=0),0,IF(AV$3&lt;0,0,N(INDEX('CURVA PREVISION'!$A$1:$KZ$3000,$C84,11+3*MIN(AV$3,$D$2-1)))))</f>
        <v/>
      </c>
      <c r="AW84" s="130">
        <f>IF(OR($C84="",$B$2="",$D$2=0),0,IF(AW$3&lt;0,0,N(INDEX('CURVA PREVISION'!$A$1:$KZ$3000,$C84,11+3*MIN(AW$3,$D$2-1)))))</f>
        <v/>
      </c>
      <c r="AX84" s="130">
        <f>IF(OR($C84="",$B$2="",$D$2=0),0,IF(AX$3&lt;0,0,N(INDEX('CURVA PREVISION'!$A$1:$KZ$3000,$C84,11+3*MIN(AX$3,$D$2-1)))))</f>
        <v/>
      </c>
      <c r="AY84" s="130">
        <f>IF(OR($C84="",$B$2="",$D$2=0),0,IF(AY$3&lt;0,0,N(INDEX('CURVA PREVISION'!$A$1:$KZ$3000,$C84,11+3*MIN(AY$3,$D$2-1)))))</f>
        <v/>
      </c>
      <c r="AZ84" s="130">
        <f>IF(OR($C84="",$B$2="",$D$2=0),0,IF(AZ$3&lt;0,0,N(INDEX('CURVA PREVISION'!$A$1:$KZ$3000,$C84,11+3*MIN(AZ$3,$D$2-1)))))</f>
        <v/>
      </c>
      <c r="BA84" s="130">
        <f>IF(OR($C84="",$B$2="",$D$2=0),0,IF(BA$3&lt;0,0,N(INDEX('CURVA PREVISION'!$A$1:$KZ$3000,$C84,11+3*MIN(BA$3,$D$2-1)))))</f>
        <v/>
      </c>
      <c r="BB84" s="130">
        <f>IF(OR($C84="",$B$2="",$D$2=0),0,IF(BB$3&lt;0,0,N(INDEX('CURVA PREVISION'!$A$1:$KZ$3000,$C84,11+3*MIN(BB$3,$D$2-1)))))</f>
        <v/>
      </c>
      <c r="BC84" s="130">
        <f>IF(OR($C84="",$B$2="",$D$2=0),0,IF(BC$3&lt;0,0,N(INDEX('CURVA PREVISION'!$A$1:$KZ$3000,$C84,11+3*MIN(BC$3,$D$2-1)))))</f>
        <v/>
      </c>
      <c r="BD84" s="130">
        <f>IF(OR($C84="",$B$2="",$D$2=0),0,IF(BD$3&lt;0,0,N(INDEX('CURVA PREVISION'!$A$1:$KZ$3000,$C84,11+3*MIN(BD$3,$D$2-1)))))</f>
        <v/>
      </c>
      <c r="BE84" s="130">
        <f>IF(OR($C84="",$B$2="",$D$2=0),0,IF(BE$3&lt;0,0,N(INDEX('CURVA PREVISION'!$A$1:$KZ$3000,$C84,11+3*MIN(BE$3,$D$2-1)))))</f>
        <v/>
      </c>
      <c r="BF84" s="130">
        <f>IF(OR($C84="",$B$2="",$D$2=0),0,IF(BF$3&lt;0,0,N(INDEX('CURVA PREVISION'!$A$1:$KZ$3000,$C84,11+3*MIN(BF$3,$D$2-1)))))</f>
        <v/>
      </c>
      <c r="BG84" s="130">
        <f>IF(OR($C84="",$B$2="",$D$2=0),0,IF(BG$3&lt;0,0,N(INDEX('CURVA PREVISION'!$A$1:$KZ$3000,$C84,11+3*MIN(BG$3,$D$2-1)))))</f>
        <v/>
      </c>
      <c r="BH84" s="130">
        <f>IF(OR($C84="",$B$2="",$D$2=0),0,IF(BH$3&lt;0,0,N(INDEX('CURVA PREVISION'!$A$1:$KZ$3000,$C84,11+3*MIN(BH$3,$D$2-1)))))</f>
        <v/>
      </c>
      <c r="BI84" s="130">
        <f>IF(OR($C84="",$B$2="",$D$2=0),0,IF(BI$3&lt;0,0,N(INDEX('CURVA PREVISION'!$A$1:$KZ$3000,$C84,11+3*MIN(BI$3,$D$2-1)))))</f>
        <v/>
      </c>
      <c r="BJ84" s="130">
        <f>IF(OR($C84="",$B$2="",$D$2=0),0,IF(BJ$3&lt;0,0,N(INDEX('CURVA PREVISION'!$A$1:$KZ$3000,$C84,11+3*MIN(BJ$3,$D$2-1)))))</f>
        <v/>
      </c>
      <c r="BK84" s="130">
        <f>IF(OR($C84="",$B$2="",$D$2=0),0,IF(BK$3&lt;0,0,N(INDEX('CURVA PREVISION'!$A$1:$KZ$3000,$C84,11+3*MIN(BK$3,$D$2-1)))))</f>
        <v/>
      </c>
      <c r="BL84" s="130">
        <f>IF(OR($C84="",$B$2="",$D$2=0),0,IF(BL$3&lt;0,0,N(INDEX('CURVA PREVISION'!$A$1:$KZ$3000,$C84,11+3*MIN(BL$3,$D$2-1)))))</f>
        <v/>
      </c>
      <c r="BM84" s="130">
        <f>IF(OR($C84="",$B$2="",$D$2=0),0,IF(BM$3&lt;0,0,N(INDEX('CURVA PREVISION'!$A$1:$KZ$3000,$C84,11+3*MIN(BM$3,$D$2-1)))))</f>
        <v/>
      </c>
      <c r="BN84" s="130">
        <f>IF(OR($C84="",$B$2="",$D$2=0),0,IF(BN$3&lt;0,0,N(INDEX('CURVA PREVISION'!$A$1:$KZ$3000,$C84,11+3*MIN(BN$3,$D$2-1)))))</f>
        <v/>
      </c>
      <c r="BO84" s="130">
        <f>IF(OR($C84="",$B$2="",$D$2=0),0,IF(BO$3&lt;0,0,N(INDEX('CURVA PREVISION'!$A$1:$KZ$3000,$C84,11+3*MIN(BO$3,$D$2-1)))))</f>
        <v/>
      </c>
      <c r="BP84" s="130">
        <f>IF(OR($C84="",$B$2="",$D$2=0),0,IF(BP$3&lt;0,0,N(INDEX('CURVA PREVISION'!$A$1:$KZ$3000,$C84,11+3*MIN(BP$3,$D$2-1)))))</f>
        <v/>
      </c>
      <c r="BQ84" s="130">
        <f>IF(OR($C84="",$B$2="",$D$2=0),0,IF(BQ$3&lt;0,0,N(INDEX('CURVA PREVISION'!$A$1:$KZ$3000,$C84,11+3*MIN(BQ$3,$D$2-1)))))</f>
        <v/>
      </c>
      <c r="BR84" s="130">
        <f>IF(OR($C84="",$B$2="",$D$2=0),0,IF(BR$3&lt;0,0,N(INDEX('CURVA PREVISION'!$A$1:$KZ$3000,$C84,11+3*MIN(BR$3,$D$2-1)))))</f>
        <v/>
      </c>
      <c r="BS84" s="130">
        <f>IF(OR($C84="",$B$2="",$D$2=0),0,IF(BS$3&lt;0,0,N(INDEX('CURVA PREVISION'!$A$1:$KZ$3000,$C84,11+3*MIN(BS$3,$D$2-1)))))</f>
        <v/>
      </c>
      <c r="BT84" s="130">
        <f>IF(OR($C84="",$B$2="",$D$2=0),0,IF(BT$3&lt;0,0,N(INDEX('CURVA PREVISION'!$A$1:$KZ$3000,$C84,11+3*MIN(BT$3,$D$2-1)))))</f>
        <v/>
      </c>
      <c r="BU84" s="130">
        <f>IF(OR($C84="",$B$2="",$D$2=0),0,IF(BU$3&lt;0,0,N(INDEX('CURVA PREVISION'!$A$1:$KZ$3000,$C84,11+3*MIN(BU$3,$D$2-1)))))</f>
        <v/>
      </c>
      <c r="BV84" s="130">
        <f>IF(OR($C84="",$B$2="",$D$2=0),0,IF(BV$3&lt;0,0,N(INDEX('CURVA PREVISION'!$A$1:$KZ$3000,$C84,11+3*MIN(BV$3,$D$2-1)))))</f>
        <v/>
      </c>
      <c r="BW84" s="130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4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  <c r="CB1" s="131">
        <f>IF(CB$4="",0,IFERROR(1/INDEX('"INCC-FGV"'!$B$2:$B$800,MATCH(CB$4,'"INCC-FGV"'!$A$2:$A$800,0)),0))</f>
        <v/>
      </c>
      <c r="CC1" s="131">
        <f>IF(CC$4="",0,IFERROR(1/INDEX('"INCC-FGV"'!$B$2:$B$800,MATCH(CC$4,'"INCC-FGV"'!$A$2:$A$800,0)),0))</f>
        <v/>
      </c>
      <c r="CD1" s="131">
        <f>IF(CD$4="",0,IFERROR(1/INDEX('"INCC-FGV"'!$B$2:$B$800,MATCH(CD$4,'"INCC-FGV"'!$A$2:$A$800,0)),0))</f>
        <v/>
      </c>
      <c r="CE1" s="131">
        <f>IF(CE$4="",0,IFERROR(1/INDEX('"INCC-FGV"'!$B$2:$B$800,MATCH(CE$4,'"INCC-FGV"'!$A$2:$A$800,0)),0))</f>
        <v/>
      </c>
      <c r="CF1" s="131">
        <f>IF(CF$4="",0,IFERROR(1/INDEX('"INCC-FGV"'!$B$2:$B$800,MATCH(CF$4,'"INCC-FGV"'!$A$2:$A$800,0)),0))</f>
        <v/>
      </c>
      <c r="CG1" s="131">
        <f>IF(CG$4="",0,IFERROR(1/INDEX('"INCC-FGV"'!$B$2:$B$800,MATCH(CG$4,'"INCC-FGV"'!$A$2:$A$800,0)),0))</f>
        <v/>
      </c>
      <c r="CH1" s="131">
        <f>IF(CH$4="",0,IFERROR(1/INDEX('"INCC-FGV"'!$B$2:$B$800,MATCH(CH$4,'"INCC-FGV"'!$A$2:$A$800,0)),0))</f>
        <v/>
      </c>
      <c r="CI1" s="131">
        <f>IF(CI$4="",0,IFERROR(1/INDEX('"INCC-FGV"'!$B$2:$B$800,MATCH(CI$4,'"INCC-FGV"'!$A$2:$A$800,0)),0))</f>
        <v/>
      </c>
      <c r="CJ1" s="131">
        <f>IF(CJ$4="",0,IFERROR(1/INDEX('"INCC-FGV"'!$B$2:$B$800,MATCH(CJ$4,'"INCC-FGV"'!$A$2:$A$800,0)),0))</f>
        <v/>
      </c>
      <c r="CK1" s="131">
        <f>IF(CK$4="",0,IFERROR(1/INDEX('"INCC-FGV"'!$B$2:$B$800,MATCH(CK$4,'"INCC-FGV"'!$A$2:$A$800,0)),0))</f>
        <v/>
      </c>
      <c r="CL1" s="131">
        <f>IF(CL$4="",0,IFERROR(1/INDEX('"INCC-FGV"'!$B$2:$B$800,MATCH(CL$4,'"INCC-FGV"'!$A$2:$A$800,0)),0))</f>
        <v/>
      </c>
      <c r="CM1" s="131">
        <f>IF(CM$4="",0,IFERROR(1/INDEX('"INCC-FGV"'!$B$2:$B$800,MATCH(CM$4,'"INCC-FGV"'!$A$2:$A$800,0)),0))</f>
        <v/>
      </c>
      <c r="CN1" s="131">
        <f>IF(CN$4="",0,IFERROR(1/INDEX('"INCC-FGV"'!$B$2:$B$800,MATCH(CN$4,'"INCC-FGV"'!$A$2:$A$800,0)),0))</f>
        <v/>
      </c>
      <c r="CO1" s="131">
        <f>IF(CO$4="",0,IFERROR(1/INDEX('"INCC-FGV"'!$B$2:$B$800,MATCH(CO$4,'"INCC-FGV"'!$A$2:$A$800,0)),0))</f>
        <v/>
      </c>
      <c r="CP1" s="131">
        <f>IF(CP$4="",0,IFERROR(1/INDEX('"INCC-FGV"'!$B$2:$B$800,MATCH(CP$4,'"INCC-FGV"'!$A$2:$A$800,0)),0))</f>
        <v/>
      </c>
      <c r="CQ1" s="131">
        <f>IF(CQ$4="",0,IFERROR(1/INDEX('"INCC-FGV"'!$B$2:$B$800,MATCH(CQ$4,'"INCC-FGV"'!$A$2:$A$800,0)),0))</f>
        <v/>
      </c>
      <c r="CR1" s="131">
        <f>IF(CR$4="",0,IFERROR(1/INDEX('"INCC-FGV"'!$B$2:$B$800,MATCH(CR$4,'"INCC-FGV"'!$A$2:$A$800,0)),0))</f>
        <v/>
      </c>
      <c r="CS1" s="131">
        <f>IF(CS$4="",0,IFERROR(1/INDEX('"INCC-FGV"'!$B$2:$B$800,MATCH(CS$4,'"INCC-FGV"'!$A$2:$A$800,0)),0))</f>
        <v/>
      </c>
      <c r="CT1" s="131">
        <f>IF(CT$4="",0,IFERROR(1/INDEX('"INCC-FGV"'!$B$2:$B$800,MATCH(CT$4,'"INCC-FGV"'!$A$2:$A$800,0)),0))</f>
        <v/>
      </c>
      <c r="CU1" s="131">
        <f>IF(CU$4="",0,IFERROR(1/INDEX('"INCC-FGV"'!$B$2:$B$800,MATCH(CU$4,'"INCC-FGV"'!$A$2:$A$800,0)),0))</f>
        <v/>
      </c>
      <c r="CV1" s="131">
        <f>IF(CV$4="",0,IFERROR(1/INDEX('"INCC-FGV"'!$B$2:$B$800,MATCH(CV$4,'"INCC-FGV"'!$A$2:$A$800,0)),0))</f>
        <v/>
      </c>
      <c r="CW1" s="131">
        <f>IF(CW$4="",0,IFERROR(1/INDEX('"INCC-FGV"'!$B$2:$B$800,MATCH(CW$4,'"INCC-FGV"'!$A$2:$A$800,0)),0))</f>
        <v/>
      </c>
      <c r="CX1" s="131">
        <f>IF(CX$4="",0,IFERROR(1/INDEX('"INCC-FGV"'!$B$2:$B$800,MATCH(CX$4,'"INCC-FGV"'!$A$2:$A$800,0)),0))</f>
        <v/>
      </c>
      <c r="CY1" s="131">
        <f>IF(CY$4="",0,IFERROR(1/INDEX('"INCC-FGV"'!$B$2:$B$800,MATCH(CY$4,'"INCC-FGV"'!$A$2:$A$800,0)),0))</f>
        <v/>
      </c>
      <c r="CZ1" s="131">
        <f>IF(CZ$4="",0,IFERROR(1/INDEX('"INCC-FGV"'!$B$2:$B$800,MATCH(CZ$4,'"INCC-FGV"'!$A$2:$A$800,0)),0))</f>
        <v/>
      </c>
      <c r="DA1" s="131">
        <f>IF(DA$4="",0,IFERROR(1/INDEX('"INCC-FGV"'!$B$2:$B$800,MATCH(DA$4,'"INCC-FGV"'!$A$2:$A$800,0)),0))</f>
        <v/>
      </c>
      <c r="DB1" s="131">
        <f>IF(DB$4="",0,IFERROR(1/INDEX('"INCC-FGV"'!$B$2:$B$800,MATCH(DB$4,'"INCC-FGV"'!$A$2:$A$800,0)),0))</f>
        <v/>
      </c>
      <c r="DC1" s="131">
        <f>IF(DC$4="",0,IFERROR(1/INDEX('"INCC-FGV"'!$B$2:$B$800,MATCH(DC$4,'"INCC-FGV"'!$A$2:$A$800,0)),0))</f>
        <v/>
      </c>
      <c r="DD1" s="131">
        <f>IF(DD$4="",0,IFERROR(1/INDEX('"INCC-FGV"'!$B$2:$B$800,MATCH(DD$4,'"INCC-FGV"'!$A$2:$A$800,0)),0))</f>
        <v/>
      </c>
      <c r="DE1" s="131">
        <f>IF(DE$4="",0,IFERROR(1/INDEX('"INCC-FGV"'!$B$2:$B$800,MATCH(DE$4,'"INCC-FGV"'!$A$2:$A$800,0)),0))</f>
        <v/>
      </c>
      <c r="DF1" s="131">
        <f>IF(DF$4="",0,IFERROR(1/INDEX('"INCC-FGV"'!$B$2:$B$800,MATCH(DF$4,'"INCC-FGV"'!$A$2:$A$800,0)),0))</f>
        <v/>
      </c>
      <c r="DG1" s="131">
        <f>IF(DG$4="",0,IFERROR(1/INDEX('"INCC-FGV"'!$B$2:$B$800,MATCH(DG$4,'"INCC-FGV"'!$A$2:$A$800,0)),0))</f>
        <v/>
      </c>
      <c r="DH1" s="131">
        <f>IF(DH$4="",0,IFERROR(1/INDEX('"INCC-FGV"'!$B$2:$B$800,MATCH(DH$4,'"INCC-FGV"'!$A$2:$A$800,0)),0))</f>
        <v/>
      </c>
      <c r="DI1" s="131">
        <f>IF(DI$4="",0,IFERROR(1/INDEX('"INCC-FGV"'!$B$2:$B$800,MATCH(DI$4,'"INCC-FGV"'!$A$2:$A$800,0)),0))</f>
        <v/>
      </c>
      <c r="DJ1" s="131">
        <f>IF(DJ$4="",0,IFERROR(1/INDEX('"INCC-FGV"'!$B$2:$B$800,MATCH(DJ$4,'"INCC-FGV"'!$A$2:$A$800,0)),0))</f>
        <v/>
      </c>
      <c r="DK1" s="131">
        <f>IF(DK$4="",0,IFERROR(1/INDEX('"INCC-FGV"'!$B$2:$B$800,MATCH(DK$4,'"INCC-FGV"'!$A$2:$A$800,0)),0))</f>
        <v/>
      </c>
      <c r="DL1" s="131">
        <f>IF(DL$4="",0,IFERROR(1/INDEX('"INCC-FGV"'!$B$2:$B$800,MATCH(DL$4,'"INCC-FGV"'!$A$2:$A$800,0)),0))</f>
        <v/>
      </c>
      <c r="DM1" s="131">
        <f>IF(DM$4="",0,IFERROR(1/INDEX('"INCC-FGV"'!$B$2:$B$800,MATCH(DM$4,'"INCC-FGV"'!$A$2:$A$800,0)),0))</f>
        <v/>
      </c>
      <c r="DN1" s="131">
        <f>IF(DN$4="",0,IFERROR(1/INDEX('"INCC-FGV"'!$B$2:$B$800,MATCH(DN$4,'"INCC-FGV"'!$A$2:$A$800,0)),0))</f>
        <v/>
      </c>
      <c r="DO1" s="131">
        <f>IF(DO$4="",0,IFERROR(1/INDEX('"INCC-FGV"'!$B$2:$B$800,MATCH(DO$4,'"INCC-FGV"'!$A$2:$A$800,0)),0))</f>
        <v/>
      </c>
      <c r="DP1" s="131">
        <f>IF(DP$4="",0,IFERROR(1/INDEX('"INCC-FGV"'!$B$2:$B$800,MATCH(DP$4,'"INCC-FGV"'!$A$2:$A$800,0)),0))</f>
        <v/>
      </c>
      <c r="DQ1" s="131">
        <f>IF(DQ$4="",0,IFERROR(1/INDEX('"INCC-FGV"'!$B$2:$B$800,MATCH(DQ$4,'"INCC-FGV"'!$A$2:$A$800,0)),0))</f>
        <v/>
      </c>
      <c r="DR1" s="131">
        <f>IF(DR$4="",0,IFERROR(1/INDEX('"INCC-FGV"'!$B$2:$B$800,MATCH(DR$4,'"INCC-FGV"'!$A$2:$A$800,0)),0))</f>
        <v/>
      </c>
      <c r="DS1" s="131">
        <f>IF(DS$4="",0,IFERROR(1/INDEX('"INCC-FGV"'!$B$2:$B$800,MATCH(DS$4,'"INCC-FGV"'!$A$2:$A$800,0)),0))</f>
        <v/>
      </c>
      <c r="DT1" s="131">
        <f>IF(DT$4="",0,IFERROR(1/INDEX('"INCC-FGV"'!$B$2:$B$800,MATCH(DT$4,'"INCC-FGV"'!$A$2:$A$800,0)),0))</f>
        <v/>
      </c>
      <c r="DU1" s="131">
        <f>IF(DU$4="",0,IFERROR(1/INDEX('"INCC-FGV"'!$B$2:$B$800,MATCH(DU$4,'"INCC-FGV"'!$A$2:$A$800,0)),0))</f>
        <v/>
      </c>
      <c r="DV1" s="131">
        <f>IF(DV$4="",0,IFERROR(1/INDEX('"INCC-FGV"'!$B$2:$B$800,MATCH(DV$4,'"INCC-FGV"'!$A$2:$A$800,0)),0))</f>
        <v/>
      </c>
      <c r="DW1" s="131">
        <f>IF(DW$4="",0,IFERROR(1/INDEX('"INCC-FGV"'!$B$2:$B$800,MATCH(DW$4,'"INCC-FGV"'!$A$2:$A$800,0)),0))</f>
        <v/>
      </c>
      <c r="DX1" s="131">
        <f>IF(DX$4="",0,IFERROR(1/INDEX('"INCC-FGV"'!$B$2:$B$800,MATCH(DX$4,'"INCC-FGV"'!$A$2:$A$800,0)),0))</f>
        <v/>
      </c>
      <c r="DY1" s="131">
        <f>IF(DY$4="",0,IFERROR(1/INDEX('"INCC-FGV"'!$B$2:$B$800,MATCH(DY$4,'"INCC-FGV"'!$A$2:$A$800,0)),0))</f>
        <v/>
      </c>
      <c r="DZ1" s="131">
        <f>IF(DZ$4="",0,IFERROR(1/INDEX('"INCC-FGV"'!$B$2:$B$800,MATCH(DZ$4,'"INCC-FGV"'!$A$2:$A$800,0)),0))</f>
        <v/>
      </c>
      <c r="EA1" s="131">
        <f>IF(EA$4="",0,IFERROR(1/INDEX('"INCC-FGV"'!$B$2:$B$800,MATCH(EA$4,'"INCC-FGV"'!$A$2:$A$800,0)),0))</f>
        <v/>
      </c>
      <c r="EB1" s="131">
        <f>IF(EB$4="",0,IFERROR(1/INDEX('"INCC-FGV"'!$B$2:$B$800,MATCH(EB$4,'"INCC-FGV"'!$A$2:$A$800,0)),0))</f>
        <v/>
      </c>
      <c r="EC1" s="131">
        <f>IF(EC$4="",0,IFERROR(1/INDEX('"INCC-FGV"'!$B$2:$B$800,MATCH(EC$4,'"INCC-FGV"'!$A$2:$A$800,0)),0))</f>
        <v/>
      </c>
      <c r="ED1" s="131">
        <f>IF(ED$4="",0,IFERROR(1/INDEX('"INCC-FGV"'!$B$2:$B$800,MATCH(ED$4,'"INCC-FGV"'!$A$2:$A$800,0)),0))</f>
        <v/>
      </c>
      <c r="EE1" s="131">
        <f>IF(EE$4="",0,IFERROR(1/INDEX('"INCC-FGV"'!$B$2:$B$800,MATCH(EE$4,'"INCC-FGV"'!$A$2:$A$800,0)),0))</f>
        <v/>
      </c>
      <c r="EF1" s="131">
        <f>IF(EF$4="",0,IFERROR(1/INDEX('"INCC-FGV"'!$B$2:$B$800,MATCH(EF$4,'"INCC-FGV"'!$A$2:$A$800,0)),0))</f>
        <v/>
      </c>
      <c r="EG1" s="131">
        <f>IF(EG$4="",0,IFERROR(1/INDEX('"INCC-FGV"'!$B$2:$B$800,MATCH(EG$4,'"INCC-FGV"'!$A$2:$A$800,0)),0))</f>
        <v/>
      </c>
      <c r="EH1" s="131">
        <f>IF(EH$4="",0,IFERROR(1/INDEX('"INCC-FGV"'!$B$2:$B$800,MATCH(EH$4,'"INCC-FGV"'!$A$2:$A$800,0)),0))</f>
        <v/>
      </c>
      <c r="EI1" s="131">
        <f>IF(EI$4="",0,IFERROR(1/INDEX('"INCC-FGV"'!$B$2:$B$800,MATCH(EI$4,'"INCC-FGV"'!$A$2:$A$800,0)),0))</f>
        <v/>
      </c>
      <c r="EJ1" s="131">
        <f>IF(EJ$4="",0,IFERROR(1/INDEX('"INCC-FGV"'!$B$2:$B$800,MATCH(EJ$4,'"INCC-FGV"'!$A$2:$A$800,0)),0))</f>
        <v/>
      </c>
      <c r="EK1" s="131">
        <f>IF(EK$4="",0,IFERROR(1/INDEX('"INCC-FGV"'!$B$2:$B$800,MATCH(EK$4,'"INCC-FGV"'!$A$2:$A$800,0)),0))</f>
        <v/>
      </c>
      <c r="EL1" s="131">
        <f>IF(EL$4="",0,IFERROR(1/INDEX('"INCC-FGV"'!$B$2:$B$800,MATCH(EL$4,'"INCC-FGV"'!$A$2:$A$800,0)),0))</f>
        <v/>
      </c>
      <c r="EM1" s="131">
        <f>IF(EM$4="",0,IFERROR(1/INDEX('"INCC-FGV"'!$B$2:$B$800,MATCH(EM$4,'"INCC-FGV"'!$A$2:$A$800,0)),0))</f>
        <v/>
      </c>
      <c r="EN1" s="131">
        <f>IF(EN$4="",0,IFERROR(1/INDEX('"INCC-FGV"'!$B$2:$B$800,MATCH(EN$4,'"INCC-FGV"'!$A$2:$A$800,0)),0))</f>
        <v/>
      </c>
      <c r="EO1" s="131">
        <f>IF(EO$4="",0,IFERROR(1/INDEX('"INCC-FGV"'!$B$2:$B$800,MATCH(EO$4,'"INCC-FGV"'!$A$2:$A$800,0)),0))</f>
        <v/>
      </c>
      <c r="EP1" s="131">
        <f>IF(EP$4="",0,IFERROR(1/INDEX('"INCC-FGV"'!$B$2:$B$800,MATCH(EP$4,'"INCC-FGV"'!$A$2:$A$800,0)),0))</f>
        <v/>
      </c>
      <c r="EQ1" s="131">
        <f>IF(EQ$4="",0,IFERROR(1/INDEX('"INCC-FGV"'!$B$2:$B$800,MATCH(EQ$4,'"INCC-FGV"'!$A$2:$A$800,0)),0))</f>
        <v/>
      </c>
      <c r="ER1" s="131">
        <f>IF(ER$4="",0,IFERROR(1/INDEX('"INCC-FGV"'!$B$2:$B$800,MATCH(ER$4,'"INCC-FGV"'!$A$2:$A$800,0)),0))</f>
        <v/>
      </c>
      <c r="ES1" s="131">
        <f>IF(ES$4="",0,IFERROR(1/INDEX('"INCC-FGV"'!$B$2:$B$800,MATCH(ES$4,'"INCC-FGV"'!$A$2:$A$800,0)),0))</f>
        <v/>
      </c>
      <c r="ET1" s="131">
        <f>IF(ET$4="",0,IFERROR(1/INDEX('"INCC-FGV"'!$B$2:$B$800,MATCH(ET$4,'"INCC-FGV"'!$A$2:$A$800,0)),0))</f>
        <v/>
      </c>
      <c r="EU1" s="131">
        <f>IF(EU$4="",0,IFERROR(1/INDEX('"INCC-FGV"'!$B$2:$B$800,MATCH(EU$4,'"INCC-FGV"'!$A$2:$A$800,0)),0))</f>
        <v/>
      </c>
      <c r="EV1" s="131">
        <f>IF(EV$4="",0,IFERROR(1/INDEX('"INCC-FGV"'!$B$2:$B$800,MATCH(EV$4,'"INCC-FGV"'!$A$2:$A$800,0)),0))</f>
        <v/>
      </c>
      <c r="EW1" s="131">
        <f>IF(EW$4="",0,IFERROR(1/INDEX('"INCC-FGV"'!$B$2:$B$800,MATCH(EW$4,'"INCC-FGV"'!$A$2:$A$800,0)),0))</f>
        <v/>
      </c>
      <c r="EX1" s="131">
        <f>IF(EX$4="",0,IFERROR(1/INDEX('"INCC-FGV"'!$B$2:$B$800,MATCH(EX$4,'"INCC-FGV"'!$A$2:$A$800,0)),0))</f>
        <v/>
      </c>
      <c r="EY1" s="131">
        <f>IF(EY$4="",0,IFERROR(1/INDEX('"INCC-FGV"'!$B$2:$B$800,MATCH(EY$4,'"INCC-FGV"'!$A$2:$A$800,0)),0))</f>
        <v/>
      </c>
      <c r="EZ1" s="131">
        <f>IF(EZ$4="",0,IFERROR(1/INDEX('"INCC-FGV"'!$B$2:$B$800,MATCH(EZ$4,'"INCC-FGV"'!$A$2:$A$800,0)),0))</f>
        <v/>
      </c>
      <c r="FA1" s="131">
        <f>IF(FA$4="",0,IFERROR(1/INDEX('"INCC-FGV"'!$B$2:$B$800,MATCH(FA$4,'"INCC-FGV"'!$A$2:$A$800,0)),0))</f>
        <v/>
      </c>
      <c r="FB1" s="131">
        <f>IF(FB$4="",0,IFERROR(1/INDEX('"INCC-FGV"'!$B$2:$B$800,MATCH(FB$4,'"INCC-FGV"'!$A$2:$A$800,0)),0))</f>
        <v/>
      </c>
      <c r="FC1" s="131">
        <f>IF(FC$4="",0,IFERROR(1/INDEX('"INCC-FGV"'!$B$2:$B$800,MATCH(FC$4,'"INCC-FGV"'!$A$2:$A$800,0)),0))</f>
        <v/>
      </c>
      <c r="FD1" s="131">
        <f>IF(FD$4="",0,IFERROR(1/INDEX('"INCC-FGV"'!$B$2:$B$800,MATCH(FD$4,'"INCC-FGV"'!$A$2:$A$800,0)),0))</f>
        <v/>
      </c>
      <c r="FE1" s="131">
        <f>IF(FE$4="",0,IFERROR(1/INDEX('"INCC-FGV"'!$B$2:$B$800,MATCH(FE$4,'"INCC-FGV"'!$A$2:$A$800,0)),0))</f>
        <v/>
      </c>
      <c r="FF1" s="131">
        <f>IF(FF$4="",0,IFERROR(1/INDEX('"INCC-FGV"'!$B$2:$B$800,MATCH(FF$4,'"INCC-FGV"'!$A$2:$A$800,0)),0))</f>
        <v/>
      </c>
      <c r="FG1" s="131">
        <f>IF(FG$4="",0,IFERROR(1/INDEX('"INCC-FGV"'!$B$2:$B$800,MATCH(FG$4,'"INCC-FGV"'!$A$2:$A$800,0)),0))</f>
        <v/>
      </c>
      <c r="FH1" s="131">
        <f>IF(FH$4="",0,IFERROR(1/INDEX('"INCC-FGV"'!$B$2:$B$800,MATCH(FH$4,'"INCC-FGV"'!$A$2:$A$800,0)),0))</f>
        <v/>
      </c>
      <c r="FI1" s="131">
        <f>IF(FI$4="",0,IFERROR(1/INDEX('"INCC-FGV"'!$B$2:$B$800,MATCH(FI$4,'"INCC-FGV"'!$A$2:$A$800,0)),0))</f>
        <v/>
      </c>
      <c r="FJ1" s="131">
        <f>IF(FJ$4="",0,IFERROR(1/INDEX('"INCC-FGV"'!$B$2:$B$800,MATCH(FJ$4,'"INCC-FGV"'!$A$2:$A$800,0)),0))</f>
        <v/>
      </c>
      <c r="FK1" s="131">
        <f>IF(FK$4="",0,IFERROR(1/INDEX('"INCC-FGV"'!$B$2:$B$800,MATCH(FK$4,'"INCC-FGV"'!$A$2:$A$800,0)),0))</f>
        <v/>
      </c>
      <c r="FL1" s="131">
        <f>IF(FL$4="",0,IFERROR(1/INDEX('"INCC-FGV"'!$B$2:$B$800,MATCH(FL$4,'"INCC-FGV"'!$A$2:$A$800,0)),0))</f>
        <v/>
      </c>
      <c r="FM1" s="131">
        <f>IF(FM$4="",0,IFERROR(1/INDEX('"INCC-FGV"'!$B$2:$B$800,MATCH(FM$4,'"INCC-FGV"'!$A$2:$A$800,0)),0))</f>
        <v/>
      </c>
      <c r="FN1" s="131">
        <f>IF(FN$4="",0,IFERROR(1/INDEX('"INCC-FGV"'!$B$2:$B$800,MATCH(FN$4,'"INCC-FGV"'!$A$2:$A$800,0)),0))</f>
        <v/>
      </c>
      <c r="FO1" s="131">
        <f>IF(FO$4="",0,IFERROR(1/INDEX('"INCC-FGV"'!$B$2:$B$800,MATCH(FO$4,'"INCC-FGV"'!$A$2:$A$800,0)),0))</f>
        <v/>
      </c>
      <c r="FP1" s="131">
        <f>IF(FP$4="",0,IFERROR(1/INDEX('"INCC-FGV"'!$B$2:$B$800,MATCH(FP$4,'"INCC-FGV"'!$A$2:$A$800,0)),0))</f>
        <v/>
      </c>
      <c r="FQ1" s="131">
        <f>IF(FQ$4="",0,IFERROR(1/INDEX('"INCC-FGV"'!$B$2:$B$800,MATCH(FQ$4,'"INCC-FGV"'!$A$2:$A$800,0)),0))</f>
        <v/>
      </c>
      <c r="FR1" s="131">
        <f>IF(FR$4="",0,IFERROR(1/INDEX('"INCC-FGV"'!$B$2:$B$800,MATCH(FR$4,'"INCC-FGV"'!$A$2:$A$800,0)),0))</f>
        <v/>
      </c>
      <c r="FS1" s="131">
        <f>IF(FS$4="",0,IFERROR(1/INDEX('"INCC-FGV"'!$B$2:$B$800,MATCH(FS$4,'"INCC-FGV"'!$A$2:$A$800,0)),0))</f>
        <v/>
      </c>
      <c r="FT1" s="131">
        <f>IF(FT$4="",0,IFERROR(1/INDEX('"INCC-FGV"'!$B$2:$B$800,MATCH(FT$4,'"INCC-FGV"'!$A$2:$A$800,0)),0))</f>
        <v/>
      </c>
      <c r="FU1" s="131">
        <f>IF(FU$4="",0,IFERROR(1/INDEX('"INCC-FGV"'!$B$2:$B$800,MATCH(FU$4,'"INCC-FGV"'!$A$2:$A$800,0)),0))</f>
        <v/>
      </c>
      <c r="FV1" s="131">
        <f>IF(FV$4="",0,IFERROR(1/INDEX('"INCC-FGV"'!$B$2:$B$800,MATCH(FV$4,'"INCC-FGV"'!$A$2:$A$800,0)),0))</f>
        <v/>
      </c>
      <c r="FW1" s="131">
        <f>IF(FW$4="",0,IFERROR(1/INDEX('"INCC-FGV"'!$B$2:$B$800,MATCH(FW$4,'"INCC-FGV"'!$A$2:$A$800,0)),0))</f>
        <v/>
      </c>
      <c r="FX1" s="131">
        <f>IF(FX$4="",0,IFERROR(1/INDEX('"INCC-FGV"'!$B$2:$B$800,MATCH(FX$4,'"INCC-FGV"'!$A$2:$A$800,0)),0))</f>
        <v/>
      </c>
      <c r="FY1" s="131">
        <f>IF(FY$4="",0,IFERROR(1/INDEX('"INCC-FGV"'!$B$2:$B$800,MATCH(FY$4,'"INCC-FGV"'!$A$2:$A$800,0)),0))</f>
        <v/>
      </c>
      <c r="FZ1" s="131">
        <f>IF(FZ$4="",0,IFERROR(1/INDEX('"INCC-FGV"'!$B$2:$B$800,MATCH(FZ$4,'"INCC-FGV"'!$A$2:$A$800,0)),0))</f>
        <v/>
      </c>
      <c r="GA1" s="131">
        <f>IF(GA$4="",0,IFERROR(1/INDEX('"INCC-FGV"'!$B$2:$B$800,MATCH(GA$4,'"INCC-FGV"'!$A$2:$A$800,0)),0))</f>
        <v/>
      </c>
      <c r="GB1" s="131">
        <f>IF(GB$4="",0,IFERROR(1/INDEX('"INCC-FGV"'!$B$2:$B$800,MATCH(GB$4,'"INCC-FGV"'!$A$2:$A$800,0)),0))</f>
        <v/>
      </c>
      <c r="GC1" s="131">
        <f>IF(GC$4="",0,IFERROR(1/INDEX('"INCC-FGV"'!$B$2:$B$800,MATCH(GC$4,'"INCC-FGV"'!$A$2:$A$800,0)),0))</f>
        <v/>
      </c>
      <c r="GD1" s="131">
        <f>IF(GD$4="",0,IFERROR(1/INDEX('"INCC-FGV"'!$B$2:$B$800,MATCH(GD$4,'"INCC-FGV"'!$A$2:$A$800,0)),0))</f>
        <v/>
      </c>
      <c r="GE1" s="131">
        <f>IF(GE$4="",0,IFERROR(1/INDEX('"INCC-FGV"'!$B$2:$B$800,MATCH(GE$4,'"INCC-FGV"'!$A$2:$A$800,0)),0))</f>
        <v/>
      </c>
      <c r="GF1" s="131">
        <f>IF(GF$4="",0,IFERROR(1/INDEX('"INCC-FGV"'!$B$2:$B$800,MATCH(GF$4,'"INCC-FGV"'!$A$2:$A$800,0)),0))</f>
        <v/>
      </c>
      <c r="GG1" s="131">
        <f>IF(GG$4="",0,IFERROR(1/INDEX('"INCC-FGV"'!$B$2:$B$800,MATCH(GG$4,'"INCC-FGV"'!$A$2:$A$800,0)),0))</f>
        <v/>
      </c>
      <c r="GH1" s="131">
        <f>IF(GH$4="",0,IFERROR(1/INDEX('"INCC-FGV"'!$B$2:$B$800,MATCH(GH$4,'"INCC-FGV"'!$A$2:$A$800,0)),0))</f>
        <v/>
      </c>
      <c r="GI1" s="131">
        <f>IF(GI$4="",0,IFERROR(1/INDEX('"INCC-FGV"'!$B$2:$B$800,MATCH(GI$4,'"INCC-FGV"'!$A$2:$A$800,0)),0))</f>
        <v/>
      </c>
      <c r="GJ1" s="131">
        <f>IF(GJ$4="",0,IFERROR(1/INDEX('"INCC-FGV"'!$B$2:$B$800,MATCH(GJ$4,'"INCC-FGV"'!$A$2:$A$800,0)),0))</f>
        <v/>
      </c>
      <c r="GK1" s="131">
        <f>IF(GK$4="",0,IFERROR(1/INDEX('"INCC-FGV"'!$B$2:$B$800,MATCH(GK$4,'"INCC-FGV"'!$A$2:$A$800,0)),0))</f>
        <v/>
      </c>
      <c r="GL1" s="131">
        <f>IF(GL$4="",0,IFERROR(1/INDEX('"INCC-FGV"'!$B$2:$B$800,MATCH(GL$4,'"INCC-FGV"'!$A$2:$A$800,0)),0))</f>
        <v/>
      </c>
      <c r="GM1" s="131">
        <f>IF(GM$4="",0,IFERROR(1/INDEX('"INCC-FGV"'!$B$2:$B$800,MATCH(GM$4,'"INCC-FGV"'!$A$2:$A$800,0)),0))</f>
        <v/>
      </c>
      <c r="GN1" s="131">
        <f>IF(GN$4="",0,IFERROR(1/INDEX('"INCC-FGV"'!$B$2:$B$800,MATCH(GN$4,'"INCC-FGV"'!$A$2:$A$800,0)),0))</f>
        <v/>
      </c>
      <c r="GO1" s="131">
        <f>IF(GO$4="",0,IFERROR(1/INDEX('"INCC-FGV"'!$B$2:$B$800,MATCH(GO$4,'"INCC-FGV"'!$A$2:$A$800,0)),0))</f>
        <v/>
      </c>
      <c r="GP1" s="131">
        <f>IF(GP$4="",0,IFERROR(1/INDEX('"INCC-FGV"'!$B$2:$B$800,MATCH(GP$4,'"INCC-FGV"'!$A$2:$A$800,0)),0))</f>
        <v/>
      </c>
      <c r="GQ1" s="131">
        <f>IF(GQ$4="",0,IFERROR(1/INDEX('"INCC-FGV"'!$B$2:$B$800,MATCH(GQ$4,'"INCC-FGV"'!$A$2:$A$800,0)),0))</f>
        <v/>
      </c>
      <c r="GR1" s="131">
        <f>IF(GR$4="",0,IFERROR(1/INDEX('"INCC-FGV"'!$B$2:$B$800,MATCH(GR$4,'"INCC-FGV"'!$A$2:$A$800,0)),0))</f>
        <v/>
      </c>
      <c r="GS1" s="131">
        <f>IF(GS$4="",0,IFERROR(1/INDEX('"INCC-FGV"'!$B$2:$B$800,MATCH(GS$4,'"INCC-FGV"'!$A$2:$A$800,0)),0))</f>
        <v/>
      </c>
      <c r="GT1" s="131">
        <f>IF(GT$4="",0,IFERROR(1/INDEX('"INCC-FGV"'!$B$2:$B$800,MATCH(GT$4,'"INCC-FGV"'!$A$2:$A$800,0)),0))</f>
        <v/>
      </c>
      <c r="GU1" s="131">
        <f>IF(GU$4="",0,IFERROR(1/INDEX('"INCC-FGV"'!$B$2:$B$800,MATCH(GU$4,'"INCC-FGV"'!$A$2:$A$800,0)),0))</f>
        <v/>
      </c>
      <c r="GV1" s="131">
        <f>IF(GV$4="",0,IFERROR(1/INDEX('"INCC-FGV"'!$B$2:$B$800,MATCH(GV$4,'"INCC-FGV"'!$A$2:$A$800,0)),0))</f>
        <v/>
      </c>
      <c r="GW1" s="131">
        <f>IF(GW$4="",0,IFERROR(1/INDEX('"INCC-FGV"'!$B$2:$B$800,MATCH(GW$4,'"INCC-FGV"'!$A$2:$A$800,0)),0))</f>
        <v/>
      </c>
      <c r="GX1" s="131">
        <f>IF(GX$4="",0,IFERROR(1/INDEX('"INCC-FGV"'!$B$2:$B$800,MATCH(GX$4,'"INCC-FGV"'!$A$2:$A$800,0)),0))</f>
        <v/>
      </c>
      <c r="GY1" s="131">
        <f>IF(GY$4="",0,IFERROR(1/INDEX('"INCC-FGV"'!$B$2:$B$800,MATCH(GY$4,'"INCC-FGV"'!$A$2:$A$800,0)),0))</f>
        <v/>
      </c>
      <c r="GZ1" s="131">
        <f>IF(GZ$4="",0,IFERROR(1/INDEX('"INCC-FGV"'!$B$2:$B$800,MATCH(GZ$4,'"INCC-FGV"'!$A$2:$A$800,0)),0))</f>
        <v/>
      </c>
      <c r="HA1" s="131">
        <f>IF(HA$4="",0,IFERROR(1/INDEX('"INCC-FGV"'!$B$2:$B$800,MATCH(HA$4,'"INCC-FGV"'!$A$2:$A$800,0)),0))</f>
        <v/>
      </c>
      <c r="HB1" s="131">
        <f>IF(HB$4="",0,IFERROR(1/INDEX('"INCC-FGV"'!$B$2:$B$800,MATCH(HB$4,'"INCC-FGV"'!$A$2:$A$800,0)),0))</f>
        <v/>
      </c>
      <c r="HC1" s="131">
        <f>IF(HC$4="",0,IFERROR(1/INDEX('"INCC-FGV"'!$B$2:$B$800,MATCH(HC$4,'"INCC-FGV"'!$A$2:$A$800,0)),0))</f>
        <v/>
      </c>
      <c r="HD1" s="131">
        <f>IF(HD$4="",0,IFERROR(1/INDEX('"INCC-FGV"'!$B$2:$B$800,MATCH(HD$4,'"INCC-FGV"'!$A$2:$A$800,0)),0))</f>
        <v/>
      </c>
      <c r="HE1" s="131">
        <f>IF(HE$4="",0,IFERROR(1/INDEX('"INCC-FGV"'!$B$2:$B$800,MATCH(HE$4,'"INCC-FGV"'!$A$2:$A$800,0)),0))</f>
        <v/>
      </c>
      <c r="HF1" s="131">
        <f>IF(HF$4="",0,IFERROR(1/INDEX('"INCC-FGV"'!$B$2:$B$800,MATCH(HF$4,'"INCC-FGV"'!$A$2:$A$800,0)),0))</f>
        <v/>
      </c>
      <c r="HG1" s="131">
        <f>IF(HG$4="",0,IFERROR(1/INDEX('"INCC-FGV"'!$B$2:$B$800,MATCH(HG$4,'"INCC-FGV"'!$A$2:$A$800,0)),0))</f>
        <v/>
      </c>
      <c r="HH1" s="131">
        <f>IF(HH$4="",0,IFERROR(1/INDEX('"INCC-FGV"'!$B$2:$B$800,MATCH(HH$4,'"INCC-FGV"'!$A$2:$A$800,0)),0))</f>
        <v/>
      </c>
      <c r="HI1" s="131">
        <f>IF(HI$4="",0,IFERROR(1/INDEX('"INCC-FGV"'!$B$2:$B$800,MATCH(HI$4,'"INCC-FGV"'!$A$2:$A$800,0)),0))</f>
        <v/>
      </c>
      <c r="HJ1" s="131">
        <f>IF(HJ$4="",0,IFERROR(1/INDEX('"INCC-FGV"'!$B$2:$B$800,MATCH(HJ$4,'"INCC-FGV"'!$A$2:$A$800,0)),0))</f>
        <v/>
      </c>
      <c r="HK1" s="131">
        <f>IF(HK$4="",0,IFERROR(1/INDEX('"INCC-FGV"'!$B$2:$B$800,MATCH(HK$4,'"INCC-FGV"'!$A$2:$A$800,0)),0))</f>
        <v/>
      </c>
      <c r="HL1" s="131">
        <f>IF(HL$4="",0,IFERROR(1/INDEX('"INCC-FGV"'!$B$2:$B$800,MATCH(HL$4,'"INCC-FGV"'!$A$2:$A$800,0)),0))</f>
        <v/>
      </c>
      <c r="HM1" s="131">
        <f>IF(HM$4="",0,IFERROR(1/INDEX('"INCC-FGV"'!$B$2:$B$800,MATCH(HM$4,'"INCC-FGV"'!$A$2:$A$800,0)),0))</f>
        <v/>
      </c>
      <c r="HN1" s="131">
        <f>IF(HN$4="",0,IFERROR(1/INDEX('"INCC-FGV"'!$B$2:$B$800,MATCH(HN$4,'"INCC-FGV"'!$A$2:$A$800,0)),0))</f>
        <v/>
      </c>
      <c r="HO1" s="131">
        <f>IF(HO$4="",0,IFERROR(1/INDEX('"INCC-FGV"'!$B$2:$B$800,MATCH(HO$4,'"INCC-FGV"'!$A$2:$A$800,0)),0))</f>
        <v/>
      </c>
      <c r="HP1" s="131">
        <f>IF(HP$4="",0,IFERROR(1/INDEX('"INCC-FGV"'!$B$2:$B$800,MATCH(HP$4,'"INCC-FGV"'!$A$2:$A$800,0)),0))</f>
        <v/>
      </c>
      <c r="HQ1" s="131">
        <f>IF(HQ$4="",0,IFERROR(1/INDEX('"INCC-FGV"'!$B$2:$B$800,MATCH(HQ$4,'"INCC-FGV"'!$A$2:$A$800,0)),0))</f>
        <v/>
      </c>
      <c r="HR1" s="131">
        <f>IF(HR$4="",0,IFERROR(1/INDEX('"INCC-FGV"'!$B$2:$B$800,MATCH(HR$4,'"INCC-FGV"'!$A$2:$A$800,0)),0))</f>
        <v/>
      </c>
      <c r="HS1" s="131">
        <f>IF(HS$4="",0,IFERROR(1/INDEX('"INCC-FGV"'!$B$2:$B$800,MATCH(HS$4,'"INCC-FGV"'!$A$2:$A$800,0)),0))</f>
        <v/>
      </c>
      <c r="HT1" s="131">
        <f>IF(HT$4="",0,IFERROR(1/INDEX('"INCC-FGV"'!$B$2:$B$800,MATCH(HT$4,'"INCC-FGV"'!$A$2:$A$800,0)),0))</f>
        <v/>
      </c>
      <c r="HU1" s="131">
        <f>IF(HU$4="",0,IFERROR(1/INDEX('"INCC-FGV"'!$B$2:$B$800,MATCH(HU$4,'"INCC-FGV"'!$A$2:$A$800,0)),0))</f>
        <v/>
      </c>
      <c r="HV1" s="131">
        <f>IF(HV$4="",0,IFERROR(1/INDEX('"INCC-FGV"'!$B$2:$B$800,MATCH(HV$4,'"INCC-FGV"'!$A$2:$A$800,0)),0))</f>
        <v/>
      </c>
      <c r="HW1" s="131">
        <f>IF(HW$4="",0,IFERROR(1/INDEX('"INCC-FGV"'!$B$2:$B$800,MATCH(HW$4,'"INCC-FGV"'!$A$2:$A$800,0)),0))</f>
        <v/>
      </c>
      <c r="HX1" s="131">
        <f>IF(HX$4="",0,IFERROR(1/INDEX('"INCC-FGV"'!$B$2:$B$800,MATCH(HX$4,'"INCC-FGV"'!$A$2:$A$800,0)),0))</f>
        <v/>
      </c>
      <c r="HY1" s="131">
        <f>IF(HY$4="",0,IFERROR(1/INDEX('"INCC-FGV"'!$B$2:$B$800,MATCH(HY$4,'"INCC-FGV"'!$A$2:$A$800,0)),0))</f>
        <v/>
      </c>
      <c r="HZ1" s="131">
        <f>IF(HZ$4="",0,IFERROR(1/INDEX('"INCC-FGV"'!$B$2:$B$800,MATCH(HZ$4,'"INCC-FGV"'!$A$2:$A$800,0)),0))</f>
        <v/>
      </c>
      <c r="IA1" s="131">
        <f>IF(IA$4="",0,IFERROR(1/INDEX('"INCC-FGV"'!$B$2:$B$800,MATCH(IA$4,'"INCC-FGV"'!$A$2:$A$800,0)),0))</f>
        <v/>
      </c>
      <c r="IB1" s="131">
        <f>IF(IB$4="",0,IFERROR(1/INDEX('"INCC-FGV"'!$B$2:$B$800,MATCH(IB$4,'"INCC-FGV"'!$A$2:$A$800,0)),0))</f>
        <v/>
      </c>
      <c r="IC1" s="131">
        <f>IF(IC$4="",0,IFERROR(1/INDEX('"INCC-FGV"'!$B$2:$B$800,MATCH(IC$4,'"INCC-FGV"'!$A$2:$A$800,0)),0))</f>
        <v/>
      </c>
      <c r="ID1" s="131">
        <f>IF(ID$4="",0,IFERROR(1/INDEX('"INCC-FGV"'!$B$2:$B$800,MATCH(ID$4,'"INCC-FGV"'!$A$2:$A$800,0)),0))</f>
        <v/>
      </c>
      <c r="IE1" s="131">
        <f>IF(IE$4="",0,IFERROR(1/INDEX('"INCC-FGV"'!$B$2:$B$800,MATCH(IE$4,'"INCC-FGV"'!$A$2:$A$800,0)),0))</f>
        <v/>
      </c>
      <c r="IF1" s="131">
        <f>IF(IF$4="",0,IFERROR(1/INDEX('"INCC-FGV"'!$B$2:$B$800,MATCH(IF$4,'"INCC-FGV"'!$A$2:$A$800,0)),0))</f>
        <v/>
      </c>
      <c r="IG1" s="131">
        <f>IF(IG$4="",0,IFERROR(1/INDEX('"INCC-FGV"'!$B$2:$B$800,MATCH(IG$4,'"INCC-FGV"'!$A$2:$A$800,0)),0))</f>
        <v/>
      </c>
      <c r="IH1" s="131">
        <f>IF(IH$4="",0,IFERROR(1/INDEX('"INCC-FGV"'!$B$2:$B$800,MATCH(IH$4,'"INCC-FGV"'!$A$2:$A$800,0)),0))</f>
        <v/>
      </c>
      <c r="II1" s="131">
        <f>IF(II$4="",0,IFERROR(1/INDEX('"INCC-FGV"'!$B$2:$B$800,MATCH(II$4,'"INCC-FGV"'!$A$2:$A$800,0)),0))</f>
        <v/>
      </c>
      <c r="IJ1" s="131">
        <f>IF(IJ$4="",0,IFERROR(1/INDEX('"INCC-FGV"'!$B$2:$B$800,MATCH(IJ$4,'"INCC-FGV"'!$A$2:$A$800,0)),0))</f>
        <v/>
      </c>
      <c r="IK1" s="131">
        <f>IF(IK$4="",0,IFERROR(1/INDEX('"INCC-FGV"'!$B$2:$B$800,MATCH(IK$4,'"INCC-FGV"'!$A$2:$A$800,0)),0))</f>
        <v/>
      </c>
      <c r="IL1" s="131">
        <f>IF(IL$4="",0,IFERROR(1/INDEX('"INCC-FGV"'!$B$2:$B$800,MATCH(IL$4,'"INCC-FGV"'!$A$2:$A$800,0)),0))</f>
        <v/>
      </c>
      <c r="IM1" s="131">
        <f>IF(IM$4="",0,IFERROR(1/INDEX('"INCC-FGV"'!$B$2:$B$800,MATCH(IM$4,'"INCC-FGV"'!$A$2:$A$800,0)),0))</f>
        <v/>
      </c>
      <c r="IN1" s="131">
        <f>IF(IN$4="",0,IFERROR(1/INDEX('"INCC-FGV"'!$B$2:$B$800,MATCH(IN$4,'"INCC-FGV"'!$A$2:$A$800,0)),0))</f>
        <v/>
      </c>
      <c r="IO1" s="131">
        <f>IF(IO$4="",0,IFERROR(1/INDEX('"INCC-FGV"'!$B$2:$B$800,MATCH(IO$4,'"INCC-FGV"'!$A$2:$A$800,0)),0))</f>
        <v/>
      </c>
      <c r="IP1" s="131">
        <f>IF(IP$4="",0,IFERROR(1/INDEX('"INCC-FGV"'!$B$2:$B$800,MATCH(IP$4,'"INCC-FGV"'!$A$2:$A$800,0)),0))</f>
        <v/>
      </c>
      <c r="IQ1" s="131">
        <f>IF(IQ$4="",0,IFERROR(1/INDEX('"INCC-FGV"'!$B$2:$B$800,MATCH(IQ$4,'"INCC-FGV"'!$A$2:$A$800,0)),0))</f>
        <v/>
      </c>
      <c r="IR1" s="131">
        <f>IF(IR$4="",0,IFERROR(1/INDEX('"INCC-FGV"'!$B$2:$B$800,MATCH(IR$4,'"INCC-FGV"'!$A$2:$A$800,0)),0))</f>
        <v/>
      </c>
      <c r="IS1" s="131">
        <f>IF(IS$4="",0,IFERROR(1/INDEX('"INCC-FGV"'!$B$2:$B$800,MATCH(IS$4,'"INCC-FGV"'!$A$2:$A$800,0)),0))</f>
        <v/>
      </c>
      <c r="IT1" s="131">
        <f>IF(IT$4="",0,IFERROR(1/INDEX('"INCC-FGV"'!$B$2:$B$800,MATCH(IT$4,'"INCC-FGV"'!$A$2:$A$800,0)),0))</f>
        <v/>
      </c>
      <c r="IU1" s="131">
        <f>IF(IU$4="",0,IFERROR(1/INDEX('"INCC-FGV"'!$B$2:$B$800,MATCH(IU$4,'"INCC-FGV"'!$A$2:$A$800,0)),0))</f>
        <v/>
      </c>
      <c r="IV1" s="131">
        <f>IF(IV$4="",0,IFERROR(1/INDEX('"INCC-FGV"'!$B$2:$B$800,MATCH(IV$4,'"INCC-FGV"'!$A$2:$A$800,0)),0))</f>
        <v/>
      </c>
      <c r="IW1" s="131">
        <f>IF(IW$4="",0,IFERROR(1/INDEX('"INCC-FGV"'!$B$2:$B$800,MATCH(IW$4,'"INCC-FGV"'!$A$2:$A$800,0)),0))</f>
        <v/>
      </c>
      <c r="IX1" s="131">
        <f>IF(IX$4="",0,IFERROR(1/INDEX('"INCC-FGV"'!$B$2:$B$800,MATCH(IX$4,'"INCC-FGV"'!$A$2:$A$800,0)),0))</f>
        <v/>
      </c>
      <c r="IY1" s="131">
        <f>IF(IY$4="",0,IFERROR(1/INDEX('"INCC-FGV"'!$B$2:$B$800,MATCH(IY$4,'"INCC-FGV"'!$A$2:$A$800,0)),0))</f>
        <v/>
      </c>
      <c r="IZ1" s="131">
        <f>IF(IZ$4="",0,IFERROR(1/INDEX('"INCC-FGV"'!$B$2:$B$800,MATCH(IZ$4,'"INCC-FGV"'!$A$2:$A$800,0)),0))</f>
        <v/>
      </c>
      <c r="JA1" s="131">
        <f>IF(JA$4="",0,IFERROR(1/INDEX('"INCC-FGV"'!$B$2:$B$800,MATCH(JA$4,'"INCC-FGV"'!$A$2:$A$800,0)),0))</f>
        <v/>
      </c>
      <c r="JB1" s="131">
        <f>IF(JB$4="",0,IFERROR(1/INDEX('"INCC-FGV"'!$B$2:$B$800,MATCH(JB$4,'"INCC-FGV"'!$A$2:$A$800,0)),0))</f>
        <v/>
      </c>
      <c r="JC1" s="131">
        <f>IF(JC$4="",0,IFERROR(1/INDEX('"INCC-FGV"'!$B$2:$B$800,MATCH(JC$4,'"INCC-FGV"'!$A$2:$A$800,0)),0))</f>
        <v/>
      </c>
      <c r="JD1" s="131">
        <f>IF(JD$4="",0,IFERROR(1/INDEX('"INCC-FGV"'!$B$2:$B$800,MATCH(JD$4,'"INCC-FGV"'!$A$2:$A$800,0)),0))</f>
        <v/>
      </c>
      <c r="JE1" s="131">
        <f>IF(JE$4="",0,IFERROR(1/INDEX('"INCC-FGV"'!$B$2:$B$800,MATCH(JE$4,'"INCC-FGV"'!$A$2:$A$800,0)),0))</f>
        <v/>
      </c>
      <c r="JF1" s="131">
        <f>IF(JF$4="",0,IFERROR(1/INDEX('"INCC-FGV"'!$B$2:$B$800,MATCH(JF$4,'"INCC-FGV"'!$A$2:$A$800,0)),0))</f>
        <v/>
      </c>
      <c r="JG1" s="131">
        <f>IF(JG$4="",0,IFERROR(1/INDEX('"INCC-FGV"'!$B$2:$B$800,MATCH(JG$4,'"INCC-FGV"'!$A$2:$A$800,0)),0))</f>
        <v/>
      </c>
      <c r="JH1" s="131">
        <f>IF(JH$4="",0,IFERROR(1/INDEX('"INCC-FGV"'!$B$2:$B$800,MATCH(JH$4,'"INCC-FGV"'!$A$2:$A$800,0)),0))</f>
        <v/>
      </c>
      <c r="JI1" s="131">
        <f>IF(JI$4="",0,IFERROR(1/INDEX('"INCC-FGV"'!$B$2:$B$800,MATCH(JI$4,'"INCC-FGV"'!$A$2:$A$800,0)),0))</f>
        <v/>
      </c>
      <c r="JJ1" s="131">
        <f>IF(JJ$4="",0,IFERROR(1/INDEX('"INCC-FGV"'!$B$2:$B$800,MATCH(JJ$4,'"INCC-FGV"'!$A$2:$A$800,0)),0))</f>
        <v/>
      </c>
      <c r="JK1" s="131">
        <f>IF(JK$4="",0,IFERROR(1/INDEX('"INCC-FGV"'!$B$2:$B$800,MATCH(JK$4,'"INCC-FGV"'!$A$2:$A$800,0)),0))</f>
        <v/>
      </c>
      <c r="JL1" s="131">
        <f>IF(JL$4="",0,IFERROR(1/INDEX('"INCC-FGV"'!$B$2:$B$800,MATCH(JL$4,'"INCC-FGV"'!$A$2:$A$800,0)),0))</f>
        <v/>
      </c>
      <c r="JM1" s="131">
        <f>IF(JM$4="",0,IFERROR(1/INDEX('"INCC-FGV"'!$B$2:$B$800,MATCH(JM$4,'"INCC-FGV"'!$A$2:$A$800,0)),0))</f>
        <v/>
      </c>
      <c r="JN1" s="131">
        <f>IF(JN$4="",0,IFERROR(1/INDEX('"INCC-FGV"'!$B$2:$B$800,MATCH(JN$4,'"INCC-FGV"'!$A$2:$A$800,0)),0))</f>
        <v/>
      </c>
      <c r="JO1" s="131">
        <f>IF(JO$4="",0,IFERROR(1/INDEX('"INCC-FGV"'!$B$2:$B$800,MATCH(JO$4,'"INCC-FGV"'!$A$2:$A$800,0)),0))</f>
        <v/>
      </c>
      <c r="JP1" s="131">
        <f>IF(JP$4="",0,IFERROR(1/INDEX('"INCC-FGV"'!$B$2:$B$800,MATCH(JP$4,'"INCC-FGV"'!$A$2:$A$800,0)),0))</f>
        <v/>
      </c>
      <c r="JQ1" s="131">
        <f>IF(JQ$4="",0,IFERROR(1/INDEX('"INCC-FGV"'!$B$2:$B$800,MATCH(JQ$4,'"INCC-FGV"'!$A$2:$A$800,0)),0))</f>
        <v/>
      </c>
      <c r="JR1" s="131">
        <f>IF(JR$4="",0,IFERROR(1/INDEX('"INCC-FGV"'!$B$2:$B$800,MATCH(JR$4,'"INCC-FGV"'!$A$2:$A$800,0)),0))</f>
        <v/>
      </c>
      <c r="JS1" s="131">
        <f>IF(JS$4="",0,IFERROR(1/INDEX('"INCC-FGV"'!$B$2:$B$800,MATCH(JS$4,'"INCC-FGV"'!$A$2:$A$800,0)),0))</f>
        <v/>
      </c>
    </row>
    <row r="2">
      <c r="A2" s="2" t="inlineStr">
        <is>
          <t>Grupos do ERP sem correspondência →</t>
        </is>
      </c>
      <c r="C2" s="69">
        <f>SUMPRODUCT(('DADOS BRUTOS'!$A$3:$A$500&lt;&gt;"")*(COUNTIF($B$5:$C$42,'DADOS BRUTOS'!$A$3:$A$500)=0)*(COUNTIF($A$50:$A$69,'DADOS BRUTOS'!$A$3:$A$500)=0))</f>
        <v/>
      </c>
      <c r="CB2" s="123" t="inlineStr">
        <is>
          <t>CÁLCULO AUXILIAR — soma por coluna da aba DADOS BRUTOS (não editar)</t>
        </is>
      </c>
    </row>
    <row r="3">
      <c r="D3" s="123" t="inlineStr">
        <is>
          <t>Acu até →</t>
        </is>
      </c>
      <c r="CB3" s="123">
        <f>"B"</f>
        <v/>
      </c>
      <c r="CC3" s="123">
        <f>"C"</f>
        <v/>
      </c>
      <c r="CD3" s="123">
        <f>"D"</f>
        <v/>
      </c>
      <c r="CE3" s="123">
        <f>"E"</f>
        <v/>
      </c>
      <c r="CF3" s="123">
        <f>"F"</f>
        <v/>
      </c>
      <c r="CG3" s="123">
        <f>"G"</f>
        <v/>
      </c>
      <c r="CH3" s="123">
        <f>"H"</f>
        <v/>
      </c>
      <c r="CI3" s="123">
        <f>"I"</f>
        <v/>
      </c>
      <c r="CJ3" s="123">
        <f>"J"</f>
        <v/>
      </c>
      <c r="CK3" s="123">
        <f>"K"</f>
        <v/>
      </c>
      <c r="CL3" s="123">
        <f>"L"</f>
        <v/>
      </c>
      <c r="CM3" s="123">
        <f>"M"</f>
        <v/>
      </c>
      <c r="CN3" s="123">
        <f>"N"</f>
        <v/>
      </c>
      <c r="CO3" s="123">
        <f>"O"</f>
        <v/>
      </c>
      <c r="CP3" s="123">
        <f>"P"</f>
        <v/>
      </c>
      <c r="CQ3" s="123">
        <f>"Q"</f>
        <v/>
      </c>
      <c r="CR3" s="123">
        <f>"R"</f>
        <v/>
      </c>
      <c r="CS3" s="123">
        <f>"S"</f>
        <v/>
      </c>
      <c r="CT3" s="123">
        <f>"T"</f>
        <v/>
      </c>
      <c r="CU3" s="123">
        <f>"U"</f>
        <v/>
      </c>
      <c r="CV3" s="123">
        <f>"V"</f>
        <v/>
      </c>
      <c r="CW3" s="123">
        <f>"W"</f>
        <v/>
      </c>
      <c r="CX3" s="123">
        <f>"X"</f>
        <v/>
      </c>
      <c r="CY3" s="123">
        <f>"Y"</f>
        <v/>
      </c>
      <c r="CZ3" s="123">
        <f>"Z"</f>
        <v/>
      </c>
      <c r="DA3" s="123">
        <f>"AA"</f>
        <v/>
      </c>
      <c r="DB3" s="123">
        <f>"AB"</f>
        <v/>
      </c>
      <c r="DC3" s="123">
        <f>"AC"</f>
        <v/>
      </c>
      <c r="DD3" s="123">
        <f>"AD"</f>
        <v/>
      </c>
      <c r="DE3" s="123">
        <f>"AE"</f>
        <v/>
      </c>
      <c r="DF3" s="123">
        <f>"AF"</f>
        <v/>
      </c>
      <c r="DG3" s="123">
        <f>"AG"</f>
        <v/>
      </c>
      <c r="DH3" s="123">
        <f>"AH"</f>
        <v/>
      </c>
      <c r="DI3" s="123">
        <f>"AI"</f>
        <v/>
      </c>
      <c r="DJ3" s="123">
        <f>"AJ"</f>
        <v/>
      </c>
      <c r="DK3" s="123">
        <f>"AK"</f>
        <v/>
      </c>
      <c r="DL3" s="123">
        <f>"AL"</f>
        <v/>
      </c>
      <c r="DM3" s="123">
        <f>"AM"</f>
        <v/>
      </c>
      <c r="DN3" s="123">
        <f>"AN"</f>
        <v/>
      </c>
      <c r="DO3" s="123">
        <f>"AO"</f>
        <v/>
      </c>
      <c r="DP3" s="123">
        <f>"AP"</f>
        <v/>
      </c>
      <c r="DQ3" s="123">
        <f>"AQ"</f>
        <v/>
      </c>
      <c r="DR3" s="123">
        <f>"AR"</f>
        <v/>
      </c>
      <c r="DS3" s="123">
        <f>"AS"</f>
        <v/>
      </c>
      <c r="DT3" s="123">
        <f>"AT"</f>
        <v/>
      </c>
      <c r="DU3" s="123">
        <f>"AU"</f>
        <v/>
      </c>
      <c r="DV3" s="123">
        <f>"AV"</f>
        <v/>
      </c>
      <c r="DW3" s="123">
        <f>"AW"</f>
        <v/>
      </c>
      <c r="DX3" s="123">
        <f>"AX"</f>
        <v/>
      </c>
      <c r="DY3" s="123">
        <f>"AY"</f>
        <v/>
      </c>
      <c r="DZ3" s="123">
        <f>"AZ"</f>
        <v/>
      </c>
      <c r="EA3" s="123">
        <f>"BA"</f>
        <v/>
      </c>
      <c r="EB3" s="123">
        <f>"BB"</f>
        <v/>
      </c>
      <c r="EC3" s="123">
        <f>"BC"</f>
        <v/>
      </c>
      <c r="ED3" s="123">
        <f>"BD"</f>
        <v/>
      </c>
      <c r="EE3" s="123">
        <f>"BE"</f>
        <v/>
      </c>
      <c r="EF3" s="123">
        <f>"BF"</f>
        <v/>
      </c>
      <c r="EG3" s="123">
        <f>"BG"</f>
        <v/>
      </c>
      <c r="EH3" s="123">
        <f>"BH"</f>
        <v/>
      </c>
      <c r="EI3" s="123">
        <f>"BI"</f>
        <v/>
      </c>
      <c r="EJ3" s="123">
        <f>"BJ"</f>
        <v/>
      </c>
      <c r="EK3" s="123">
        <f>"BK"</f>
        <v/>
      </c>
      <c r="EL3" s="123">
        <f>"BL"</f>
        <v/>
      </c>
      <c r="EM3" s="123">
        <f>"BM"</f>
        <v/>
      </c>
      <c r="EN3" s="123">
        <f>"BN"</f>
        <v/>
      </c>
      <c r="EO3" s="123">
        <f>"BO"</f>
        <v/>
      </c>
      <c r="EP3" s="123">
        <f>"BP"</f>
        <v/>
      </c>
      <c r="EQ3" s="123">
        <f>"BQ"</f>
        <v/>
      </c>
      <c r="ER3" s="123">
        <f>"BR"</f>
        <v/>
      </c>
      <c r="ES3" s="123">
        <f>"BS"</f>
        <v/>
      </c>
      <c r="ET3" s="123">
        <f>"BT"</f>
        <v/>
      </c>
      <c r="EU3" s="123">
        <f>"BU"</f>
        <v/>
      </c>
      <c r="EV3" s="123">
        <f>"BV"</f>
        <v/>
      </c>
      <c r="EW3" s="123">
        <f>"BW"</f>
        <v/>
      </c>
      <c r="EX3" s="123">
        <f>"BX"</f>
        <v/>
      </c>
      <c r="EY3" s="123">
        <f>"BY"</f>
        <v/>
      </c>
      <c r="EZ3" s="123">
        <f>"BZ"</f>
        <v/>
      </c>
      <c r="FA3" s="123">
        <f>"CA"</f>
        <v/>
      </c>
      <c r="FB3" s="123">
        <f>"CB"</f>
        <v/>
      </c>
      <c r="FC3" s="123">
        <f>"CC"</f>
        <v/>
      </c>
      <c r="FD3" s="123">
        <f>"CD"</f>
        <v/>
      </c>
      <c r="FE3" s="123">
        <f>"CE"</f>
        <v/>
      </c>
      <c r="FF3" s="123">
        <f>"CF"</f>
        <v/>
      </c>
      <c r="FG3" s="123">
        <f>"CG"</f>
        <v/>
      </c>
      <c r="FH3" s="123">
        <f>"CH"</f>
        <v/>
      </c>
      <c r="FI3" s="123">
        <f>"CI"</f>
        <v/>
      </c>
      <c r="FJ3" s="123">
        <f>"CJ"</f>
        <v/>
      </c>
      <c r="FK3" s="123">
        <f>"CK"</f>
        <v/>
      </c>
      <c r="FL3" s="123">
        <f>"CL"</f>
        <v/>
      </c>
      <c r="FM3" s="123">
        <f>"CM"</f>
        <v/>
      </c>
      <c r="FN3" s="123">
        <f>"CN"</f>
        <v/>
      </c>
      <c r="FO3" s="123">
        <f>"CO"</f>
        <v/>
      </c>
      <c r="FP3" s="123">
        <f>"CP"</f>
        <v/>
      </c>
      <c r="FQ3" s="123">
        <f>"CQ"</f>
        <v/>
      </c>
      <c r="FR3" s="123">
        <f>"CR"</f>
        <v/>
      </c>
      <c r="FS3" s="123">
        <f>"CS"</f>
        <v/>
      </c>
      <c r="FT3" s="123">
        <f>"CT"</f>
        <v/>
      </c>
      <c r="FU3" s="123">
        <f>"CU"</f>
        <v/>
      </c>
      <c r="FV3" s="123">
        <f>"CV"</f>
        <v/>
      </c>
      <c r="FW3" s="123">
        <f>"CW"</f>
        <v/>
      </c>
      <c r="FX3" s="123">
        <f>"CX"</f>
        <v/>
      </c>
      <c r="FY3" s="123">
        <f>"CY"</f>
        <v/>
      </c>
      <c r="FZ3" s="123">
        <f>"CZ"</f>
        <v/>
      </c>
      <c r="GA3" s="123">
        <f>"DA"</f>
        <v/>
      </c>
      <c r="GB3" s="123">
        <f>"DB"</f>
        <v/>
      </c>
      <c r="GC3" s="123">
        <f>"DC"</f>
        <v/>
      </c>
      <c r="GD3" s="123">
        <f>"DD"</f>
        <v/>
      </c>
      <c r="GE3" s="123">
        <f>"DE"</f>
        <v/>
      </c>
      <c r="GF3" s="123">
        <f>"DF"</f>
        <v/>
      </c>
      <c r="GG3" s="123">
        <f>"DG"</f>
        <v/>
      </c>
      <c r="GH3" s="123">
        <f>"DH"</f>
        <v/>
      </c>
      <c r="GI3" s="123">
        <f>"DI"</f>
        <v/>
      </c>
      <c r="GJ3" s="123">
        <f>"DJ"</f>
        <v/>
      </c>
      <c r="GK3" s="123">
        <f>"DK"</f>
        <v/>
      </c>
      <c r="GL3" s="123">
        <f>"DL"</f>
        <v/>
      </c>
      <c r="GM3" s="123">
        <f>"DM"</f>
        <v/>
      </c>
      <c r="GN3" s="123">
        <f>"DN"</f>
        <v/>
      </c>
      <c r="GO3" s="123">
        <f>"DO"</f>
        <v/>
      </c>
      <c r="GP3" s="123">
        <f>"DP"</f>
        <v/>
      </c>
      <c r="GQ3" s="123">
        <f>"DQ"</f>
        <v/>
      </c>
      <c r="GR3" s="123">
        <f>"DR"</f>
        <v/>
      </c>
      <c r="GS3" s="123">
        <f>"DS"</f>
        <v/>
      </c>
      <c r="GT3" s="123">
        <f>"DT"</f>
        <v/>
      </c>
      <c r="GU3" s="123">
        <f>"DU"</f>
        <v/>
      </c>
      <c r="GV3" s="123">
        <f>"DV"</f>
        <v/>
      </c>
      <c r="GW3" s="123">
        <f>"DW"</f>
        <v/>
      </c>
      <c r="GX3" s="123">
        <f>"DX"</f>
        <v/>
      </c>
      <c r="GY3" s="123">
        <f>"DY"</f>
        <v/>
      </c>
      <c r="GZ3" s="123">
        <f>"DZ"</f>
        <v/>
      </c>
      <c r="HA3" s="123">
        <f>"EA"</f>
        <v/>
      </c>
      <c r="HB3" s="123">
        <f>"EB"</f>
        <v/>
      </c>
      <c r="HC3" s="123">
        <f>"EC"</f>
        <v/>
      </c>
      <c r="HD3" s="123">
        <f>"ED"</f>
        <v/>
      </c>
      <c r="HE3" s="123">
        <f>"EE"</f>
        <v/>
      </c>
      <c r="HF3" s="123">
        <f>"EF"</f>
        <v/>
      </c>
      <c r="HG3" s="123">
        <f>"EG"</f>
        <v/>
      </c>
      <c r="HH3" s="123">
        <f>"EH"</f>
        <v/>
      </c>
      <c r="HI3" s="123">
        <f>"EI"</f>
        <v/>
      </c>
      <c r="HJ3" s="123">
        <f>"EJ"</f>
        <v/>
      </c>
      <c r="HK3" s="123">
        <f>"EK"</f>
        <v/>
      </c>
      <c r="HL3" s="123">
        <f>"EL"</f>
        <v/>
      </c>
      <c r="HM3" s="123">
        <f>"EM"</f>
        <v/>
      </c>
      <c r="HN3" s="123">
        <f>"EN"</f>
        <v/>
      </c>
      <c r="HO3" s="123">
        <f>"EO"</f>
        <v/>
      </c>
      <c r="HP3" s="123">
        <f>"EP"</f>
        <v/>
      </c>
      <c r="HQ3" s="123">
        <f>"EQ"</f>
        <v/>
      </c>
      <c r="HR3" s="123">
        <f>"ER"</f>
        <v/>
      </c>
      <c r="HS3" s="123">
        <f>"ES"</f>
        <v/>
      </c>
      <c r="HT3" s="123">
        <f>"ET"</f>
        <v/>
      </c>
      <c r="HU3" s="123">
        <f>"EU"</f>
        <v/>
      </c>
      <c r="HV3" s="123">
        <f>"EV"</f>
        <v/>
      </c>
      <c r="HW3" s="123">
        <f>"EW"</f>
        <v/>
      </c>
      <c r="HX3" s="123">
        <f>"EX"</f>
        <v/>
      </c>
      <c r="HY3" s="123">
        <f>"EY"</f>
        <v/>
      </c>
      <c r="HZ3" s="123">
        <f>"EZ"</f>
        <v/>
      </c>
      <c r="IA3" s="123">
        <f>"FA"</f>
        <v/>
      </c>
      <c r="IB3" s="123">
        <f>"FB"</f>
        <v/>
      </c>
      <c r="IC3" s="123">
        <f>"FC"</f>
        <v/>
      </c>
      <c r="ID3" s="123">
        <f>"FD"</f>
        <v/>
      </c>
      <c r="IE3" s="123">
        <f>"FE"</f>
        <v/>
      </c>
      <c r="IF3" s="123">
        <f>"FF"</f>
        <v/>
      </c>
      <c r="IG3" s="123">
        <f>"FG"</f>
        <v/>
      </c>
      <c r="IH3" s="123">
        <f>"FH"</f>
        <v/>
      </c>
      <c r="II3" s="123">
        <f>"FI"</f>
        <v/>
      </c>
      <c r="IJ3" s="123">
        <f>"FJ"</f>
        <v/>
      </c>
      <c r="IK3" s="123">
        <f>"FK"</f>
        <v/>
      </c>
      <c r="IL3" s="123">
        <f>"FL"</f>
        <v/>
      </c>
      <c r="IM3" s="123">
        <f>"FM"</f>
        <v/>
      </c>
      <c r="IN3" s="123">
        <f>"FN"</f>
        <v/>
      </c>
      <c r="IO3" s="123">
        <f>"FO"</f>
        <v/>
      </c>
      <c r="IP3" s="123">
        <f>"FP"</f>
        <v/>
      </c>
      <c r="IQ3" s="123">
        <f>"FQ"</f>
        <v/>
      </c>
      <c r="IR3" s="123">
        <f>"FR"</f>
        <v/>
      </c>
      <c r="IS3" s="123">
        <f>"FS"</f>
        <v/>
      </c>
      <c r="IT3" s="123">
        <f>"FT"</f>
        <v/>
      </c>
      <c r="IU3" s="123">
        <f>"FU"</f>
        <v/>
      </c>
      <c r="IV3" s="123">
        <f>"FV"</f>
        <v/>
      </c>
      <c r="IW3" s="123">
        <f>"FW"</f>
        <v/>
      </c>
      <c r="IX3" s="123">
        <f>"FX"</f>
        <v/>
      </c>
      <c r="IY3" s="123">
        <f>"FY"</f>
        <v/>
      </c>
      <c r="IZ3" s="123">
        <f>"FZ"</f>
        <v/>
      </c>
      <c r="JA3" s="123">
        <f>"GA"</f>
        <v/>
      </c>
      <c r="JB3" s="123">
        <f>"GB"</f>
        <v/>
      </c>
      <c r="JC3" s="123">
        <f>"GC"</f>
        <v/>
      </c>
      <c r="JD3" s="123">
        <f>"GD"</f>
        <v/>
      </c>
      <c r="JE3" s="123">
        <f>"GE"</f>
        <v/>
      </c>
      <c r="JF3" s="123">
        <f>"GF"</f>
        <v/>
      </c>
      <c r="JG3" s="123">
        <f>"GG"</f>
        <v/>
      </c>
      <c r="JH3" s="123">
        <f>"GH"</f>
        <v/>
      </c>
      <c r="JI3" s="123">
        <f>"GI"</f>
        <v/>
      </c>
      <c r="JJ3" s="123">
        <f>"GJ"</f>
        <v/>
      </c>
      <c r="JK3" s="123">
        <f>"GK"</f>
        <v/>
      </c>
      <c r="JL3" s="123">
        <f>"GL"</f>
        <v/>
      </c>
      <c r="JM3" s="123">
        <f>"GM"</f>
        <v/>
      </c>
      <c r="JN3" s="123">
        <f>"GN"</f>
        <v/>
      </c>
      <c r="JO3" s="123">
        <f>"GO"</f>
        <v/>
      </c>
      <c r="JP3" s="123">
        <f>"GP"</f>
        <v/>
      </c>
      <c r="JQ3" s="123">
        <f>"GQ"</f>
        <v/>
      </c>
      <c r="JR3" s="123">
        <f>"GR"</f>
        <v/>
      </c>
      <c r="JS3" s="123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9">
        <f>'MODELO PARA BI'!H1</f>
        <v/>
      </c>
      <c r="E4" s="129">
        <f>'MODELO PARA BI'!I1</f>
        <v/>
      </c>
      <c r="F4" s="129">
        <f>'MODELO PARA BI'!J1</f>
        <v/>
      </c>
      <c r="G4" s="129">
        <f>'MODELO PARA BI'!K1</f>
        <v/>
      </c>
      <c r="H4" s="129">
        <f>'MODELO PARA BI'!L1</f>
        <v/>
      </c>
      <c r="I4" s="129">
        <f>'MODELO PARA BI'!M1</f>
        <v/>
      </c>
      <c r="J4" s="129">
        <f>'MODELO PARA BI'!N1</f>
        <v/>
      </c>
      <c r="K4" s="129">
        <f>'MODELO PARA BI'!O1</f>
        <v/>
      </c>
      <c r="L4" s="129">
        <f>'MODELO PARA BI'!P1</f>
        <v/>
      </c>
      <c r="M4" s="129">
        <f>'MODELO PARA BI'!Q1</f>
        <v/>
      </c>
      <c r="N4" s="129">
        <f>'MODELO PARA BI'!R1</f>
        <v/>
      </c>
      <c r="O4" s="129">
        <f>'MODELO PARA BI'!S1</f>
        <v/>
      </c>
      <c r="P4" s="129">
        <f>'MODELO PARA BI'!T1</f>
        <v/>
      </c>
      <c r="Q4" s="129">
        <f>'MODELO PARA BI'!U1</f>
        <v/>
      </c>
      <c r="R4" s="129">
        <f>'MODELO PARA BI'!V1</f>
        <v/>
      </c>
      <c r="S4" s="129">
        <f>'MODELO PARA BI'!W1</f>
        <v/>
      </c>
      <c r="T4" s="129">
        <f>'MODELO PARA BI'!X1</f>
        <v/>
      </c>
      <c r="U4" s="129">
        <f>'MODELO PARA BI'!Y1</f>
        <v/>
      </c>
      <c r="V4" s="129">
        <f>'MODELO PARA BI'!Z1</f>
        <v/>
      </c>
      <c r="W4" s="129">
        <f>'MODELO PARA BI'!AA1</f>
        <v/>
      </c>
      <c r="X4" s="129">
        <f>'MODELO PARA BI'!AB1</f>
        <v/>
      </c>
      <c r="Y4" s="129">
        <f>'MODELO PARA BI'!AC1</f>
        <v/>
      </c>
      <c r="Z4" s="129">
        <f>'MODELO PARA BI'!AD1</f>
        <v/>
      </c>
      <c r="AA4" s="129">
        <f>'MODELO PARA BI'!AE1</f>
        <v/>
      </c>
      <c r="AB4" s="129">
        <f>'MODELO PARA BI'!AF1</f>
        <v/>
      </c>
      <c r="AC4" s="129">
        <f>'MODELO PARA BI'!AG1</f>
        <v/>
      </c>
      <c r="AD4" s="129">
        <f>'MODELO PARA BI'!AH1</f>
        <v/>
      </c>
      <c r="AE4" s="129">
        <f>'MODELO PARA BI'!AI1</f>
        <v/>
      </c>
      <c r="AF4" s="129">
        <f>'MODELO PARA BI'!AJ1</f>
        <v/>
      </c>
      <c r="AG4" s="129">
        <f>'MODELO PARA BI'!AK1</f>
        <v/>
      </c>
      <c r="AH4" s="129">
        <f>'MODELO PARA BI'!AL1</f>
        <v/>
      </c>
      <c r="AI4" s="129">
        <f>'MODELO PARA BI'!AM1</f>
        <v/>
      </c>
      <c r="AJ4" s="129">
        <f>'MODELO PARA BI'!AN1</f>
        <v/>
      </c>
      <c r="AK4" s="129">
        <f>'MODELO PARA BI'!AO1</f>
        <v/>
      </c>
      <c r="AL4" s="129">
        <f>'MODELO PARA BI'!AP1</f>
        <v/>
      </c>
      <c r="AM4" s="129">
        <f>'MODELO PARA BI'!AQ1</f>
        <v/>
      </c>
      <c r="AN4" s="129">
        <f>'MODELO PARA BI'!AR1</f>
        <v/>
      </c>
      <c r="AO4" s="129">
        <f>'MODELO PARA BI'!AS1</f>
        <v/>
      </c>
      <c r="AP4" s="129">
        <f>'MODELO PARA BI'!AT1</f>
        <v/>
      </c>
      <c r="AQ4" s="129">
        <f>'MODELO PARA BI'!AU1</f>
        <v/>
      </c>
      <c r="AR4" s="129">
        <f>'MODELO PARA BI'!AV1</f>
        <v/>
      </c>
      <c r="AS4" s="129">
        <f>'MODELO PARA BI'!AW1</f>
        <v/>
      </c>
      <c r="AT4" s="129">
        <f>'MODELO PARA BI'!AX1</f>
        <v/>
      </c>
      <c r="AU4" s="129">
        <f>'MODELO PARA BI'!AY1</f>
        <v/>
      </c>
      <c r="AV4" s="129">
        <f>'MODELO PARA BI'!AZ1</f>
        <v/>
      </c>
      <c r="AW4" s="129">
        <f>'MODELO PARA BI'!BA1</f>
        <v/>
      </c>
      <c r="AX4" s="129">
        <f>'MODELO PARA BI'!BB1</f>
        <v/>
      </c>
      <c r="AY4" s="129">
        <f>'MODELO PARA BI'!BC1</f>
        <v/>
      </c>
      <c r="AZ4" s="129">
        <f>'MODELO PARA BI'!BD1</f>
        <v/>
      </c>
      <c r="BA4" s="129">
        <f>'MODELO PARA BI'!BE1</f>
        <v/>
      </c>
      <c r="BB4" s="129">
        <f>'MODELO PARA BI'!BF1</f>
        <v/>
      </c>
      <c r="BC4" s="129">
        <f>'MODELO PARA BI'!BG1</f>
        <v/>
      </c>
      <c r="BD4" s="129">
        <f>'MODELO PARA BI'!BH1</f>
        <v/>
      </c>
      <c r="BE4" s="129">
        <f>'MODELO PARA BI'!BI1</f>
        <v/>
      </c>
      <c r="BF4" s="129">
        <f>'MODELO PARA BI'!BJ1</f>
        <v/>
      </c>
      <c r="BG4" s="129">
        <f>'MODELO PARA BI'!BK1</f>
        <v/>
      </c>
      <c r="BH4" s="129">
        <f>'MODELO PARA BI'!BL1</f>
        <v/>
      </c>
      <c r="BI4" s="129">
        <f>'MODELO PARA BI'!BM1</f>
        <v/>
      </c>
      <c r="BJ4" s="129">
        <f>'MODELO PARA BI'!BN1</f>
        <v/>
      </c>
      <c r="BK4" s="129">
        <f>'MODELO PARA BI'!BO1</f>
        <v/>
      </c>
      <c r="BL4" s="129">
        <f>'MODELO PARA BI'!BP1</f>
        <v/>
      </c>
      <c r="BM4" s="129">
        <f>'MODELO PARA BI'!BQ1</f>
        <v/>
      </c>
      <c r="BN4" s="129">
        <f>'MODELO PARA BI'!BR1</f>
        <v/>
      </c>
      <c r="BO4" s="129">
        <f>'MODELO PARA BI'!BS1</f>
        <v/>
      </c>
      <c r="BP4" s="129">
        <f>'MODELO PARA BI'!BT1</f>
        <v/>
      </c>
      <c r="BQ4" s="129">
        <f>'MODELO PARA BI'!BU1</f>
        <v/>
      </c>
      <c r="BR4" s="129">
        <f>'MODELO PARA BI'!BV1</f>
        <v/>
      </c>
      <c r="BS4" s="129">
        <f>'MODELO PARA BI'!BW1</f>
        <v/>
      </c>
      <c r="BT4" s="129">
        <f>'MODELO PARA BI'!BX1</f>
        <v/>
      </c>
      <c r="BU4" s="129">
        <f>'MODELO PARA BI'!BY1</f>
        <v/>
      </c>
      <c r="BV4" s="129">
        <f>'MODELO PARA BI'!BZ1</f>
        <v/>
      </c>
      <c r="BW4" s="129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BZ4" s="58" t="inlineStr">
        <is>
          <t>INCC DO
ACUMULADO
(mês a mês)</t>
        </is>
      </c>
      <c r="CB4" s="119">
        <f>IF(ISNUMBER('DADOS BRUTOS'!B$2),DATE(YEAR('DADOS BRUTOS'!B$2),MONTH('DADOS BRUTOS'!B$2),1),"")</f>
        <v/>
      </c>
      <c r="CC4" s="119">
        <f>IF(ISNUMBER('DADOS BRUTOS'!C$2),DATE(YEAR('DADOS BRUTOS'!C$2),MONTH('DADOS BRUTOS'!C$2),1),"")</f>
        <v/>
      </c>
      <c r="CD4" s="119">
        <f>IF(ISNUMBER('DADOS BRUTOS'!D$2),DATE(YEAR('DADOS BRUTOS'!D$2),MONTH('DADOS BRUTOS'!D$2),1),"")</f>
        <v/>
      </c>
      <c r="CE4" s="119">
        <f>IF(ISNUMBER('DADOS BRUTOS'!E$2),DATE(YEAR('DADOS BRUTOS'!E$2),MONTH('DADOS BRUTOS'!E$2),1),"")</f>
        <v/>
      </c>
      <c r="CF4" s="119">
        <f>IF(ISNUMBER('DADOS BRUTOS'!F$2),DATE(YEAR('DADOS BRUTOS'!F$2),MONTH('DADOS BRUTOS'!F$2),1),"")</f>
        <v/>
      </c>
      <c r="CG4" s="119">
        <f>IF(ISNUMBER('DADOS BRUTOS'!G$2),DATE(YEAR('DADOS BRUTOS'!G$2),MONTH('DADOS BRUTOS'!G$2),1),"")</f>
        <v/>
      </c>
      <c r="CH4" s="119">
        <f>IF(ISNUMBER('DADOS BRUTOS'!H$2),DATE(YEAR('DADOS BRUTOS'!H$2),MONTH('DADOS BRUTOS'!H$2),1),"")</f>
        <v/>
      </c>
      <c r="CI4" s="119">
        <f>IF(ISNUMBER('DADOS BRUTOS'!I$2),DATE(YEAR('DADOS BRUTOS'!I$2),MONTH('DADOS BRUTOS'!I$2),1),"")</f>
        <v/>
      </c>
      <c r="CJ4" s="119">
        <f>IF(ISNUMBER('DADOS BRUTOS'!J$2),DATE(YEAR('DADOS BRUTOS'!J$2),MONTH('DADOS BRUTOS'!J$2),1),"")</f>
        <v/>
      </c>
      <c r="CK4" s="119">
        <f>IF(ISNUMBER('DADOS BRUTOS'!K$2),DATE(YEAR('DADOS BRUTOS'!K$2),MONTH('DADOS BRUTOS'!K$2),1),"")</f>
        <v/>
      </c>
      <c r="CL4" s="119">
        <f>IF(ISNUMBER('DADOS BRUTOS'!L$2),DATE(YEAR('DADOS BRUTOS'!L$2),MONTH('DADOS BRUTOS'!L$2),1),"")</f>
        <v/>
      </c>
      <c r="CM4" s="119">
        <f>IF(ISNUMBER('DADOS BRUTOS'!M$2),DATE(YEAR('DADOS BRUTOS'!M$2),MONTH('DADOS BRUTOS'!M$2),1),"")</f>
        <v/>
      </c>
      <c r="CN4" s="119">
        <f>IF(ISNUMBER('DADOS BRUTOS'!N$2),DATE(YEAR('DADOS BRUTOS'!N$2),MONTH('DADOS BRUTOS'!N$2),1),"")</f>
        <v/>
      </c>
      <c r="CO4" s="119">
        <f>IF(ISNUMBER('DADOS BRUTOS'!O$2),DATE(YEAR('DADOS BRUTOS'!O$2),MONTH('DADOS BRUTOS'!O$2),1),"")</f>
        <v/>
      </c>
      <c r="CP4" s="119">
        <f>IF(ISNUMBER('DADOS BRUTOS'!P$2),DATE(YEAR('DADOS BRUTOS'!P$2),MONTH('DADOS BRUTOS'!P$2),1),"")</f>
        <v/>
      </c>
      <c r="CQ4" s="119">
        <f>IF(ISNUMBER('DADOS BRUTOS'!Q$2),DATE(YEAR('DADOS BRUTOS'!Q$2),MONTH('DADOS BRUTOS'!Q$2),1),"")</f>
        <v/>
      </c>
      <c r="CR4" s="119">
        <f>IF(ISNUMBER('DADOS BRUTOS'!R$2),DATE(YEAR('DADOS BRUTOS'!R$2),MONTH('DADOS BRUTOS'!R$2),1),"")</f>
        <v/>
      </c>
      <c r="CS4" s="119">
        <f>IF(ISNUMBER('DADOS BRUTOS'!S$2),DATE(YEAR('DADOS BRUTOS'!S$2),MONTH('DADOS BRUTOS'!S$2),1),"")</f>
        <v/>
      </c>
      <c r="CT4" s="119">
        <f>IF(ISNUMBER('DADOS BRUTOS'!T$2),DATE(YEAR('DADOS BRUTOS'!T$2),MONTH('DADOS BRUTOS'!T$2),1),"")</f>
        <v/>
      </c>
      <c r="CU4" s="119">
        <f>IF(ISNUMBER('DADOS BRUTOS'!U$2),DATE(YEAR('DADOS BRUTOS'!U$2),MONTH('DADOS BRUTOS'!U$2),1),"")</f>
        <v/>
      </c>
      <c r="CV4" s="119">
        <f>IF(ISNUMBER('DADOS BRUTOS'!V$2),DATE(YEAR('DADOS BRUTOS'!V$2),MONTH('DADOS BRUTOS'!V$2),1),"")</f>
        <v/>
      </c>
      <c r="CW4" s="119">
        <f>IF(ISNUMBER('DADOS BRUTOS'!W$2),DATE(YEAR('DADOS BRUTOS'!W$2),MONTH('DADOS BRUTOS'!W$2),1),"")</f>
        <v/>
      </c>
      <c r="CX4" s="119">
        <f>IF(ISNUMBER('DADOS BRUTOS'!X$2),DATE(YEAR('DADOS BRUTOS'!X$2),MONTH('DADOS BRUTOS'!X$2),1),"")</f>
        <v/>
      </c>
      <c r="CY4" s="119">
        <f>IF(ISNUMBER('DADOS BRUTOS'!Y$2),DATE(YEAR('DADOS BRUTOS'!Y$2),MONTH('DADOS BRUTOS'!Y$2),1),"")</f>
        <v/>
      </c>
      <c r="CZ4" s="119">
        <f>IF(ISNUMBER('DADOS BRUTOS'!Z$2),DATE(YEAR('DADOS BRUTOS'!Z$2),MONTH('DADOS BRUTOS'!Z$2),1),"")</f>
        <v/>
      </c>
      <c r="DA4" s="119">
        <f>IF(ISNUMBER('DADOS BRUTOS'!AA$2),DATE(YEAR('DADOS BRUTOS'!AA$2),MONTH('DADOS BRUTOS'!AA$2),1),"")</f>
        <v/>
      </c>
      <c r="DB4" s="119">
        <f>IF(ISNUMBER('DADOS BRUTOS'!AB$2),DATE(YEAR('DADOS BRUTOS'!AB$2),MONTH('DADOS BRUTOS'!AB$2),1),"")</f>
        <v/>
      </c>
      <c r="DC4" s="119">
        <f>IF(ISNUMBER('DADOS BRUTOS'!AC$2),DATE(YEAR('DADOS BRUTOS'!AC$2),MONTH('DADOS BRUTOS'!AC$2),1),"")</f>
        <v/>
      </c>
      <c r="DD4" s="119">
        <f>IF(ISNUMBER('DADOS BRUTOS'!AD$2),DATE(YEAR('DADOS BRUTOS'!AD$2),MONTH('DADOS BRUTOS'!AD$2),1),"")</f>
        <v/>
      </c>
      <c r="DE4" s="119">
        <f>IF(ISNUMBER('DADOS BRUTOS'!AE$2),DATE(YEAR('DADOS BRUTOS'!AE$2),MONTH('DADOS BRUTOS'!AE$2),1),"")</f>
        <v/>
      </c>
      <c r="DF4" s="119">
        <f>IF(ISNUMBER('DADOS BRUTOS'!AF$2),DATE(YEAR('DADOS BRUTOS'!AF$2),MONTH('DADOS BRUTOS'!AF$2),1),"")</f>
        <v/>
      </c>
      <c r="DG4" s="119">
        <f>IF(ISNUMBER('DADOS BRUTOS'!AG$2),DATE(YEAR('DADOS BRUTOS'!AG$2),MONTH('DADOS BRUTOS'!AG$2),1),"")</f>
        <v/>
      </c>
      <c r="DH4" s="119">
        <f>IF(ISNUMBER('DADOS BRUTOS'!AH$2),DATE(YEAR('DADOS BRUTOS'!AH$2),MONTH('DADOS BRUTOS'!AH$2),1),"")</f>
        <v/>
      </c>
      <c r="DI4" s="119">
        <f>IF(ISNUMBER('DADOS BRUTOS'!AI$2),DATE(YEAR('DADOS BRUTOS'!AI$2),MONTH('DADOS BRUTOS'!AI$2),1),"")</f>
        <v/>
      </c>
      <c r="DJ4" s="119">
        <f>IF(ISNUMBER('DADOS BRUTOS'!AJ$2),DATE(YEAR('DADOS BRUTOS'!AJ$2),MONTH('DADOS BRUTOS'!AJ$2),1),"")</f>
        <v/>
      </c>
      <c r="DK4" s="119">
        <f>IF(ISNUMBER('DADOS BRUTOS'!AK$2),DATE(YEAR('DADOS BRUTOS'!AK$2),MONTH('DADOS BRUTOS'!AK$2),1),"")</f>
        <v/>
      </c>
      <c r="DL4" s="119">
        <f>IF(ISNUMBER('DADOS BRUTOS'!AL$2),DATE(YEAR('DADOS BRUTOS'!AL$2),MONTH('DADOS BRUTOS'!AL$2),1),"")</f>
        <v/>
      </c>
      <c r="DM4" s="119">
        <f>IF(ISNUMBER('DADOS BRUTOS'!AM$2),DATE(YEAR('DADOS BRUTOS'!AM$2),MONTH('DADOS BRUTOS'!AM$2),1),"")</f>
        <v/>
      </c>
      <c r="DN4" s="119">
        <f>IF(ISNUMBER('DADOS BRUTOS'!AN$2),DATE(YEAR('DADOS BRUTOS'!AN$2),MONTH('DADOS BRUTOS'!AN$2),1),"")</f>
        <v/>
      </c>
      <c r="DO4" s="119">
        <f>IF(ISNUMBER('DADOS BRUTOS'!AO$2),DATE(YEAR('DADOS BRUTOS'!AO$2),MONTH('DADOS BRUTOS'!AO$2),1),"")</f>
        <v/>
      </c>
      <c r="DP4" s="119">
        <f>IF(ISNUMBER('DADOS BRUTOS'!AP$2),DATE(YEAR('DADOS BRUTOS'!AP$2),MONTH('DADOS BRUTOS'!AP$2),1),"")</f>
        <v/>
      </c>
      <c r="DQ4" s="119">
        <f>IF(ISNUMBER('DADOS BRUTOS'!AQ$2),DATE(YEAR('DADOS BRUTOS'!AQ$2),MONTH('DADOS BRUTOS'!AQ$2),1),"")</f>
        <v/>
      </c>
      <c r="DR4" s="119">
        <f>IF(ISNUMBER('DADOS BRUTOS'!AR$2),DATE(YEAR('DADOS BRUTOS'!AR$2),MONTH('DADOS BRUTOS'!AR$2),1),"")</f>
        <v/>
      </c>
      <c r="DS4" s="119">
        <f>IF(ISNUMBER('DADOS BRUTOS'!AS$2),DATE(YEAR('DADOS BRUTOS'!AS$2),MONTH('DADOS BRUTOS'!AS$2),1),"")</f>
        <v/>
      </c>
      <c r="DT4" s="119">
        <f>IF(ISNUMBER('DADOS BRUTOS'!AT$2),DATE(YEAR('DADOS BRUTOS'!AT$2),MONTH('DADOS BRUTOS'!AT$2),1),"")</f>
        <v/>
      </c>
      <c r="DU4" s="119">
        <f>IF(ISNUMBER('DADOS BRUTOS'!AU$2),DATE(YEAR('DADOS BRUTOS'!AU$2),MONTH('DADOS BRUTOS'!AU$2),1),"")</f>
        <v/>
      </c>
      <c r="DV4" s="119">
        <f>IF(ISNUMBER('DADOS BRUTOS'!AV$2),DATE(YEAR('DADOS BRUTOS'!AV$2),MONTH('DADOS BRUTOS'!AV$2),1),"")</f>
        <v/>
      </c>
      <c r="DW4" s="119">
        <f>IF(ISNUMBER('DADOS BRUTOS'!AW$2),DATE(YEAR('DADOS BRUTOS'!AW$2),MONTH('DADOS BRUTOS'!AW$2),1),"")</f>
        <v/>
      </c>
      <c r="DX4" s="119">
        <f>IF(ISNUMBER('DADOS BRUTOS'!AX$2),DATE(YEAR('DADOS BRUTOS'!AX$2),MONTH('DADOS BRUTOS'!AX$2),1),"")</f>
        <v/>
      </c>
      <c r="DY4" s="119">
        <f>IF(ISNUMBER('DADOS BRUTOS'!AY$2),DATE(YEAR('DADOS BRUTOS'!AY$2),MONTH('DADOS BRUTOS'!AY$2),1),"")</f>
        <v/>
      </c>
      <c r="DZ4" s="119">
        <f>IF(ISNUMBER('DADOS BRUTOS'!AZ$2),DATE(YEAR('DADOS BRUTOS'!AZ$2),MONTH('DADOS BRUTOS'!AZ$2),1),"")</f>
        <v/>
      </c>
      <c r="EA4" s="119">
        <f>IF(ISNUMBER('DADOS BRUTOS'!BA$2),DATE(YEAR('DADOS BRUTOS'!BA$2),MONTH('DADOS BRUTOS'!BA$2),1),"")</f>
        <v/>
      </c>
      <c r="EB4" s="119">
        <f>IF(ISNUMBER('DADOS BRUTOS'!BB$2),DATE(YEAR('DADOS BRUTOS'!BB$2),MONTH('DADOS BRUTOS'!BB$2),1),"")</f>
        <v/>
      </c>
      <c r="EC4" s="119">
        <f>IF(ISNUMBER('DADOS BRUTOS'!BC$2),DATE(YEAR('DADOS BRUTOS'!BC$2),MONTH('DADOS BRUTOS'!BC$2),1),"")</f>
        <v/>
      </c>
      <c r="ED4" s="119">
        <f>IF(ISNUMBER('DADOS BRUTOS'!BD$2),DATE(YEAR('DADOS BRUTOS'!BD$2),MONTH('DADOS BRUTOS'!BD$2),1),"")</f>
        <v/>
      </c>
      <c r="EE4" s="119">
        <f>IF(ISNUMBER('DADOS BRUTOS'!BE$2),DATE(YEAR('DADOS BRUTOS'!BE$2),MONTH('DADOS BRUTOS'!BE$2),1),"")</f>
        <v/>
      </c>
      <c r="EF4" s="119">
        <f>IF(ISNUMBER('DADOS BRUTOS'!BF$2),DATE(YEAR('DADOS BRUTOS'!BF$2),MONTH('DADOS BRUTOS'!BF$2),1),"")</f>
        <v/>
      </c>
      <c r="EG4" s="119">
        <f>IF(ISNUMBER('DADOS BRUTOS'!BG$2),DATE(YEAR('DADOS BRUTOS'!BG$2),MONTH('DADOS BRUTOS'!BG$2),1),"")</f>
        <v/>
      </c>
      <c r="EH4" s="119">
        <f>IF(ISNUMBER('DADOS BRUTOS'!BH$2),DATE(YEAR('DADOS BRUTOS'!BH$2),MONTH('DADOS BRUTOS'!BH$2),1),"")</f>
        <v/>
      </c>
      <c r="EI4" s="119">
        <f>IF(ISNUMBER('DADOS BRUTOS'!BI$2),DATE(YEAR('DADOS BRUTOS'!BI$2),MONTH('DADOS BRUTOS'!BI$2),1),"")</f>
        <v/>
      </c>
      <c r="EJ4" s="119">
        <f>IF(ISNUMBER('DADOS BRUTOS'!BJ$2),DATE(YEAR('DADOS BRUTOS'!BJ$2),MONTH('DADOS BRUTOS'!BJ$2),1),"")</f>
        <v/>
      </c>
      <c r="EK4" s="119">
        <f>IF(ISNUMBER('DADOS BRUTOS'!BK$2),DATE(YEAR('DADOS BRUTOS'!BK$2),MONTH('DADOS BRUTOS'!BK$2),1),"")</f>
        <v/>
      </c>
      <c r="EL4" s="119">
        <f>IF(ISNUMBER('DADOS BRUTOS'!BL$2),DATE(YEAR('DADOS BRUTOS'!BL$2),MONTH('DADOS BRUTOS'!BL$2),1),"")</f>
        <v/>
      </c>
      <c r="EM4" s="119">
        <f>IF(ISNUMBER('DADOS BRUTOS'!BM$2),DATE(YEAR('DADOS BRUTOS'!BM$2),MONTH('DADOS BRUTOS'!BM$2),1),"")</f>
        <v/>
      </c>
      <c r="EN4" s="119">
        <f>IF(ISNUMBER('DADOS BRUTOS'!BN$2),DATE(YEAR('DADOS BRUTOS'!BN$2),MONTH('DADOS BRUTOS'!BN$2),1),"")</f>
        <v/>
      </c>
      <c r="EO4" s="119">
        <f>IF(ISNUMBER('DADOS BRUTOS'!BO$2),DATE(YEAR('DADOS BRUTOS'!BO$2),MONTH('DADOS BRUTOS'!BO$2),1),"")</f>
        <v/>
      </c>
      <c r="EP4" s="119">
        <f>IF(ISNUMBER('DADOS BRUTOS'!BP$2),DATE(YEAR('DADOS BRUTOS'!BP$2),MONTH('DADOS BRUTOS'!BP$2),1),"")</f>
        <v/>
      </c>
      <c r="EQ4" s="119">
        <f>IF(ISNUMBER('DADOS BRUTOS'!BQ$2),DATE(YEAR('DADOS BRUTOS'!BQ$2),MONTH('DADOS BRUTOS'!BQ$2),1),"")</f>
        <v/>
      </c>
      <c r="ER4" s="119">
        <f>IF(ISNUMBER('DADOS BRUTOS'!BR$2),DATE(YEAR('DADOS BRUTOS'!BR$2),MONTH('DADOS BRUTOS'!BR$2),1),"")</f>
        <v/>
      </c>
      <c r="ES4" s="119">
        <f>IF(ISNUMBER('DADOS BRUTOS'!BS$2),DATE(YEAR('DADOS BRUTOS'!BS$2),MONTH('DADOS BRUTOS'!BS$2),1),"")</f>
        <v/>
      </c>
      <c r="ET4" s="119">
        <f>IF(ISNUMBER('DADOS BRUTOS'!BT$2),DATE(YEAR('DADOS BRUTOS'!BT$2),MONTH('DADOS BRUTOS'!BT$2),1),"")</f>
        <v/>
      </c>
      <c r="EU4" s="119">
        <f>IF(ISNUMBER('DADOS BRUTOS'!BU$2),DATE(YEAR('DADOS BRUTOS'!BU$2),MONTH('DADOS BRUTOS'!BU$2),1),"")</f>
        <v/>
      </c>
      <c r="EV4" s="119">
        <f>IF(ISNUMBER('DADOS BRUTOS'!BV$2),DATE(YEAR('DADOS BRUTOS'!BV$2),MONTH('DADOS BRUTOS'!BV$2),1),"")</f>
        <v/>
      </c>
      <c r="EW4" s="119">
        <f>IF(ISNUMBER('DADOS BRUTOS'!BW$2),DATE(YEAR('DADOS BRUTOS'!BW$2),MONTH('DADOS BRUTOS'!BW$2),1),"")</f>
        <v/>
      </c>
      <c r="EX4" s="119">
        <f>IF(ISNUMBER('DADOS BRUTOS'!BX$2),DATE(YEAR('DADOS BRUTOS'!BX$2),MONTH('DADOS BRUTOS'!BX$2),1),"")</f>
        <v/>
      </c>
      <c r="EY4" s="119">
        <f>IF(ISNUMBER('DADOS BRUTOS'!BY$2),DATE(YEAR('DADOS BRUTOS'!BY$2),MONTH('DADOS BRUTOS'!BY$2),1),"")</f>
        <v/>
      </c>
      <c r="EZ4" s="119">
        <f>IF(ISNUMBER('DADOS BRUTOS'!BZ$2),DATE(YEAR('DADOS BRUTOS'!BZ$2),MONTH('DADOS BRUTOS'!BZ$2),1),"")</f>
        <v/>
      </c>
      <c r="FA4" s="119">
        <f>IF(ISNUMBER('DADOS BRUTOS'!CA$2),DATE(YEAR('DADOS BRUTOS'!CA$2),MONTH('DADOS BRUTOS'!CA$2),1),"")</f>
        <v/>
      </c>
      <c r="FB4" s="119">
        <f>IF(ISNUMBER('DADOS BRUTOS'!CB$2),DATE(YEAR('DADOS BRUTOS'!CB$2),MONTH('DADOS BRUTOS'!CB$2),1),"")</f>
        <v/>
      </c>
      <c r="FC4" s="119">
        <f>IF(ISNUMBER('DADOS BRUTOS'!CC$2),DATE(YEAR('DADOS BRUTOS'!CC$2),MONTH('DADOS BRUTOS'!CC$2),1),"")</f>
        <v/>
      </c>
      <c r="FD4" s="119">
        <f>IF(ISNUMBER('DADOS BRUTOS'!CD$2),DATE(YEAR('DADOS BRUTOS'!CD$2),MONTH('DADOS BRUTOS'!CD$2),1),"")</f>
        <v/>
      </c>
      <c r="FE4" s="119">
        <f>IF(ISNUMBER('DADOS BRUTOS'!CE$2),DATE(YEAR('DADOS BRUTOS'!CE$2),MONTH('DADOS BRUTOS'!CE$2),1),"")</f>
        <v/>
      </c>
      <c r="FF4" s="119">
        <f>IF(ISNUMBER('DADOS BRUTOS'!CF$2),DATE(YEAR('DADOS BRUTOS'!CF$2),MONTH('DADOS BRUTOS'!CF$2),1),"")</f>
        <v/>
      </c>
      <c r="FG4" s="119">
        <f>IF(ISNUMBER('DADOS BRUTOS'!CG$2),DATE(YEAR('DADOS BRUTOS'!CG$2),MONTH('DADOS BRUTOS'!CG$2),1),"")</f>
        <v/>
      </c>
      <c r="FH4" s="119">
        <f>IF(ISNUMBER('DADOS BRUTOS'!CH$2),DATE(YEAR('DADOS BRUTOS'!CH$2),MONTH('DADOS BRUTOS'!CH$2),1),"")</f>
        <v/>
      </c>
      <c r="FI4" s="119">
        <f>IF(ISNUMBER('DADOS BRUTOS'!CI$2),DATE(YEAR('DADOS BRUTOS'!CI$2),MONTH('DADOS BRUTOS'!CI$2),1),"")</f>
        <v/>
      </c>
      <c r="FJ4" s="119">
        <f>IF(ISNUMBER('DADOS BRUTOS'!CJ$2),DATE(YEAR('DADOS BRUTOS'!CJ$2),MONTH('DADOS BRUTOS'!CJ$2),1),"")</f>
        <v/>
      </c>
      <c r="FK4" s="119">
        <f>IF(ISNUMBER('DADOS BRUTOS'!CK$2),DATE(YEAR('DADOS BRUTOS'!CK$2),MONTH('DADOS BRUTOS'!CK$2),1),"")</f>
        <v/>
      </c>
      <c r="FL4" s="119">
        <f>IF(ISNUMBER('DADOS BRUTOS'!CL$2),DATE(YEAR('DADOS BRUTOS'!CL$2),MONTH('DADOS BRUTOS'!CL$2),1),"")</f>
        <v/>
      </c>
      <c r="FM4" s="119">
        <f>IF(ISNUMBER('DADOS BRUTOS'!CM$2),DATE(YEAR('DADOS BRUTOS'!CM$2),MONTH('DADOS BRUTOS'!CM$2),1),"")</f>
        <v/>
      </c>
      <c r="FN4" s="119">
        <f>IF(ISNUMBER('DADOS BRUTOS'!CN$2),DATE(YEAR('DADOS BRUTOS'!CN$2),MONTH('DADOS BRUTOS'!CN$2),1),"")</f>
        <v/>
      </c>
      <c r="FO4" s="119">
        <f>IF(ISNUMBER('DADOS BRUTOS'!CO$2),DATE(YEAR('DADOS BRUTOS'!CO$2),MONTH('DADOS BRUTOS'!CO$2),1),"")</f>
        <v/>
      </c>
      <c r="FP4" s="119">
        <f>IF(ISNUMBER('DADOS BRUTOS'!CP$2),DATE(YEAR('DADOS BRUTOS'!CP$2),MONTH('DADOS BRUTOS'!CP$2),1),"")</f>
        <v/>
      </c>
      <c r="FQ4" s="119">
        <f>IF(ISNUMBER('DADOS BRUTOS'!CQ$2),DATE(YEAR('DADOS BRUTOS'!CQ$2),MONTH('DADOS BRUTOS'!CQ$2),1),"")</f>
        <v/>
      </c>
      <c r="FR4" s="119">
        <f>IF(ISNUMBER('DADOS BRUTOS'!CR$2),DATE(YEAR('DADOS BRUTOS'!CR$2),MONTH('DADOS BRUTOS'!CR$2),1),"")</f>
        <v/>
      </c>
      <c r="FS4" s="119">
        <f>IF(ISNUMBER('DADOS BRUTOS'!CS$2),DATE(YEAR('DADOS BRUTOS'!CS$2),MONTH('DADOS BRUTOS'!CS$2),1),"")</f>
        <v/>
      </c>
      <c r="FT4" s="119">
        <f>IF(ISNUMBER('DADOS BRUTOS'!CT$2),DATE(YEAR('DADOS BRUTOS'!CT$2),MONTH('DADOS BRUTOS'!CT$2),1),"")</f>
        <v/>
      </c>
      <c r="FU4" s="119">
        <f>IF(ISNUMBER('DADOS BRUTOS'!CU$2),DATE(YEAR('DADOS BRUTOS'!CU$2),MONTH('DADOS BRUTOS'!CU$2),1),"")</f>
        <v/>
      </c>
      <c r="FV4" s="119">
        <f>IF(ISNUMBER('DADOS BRUTOS'!CV$2),DATE(YEAR('DADOS BRUTOS'!CV$2),MONTH('DADOS BRUTOS'!CV$2),1),"")</f>
        <v/>
      </c>
      <c r="FW4" s="119">
        <f>IF(ISNUMBER('DADOS BRUTOS'!CW$2),DATE(YEAR('DADOS BRUTOS'!CW$2),MONTH('DADOS BRUTOS'!CW$2),1),"")</f>
        <v/>
      </c>
      <c r="FX4" s="119">
        <f>IF(ISNUMBER('DADOS BRUTOS'!CX$2),DATE(YEAR('DADOS BRUTOS'!CX$2),MONTH('DADOS BRUTOS'!CX$2),1),"")</f>
        <v/>
      </c>
      <c r="FY4" s="119">
        <f>IF(ISNUMBER('DADOS BRUTOS'!CY$2),DATE(YEAR('DADOS BRUTOS'!CY$2),MONTH('DADOS BRUTOS'!CY$2),1),"")</f>
        <v/>
      </c>
      <c r="FZ4" s="119">
        <f>IF(ISNUMBER('DADOS BRUTOS'!CZ$2),DATE(YEAR('DADOS BRUTOS'!CZ$2),MONTH('DADOS BRUTOS'!CZ$2),1),"")</f>
        <v/>
      </c>
      <c r="GA4" s="119">
        <f>IF(ISNUMBER('DADOS BRUTOS'!DA$2),DATE(YEAR('DADOS BRUTOS'!DA$2),MONTH('DADOS BRUTOS'!DA$2),1),"")</f>
        <v/>
      </c>
      <c r="GB4" s="119">
        <f>IF(ISNUMBER('DADOS BRUTOS'!DB$2),DATE(YEAR('DADOS BRUTOS'!DB$2),MONTH('DADOS BRUTOS'!DB$2),1),"")</f>
        <v/>
      </c>
      <c r="GC4" s="119">
        <f>IF(ISNUMBER('DADOS BRUTOS'!DC$2),DATE(YEAR('DADOS BRUTOS'!DC$2),MONTH('DADOS BRUTOS'!DC$2),1),"")</f>
        <v/>
      </c>
      <c r="GD4" s="119">
        <f>IF(ISNUMBER('DADOS BRUTOS'!DD$2),DATE(YEAR('DADOS BRUTOS'!DD$2),MONTH('DADOS BRUTOS'!DD$2),1),"")</f>
        <v/>
      </c>
      <c r="GE4" s="119">
        <f>IF(ISNUMBER('DADOS BRUTOS'!DE$2),DATE(YEAR('DADOS BRUTOS'!DE$2),MONTH('DADOS BRUTOS'!DE$2),1),"")</f>
        <v/>
      </c>
      <c r="GF4" s="119">
        <f>IF(ISNUMBER('DADOS BRUTOS'!DF$2),DATE(YEAR('DADOS BRUTOS'!DF$2),MONTH('DADOS BRUTOS'!DF$2),1),"")</f>
        <v/>
      </c>
      <c r="GG4" s="119">
        <f>IF(ISNUMBER('DADOS BRUTOS'!DG$2),DATE(YEAR('DADOS BRUTOS'!DG$2),MONTH('DADOS BRUTOS'!DG$2),1),"")</f>
        <v/>
      </c>
      <c r="GH4" s="119">
        <f>IF(ISNUMBER('DADOS BRUTOS'!DH$2),DATE(YEAR('DADOS BRUTOS'!DH$2),MONTH('DADOS BRUTOS'!DH$2),1),"")</f>
        <v/>
      </c>
      <c r="GI4" s="119">
        <f>IF(ISNUMBER('DADOS BRUTOS'!DI$2),DATE(YEAR('DADOS BRUTOS'!DI$2),MONTH('DADOS BRUTOS'!DI$2),1),"")</f>
        <v/>
      </c>
      <c r="GJ4" s="119">
        <f>IF(ISNUMBER('DADOS BRUTOS'!DJ$2),DATE(YEAR('DADOS BRUTOS'!DJ$2),MONTH('DADOS BRUTOS'!DJ$2),1),"")</f>
        <v/>
      </c>
      <c r="GK4" s="119">
        <f>IF(ISNUMBER('DADOS BRUTOS'!DK$2),DATE(YEAR('DADOS BRUTOS'!DK$2),MONTH('DADOS BRUTOS'!DK$2),1),"")</f>
        <v/>
      </c>
      <c r="GL4" s="119">
        <f>IF(ISNUMBER('DADOS BRUTOS'!DL$2),DATE(YEAR('DADOS BRUTOS'!DL$2),MONTH('DADOS BRUTOS'!DL$2),1),"")</f>
        <v/>
      </c>
      <c r="GM4" s="119">
        <f>IF(ISNUMBER('DADOS BRUTOS'!DM$2),DATE(YEAR('DADOS BRUTOS'!DM$2),MONTH('DADOS BRUTOS'!DM$2),1),"")</f>
        <v/>
      </c>
      <c r="GN4" s="119">
        <f>IF(ISNUMBER('DADOS BRUTOS'!DN$2),DATE(YEAR('DADOS BRUTOS'!DN$2),MONTH('DADOS BRUTOS'!DN$2),1),"")</f>
        <v/>
      </c>
      <c r="GO4" s="119">
        <f>IF(ISNUMBER('DADOS BRUTOS'!DO$2),DATE(YEAR('DADOS BRUTOS'!DO$2),MONTH('DADOS BRUTOS'!DO$2),1),"")</f>
        <v/>
      </c>
      <c r="GP4" s="119">
        <f>IF(ISNUMBER('DADOS BRUTOS'!DP$2),DATE(YEAR('DADOS BRUTOS'!DP$2),MONTH('DADOS BRUTOS'!DP$2),1),"")</f>
        <v/>
      </c>
      <c r="GQ4" s="119">
        <f>IF(ISNUMBER('DADOS BRUTOS'!DQ$2),DATE(YEAR('DADOS BRUTOS'!DQ$2),MONTH('DADOS BRUTOS'!DQ$2),1),"")</f>
        <v/>
      </c>
      <c r="GR4" s="119">
        <f>IF(ISNUMBER('DADOS BRUTOS'!DR$2),DATE(YEAR('DADOS BRUTOS'!DR$2),MONTH('DADOS BRUTOS'!DR$2),1),"")</f>
        <v/>
      </c>
      <c r="GS4" s="119">
        <f>IF(ISNUMBER('DADOS BRUTOS'!DS$2),DATE(YEAR('DADOS BRUTOS'!DS$2),MONTH('DADOS BRUTOS'!DS$2),1),"")</f>
        <v/>
      </c>
      <c r="GT4" s="119">
        <f>IF(ISNUMBER('DADOS BRUTOS'!DT$2),DATE(YEAR('DADOS BRUTOS'!DT$2),MONTH('DADOS BRUTOS'!DT$2),1),"")</f>
        <v/>
      </c>
      <c r="GU4" s="119">
        <f>IF(ISNUMBER('DADOS BRUTOS'!DU$2),DATE(YEAR('DADOS BRUTOS'!DU$2),MONTH('DADOS BRUTOS'!DU$2),1),"")</f>
        <v/>
      </c>
      <c r="GV4" s="119">
        <f>IF(ISNUMBER('DADOS BRUTOS'!DV$2),DATE(YEAR('DADOS BRUTOS'!DV$2),MONTH('DADOS BRUTOS'!DV$2),1),"")</f>
        <v/>
      </c>
      <c r="GW4" s="119">
        <f>IF(ISNUMBER('DADOS BRUTOS'!DW$2),DATE(YEAR('DADOS BRUTOS'!DW$2),MONTH('DADOS BRUTOS'!DW$2),1),"")</f>
        <v/>
      </c>
      <c r="GX4" s="119">
        <f>IF(ISNUMBER('DADOS BRUTOS'!DX$2),DATE(YEAR('DADOS BRUTOS'!DX$2),MONTH('DADOS BRUTOS'!DX$2),1),"")</f>
        <v/>
      </c>
      <c r="GY4" s="119">
        <f>IF(ISNUMBER('DADOS BRUTOS'!DY$2),DATE(YEAR('DADOS BRUTOS'!DY$2),MONTH('DADOS BRUTOS'!DY$2),1),"")</f>
        <v/>
      </c>
      <c r="GZ4" s="119">
        <f>IF(ISNUMBER('DADOS BRUTOS'!DZ$2),DATE(YEAR('DADOS BRUTOS'!DZ$2),MONTH('DADOS BRUTOS'!DZ$2),1),"")</f>
        <v/>
      </c>
      <c r="HA4" s="119">
        <f>IF(ISNUMBER('DADOS BRUTOS'!EA$2),DATE(YEAR('DADOS BRUTOS'!EA$2),MONTH('DADOS BRUTOS'!EA$2),1),"")</f>
        <v/>
      </c>
      <c r="HB4" s="119">
        <f>IF(ISNUMBER('DADOS BRUTOS'!EB$2),DATE(YEAR('DADOS BRUTOS'!EB$2),MONTH('DADOS BRUTOS'!EB$2),1),"")</f>
        <v/>
      </c>
      <c r="HC4" s="119">
        <f>IF(ISNUMBER('DADOS BRUTOS'!EC$2),DATE(YEAR('DADOS BRUTOS'!EC$2),MONTH('DADOS BRUTOS'!EC$2),1),"")</f>
        <v/>
      </c>
      <c r="HD4" s="119">
        <f>IF(ISNUMBER('DADOS BRUTOS'!ED$2),DATE(YEAR('DADOS BRUTOS'!ED$2),MONTH('DADOS BRUTOS'!ED$2),1),"")</f>
        <v/>
      </c>
      <c r="HE4" s="119">
        <f>IF(ISNUMBER('DADOS BRUTOS'!EE$2),DATE(YEAR('DADOS BRUTOS'!EE$2),MONTH('DADOS BRUTOS'!EE$2),1),"")</f>
        <v/>
      </c>
      <c r="HF4" s="119">
        <f>IF(ISNUMBER('DADOS BRUTOS'!EF$2),DATE(YEAR('DADOS BRUTOS'!EF$2),MONTH('DADOS BRUTOS'!EF$2),1),"")</f>
        <v/>
      </c>
      <c r="HG4" s="119">
        <f>IF(ISNUMBER('DADOS BRUTOS'!EG$2),DATE(YEAR('DADOS BRUTOS'!EG$2),MONTH('DADOS BRUTOS'!EG$2),1),"")</f>
        <v/>
      </c>
      <c r="HH4" s="119">
        <f>IF(ISNUMBER('DADOS BRUTOS'!EH$2),DATE(YEAR('DADOS BRUTOS'!EH$2),MONTH('DADOS BRUTOS'!EH$2),1),"")</f>
        <v/>
      </c>
      <c r="HI4" s="119">
        <f>IF(ISNUMBER('DADOS BRUTOS'!EI$2),DATE(YEAR('DADOS BRUTOS'!EI$2),MONTH('DADOS BRUTOS'!EI$2),1),"")</f>
        <v/>
      </c>
      <c r="HJ4" s="119">
        <f>IF(ISNUMBER('DADOS BRUTOS'!EJ$2),DATE(YEAR('DADOS BRUTOS'!EJ$2),MONTH('DADOS BRUTOS'!EJ$2),1),"")</f>
        <v/>
      </c>
      <c r="HK4" s="119">
        <f>IF(ISNUMBER('DADOS BRUTOS'!EK$2),DATE(YEAR('DADOS BRUTOS'!EK$2),MONTH('DADOS BRUTOS'!EK$2),1),"")</f>
        <v/>
      </c>
      <c r="HL4" s="119">
        <f>IF(ISNUMBER('DADOS BRUTOS'!EL$2),DATE(YEAR('DADOS BRUTOS'!EL$2),MONTH('DADOS BRUTOS'!EL$2),1),"")</f>
        <v/>
      </c>
      <c r="HM4" s="119">
        <f>IF(ISNUMBER('DADOS BRUTOS'!EM$2),DATE(YEAR('DADOS BRUTOS'!EM$2),MONTH('DADOS BRUTOS'!EM$2),1),"")</f>
        <v/>
      </c>
      <c r="HN4" s="119">
        <f>IF(ISNUMBER('DADOS BRUTOS'!EN$2),DATE(YEAR('DADOS BRUTOS'!EN$2),MONTH('DADOS BRUTOS'!EN$2),1),"")</f>
        <v/>
      </c>
      <c r="HO4" s="119">
        <f>IF(ISNUMBER('DADOS BRUTOS'!EO$2),DATE(YEAR('DADOS BRUTOS'!EO$2),MONTH('DADOS BRUTOS'!EO$2),1),"")</f>
        <v/>
      </c>
      <c r="HP4" s="119">
        <f>IF(ISNUMBER('DADOS BRUTOS'!EP$2),DATE(YEAR('DADOS BRUTOS'!EP$2),MONTH('DADOS BRUTOS'!EP$2),1),"")</f>
        <v/>
      </c>
      <c r="HQ4" s="119">
        <f>IF(ISNUMBER('DADOS BRUTOS'!EQ$2),DATE(YEAR('DADOS BRUTOS'!EQ$2),MONTH('DADOS BRUTOS'!EQ$2),1),"")</f>
        <v/>
      </c>
      <c r="HR4" s="119">
        <f>IF(ISNUMBER('DADOS BRUTOS'!ER$2),DATE(YEAR('DADOS BRUTOS'!ER$2),MONTH('DADOS BRUTOS'!ER$2),1),"")</f>
        <v/>
      </c>
      <c r="HS4" s="119">
        <f>IF(ISNUMBER('DADOS BRUTOS'!ES$2),DATE(YEAR('DADOS BRUTOS'!ES$2),MONTH('DADOS BRUTOS'!ES$2),1),"")</f>
        <v/>
      </c>
      <c r="HT4" s="119">
        <f>IF(ISNUMBER('DADOS BRUTOS'!ET$2),DATE(YEAR('DADOS BRUTOS'!ET$2),MONTH('DADOS BRUTOS'!ET$2),1),"")</f>
        <v/>
      </c>
      <c r="HU4" s="119">
        <f>IF(ISNUMBER('DADOS BRUTOS'!EU$2),DATE(YEAR('DADOS BRUTOS'!EU$2),MONTH('DADOS BRUTOS'!EU$2),1),"")</f>
        <v/>
      </c>
      <c r="HV4" s="119">
        <f>IF(ISNUMBER('DADOS BRUTOS'!EV$2),DATE(YEAR('DADOS BRUTOS'!EV$2),MONTH('DADOS BRUTOS'!EV$2),1),"")</f>
        <v/>
      </c>
      <c r="HW4" s="119">
        <f>IF(ISNUMBER('DADOS BRUTOS'!EW$2),DATE(YEAR('DADOS BRUTOS'!EW$2),MONTH('DADOS BRUTOS'!EW$2),1),"")</f>
        <v/>
      </c>
      <c r="HX4" s="119">
        <f>IF(ISNUMBER('DADOS BRUTOS'!EX$2),DATE(YEAR('DADOS BRUTOS'!EX$2),MONTH('DADOS BRUTOS'!EX$2),1),"")</f>
        <v/>
      </c>
      <c r="HY4" s="119">
        <f>IF(ISNUMBER('DADOS BRUTOS'!EY$2),DATE(YEAR('DADOS BRUTOS'!EY$2),MONTH('DADOS BRUTOS'!EY$2),1),"")</f>
        <v/>
      </c>
      <c r="HZ4" s="119">
        <f>IF(ISNUMBER('DADOS BRUTOS'!EZ$2),DATE(YEAR('DADOS BRUTOS'!EZ$2),MONTH('DADOS BRUTOS'!EZ$2),1),"")</f>
        <v/>
      </c>
      <c r="IA4" s="119">
        <f>IF(ISNUMBER('DADOS BRUTOS'!FA$2),DATE(YEAR('DADOS BRUTOS'!FA$2),MONTH('DADOS BRUTOS'!FA$2),1),"")</f>
        <v/>
      </c>
      <c r="IB4" s="119">
        <f>IF(ISNUMBER('DADOS BRUTOS'!FB$2),DATE(YEAR('DADOS BRUTOS'!FB$2),MONTH('DADOS BRUTOS'!FB$2),1),"")</f>
        <v/>
      </c>
      <c r="IC4" s="119">
        <f>IF(ISNUMBER('DADOS BRUTOS'!FC$2),DATE(YEAR('DADOS BRUTOS'!FC$2),MONTH('DADOS BRUTOS'!FC$2),1),"")</f>
        <v/>
      </c>
      <c r="ID4" s="119">
        <f>IF(ISNUMBER('DADOS BRUTOS'!FD$2),DATE(YEAR('DADOS BRUTOS'!FD$2),MONTH('DADOS BRUTOS'!FD$2),1),"")</f>
        <v/>
      </c>
      <c r="IE4" s="119">
        <f>IF(ISNUMBER('DADOS BRUTOS'!FE$2),DATE(YEAR('DADOS BRUTOS'!FE$2),MONTH('DADOS BRUTOS'!FE$2),1),"")</f>
        <v/>
      </c>
      <c r="IF4" s="119">
        <f>IF(ISNUMBER('DADOS BRUTOS'!FF$2),DATE(YEAR('DADOS BRUTOS'!FF$2),MONTH('DADOS BRUTOS'!FF$2),1),"")</f>
        <v/>
      </c>
      <c r="IG4" s="119">
        <f>IF(ISNUMBER('DADOS BRUTOS'!FG$2),DATE(YEAR('DADOS BRUTOS'!FG$2),MONTH('DADOS BRUTOS'!FG$2),1),"")</f>
        <v/>
      </c>
      <c r="IH4" s="119">
        <f>IF(ISNUMBER('DADOS BRUTOS'!FH$2),DATE(YEAR('DADOS BRUTOS'!FH$2),MONTH('DADOS BRUTOS'!FH$2),1),"")</f>
        <v/>
      </c>
      <c r="II4" s="119">
        <f>IF(ISNUMBER('DADOS BRUTOS'!FI$2),DATE(YEAR('DADOS BRUTOS'!FI$2),MONTH('DADOS BRUTOS'!FI$2),1),"")</f>
        <v/>
      </c>
      <c r="IJ4" s="119">
        <f>IF(ISNUMBER('DADOS BRUTOS'!FJ$2),DATE(YEAR('DADOS BRUTOS'!FJ$2),MONTH('DADOS BRUTOS'!FJ$2),1),"")</f>
        <v/>
      </c>
      <c r="IK4" s="119">
        <f>IF(ISNUMBER('DADOS BRUTOS'!FK$2),DATE(YEAR('DADOS BRUTOS'!FK$2),MONTH('DADOS BRUTOS'!FK$2),1),"")</f>
        <v/>
      </c>
      <c r="IL4" s="119">
        <f>IF(ISNUMBER('DADOS BRUTOS'!FL$2),DATE(YEAR('DADOS BRUTOS'!FL$2),MONTH('DADOS BRUTOS'!FL$2),1),"")</f>
        <v/>
      </c>
      <c r="IM4" s="119">
        <f>IF(ISNUMBER('DADOS BRUTOS'!FM$2),DATE(YEAR('DADOS BRUTOS'!FM$2),MONTH('DADOS BRUTOS'!FM$2),1),"")</f>
        <v/>
      </c>
      <c r="IN4" s="119">
        <f>IF(ISNUMBER('DADOS BRUTOS'!FN$2),DATE(YEAR('DADOS BRUTOS'!FN$2),MONTH('DADOS BRUTOS'!FN$2),1),"")</f>
        <v/>
      </c>
      <c r="IO4" s="119">
        <f>IF(ISNUMBER('DADOS BRUTOS'!FO$2),DATE(YEAR('DADOS BRUTOS'!FO$2),MONTH('DADOS BRUTOS'!FO$2),1),"")</f>
        <v/>
      </c>
      <c r="IP4" s="119">
        <f>IF(ISNUMBER('DADOS BRUTOS'!FP$2),DATE(YEAR('DADOS BRUTOS'!FP$2),MONTH('DADOS BRUTOS'!FP$2),1),"")</f>
        <v/>
      </c>
      <c r="IQ4" s="119">
        <f>IF(ISNUMBER('DADOS BRUTOS'!FQ$2),DATE(YEAR('DADOS BRUTOS'!FQ$2),MONTH('DADOS BRUTOS'!FQ$2),1),"")</f>
        <v/>
      </c>
      <c r="IR4" s="119">
        <f>IF(ISNUMBER('DADOS BRUTOS'!FR$2),DATE(YEAR('DADOS BRUTOS'!FR$2),MONTH('DADOS BRUTOS'!FR$2),1),"")</f>
        <v/>
      </c>
      <c r="IS4" s="119">
        <f>IF(ISNUMBER('DADOS BRUTOS'!FS$2),DATE(YEAR('DADOS BRUTOS'!FS$2),MONTH('DADOS BRUTOS'!FS$2),1),"")</f>
        <v/>
      </c>
      <c r="IT4" s="119">
        <f>IF(ISNUMBER('DADOS BRUTOS'!FT$2),DATE(YEAR('DADOS BRUTOS'!FT$2),MONTH('DADOS BRUTOS'!FT$2),1),"")</f>
        <v/>
      </c>
      <c r="IU4" s="119">
        <f>IF(ISNUMBER('DADOS BRUTOS'!FU$2),DATE(YEAR('DADOS BRUTOS'!FU$2),MONTH('DADOS BRUTOS'!FU$2),1),"")</f>
        <v/>
      </c>
      <c r="IV4" s="119">
        <f>IF(ISNUMBER('DADOS BRUTOS'!FV$2),DATE(YEAR('DADOS BRUTOS'!FV$2),MONTH('DADOS BRUTOS'!FV$2),1),"")</f>
        <v/>
      </c>
      <c r="IW4" s="119">
        <f>IF(ISNUMBER('DADOS BRUTOS'!FW$2),DATE(YEAR('DADOS BRUTOS'!FW$2),MONTH('DADOS BRUTOS'!FW$2),1),"")</f>
        <v/>
      </c>
      <c r="IX4" s="119">
        <f>IF(ISNUMBER('DADOS BRUTOS'!FX$2),DATE(YEAR('DADOS BRUTOS'!FX$2),MONTH('DADOS BRUTOS'!FX$2),1),"")</f>
        <v/>
      </c>
      <c r="IY4" s="119">
        <f>IF(ISNUMBER('DADOS BRUTOS'!FY$2),DATE(YEAR('DADOS BRUTOS'!FY$2),MONTH('DADOS BRUTOS'!FY$2),1),"")</f>
        <v/>
      </c>
      <c r="IZ4" s="119">
        <f>IF(ISNUMBER('DADOS BRUTOS'!FZ$2),DATE(YEAR('DADOS BRUTOS'!FZ$2),MONTH('DADOS BRUTOS'!FZ$2),1),"")</f>
        <v/>
      </c>
      <c r="JA4" s="119">
        <f>IF(ISNUMBER('DADOS BRUTOS'!GA$2),DATE(YEAR('DADOS BRUTOS'!GA$2),MONTH('DADOS BRUTOS'!GA$2),1),"")</f>
        <v/>
      </c>
      <c r="JB4" s="119">
        <f>IF(ISNUMBER('DADOS BRUTOS'!GB$2),DATE(YEAR('DADOS BRUTOS'!GB$2),MONTH('DADOS BRUTOS'!GB$2),1),"")</f>
        <v/>
      </c>
      <c r="JC4" s="119">
        <f>IF(ISNUMBER('DADOS BRUTOS'!GC$2),DATE(YEAR('DADOS BRUTOS'!GC$2),MONTH('DADOS BRUTOS'!GC$2),1),"")</f>
        <v/>
      </c>
      <c r="JD4" s="119">
        <f>IF(ISNUMBER('DADOS BRUTOS'!GD$2),DATE(YEAR('DADOS BRUTOS'!GD$2),MONTH('DADOS BRUTOS'!GD$2),1),"")</f>
        <v/>
      </c>
      <c r="JE4" s="119">
        <f>IF(ISNUMBER('DADOS BRUTOS'!GE$2),DATE(YEAR('DADOS BRUTOS'!GE$2),MONTH('DADOS BRUTOS'!GE$2),1),"")</f>
        <v/>
      </c>
      <c r="JF4" s="119">
        <f>IF(ISNUMBER('DADOS BRUTOS'!GF$2),DATE(YEAR('DADOS BRUTOS'!GF$2),MONTH('DADOS BRUTOS'!GF$2),1),"")</f>
        <v/>
      </c>
      <c r="JG4" s="119">
        <f>IF(ISNUMBER('DADOS BRUTOS'!GG$2),DATE(YEAR('DADOS BRUTOS'!GG$2),MONTH('DADOS BRUTOS'!GG$2),1),"")</f>
        <v/>
      </c>
      <c r="JH4" s="119">
        <f>IF(ISNUMBER('DADOS BRUTOS'!GH$2),DATE(YEAR('DADOS BRUTOS'!GH$2),MONTH('DADOS BRUTOS'!GH$2),1),"")</f>
        <v/>
      </c>
      <c r="JI4" s="119">
        <f>IF(ISNUMBER('DADOS BRUTOS'!GI$2),DATE(YEAR('DADOS BRUTOS'!GI$2),MONTH('DADOS BRUTOS'!GI$2),1),"")</f>
        <v/>
      </c>
      <c r="JJ4" s="119">
        <f>IF(ISNUMBER('DADOS BRUTOS'!GJ$2),DATE(YEAR('DADOS BRUTOS'!GJ$2),MONTH('DADOS BRUTOS'!GJ$2),1),"")</f>
        <v/>
      </c>
      <c r="JK4" s="119">
        <f>IF(ISNUMBER('DADOS BRUTOS'!GK$2),DATE(YEAR('DADOS BRUTOS'!GK$2),MONTH('DADOS BRUTOS'!GK$2),1),"")</f>
        <v/>
      </c>
      <c r="JL4" s="119">
        <f>IF(ISNUMBER('DADOS BRUTOS'!GL$2),DATE(YEAR('DADOS BRUTOS'!GL$2),MONTH('DADOS BRUTOS'!GL$2),1),"")</f>
        <v/>
      </c>
      <c r="JM4" s="119">
        <f>IF(ISNUMBER('DADOS BRUTOS'!GM$2),DATE(YEAR('DADOS BRUTOS'!GM$2),MONTH('DADOS BRUTOS'!GM$2),1),"")</f>
        <v/>
      </c>
      <c r="JN4" s="119">
        <f>IF(ISNUMBER('DADOS BRUTOS'!GN$2),DATE(YEAR('DADOS BRUTOS'!GN$2),MONTH('DADOS BRUTOS'!GN$2),1),"")</f>
        <v/>
      </c>
      <c r="JO4" s="119">
        <f>IF(ISNUMBER('DADOS BRUTOS'!GO$2),DATE(YEAR('DADOS BRUTOS'!GO$2),MONTH('DADOS BRUTOS'!GO$2),1),"")</f>
        <v/>
      </c>
      <c r="JP4" s="119">
        <f>IF(ISNUMBER('DADOS BRUTOS'!GP$2),DATE(YEAR('DADOS BRUTOS'!GP$2),MONTH('DADOS BRUTOS'!GP$2),1),"")</f>
        <v/>
      </c>
      <c r="JQ4" s="119">
        <f>IF(ISNUMBER('DADOS BRUTOS'!GQ$2),DATE(YEAR('DADOS BRUTOS'!GQ$2),MONTH('DADOS BRUTOS'!GQ$2),1),"")</f>
        <v/>
      </c>
      <c r="JR4" s="119">
        <f>IF(ISNUMBER('DADOS BRUTOS'!GR$2),DATE(YEAR('DADOS BRUTOS'!GR$2),MONTH('DADOS BRUTOS'!GR$2),1),"")</f>
        <v/>
      </c>
      <c r="JS4" s="119">
        <f>IF(ISNUMBER('DADOS BRUTOS'!GS$2),DATE(YEAR('DADOS BRUTOS'!GS$2),MONTH('DADOS BRUTOS'!GS$2),1),"")</f>
        <v/>
      </c>
    </row>
    <row r="5">
      <c r="A5" s="61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BZ5" s="49">
        <f>SUMPRODUCT(($CB$4:$JS$4&lt;&gt;"")*($CB$4:$JS$4&lt;=$D$4),$CB5:$JS5,$CB$1:$JS$1)</f>
        <v/>
      </c>
      <c r="CB5" s="132">
        <f>IF(OR(CB$4="",$B5=""),0,SUMIF('DADOS BRUTOS'!$A$3:$A$500,$B5,'DADOS BRUTOS'!B$3:B$500)+IF($C5="",0,SUMIF('DADOS BRUTOS'!$A$3:$A$500,$C5,'DADOS BRUTOS'!B$3:B$500)))</f>
        <v/>
      </c>
      <c r="CC5" s="132">
        <f>IF(OR(CC$4="",$B5=""),0,SUMIF('DADOS BRUTOS'!$A$3:$A$500,$B5,'DADOS BRUTOS'!C$3:C$500)+IF($C5="",0,SUMIF('DADOS BRUTOS'!$A$3:$A$500,$C5,'DADOS BRUTOS'!C$3:C$500)))</f>
        <v/>
      </c>
      <c r="CD5" s="132">
        <f>IF(OR(CD$4="",$B5=""),0,SUMIF('DADOS BRUTOS'!$A$3:$A$500,$B5,'DADOS BRUTOS'!D$3:D$500)+IF($C5="",0,SUMIF('DADOS BRUTOS'!$A$3:$A$500,$C5,'DADOS BRUTOS'!D$3:D$500)))</f>
        <v/>
      </c>
      <c r="CE5" s="132">
        <f>IF(OR(CE$4="",$B5=""),0,SUMIF('DADOS BRUTOS'!$A$3:$A$500,$B5,'DADOS BRUTOS'!E$3:E$500)+IF($C5="",0,SUMIF('DADOS BRUTOS'!$A$3:$A$500,$C5,'DADOS BRUTOS'!E$3:E$500)))</f>
        <v/>
      </c>
      <c r="CF5" s="132">
        <f>IF(OR(CF$4="",$B5=""),0,SUMIF('DADOS BRUTOS'!$A$3:$A$500,$B5,'DADOS BRUTOS'!F$3:F$500)+IF($C5="",0,SUMIF('DADOS BRUTOS'!$A$3:$A$500,$C5,'DADOS BRUTOS'!F$3:F$500)))</f>
        <v/>
      </c>
      <c r="CG5" s="132">
        <f>IF(OR(CG$4="",$B5=""),0,SUMIF('DADOS BRUTOS'!$A$3:$A$500,$B5,'DADOS BRUTOS'!G$3:G$500)+IF($C5="",0,SUMIF('DADOS BRUTOS'!$A$3:$A$500,$C5,'DADOS BRUTOS'!G$3:G$500)))</f>
        <v/>
      </c>
      <c r="CH5" s="132">
        <f>IF(OR(CH$4="",$B5=""),0,SUMIF('DADOS BRUTOS'!$A$3:$A$500,$B5,'DADOS BRUTOS'!H$3:H$500)+IF($C5="",0,SUMIF('DADOS BRUTOS'!$A$3:$A$500,$C5,'DADOS BRUTOS'!H$3:H$500)))</f>
        <v/>
      </c>
      <c r="CI5" s="132">
        <f>IF(OR(CI$4="",$B5=""),0,SUMIF('DADOS BRUTOS'!$A$3:$A$500,$B5,'DADOS BRUTOS'!I$3:I$500)+IF($C5="",0,SUMIF('DADOS BRUTOS'!$A$3:$A$500,$C5,'DADOS BRUTOS'!I$3:I$500)))</f>
        <v/>
      </c>
      <c r="CJ5" s="132">
        <f>IF(OR(CJ$4="",$B5=""),0,SUMIF('DADOS BRUTOS'!$A$3:$A$500,$B5,'DADOS BRUTOS'!J$3:J$500)+IF($C5="",0,SUMIF('DADOS BRUTOS'!$A$3:$A$500,$C5,'DADOS BRUTOS'!J$3:J$500)))</f>
        <v/>
      </c>
      <c r="CK5" s="132">
        <f>IF(OR(CK$4="",$B5=""),0,SUMIF('DADOS BRUTOS'!$A$3:$A$500,$B5,'DADOS BRUTOS'!K$3:K$500)+IF($C5="",0,SUMIF('DADOS BRUTOS'!$A$3:$A$500,$C5,'DADOS BRUTOS'!K$3:K$500)))</f>
        <v/>
      </c>
      <c r="CL5" s="132">
        <f>IF(OR(CL$4="",$B5=""),0,SUMIF('DADOS BRUTOS'!$A$3:$A$500,$B5,'DADOS BRUTOS'!L$3:L$500)+IF($C5="",0,SUMIF('DADOS BRUTOS'!$A$3:$A$500,$C5,'DADOS BRUTOS'!L$3:L$500)))</f>
        <v/>
      </c>
      <c r="CM5" s="132">
        <f>IF(OR(CM$4="",$B5=""),0,SUMIF('DADOS BRUTOS'!$A$3:$A$500,$B5,'DADOS BRUTOS'!M$3:M$500)+IF($C5="",0,SUMIF('DADOS BRUTOS'!$A$3:$A$500,$C5,'DADOS BRUTOS'!M$3:M$500)))</f>
        <v/>
      </c>
      <c r="CN5" s="132">
        <f>IF(OR(CN$4="",$B5=""),0,SUMIF('DADOS BRUTOS'!$A$3:$A$500,$B5,'DADOS BRUTOS'!N$3:N$500)+IF($C5="",0,SUMIF('DADOS BRUTOS'!$A$3:$A$500,$C5,'DADOS BRUTOS'!N$3:N$500)))</f>
        <v/>
      </c>
      <c r="CO5" s="132">
        <f>IF(OR(CO$4="",$B5=""),0,SUMIF('DADOS BRUTOS'!$A$3:$A$500,$B5,'DADOS BRUTOS'!O$3:O$500)+IF($C5="",0,SUMIF('DADOS BRUTOS'!$A$3:$A$500,$C5,'DADOS BRUTOS'!O$3:O$500)))</f>
        <v/>
      </c>
      <c r="CP5" s="132">
        <f>IF(OR(CP$4="",$B5=""),0,SUMIF('DADOS BRUTOS'!$A$3:$A$500,$B5,'DADOS BRUTOS'!P$3:P$500)+IF($C5="",0,SUMIF('DADOS BRUTOS'!$A$3:$A$500,$C5,'DADOS BRUTOS'!P$3:P$500)))</f>
        <v/>
      </c>
      <c r="CQ5" s="132">
        <f>IF(OR(CQ$4="",$B5=""),0,SUMIF('DADOS BRUTOS'!$A$3:$A$500,$B5,'DADOS BRUTOS'!Q$3:Q$500)+IF($C5="",0,SUMIF('DADOS BRUTOS'!$A$3:$A$500,$C5,'DADOS BRUTOS'!Q$3:Q$500)))</f>
        <v/>
      </c>
      <c r="CR5" s="132">
        <f>IF(OR(CR$4="",$B5=""),0,SUMIF('DADOS BRUTOS'!$A$3:$A$500,$B5,'DADOS BRUTOS'!R$3:R$500)+IF($C5="",0,SUMIF('DADOS BRUTOS'!$A$3:$A$500,$C5,'DADOS BRUTOS'!R$3:R$500)))</f>
        <v/>
      </c>
      <c r="CS5" s="132">
        <f>IF(OR(CS$4="",$B5=""),0,SUMIF('DADOS BRUTOS'!$A$3:$A$500,$B5,'DADOS BRUTOS'!S$3:S$500)+IF($C5="",0,SUMIF('DADOS BRUTOS'!$A$3:$A$500,$C5,'DADOS BRUTOS'!S$3:S$500)))</f>
        <v/>
      </c>
      <c r="CT5" s="132">
        <f>IF(OR(CT$4="",$B5=""),0,SUMIF('DADOS BRUTOS'!$A$3:$A$500,$B5,'DADOS BRUTOS'!T$3:T$500)+IF($C5="",0,SUMIF('DADOS BRUTOS'!$A$3:$A$500,$C5,'DADOS BRUTOS'!T$3:T$500)))</f>
        <v/>
      </c>
      <c r="CU5" s="132">
        <f>IF(OR(CU$4="",$B5=""),0,SUMIF('DADOS BRUTOS'!$A$3:$A$500,$B5,'DADOS BRUTOS'!U$3:U$500)+IF($C5="",0,SUMIF('DADOS BRUTOS'!$A$3:$A$500,$C5,'DADOS BRUTOS'!U$3:U$500)))</f>
        <v/>
      </c>
      <c r="CV5" s="132">
        <f>IF(OR(CV$4="",$B5=""),0,SUMIF('DADOS BRUTOS'!$A$3:$A$500,$B5,'DADOS BRUTOS'!V$3:V$500)+IF($C5="",0,SUMIF('DADOS BRUTOS'!$A$3:$A$500,$C5,'DADOS BRUTOS'!V$3:V$500)))</f>
        <v/>
      </c>
      <c r="CW5" s="132">
        <f>IF(OR(CW$4="",$B5=""),0,SUMIF('DADOS BRUTOS'!$A$3:$A$500,$B5,'DADOS BRUTOS'!W$3:W$500)+IF($C5="",0,SUMIF('DADOS BRUTOS'!$A$3:$A$500,$C5,'DADOS BRUTOS'!W$3:W$500)))</f>
        <v/>
      </c>
      <c r="CX5" s="132">
        <f>IF(OR(CX$4="",$B5=""),0,SUMIF('DADOS BRUTOS'!$A$3:$A$500,$B5,'DADOS BRUTOS'!X$3:X$500)+IF($C5="",0,SUMIF('DADOS BRUTOS'!$A$3:$A$500,$C5,'DADOS BRUTOS'!X$3:X$500)))</f>
        <v/>
      </c>
      <c r="CY5" s="132">
        <f>IF(OR(CY$4="",$B5=""),0,SUMIF('DADOS BRUTOS'!$A$3:$A$500,$B5,'DADOS BRUTOS'!Y$3:Y$500)+IF($C5="",0,SUMIF('DADOS BRUTOS'!$A$3:$A$500,$C5,'DADOS BRUTOS'!Y$3:Y$500)))</f>
        <v/>
      </c>
      <c r="CZ5" s="132">
        <f>IF(OR(CZ$4="",$B5=""),0,SUMIF('DADOS BRUTOS'!$A$3:$A$500,$B5,'DADOS BRUTOS'!Z$3:Z$500)+IF($C5="",0,SUMIF('DADOS BRUTOS'!$A$3:$A$500,$C5,'DADOS BRUTOS'!Z$3:Z$500)))</f>
        <v/>
      </c>
      <c r="DA5" s="132">
        <f>IF(OR(DA$4="",$B5=""),0,SUMIF('DADOS BRUTOS'!$A$3:$A$500,$B5,'DADOS BRUTOS'!AA$3:AA$500)+IF($C5="",0,SUMIF('DADOS BRUTOS'!$A$3:$A$500,$C5,'DADOS BRUTOS'!AA$3:AA$500)))</f>
        <v/>
      </c>
      <c r="DB5" s="132">
        <f>IF(OR(DB$4="",$B5=""),0,SUMIF('DADOS BRUTOS'!$A$3:$A$500,$B5,'DADOS BRUTOS'!AB$3:AB$500)+IF($C5="",0,SUMIF('DADOS BRUTOS'!$A$3:$A$500,$C5,'DADOS BRUTOS'!AB$3:AB$500)))</f>
        <v/>
      </c>
      <c r="DC5" s="132">
        <f>IF(OR(DC$4="",$B5=""),0,SUMIF('DADOS BRUTOS'!$A$3:$A$500,$B5,'DADOS BRUTOS'!AC$3:AC$500)+IF($C5="",0,SUMIF('DADOS BRUTOS'!$A$3:$A$500,$C5,'DADOS BRUTOS'!AC$3:AC$500)))</f>
        <v/>
      </c>
      <c r="DD5" s="132">
        <f>IF(OR(DD$4="",$B5=""),0,SUMIF('DADOS BRUTOS'!$A$3:$A$500,$B5,'DADOS BRUTOS'!AD$3:AD$500)+IF($C5="",0,SUMIF('DADOS BRUTOS'!$A$3:$A$500,$C5,'DADOS BRUTOS'!AD$3:AD$500)))</f>
        <v/>
      </c>
      <c r="DE5" s="132">
        <f>IF(OR(DE$4="",$B5=""),0,SUMIF('DADOS BRUTOS'!$A$3:$A$500,$B5,'DADOS BRUTOS'!AE$3:AE$500)+IF($C5="",0,SUMIF('DADOS BRUTOS'!$A$3:$A$500,$C5,'DADOS BRUTOS'!AE$3:AE$500)))</f>
        <v/>
      </c>
      <c r="DF5" s="132">
        <f>IF(OR(DF$4="",$B5=""),0,SUMIF('DADOS BRUTOS'!$A$3:$A$500,$B5,'DADOS BRUTOS'!AF$3:AF$500)+IF($C5="",0,SUMIF('DADOS BRUTOS'!$A$3:$A$500,$C5,'DADOS BRUTOS'!AF$3:AF$500)))</f>
        <v/>
      </c>
      <c r="DG5" s="132">
        <f>IF(OR(DG$4="",$B5=""),0,SUMIF('DADOS BRUTOS'!$A$3:$A$500,$B5,'DADOS BRUTOS'!AG$3:AG$500)+IF($C5="",0,SUMIF('DADOS BRUTOS'!$A$3:$A$500,$C5,'DADOS BRUTOS'!AG$3:AG$500)))</f>
        <v/>
      </c>
      <c r="DH5" s="132">
        <f>IF(OR(DH$4="",$B5=""),0,SUMIF('DADOS BRUTOS'!$A$3:$A$500,$B5,'DADOS BRUTOS'!AH$3:AH$500)+IF($C5="",0,SUMIF('DADOS BRUTOS'!$A$3:$A$500,$C5,'DADOS BRUTOS'!AH$3:AH$500)))</f>
        <v/>
      </c>
      <c r="DI5" s="132">
        <f>IF(OR(DI$4="",$B5=""),0,SUMIF('DADOS BRUTOS'!$A$3:$A$500,$B5,'DADOS BRUTOS'!AI$3:AI$500)+IF($C5="",0,SUMIF('DADOS BRUTOS'!$A$3:$A$500,$C5,'DADOS BRUTOS'!AI$3:AI$500)))</f>
        <v/>
      </c>
      <c r="DJ5" s="132">
        <f>IF(OR(DJ$4="",$B5=""),0,SUMIF('DADOS BRUTOS'!$A$3:$A$500,$B5,'DADOS BRUTOS'!AJ$3:AJ$500)+IF($C5="",0,SUMIF('DADOS BRUTOS'!$A$3:$A$500,$C5,'DADOS BRUTOS'!AJ$3:AJ$500)))</f>
        <v/>
      </c>
      <c r="DK5" s="132">
        <f>IF(OR(DK$4="",$B5=""),0,SUMIF('DADOS BRUTOS'!$A$3:$A$500,$B5,'DADOS BRUTOS'!AK$3:AK$500)+IF($C5="",0,SUMIF('DADOS BRUTOS'!$A$3:$A$500,$C5,'DADOS BRUTOS'!AK$3:AK$500)))</f>
        <v/>
      </c>
      <c r="DL5" s="132">
        <f>IF(OR(DL$4="",$B5=""),0,SUMIF('DADOS BRUTOS'!$A$3:$A$500,$B5,'DADOS BRUTOS'!AL$3:AL$500)+IF($C5="",0,SUMIF('DADOS BRUTOS'!$A$3:$A$500,$C5,'DADOS BRUTOS'!AL$3:AL$500)))</f>
        <v/>
      </c>
      <c r="DM5" s="132">
        <f>IF(OR(DM$4="",$B5=""),0,SUMIF('DADOS BRUTOS'!$A$3:$A$500,$B5,'DADOS BRUTOS'!AM$3:AM$500)+IF($C5="",0,SUMIF('DADOS BRUTOS'!$A$3:$A$500,$C5,'DADOS BRUTOS'!AM$3:AM$500)))</f>
        <v/>
      </c>
      <c r="DN5" s="132">
        <f>IF(OR(DN$4="",$B5=""),0,SUMIF('DADOS BRUTOS'!$A$3:$A$500,$B5,'DADOS BRUTOS'!AN$3:AN$500)+IF($C5="",0,SUMIF('DADOS BRUTOS'!$A$3:$A$500,$C5,'DADOS BRUTOS'!AN$3:AN$500)))</f>
        <v/>
      </c>
      <c r="DO5" s="132">
        <f>IF(OR(DO$4="",$B5=""),0,SUMIF('DADOS BRUTOS'!$A$3:$A$500,$B5,'DADOS BRUTOS'!AO$3:AO$500)+IF($C5="",0,SUMIF('DADOS BRUTOS'!$A$3:$A$500,$C5,'DADOS BRUTOS'!AO$3:AO$500)))</f>
        <v/>
      </c>
      <c r="DP5" s="132">
        <f>IF(OR(DP$4="",$B5=""),0,SUMIF('DADOS BRUTOS'!$A$3:$A$500,$B5,'DADOS BRUTOS'!AP$3:AP$500)+IF($C5="",0,SUMIF('DADOS BRUTOS'!$A$3:$A$500,$C5,'DADOS BRUTOS'!AP$3:AP$500)))</f>
        <v/>
      </c>
      <c r="DQ5" s="132">
        <f>IF(OR(DQ$4="",$B5=""),0,SUMIF('DADOS BRUTOS'!$A$3:$A$500,$B5,'DADOS BRUTOS'!AQ$3:AQ$500)+IF($C5="",0,SUMIF('DADOS BRUTOS'!$A$3:$A$500,$C5,'DADOS BRUTOS'!AQ$3:AQ$500)))</f>
        <v/>
      </c>
      <c r="DR5" s="132">
        <f>IF(OR(DR$4="",$B5=""),0,SUMIF('DADOS BRUTOS'!$A$3:$A$500,$B5,'DADOS BRUTOS'!AR$3:AR$500)+IF($C5="",0,SUMIF('DADOS BRUTOS'!$A$3:$A$500,$C5,'DADOS BRUTOS'!AR$3:AR$500)))</f>
        <v/>
      </c>
      <c r="DS5" s="132">
        <f>IF(OR(DS$4="",$B5=""),0,SUMIF('DADOS BRUTOS'!$A$3:$A$500,$B5,'DADOS BRUTOS'!AS$3:AS$500)+IF($C5="",0,SUMIF('DADOS BRUTOS'!$A$3:$A$500,$C5,'DADOS BRUTOS'!AS$3:AS$500)))</f>
        <v/>
      </c>
      <c r="DT5" s="132">
        <f>IF(OR(DT$4="",$B5=""),0,SUMIF('DADOS BRUTOS'!$A$3:$A$500,$B5,'DADOS BRUTOS'!AT$3:AT$500)+IF($C5="",0,SUMIF('DADOS BRUTOS'!$A$3:$A$500,$C5,'DADOS BRUTOS'!AT$3:AT$500)))</f>
        <v/>
      </c>
      <c r="DU5" s="132">
        <f>IF(OR(DU$4="",$B5=""),0,SUMIF('DADOS BRUTOS'!$A$3:$A$500,$B5,'DADOS BRUTOS'!AU$3:AU$500)+IF($C5="",0,SUMIF('DADOS BRUTOS'!$A$3:$A$500,$C5,'DADOS BRUTOS'!AU$3:AU$500)))</f>
        <v/>
      </c>
      <c r="DV5" s="132">
        <f>IF(OR(DV$4="",$B5=""),0,SUMIF('DADOS BRUTOS'!$A$3:$A$500,$B5,'DADOS BRUTOS'!AV$3:AV$500)+IF($C5="",0,SUMIF('DADOS BRUTOS'!$A$3:$A$500,$C5,'DADOS BRUTOS'!AV$3:AV$500)))</f>
        <v/>
      </c>
      <c r="DW5" s="132">
        <f>IF(OR(DW$4="",$B5=""),0,SUMIF('DADOS BRUTOS'!$A$3:$A$500,$B5,'DADOS BRUTOS'!AW$3:AW$500)+IF($C5="",0,SUMIF('DADOS BRUTOS'!$A$3:$A$500,$C5,'DADOS BRUTOS'!AW$3:AW$500)))</f>
        <v/>
      </c>
      <c r="DX5" s="132">
        <f>IF(OR(DX$4="",$B5=""),0,SUMIF('DADOS BRUTOS'!$A$3:$A$500,$B5,'DADOS BRUTOS'!AX$3:AX$500)+IF($C5="",0,SUMIF('DADOS BRUTOS'!$A$3:$A$500,$C5,'DADOS BRUTOS'!AX$3:AX$500)))</f>
        <v/>
      </c>
      <c r="DY5" s="132">
        <f>IF(OR(DY$4="",$B5=""),0,SUMIF('DADOS BRUTOS'!$A$3:$A$500,$B5,'DADOS BRUTOS'!AY$3:AY$500)+IF($C5="",0,SUMIF('DADOS BRUTOS'!$A$3:$A$500,$C5,'DADOS BRUTOS'!AY$3:AY$500)))</f>
        <v/>
      </c>
      <c r="DZ5" s="132">
        <f>IF(OR(DZ$4="",$B5=""),0,SUMIF('DADOS BRUTOS'!$A$3:$A$500,$B5,'DADOS BRUTOS'!AZ$3:AZ$500)+IF($C5="",0,SUMIF('DADOS BRUTOS'!$A$3:$A$500,$C5,'DADOS BRUTOS'!AZ$3:AZ$500)))</f>
        <v/>
      </c>
      <c r="EA5" s="132">
        <f>IF(OR(EA$4="",$B5=""),0,SUMIF('DADOS BRUTOS'!$A$3:$A$500,$B5,'DADOS BRUTOS'!BA$3:BA$500)+IF($C5="",0,SUMIF('DADOS BRUTOS'!$A$3:$A$500,$C5,'DADOS BRUTOS'!BA$3:BA$500)))</f>
        <v/>
      </c>
      <c r="EB5" s="132">
        <f>IF(OR(EB$4="",$B5=""),0,SUMIF('DADOS BRUTOS'!$A$3:$A$500,$B5,'DADOS BRUTOS'!BB$3:BB$500)+IF($C5="",0,SUMIF('DADOS BRUTOS'!$A$3:$A$500,$C5,'DADOS BRUTOS'!BB$3:BB$500)))</f>
        <v/>
      </c>
      <c r="EC5" s="132">
        <f>IF(OR(EC$4="",$B5=""),0,SUMIF('DADOS BRUTOS'!$A$3:$A$500,$B5,'DADOS BRUTOS'!BC$3:BC$500)+IF($C5="",0,SUMIF('DADOS BRUTOS'!$A$3:$A$500,$C5,'DADOS BRUTOS'!BC$3:BC$500)))</f>
        <v/>
      </c>
      <c r="ED5" s="132">
        <f>IF(OR(ED$4="",$B5=""),0,SUMIF('DADOS BRUTOS'!$A$3:$A$500,$B5,'DADOS BRUTOS'!BD$3:BD$500)+IF($C5="",0,SUMIF('DADOS BRUTOS'!$A$3:$A$500,$C5,'DADOS BRUTOS'!BD$3:BD$500)))</f>
        <v/>
      </c>
      <c r="EE5" s="132">
        <f>IF(OR(EE$4="",$B5=""),0,SUMIF('DADOS BRUTOS'!$A$3:$A$500,$B5,'DADOS BRUTOS'!BE$3:BE$500)+IF($C5="",0,SUMIF('DADOS BRUTOS'!$A$3:$A$500,$C5,'DADOS BRUTOS'!BE$3:BE$500)))</f>
        <v/>
      </c>
      <c r="EF5" s="132">
        <f>IF(OR(EF$4="",$B5=""),0,SUMIF('DADOS BRUTOS'!$A$3:$A$500,$B5,'DADOS BRUTOS'!BF$3:BF$500)+IF($C5="",0,SUMIF('DADOS BRUTOS'!$A$3:$A$500,$C5,'DADOS BRUTOS'!BF$3:BF$500)))</f>
        <v/>
      </c>
      <c r="EG5" s="132">
        <f>IF(OR(EG$4="",$B5=""),0,SUMIF('DADOS BRUTOS'!$A$3:$A$500,$B5,'DADOS BRUTOS'!BG$3:BG$500)+IF($C5="",0,SUMIF('DADOS BRUTOS'!$A$3:$A$500,$C5,'DADOS BRUTOS'!BG$3:BG$500)))</f>
        <v/>
      </c>
      <c r="EH5" s="132">
        <f>IF(OR(EH$4="",$B5=""),0,SUMIF('DADOS BRUTOS'!$A$3:$A$500,$B5,'DADOS BRUTOS'!BH$3:BH$500)+IF($C5="",0,SUMIF('DADOS BRUTOS'!$A$3:$A$500,$C5,'DADOS BRUTOS'!BH$3:BH$500)))</f>
        <v/>
      </c>
      <c r="EI5" s="132">
        <f>IF(OR(EI$4="",$B5=""),0,SUMIF('DADOS BRUTOS'!$A$3:$A$500,$B5,'DADOS BRUTOS'!BI$3:BI$500)+IF($C5="",0,SUMIF('DADOS BRUTOS'!$A$3:$A$500,$C5,'DADOS BRUTOS'!BI$3:BI$500)))</f>
        <v/>
      </c>
      <c r="EJ5" s="132">
        <f>IF(OR(EJ$4="",$B5=""),0,SUMIF('DADOS BRUTOS'!$A$3:$A$500,$B5,'DADOS BRUTOS'!BJ$3:BJ$500)+IF($C5="",0,SUMIF('DADOS BRUTOS'!$A$3:$A$500,$C5,'DADOS BRUTOS'!BJ$3:BJ$500)))</f>
        <v/>
      </c>
      <c r="EK5" s="132">
        <f>IF(OR(EK$4="",$B5=""),0,SUMIF('DADOS BRUTOS'!$A$3:$A$500,$B5,'DADOS BRUTOS'!BK$3:BK$500)+IF($C5="",0,SUMIF('DADOS BRUTOS'!$A$3:$A$500,$C5,'DADOS BRUTOS'!BK$3:BK$500)))</f>
        <v/>
      </c>
      <c r="EL5" s="132">
        <f>IF(OR(EL$4="",$B5=""),0,SUMIF('DADOS BRUTOS'!$A$3:$A$500,$B5,'DADOS BRUTOS'!BL$3:BL$500)+IF($C5="",0,SUMIF('DADOS BRUTOS'!$A$3:$A$500,$C5,'DADOS BRUTOS'!BL$3:BL$500)))</f>
        <v/>
      </c>
      <c r="EM5" s="132">
        <f>IF(OR(EM$4="",$B5=""),0,SUMIF('DADOS BRUTOS'!$A$3:$A$500,$B5,'DADOS BRUTOS'!BM$3:BM$500)+IF($C5="",0,SUMIF('DADOS BRUTOS'!$A$3:$A$500,$C5,'DADOS BRUTOS'!BM$3:BM$500)))</f>
        <v/>
      </c>
      <c r="EN5" s="132">
        <f>IF(OR(EN$4="",$B5=""),0,SUMIF('DADOS BRUTOS'!$A$3:$A$500,$B5,'DADOS BRUTOS'!BN$3:BN$500)+IF($C5="",0,SUMIF('DADOS BRUTOS'!$A$3:$A$500,$C5,'DADOS BRUTOS'!BN$3:BN$500)))</f>
        <v/>
      </c>
      <c r="EO5" s="132">
        <f>IF(OR(EO$4="",$B5=""),0,SUMIF('DADOS BRUTOS'!$A$3:$A$500,$B5,'DADOS BRUTOS'!BO$3:BO$500)+IF($C5="",0,SUMIF('DADOS BRUTOS'!$A$3:$A$500,$C5,'DADOS BRUTOS'!BO$3:BO$500)))</f>
        <v/>
      </c>
      <c r="EP5" s="132">
        <f>IF(OR(EP$4="",$B5=""),0,SUMIF('DADOS BRUTOS'!$A$3:$A$500,$B5,'DADOS BRUTOS'!BP$3:BP$500)+IF($C5="",0,SUMIF('DADOS BRUTOS'!$A$3:$A$500,$C5,'DADOS BRUTOS'!BP$3:BP$500)))</f>
        <v/>
      </c>
      <c r="EQ5" s="132">
        <f>IF(OR(EQ$4="",$B5=""),0,SUMIF('DADOS BRUTOS'!$A$3:$A$500,$B5,'DADOS BRUTOS'!BQ$3:BQ$500)+IF($C5="",0,SUMIF('DADOS BRUTOS'!$A$3:$A$500,$C5,'DADOS BRUTOS'!BQ$3:BQ$500)))</f>
        <v/>
      </c>
      <c r="ER5" s="132">
        <f>IF(OR(ER$4="",$B5=""),0,SUMIF('DADOS BRUTOS'!$A$3:$A$500,$B5,'DADOS BRUTOS'!BR$3:BR$500)+IF($C5="",0,SUMIF('DADOS BRUTOS'!$A$3:$A$500,$C5,'DADOS BRUTOS'!BR$3:BR$500)))</f>
        <v/>
      </c>
      <c r="ES5" s="132">
        <f>IF(OR(ES$4="",$B5=""),0,SUMIF('DADOS BRUTOS'!$A$3:$A$500,$B5,'DADOS BRUTOS'!BS$3:BS$500)+IF($C5="",0,SUMIF('DADOS BRUTOS'!$A$3:$A$500,$C5,'DADOS BRUTOS'!BS$3:BS$500)))</f>
        <v/>
      </c>
      <c r="ET5" s="132">
        <f>IF(OR(ET$4="",$B5=""),0,SUMIF('DADOS BRUTOS'!$A$3:$A$500,$B5,'DADOS BRUTOS'!BT$3:BT$500)+IF($C5="",0,SUMIF('DADOS BRUTOS'!$A$3:$A$500,$C5,'DADOS BRUTOS'!BT$3:BT$500)))</f>
        <v/>
      </c>
      <c r="EU5" s="132">
        <f>IF(OR(EU$4="",$B5=""),0,SUMIF('DADOS BRUTOS'!$A$3:$A$500,$B5,'DADOS BRUTOS'!BU$3:BU$500)+IF($C5="",0,SUMIF('DADOS BRUTOS'!$A$3:$A$500,$C5,'DADOS BRUTOS'!BU$3:BU$500)))</f>
        <v/>
      </c>
      <c r="EV5" s="132">
        <f>IF(OR(EV$4="",$B5=""),0,SUMIF('DADOS BRUTOS'!$A$3:$A$500,$B5,'DADOS BRUTOS'!BV$3:BV$500)+IF($C5="",0,SUMIF('DADOS BRUTOS'!$A$3:$A$500,$C5,'DADOS BRUTOS'!BV$3:BV$500)))</f>
        <v/>
      </c>
      <c r="EW5" s="132">
        <f>IF(OR(EW$4="",$B5=""),0,SUMIF('DADOS BRUTOS'!$A$3:$A$500,$B5,'DADOS BRUTOS'!BW$3:BW$500)+IF($C5="",0,SUMIF('DADOS BRUTOS'!$A$3:$A$500,$C5,'DADOS BRUTOS'!BW$3:BW$500)))</f>
        <v/>
      </c>
      <c r="EX5" s="132">
        <f>IF(OR(EX$4="",$B5=""),0,SUMIF('DADOS BRUTOS'!$A$3:$A$500,$B5,'DADOS BRUTOS'!BX$3:BX$500)+IF($C5="",0,SUMIF('DADOS BRUTOS'!$A$3:$A$500,$C5,'DADOS BRUTOS'!BX$3:BX$500)))</f>
        <v/>
      </c>
      <c r="EY5" s="132">
        <f>IF(OR(EY$4="",$B5=""),0,SUMIF('DADOS BRUTOS'!$A$3:$A$500,$B5,'DADOS BRUTOS'!BY$3:BY$500)+IF($C5="",0,SUMIF('DADOS BRUTOS'!$A$3:$A$500,$C5,'DADOS BRUTOS'!BY$3:BY$500)))</f>
        <v/>
      </c>
      <c r="EZ5" s="132">
        <f>IF(OR(EZ$4="",$B5=""),0,SUMIF('DADOS BRUTOS'!$A$3:$A$500,$B5,'DADOS BRUTOS'!BZ$3:BZ$500)+IF($C5="",0,SUMIF('DADOS BRUTOS'!$A$3:$A$500,$C5,'DADOS BRUTOS'!BZ$3:BZ$500)))</f>
        <v/>
      </c>
      <c r="FA5" s="132">
        <f>IF(OR(FA$4="",$B5=""),0,SUMIF('DADOS BRUTOS'!$A$3:$A$500,$B5,'DADOS BRUTOS'!CA$3:CA$500)+IF($C5="",0,SUMIF('DADOS BRUTOS'!$A$3:$A$500,$C5,'DADOS BRUTOS'!CA$3:CA$500)))</f>
        <v/>
      </c>
      <c r="FB5" s="132">
        <f>IF(OR(FB$4="",$B5=""),0,SUMIF('DADOS BRUTOS'!$A$3:$A$500,$B5,'DADOS BRUTOS'!CB$3:CB$500)+IF($C5="",0,SUMIF('DADOS BRUTOS'!$A$3:$A$500,$C5,'DADOS BRUTOS'!CB$3:CB$500)))</f>
        <v/>
      </c>
      <c r="FC5" s="132">
        <f>IF(OR(FC$4="",$B5=""),0,SUMIF('DADOS BRUTOS'!$A$3:$A$500,$B5,'DADOS BRUTOS'!CC$3:CC$500)+IF($C5="",0,SUMIF('DADOS BRUTOS'!$A$3:$A$500,$C5,'DADOS BRUTOS'!CC$3:CC$500)))</f>
        <v/>
      </c>
      <c r="FD5" s="132">
        <f>IF(OR(FD$4="",$B5=""),0,SUMIF('DADOS BRUTOS'!$A$3:$A$500,$B5,'DADOS BRUTOS'!CD$3:CD$500)+IF($C5="",0,SUMIF('DADOS BRUTOS'!$A$3:$A$500,$C5,'DADOS BRUTOS'!CD$3:CD$500)))</f>
        <v/>
      </c>
      <c r="FE5" s="132">
        <f>IF(OR(FE$4="",$B5=""),0,SUMIF('DADOS BRUTOS'!$A$3:$A$500,$B5,'DADOS BRUTOS'!CE$3:CE$500)+IF($C5="",0,SUMIF('DADOS BRUTOS'!$A$3:$A$500,$C5,'DADOS BRUTOS'!CE$3:CE$500)))</f>
        <v/>
      </c>
      <c r="FF5" s="132">
        <f>IF(OR(FF$4="",$B5=""),0,SUMIF('DADOS BRUTOS'!$A$3:$A$500,$B5,'DADOS BRUTOS'!CF$3:CF$500)+IF($C5="",0,SUMIF('DADOS BRUTOS'!$A$3:$A$500,$C5,'DADOS BRUTOS'!CF$3:CF$500)))</f>
        <v/>
      </c>
      <c r="FG5" s="132">
        <f>IF(OR(FG$4="",$B5=""),0,SUMIF('DADOS BRUTOS'!$A$3:$A$500,$B5,'DADOS BRUTOS'!CG$3:CG$500)+IF($C5="",0,SUMIF('DADOS BRUTOS'!$A$3:$A$500,$C5,'DADOS BRUTOS'!CG$3:CG$500)))</f>
        <v/>
      </c>
      <c r="FH5" s="132">
        <f>IF(OR(FH$4="",$B5=""),0,SUMIF('DADOS BRUTOS'!$A$3:$A$500,$B5,'DADOS BRUTOS'!CH$3:CH$500)+IF($C5="",0,SUMIF('DADOS BRUTOS'!$A$3:$A$500,$C5,'DADOS BRUTOS'!CH$3:CH$500)))</f>
        <v/>
      </c>
      <c r="FI5" s="132">
        <f>IF(OR(FI$4="",$B5=""),0,SUMIF('DADOS BRUTOS'!$A$3:$A$500,$B5,'DADOS BRUTOS'!CI$3:CI$500)+IF($C5="",0,SUMIF('DADOS BRUTOS'!$A$3:$A$500,$C5,'DADOS BRUTOS'!CI$3:CI$500)))</f>
        <v/>
      </c>
      <c r="FJ5" s="132">
        <f>IF(OR(FJ$4="",$B5=""),0,SUMIF('DADOS BRUTOS'!$A$3:$A$500,$B5,'DADOS BRUTOS'!CJ$3:CJ$500)+IF($C5="",0,SUMIF('DADOS BRUTOS'!$A$3:$A$500,$C5,'DADOS BRUTOS'!CJ$3:CJ$500)))</f>
        <v/>
      </c>
      <c r="FK5" s="132">
        <f>IF(OR(FK$4="",$B5=""),0,SUMIF('DADOS BRUTOS'!$A$3:$A$500,$B5,'DADOS BRUTOS'!CK$3:CK$500)+IF($C5="",0,SUMIF('DADOS BRUTOS'!$A$3:$A$500,$C5,'DADOS BRUTOS'!CK$3:CK$500)))</f>
        <v/>
      </c>
      <c r="FL5" s="132">
        <f>IF(OR(FL$4="",$B5=""),0,SUMIF('DADOS BRUTOS'!$A$3:$A$500,$B5,'DADOS BRUTOS'!CL$3:CL$500)+IF($C5="",0,SUMIF('DADOS BRUTOS'!$A$3:$A$500,$C5,'DADOS BRUTOS'!CL$3:CL$500)))</f>
        <v/>
      </c>
      <c r="FM5" s="132">
        <f>IF(OR(FM$4="",$B5=""),0,SUMIF('DADOS BRUTOS'!$A$3:$A$500,$B5,'DADOS BRUTOS'!CM$3:CM$500)+IF($C5="",0,SUMIF('DADOS BRUTOS'!$A$3:$A$500,$C5,'DADOS BRUTOS'!CM$3:CM$500)))</f>
        <v/>
      </c>
      <c r="FN5" s="132">
        <f>IF(OR(FN$4="",$B5=""),0,SUMIF('DADOS BRUTOS'!$A$3:$A$500,$B5,'DADOS BRUTOS'!CN$3:CN$500)+IF($C5="",0,SUMIF('DADOS BRUTOS'!$A$3:$A$500,$C5,'DADOS BRUTOS'!CN$3:CN$500)))</f>
        <v/>
      </c>
      <c r="FO5" s="132">
        <f>IF(OR(FO$4="",$B5=""),0,SUMIF('DADOS BRUTOS'!$A$3:$A$500,$B5,'DADOS BRUTOS'!CO$3:CO$500)+IF($C5="",0,SUMIF('DADOS BRUTOS'!$A$3:$A$500,$C5,'DADOS BRUTOS'!CO$3:CO$500)))</f>
        <v/>
      </c>
      <c r="FP5" s="132">
        <f>IF(OR(FP$4="",$B5=""),0,SUMIF('DADOS BRUTOS'!$A$3:$A$500,$B5,'DADOS BRUTOS'!CP$3:CP$500)+IF($C5="",0,SUMIF('DADOS BRUTOS'!$A$3:$A$500,$C5,'DADOS BRUTOS'!CP$3:CP$500)))</f>
        <v/>
      </c>
      <c r="FQ5" s="132">
        <f>IF(OR(FQ$4="",$B5=""),0,SUMIF('DADOS BRUTOS'!$A$3:$A$500,$B5,'DADOS BRUTOS'!CQ$3:CQ$500)+IF($C5="",0,SUMIF('DADOS BRUTOS'!$A$3:$A$500,$C5,'DADOS BRUTOS'!CQ$3:CQ$500)))</f>
        <v/>
      </c>
      <c r="FR5" s="132">
        <f>IF(OR(FR$4="",$B5=""),0,SUMIF('DADOS BRUTOS'!$A$3:$A$500,$B5,'DADOS BRUTOS'!CR$3:CR$500)+IF($C5="",0,SUMIF('DADOS BRUTOS'!$A$3:$A$500,$C5,'DADOS BRUTOS'!CR$3:CR$500)))</f>
        <v/>
      </c>
      <c r="FS5" s="132">
        <f>IF(OR(FS$4="",$B5=""),0,SUMIF('DADOS BRUTOS'!$A$3:$A$500,$B5,'DADOS BRUTOS'!CS$3:CS$500)+IF($C5="",0,SUMIF('DADOS BRUTOS'!$A$3:$A$500,$C5,'DADOS BRUTOS'!CS$3:CS$500)))</f>
        <v/>
      </c>
      <c r="FT5" s="132">
        <f>IF(OR(FT$4="",$B5=""),0,SUMIF('DADOS BRUTOS'!$A$3:$A$500,$B5,'DADOS BRUTOS'!CT$3:CT$500)+IF($C5="",0,SUMIF('DADOS BRUTOS'!$A$3:$A$500,$C5,'DADOS BRUTOS'!CT$3:CT$500)))</f>
        <v/>
      </c>
      <c r="FU5" s="132">
        <f>IF(OR(FU$4="",$B5=""),0,SUMIF('DADOS BRUTOS'!$A$3:$A$500,$B5,'DADOS BRUTOS'!CU$3:CU$500)+IF($C5="",0,SUMIF('DADOS BRUTOS'!$A$3:$A$500,$C5,'DADOS BRUTOS'!CU$3:CU$500)))</f>
        <v/>
      </c>
      <c r="FV5" s="132">
        <f>IF(OR(FV$4="",$B5=""),0,SUMIF('DADOS BRUTOS'!$A$3:$A$500,$B5,'DADOS BRUTOS'!CV$3:CV$500)+IF($C5="",0,SUMIF('DADOS BRUTOS'!$A$3:$A$500,$C5,'DADOS BRUTOS'!CV$3:CV$500)))</f>
        <v/>
      </c>
      <c r="FW5" s="132">
        <f>IF(OR(FW$4="",$B5=""),0,SUMIF('DADOS BRUTOS'!$A$3:$A$500,$B5,'DADOS BRUTOS'!CW$3:CW$500)+IF($C5="",0,SUMIF('DADOS BRUTOS'!$A$3:$A$500,$C5,'DADOS BRUTOS'!CW$3:CW$500)))</f>
        <v/>
      </c>
      <c r="FX5" s="132">
        <f>IF(OR(FX$4="",$B5=""),0,SUMIF('DADOS BRUTOS'!$A$3:$A$500,$B5,'DADOS BRUTOS'!CX$3:CX$500)+IF($C5="",0,SUMIF('DADOS BRUTOS'!$A$3:$A$500,$C5,'DADOS BRUTOS'!CX$3:CX$500)))</f>
        <v/>
      </c>
      <c r="FY5" s="132">
        <f>IF(OR(FY$4="",$B5=""),0,SUMIF('DADOS BRUTOS'!$A$3:$A$500,$B5,'DADOS BRUTOS'!CY$3:CY$500)+IF($C5="",0,SUMIF('DADOS BRUTOS'!$A$3:$A$500,$C5,'DADOS BRUTOS'!CY$3:CY$500)))</f>
        <v/>
      </c>
      <c r="FZ5" s="132">
        <f>IF(OR(FZ$4="",$B5=""),0,SUMIF('DADOS BRUTOS'!$A$3:$A$500,$B5,'DADOS BRUTOS'!CZ$3:CZ$500)+IF($C5="",0,SUMIF('DADOS BRUTOS'!$A$3:$A$500,$C5,'DADOS BRUTOS'!CZ$3:CZ$500)))</f>
        <v/>
      </c>
      <c r="GA5" s="132">
        <f>IF(OR(GA$4="",$B5=""),0,SUMIF('DADOS BRUTOS'!$A$3:$A$500,$B5,'DADOS BRUTOS'!DA$3:DA$500)+IF($C5="",0,SUMIF('DADOS BRUTOS'!$A$3:$A$500,$C5,'DADOS BRUTOS'!DA$3:DA$500)))</f>
        <v/>
      </c>
      <c r="GB5" s="132">
        <f>IF(OR(GB$4="",$B5=""),0,SUMIF('DADOS BRUTOS'!$A$3:$A$500,$B5,'DADOS BRUTOS'!DB$3:DB$500)+IF($C5="",0,SUMIF('DADOS BRUTOS'!$A$3:$A$500,$C5,'DADOS BRUTOS'!DB$3:DB$500)))</f>
        <v/>
      </c>
      <c r="GC5" s="132">
        <f>IF(OR(GC$4="",$B5=""),0,SUMIF('DADOS BRUTOS'!$A$3:$A$500,$B5,'DADOS BRUTOS'!DC$3:DC$500)+IF($C5="",0,SUMIF('DADOS BRUTOS'!$A$3:$A$500,$C5,'DADOS BRUTOS'!DC$3:DC$500)))</f>
        <v/>
      </c>
      <c r="GD5" s="132">
        <f>IF(OR(GD$4="",$B5=""),0,SUMIF('DADOS BRUTOS'!$A$3:$A$500,$B5,'DADOS BRUTOS'!DD$3:DD$500)+IF($C5="",0,SUMIF('DADOS BRUTOS'!$A$3:$A$500,$C5,'DADOS BRUTOS'!DD$3:DD$500)))</f>
        <v/>
      </c>
      <c r="GE5" s="132">
        <f>IF(OR(GE$4="",$B5=""),0,SUMIF('DADOS BRUTOS'!$A$3:$A$500,$B5,'DADOS BRUTOS'!DE$3:DE$500)+IF($C5="",0,SUMIF('DADOS BRUTOS'!$A$3:$A$500,$C5,'DADOS BRUTOS'!DE$3:DE$500)))</f>
        <v/>
      </c>
      <c r="GF5" s="132">
        <f>IF(OR(GF$4="",$B5=""),0,SUMIF('DADOS BRUTOS'!$A$3:$A$500,$B5,'DADOS BRUTOS'!DF$3:DF$500)+IF($C5="",0,SUMIF('DADOS BRUTOS'!$A$3:$A$500,$C5,'DADOS BRUTOS'!DF$3:DF$500)))</f>
        <v/>
      </c>
      <c r="GG5" s="132">
        <f>IF(OR(GG$4="",$B5=""),0,SUMIF('DADOS BRUTOS'!$A$3:$A$500,$B5,'DADOS BRUTOS'!DG$3:DG$500)+IF($C5="",0,SUMIF('DADOS BRUTOS'!$A$3:$A$500,$C5,'DADOS BRUTOS'!DG$3:DG$500)))</f>
        <v/>
      </c>
      <c r="GH5" s="132">
        <f>IF(OR(GH$4="",$B5=""),0,SUMIF('DADOS BRUTOS'!$A$3:$A$500,$B5,'DADOS BRUTOS'!DH$3:DH$500)+IF($C5="",0,SUMIF('DADOS BRUTOS'!$A$3:$A$500,$C5,'DADOS BRUTOS'!DH$3:DH$500)))</f>
        <v/>
      </c>
      <c r="GI5" s="132">
        <f>IF(OR(GI$4="",$B5=""),0,SUMIF('DADOS BRUTOS'!$A$3:$A$500,$B5,'DADOS BRUTOS'!DI$3:DI$500)+IF($C5="",0,SUMIF('DADOS BRUTOS'!$A$3:$A$500,$C5,'DADOS BRUTOS'!DI$3:DI$500)))</f>
        <v/>
      </c>
      <c r="GJ5" s="132">
        <f>IF(OR(GJ$4="",$B5=""),0,SUMIF('DADOS BRUTOS'!$A$3:$A$500,$B5,'DADOS BRUTOS'!DJ$3:DJ$500)+IF($C5="",0,SUMIF('DADOS BRUTOS'!$A$3:$A$500,$C5,'DADOS BRUTOS'!DJ$3:DJ$500)))</f>
        <v/>
      </c>
      <c r="GK5" s="132">
        <f>IF(OR(GK$4="",$B5=""),0,SUMIF('DADOS BRUTOS'!$A$3:$A$500,$B5,'DADOS BRUTOS'!DK$3:DK$500)+IF($C5="",0,SUMIF('DADOS BRUTOS'!$A$3:$A$500,$C5,'DADOS BRUTOS'!DK$3:DK$500)))</f>
        <v/>
      </c>
      <c r="GL5" s="132">
        <f>IF(OR(GL$4="",$B5=""),0,SUMIF('DADOS BRUTOS'!$A$3:$A$500,$B5,'DADOS BRUTOS'!DL$3:DL$500)+IF($C5="",0,SUMIF('DADOS BRUTOS'!$A$3:$A$500,$C5,'DADOS BRUTOS'!DL$3:DL$500)))</f>
        <v/>
      </c>
      <c r="GM5" s="132">
        <f>IF(OR(GM$4="",$B5=""),0,SUMIF('DADOS BRUTOS'!$A$3:$A$500,$B5,'DADOS BRUTOS'!DM$3:DM$500)+IF($C5="",0,SUMIF('DADOS BRUTOS'!$A$3:$A$500,$C5,'DADOS BRUTOS'!DM$3:DM$500)))</f>
        <v/>
      </c>
      <c r="GN5" s="132">
        <f>IF(OR(GN$4="",$B5=""),0,SUMIF('DADOS BRUTOS'!$A$3:$A$500,$B5,'DADOS BRUTOS'!DN$3:DN$500)+IF($C5="",0,SUMIF('DADOS BRUTOS'!$A$3:$A$500,$C5,'DADOS BRUTOS'!DN$3:DN$500)))</f>
        <v/>
      </c>
      <c r="GO5" s="132">
        <f>IF(OR(GO$4="",$B5=""),0,SUMIF('DADOS BRUTOS'!$A$3:$A$500,$B5,'DADOS BRUTOS'!DO$3:DO$500)+IF($C5="",0,SUMIF('DADOS BRUTOS'!$A$3:$A$500,$C5,'DADOS BRUTOS'!DO$3:DO$500)))</f>
        <v/>
      </c>
      <c r="GP5" s="132">
        <f>IF(OR(GP$4="",$B5=""),0,SUMIF('DADOS BRUTOS'!$A$3:$A$500,$B5,'DADOS BRUTOS'!DP$3:DP$500)+IF($C5="",0,SUMIF('DADOS BRUTOS'!$A$3:$A$500,$C5,'DADOS BRUTOS'!DP$3:DP$500)))</f>
        <v/>
      </c>
      <c r="GQ5" s="132">
        <f>IF(OR(GQ$4="",$B5=""),0,SUMIF('DADOS BRUTOS'!$A$3:$A$500,$B5,'DADOS BRUTOS'!DQ$3:DQ$500)+IF($C5="",0,SUMIF('DADOS BRUTOS'!$A$3:$A$500,$C5,'DADOS BRUTOS'!DQ$3:DQ$500)))</f>
        <v/>
      </c>
      <c r="GR5" s="132">
        <f>IF(OR(GR$4="",$B5=""),0,SUMIF('DADOS BRUTOS'!$A$3:$A$500,$B5,'DADOS BRUTOS'!DR$3:DR$500)+IF($C5="",0,SUMIF('DADOS BRUTOS'!$A$3:$A$500,$C5,'DADOS BRUTOS'!DR$3:DR$500)))</f>
        <v/>
      </c>
      <c r="GS5" s="132">
        <f>IF(OR(GS$4="",$B5=""),0,SUMIF('DADOS BRUTOS'!$A$3:$A$500,$B5,'DADOS BRUTOS'!DS$3:DS$500)+IF($C5="",0,SUMIF('DADOS BRUTOS'!$A$3:$A$500,$C5,'DADOS BRUTOS'!DS$3:DS$500)))</f>
        <v/>
      </c>
      <c r="GT5" s="132">
        <f>IF(OR(GT$4="",$B5=""),0,SUMIF('DADOS BRUTOS'!$A$3:$A$500,$B5,'DADOS BRUTOS'!DT$3:DT$500)+IF($C5="",0,SUMIF('DADOS BRUTOS'!$A$3:$A$500,$C5,'DADOS BRUTOS'!DT$3:DT$500)))</f>
        <v/>
      </c>
      <c r="GU5" s="132">
        <f>IF(OR(GU$4="",$B5=""),0,SUMIF('DADOS BRUTOS'!$A$3:$A$500,$B5,'DADOS BRUTOS'!DU$3:DU$500)+IF($C5="",0,SUMIF('DADOS BRUTOS'!$A$3:$A$500,$C5,'DADOS BRUTOS'!DU$3:DU$500)))</f>
        <v/>
      </c>
      <c r="GV5" s="132">
        <f>IF(OR(GV$4="",$B5=""),0,SUMIF('DADOS BRUTOS'!$A$3:$A$500,$B5,'DADOS BRUTOS'!DV$3:DV$500)+IF($C5="",0,SUMIF('DADOS BRUTOS'!$A$3:$A$500,$C5,'DADOS BRUTOS'!DV$3:DV$500)))</f>
        <v/>
      </c>
      <c r="GW5" s="132">
        <f>IF(OR(GW$4="",$B5=""),0,SUMIF('DADOS BRUTOS'!$A$3:$A$500,$B5,'DADOS BRUTOS'!DW$3:DW$500)+IF($C5="",0,SUMIF('DADOS BRUTOS'!$A$3:$A$500,$C5,'DADOS BRUTOS'!DW$3:DW$500)))</f>
        <v/>
      </c>
      <c r="GX5" s="132">
        <f>IF(OR(GX$4="",$B5=""),0,SUMIF('DADOS BRUTOS'!$A$3:$A$500,$B5,'DADOS BRUTOS'!DX$3:DX$500)+IF($C5="",0,SUMIF('DADOS BRUTOS'!$A$3:$A$500,$C5,'DADOS BRUTOS'!DX$3:DX$500)))</f>
        <v/>
      </c>
      <c r="GY5" s="132">
        <f>IF(OR(GY$4="",$B5=""),0,SUMIF('DADOS BRUTOS'!$A$3:$A$500,$B5,'DADOS BRUTOS'!DY$3:DY$500)+IF($C5="",0,SUMIF('DADOS BRUTOS'!$A$3:$A$500,$C5,'DADOS BRUTOS'!DY$3:DY$500)))</f>
        <v/>
      </c>
      <c r="GZ5" s="132">
        <f>IF(OR(GZ$4="",$B5=""),0,SUMIF('DADOS BRUTOS'!$A$3:$A$500,$B5,'DADOS BRUTOS'!DZ$3:DZ$500)+IF($C5="",0,SUMIF('DADOS BRUTOS'!$A$3:$A$500,$C5,'DADOS BRUTOS'!DZ$3:DZ$500)))</f>
        <v/>
      </c>
      <c r="HA5" s="132">
        <f>IF(OR(HA$4="",$B5=""),0,SUMIF('DADOS BRUTOS'!$A$3:$A$500,$B5,'DADOS BRUTOS'!EA$3:EA$500)+IF($C5="",0,SUMIF('DADOS BRUTOS'!$A$3:$A$500,$C5,'DADOS BRUTOS'!EA$3:EA$500)))</f>
        <v/>
      </c>
      <c r="HB5" s="132">
        <f>IF(OR(HB$4="",$B5=""),0,SUMIF('DADOS BRUTOS'!$A$3:$A$500,$B5,'DADOS BRUTOS'!EB$3:EB$500)+IF($C5="",0,SUMIF('DADOS BRUTOS'!$A$3:$A$500,$C5,'DADOS BRUTOS'!EB$3:EB$500)))</f>
        <v/>
      </c>
      <c r="HC5" s="132">
        <f>IF(OR(HC$4="",$B5=""),0,SUMIF('DADOS BRUTOS'!$A$3:$A$500,$B5,'DADOS BRUTOS'!EC$3:EC$500)+IF($C5="",0,SUMIF('DADOS BRUTOS'!$A$3:$A$500,$C5,'DADOS BRUTOS'!EC$3:EC$500)))</f>
        <v/>
      </c>
      <c r="HD5" s="132">
        <f>IF(OR(HD$4="",$B5=""),0,SUMIF('DADOS BRUTOS'!$A$3:$A$500,$B5,'DADOS BRUTOS'!ED$3:ED$500)+IF($C5="",0,SUMIF('DADOS BRUTOS'!$A$3:$A$500,$C5,'DADOS BRUTOS'!ED$3:ED$500)))</f>
        <v/>
      </c>
      <c r="HE5" s="132">
        <f>IF(OR(HE$4="",$B5=""),0,SUMIF('DADOS BRUTOS'!$A$3:$A$500,$B5,'DADOS BRUTOS'!EE$3:EE$500)+IF($C5="",0,SUMIF('DADOS BRUTOS'!$A$3:$A$500,$C5,'DADOS BRUTOS'!EE$3:EE$500)))</f>
        <v/>
      </c>
      <c r="HF5" s="132">
        <f>IF(OR(HF$4="",$B5=""),0,SUMIF('DADOS BRUTOS'!$A$3:$A$500,$B5,'DADOS BRUTOS'!EF$3:EF$500)+IF($C5="",0,SUMIF('DADOS BRUTOS'!$A$3:$A$500,$C5,'DADOS BRUTOS'!EF$3:EF$500)))</f>
        <v/>
      </c>
      <c r="HG5" s="132">
        <f>IF(OR(HG$4="",$B5=""),0,SUMIF('DADOS BRUTOS'!$A$3:$A$500,$B5,'DADOS BRUTOS'!EG$3:EG$500)+IF($C5="",0,SUMIF('DADOS BRUTOS'!$A$3:$A$500,$C5,'DADOS BRUTOS'!EG$3:EG$500)))</f>
        <v/>
      </c>
      <c r="HH5" s="132">
        <f>IF(OR(HH$4="",$B5=""),0,SUMIF('DADOS BRUTOS'!$A$3:$A$500,$B5,'DADOS BRUTOS'!EH$3:EH$500)+IF($C5="",0,SUMIF('DADOS BRUTOS'!$A$3:$A$500,$C5,'DADOS BRUTOS'!EH$3:EH$500)))</f>
        <v/>
      </c>
      <c r="HI5" s="132">
        <f>IF(OR(HI$4="",$B5=""),0,SUMIF('DADOS BRUTOS'!$A$3:$A$500,$B5,'DADOS BRUTOS'!EI$3:EI$500)+IF($C5="",0,SUMIF('DADOS BRUTOS'!$A$3:$A$500,$C5,'DADOS BRUTOS'!EI$3:EI$500)))</f>
        <v/>
      </c>
      <c r="HJ5" s="132">
        <f>IF(OR(HJ$4="",$B5=""),0,SUMIF('DADOS BRUTOS'!$A$3:$A$500,$B5,'DADOS BRUTOS'!EJ$3:EJ$500)+IF($C5="",0,SUMIF('DADOS BRUTOS'!$A$3:$A$500,$C5,'DADOS BRUTOS'!EJ$3:EJ$500)))</f>
        <v/>
      </c>
      <c r="HK5" s="132">
        <f>IF(OR(HK$4="",$B5=""),0,SUMIF('DADOS BRUTOS'!$A$3:$A$500,$B5,'DADOS BRUTOS'!EK$3:EK$500)+IF($C5="",0,SUMIF('DADOS BRUTOS'!$A$3:$A$500,$C5,'DADOS BRUTOS'!EK$3:EK$500)))</f>
        <v/>
      </c>
      <c r="HL5" s="132">
        <f>IF(OR(HL$4="",$B5=""),0,SUMIF('DADOS BRUTOS'!$A$3:$A$500,$B5,'DADOS BRUTOS'!EL$3:EL$500)+IF($C5="",0,SUMIF('DADOS BRUTOS'!$A$3:$A$500,$C5,'DADOS BRUTOS'!EL$3:EL$500)))</f>
        <v/>
      </c>
      <c r="HM5" s="132">
        <f>IF(OR(HM$4="",$B5=""),0,SUMIF('DADOS BRUTOS'!$A$3:$A$500,$B5,'DADOS BRUTOS'!EM$3:EM$500)+IF($C5="",0,SUMIF('DADOS BRUTOS'!$A$3:$A$500,$C5,'DADOS BRUTOS'!EM$3:EM$500)))</f>
        <v/>
      </c>
      <c r="HN5" s="132">
        <f>IF(OR(HN$4="",$B5=""),0,SUMIF('DADOS BRUTOS'!$A$3:$A$500,$B5,'DADOS BRUTOS'!EN$3:EN$500)+IF($C5="",0,SUMIF('DADOS BRUTOS'!$A$3:$A$500,$C5,'DADOS BRUTOS'!EN$3:EN$500)))</f>
        <v/>
      </c>
      <c r="HO5" s="132">
        <f>IF(OR(HO$4="",$B5=""),0,SUMIF('DADOS BRUTOS'!$A$3:$A$500,$B5,'DADOS BRUTOS'!EO$3:EO$500)+IF($C5="",0,SUMIF('DADOS BRUTOS'!$A$3:$A$500,$C5,'DADOS BRUTOS'!EO$3:EO$500)))</f>
        <v/>
      </c>
      <c r="HP5" s="132">
        <f>IF(OR(HP$4="",$B5=""),0,SUMIF('DADOS BRUTOS'!$A$3:$A$500,$B5,'DADOS BRUTOS'!EP$3:EP$500)+IF($C5="",0,SUMIF('DADOS BRUTOS'!$A$3:$A$500,$C5,'DADOS BRUTOS'!EP$3:EP$500)))</f>
        <v/>
      </c>
      <c r="HQ5" s="132">
        <f>IF(OR(HQ$4="",$B5=""),0,SUMIF('DADOS BRUTOS'!$A$3:$A$500,$B5,'DADOS BRUTOS'!EQ$3:EQ$500)+IF($C5="",0,SUMIF('DADOS BRUTOS'!$A$3:$A$500,$C5,'DADOS BRUTOS'!EQ$3:EQ$500)))</f>
        <v/>
      </c>
      <c r="HR5" s="132">
        <f>IF(OR(HR$4="",$B5=""),0,SUMIF('DADOS BRUTOS'!$A$3:$A$500,$B5,'DADOS BRUTOS'!ER$3:ER$500)+IF($C5="",0,SUMIF('DADOS BRUTOS'!$A$3:$A$500,$C5,'DADOS BRUTOS'!ER$3:ER$500)))</f>
        <v/>
      </c>
      <c r="HS5" s="132">
        <f>IF(OR(HS$4="",$B5=""),0,SUMIF('DADOS BRUTOS'!$A$3:$A$500,$B5,'DADOS BRUTOS'!ES$3:ES$500)+IF($C5="",0,SUMIF('DADOS BRUTOS'!$A$3:$A$500,$C5,'DADOS BRUTOS'!ES$3:ES$500)))</f>
        <v/>
      </c>
      <c r="HT5" s="132">
        <f>IF(OR(HT$4="",$B5=""),0,SUMIF('DADOS BRUTOS'!$A$3:$A$500,$B5,'DADOS BRUTOS'!ET$3:ET$500)+IF($C5="",0,SUMIF('DADOS BRUTOS'!$A$3:$A$500,$C5,'DADOS BRUTOS'!ET$3:ET$500)))</f>
        <v/>
      </c>
      <c r="HU5" s="132">
        <f>IF(OR(HU$4="",$B5=""),0,SUMIF('DADOS BRUTOS'!$A$3:$A$500,$B5,'DADOS BRUTOS'!EU$3:EU$500)+IF($C5="",0,SUMIF('DADOS BRUTOS'!$A$3:$A$500,$C5,'DADOS BRUTOS'!EU$3:EU$500)))</f>
        <v/>
      </c>
      <c r="HV5" s="132">
        <f>IF(OR(HV$4="",$B5=""),0,SUMIF('DADOS BRUTOS'!$A$3:$A$500,$B5,'DADOS BRUTOS'!EV$3:EV$500)+IF($C5="",0,SUMIF('DADOS BRUTOS'!$A$3:$A$500,$C5,'DADOS BRUTOS'!EV$3:EV$500)))</f>
        <v/>
      </c>
      <c r="HW5" s="132">
        <f>IF(OR(HW$4="",$B5=""),0,SUMIF('DADOS BRUTOS'!$A$3:$A$500,$B5,'DADOS BRUTOS'!EW$3:EW$500)+IF($C5="",0,SUMIF('DADOS BRUTOS'!$A$3:$A$500,$C5,'DADOS BRUTOS'!EW$3:EW$500)))</f>
        <v/>
      </c>
      <c r="HX5" s="132">
        <f>IF(OR(HX$4="",$B5=""),0,SUMIF('DADOS BRUTOS'!$A$3:$A$500,$B5,'DADOS BRUTOS'!EX$3:EX$500)+IF($C5="",0,SUMIF('DADOS BRUTOS'!$A$3:$A$500,$C5,'DADOS BRUTOS'!EX$3:EX$500)))</f>
        <v/>
      </c>
      <c r="HY5" s="132">
        <f>IF(OR(HY$4="",$B5=""),0,SUMIF('DADOS BRUTOS'!$A$3:$A$500,$B5,'DADOS BRUTOS'!EY$3:EY$500)+IF($C5="",0,SUMIF('DADOS BRUTOS'!$A$3:$A$500,$C5,'DADOS BRUTOS'!EY$3:EY$500)))</f>
        <v/>
      </c>
      <c r="HZ5" s="132">
        <f>IF(OR(HZ$4="",$B5=""),0,SUMIF('DADOS BRUTOS'!$A$3:$A$500,$B5,'DADOS BRUTOS'!EZ$3:EZ$500)+IF($C5="",0,SUMIF('DADOS BRUTOS'!$A$3:$A$500,$C5,'DADOS BRUTOS'!EZ$3:EZ$500)))</f>
        <v/>
      </c>
      <c r="IA5" s="132">
        <f>IF(OR(IA$4="",$B5=""),0,SUMIF('DADOS BRUTOS'!$A$3:$A$500,$B5,'DADOS BRUTOS'!FA$3:FA$500)+IF($C5="",0,SUMIF('DADOS BRUTOS'!$A$3:$A$500,$C5,'DADOS BRUTOS'!FA$3:FA$500)))</f>
        <v/>
      </c>
      <c r="IB5" s="132">
        <f>IF(OR(IB$4="",$B5=""),0,SUMIF('DADOS BRUTOS'!$A$3:$A$500,$B5,'DADOS BRUTOS'!FB$3:FB$500)+IF($C5="",0,SUMIF('DADOS BRUTOS'!$A$3:$A$500,$C5,'DADOS BRUTOS'!FB$3:FB$500)))</f>
        <v/>
      </c>
      <c r="IC5" s="132">
        <f>IF(OR(IC$4="",$B5=""),0,SUMIF('DADOS BRUTOS'!$A$3:$A$500,$B5,'DADOS BRUTOS'!FC$3:FC$500)+IF($C5="",0,SUMIF('DADOS BRUTOS'!$A$3:$A$500,$C5,'DADOS BRUTOS'!FC$3:FC$500)))</f>
        <v/>
      </c>
      <c r="ID5" s="132">
        <f>IF(OR(ID$4="",$B5=""),0,SUMIF('DADOS BRUTOS'!$A$3:$A$500,$B5,'DADOS BRUTOS'!FD$3:FD$500)+IF($C5="",0,SUMIF('DADOS BRUTOS'!$A$3:$A$500,$C5,'DADOS BRUTOS'!FD$3:FD$500)))</f>
        <v/>
      </c>
      <c r="IE5" s="132">
        <f>IF(OR(IE$4="",$B5=""),0,SUMIF('DADOS BRUTOS'!$A$3:$A$500,$B5,'DADOS BRUTOS'!FE$3:FE$500)+IF($C5="",0,SUMIF('DADOS BRUTOS'!$A$3:$A$500,$C5,'DADOS BRUTOS'!FE$3:FE$500)))</f>
        <v/>
      </c>
      <c r="IF5" s="132">
        <f>IF(OR(IF$4="",$B5=""),0,SUMIF('DADOS BRUTOS'!$A$3:$A$500,$B5,'DADOS BRUTOS'!FF$3:FF$500)+IF($C5="",0,SUMIF('DADOS BRUTOS'!$A$3:$A$500,$C5,'DADOS BRUTOS'!FF$3:FF$500)))</f>
        <v/>
      </c>
      <c r="IG5" s="132">
        <f>IF(OR(IG$4="",$B5=""),0,SUMIF('DADOS BRUTOS'!$A$3:$A$500,$B5,'DADOS BRUTOS'!FG$3:FG$500)+IF($C5="",0,SUMIF('DADOS BRUTOS'!$A$3:$A$500,$C5,'DADOS BRUTOS'!FG$3:FG$500)))</f>
        <v/>
      </c>
      <c r="IH5" s="132">
        <f>IF(OR(IH$4="",$B5=""),0,SUMIF('DADOS BRUTOS'!$A$3:$A$500,$B5,'DADOS BRUTOS'!FH$3:FH$500)+IF($C5="",0,SUMIF('DADOS BRUTOS'!$A$3:$A$500,$C5,'DADOS BRUTOS'!FH$3:FH$500)))</f>
        <v/>
      </c>
      <c r="II5" s="132">
        <f>IF(OR(II$4="",$B5=""),0,SUMIF('DADOS BRUTOS'!$A$3:$A$500,$B5,'DADOS BRUTOS'!FI$3:FI$500)+IF($C5="",0,SUMIF('DADOS BRUTOS'!$A$3:$A$500,$C5,'DADOS BRUTOS'!FI$3:FI$500)))</f>
        <v/>
      </c>
      <c r="IJ5" s="132">
        <f>IF(OR(IJ$4="",$B5=""),0,SUMIF('DADOS BRUTOS'!$A$3:$A$500,$B5,'DADOS BRUTOS'!FJ$3:FJ$500)+IF($C5="",0,SUMIF('DADOS BRUTOS'!$A$3:$A$500,$C5,'DADOS BRUTOS'!FJ$3:FJ$500)))</f>
        <v/>
      </c>
      <c r="IK5" s="132">
        <f>IF(OR(IK$4="",$B5=""),0,SUMIF('DADOS BRUTOS'!$A$3:$A$500,$B5,'DADOS BRUTOS'!FK$3:FK$500)+IF($C5="",0,SUMIF('DADOS BRUTOS'!$A$3:$A$500,$C5,'DADOS BRUTOS'!FK$3:FK$500)))</f>
        <v/>
      </c>
      <c r="IL5" s="132">
        <f>IF(OR(IL$4="",$B5=""),0,SUMIF('DADOS BRUTOS'!$A$3:$A$500,$B5,'DADOS BRUTOS'!FL$3:FL$500)+IF($C5="",0,SUMIF('DADOS BRUTOS'!$A$3:$A$500,$C5,'DADOS BRUTOS'!FL$3:FL$500)))</f>
        <v/>
      </c>
      <c r="IM5" s="132">
        <f>IF(OR(IM$4="",$B5=""),0,SUMIF('DADOS BRUTOS'!$A$3:$A$500,$B5,'DADOS BRUTOS'!FM$3:FM$500)+IF($C5="",0,SUMIF('DADOS BRUTOS'!$A$3:$A$500,$C5,'DADOS BRUTOS'!FM$3:FM$500)))</f>
        <v/>
      </c>
      <c r="IN5" s="132">
        <f>IF(OR(IN$4="",$B5=""),0,SUMIF('DADOS BRUTOS'!$A$3:$A$500,$B5,'DADOS BRUTOS'!FN$3:FN$500)+IF($C5="",0,SUMIF('DADOS BRUTOS'!$A$3:$A$500,$C5,'DADOS BRUTOS'!FN$3:FN$500)))</f>
        <v/>
      </c>
      <c r="IO5" s="132">
        <f>IF(OR(IO$4="",$B5=""),0,SUMIF('DADOS BRUTOS'!$A$3:$A$500,$B5,'DADOS BRUTOS'!FO$3:FO$500)+IF($C5="",0,SUMIF('DADOS BRUTOS'!$A$3:$A$500,$C5,'DADOS BRUTOS'!FO$3:FO$500)))</f>
        <v/>
      </c>
      <c r="IP5" s="132">
        <f>IF(OR(IP$4="",$B5=""),0,SUMIF('DADOS BRUTOS'!$A$3:$A$500,$B5,'DADOS BRUTOS'!FP$3:FP$500)+IF($C5="",0,SUMIF('DADOS BRUTOS'!$A$3:$A$500,$C5,'DADOS BRUTOS'!FP$3:FP$500)))</f>
        <v/>
      </c>
      <c r="IQ5" s="132">
        <f>IF(OR(IQ$4="",$B5=""),0,SUMIF('DADOS BRUTOS'!$A$3:$A$500,$B5,'DADOS BRUTOS'!FQ$3:FQ$500)+IF($C5="",0,SUMIF('DADOS BRUTOS'!$A$3:$A$500,$C5,'DADOS BRUTOS'!FQ$3:FQ$500)))</f>
        <v/>
      </c>
      <c r="IR5" s="132">
        <f>IF(OR(IR$4="",$B5=""),0,SUMIF('DADOS BRUTOS'!$A$3:$A$500,$B5,'DADOS BRUTOS'!FR$3:FR$500)+IF($C5="",0,SUMIF('DADOS BRUTOS'!$A$3:$A$500,$C5,'DADOS BRUTOS'!FR$3:FR$500)))</f>
        <v/>
      </c>
      <c r="IS5" s="132">
        <f>IF(OR(IS$4="",$B5=""),0,SUMIF('DADOS BRUTOS'!$A$3:$A$500,$B5,'DADOS BRUTOS'!FS$3:FS$500)+IF($C5="",0,SUMIF('DADOS BRUTOS'!$A$3:$A$500,$C5,'DADOS BRUTOS'!FS$3:FS$500)))</f>
        <v/>
      </c>
      <c r="IT5" s="132">
        <f>IF(OR(IT$4="",$B5=""),0,SUMIF('DADOS BRUTOS'!$A$3:$A$500,$B5,'DADOS BRUTOS'!FT$3:FT$500)+IF($C5="",0,SUMIF('DADOS BRUTOS'!$A$3:$A$500,$C5,'DADOS BRUTOS'!FT$3:FT$500)))</f>
        <v/>
      </c>
      <c r="IU5" s="132">
        <f>IF(OR(IU$4="",$B5=""),0,SUMIF('DADOS BRUTOS'!$A$3:$A$500,$B5,'DADOS BRUTOS'!FU$3:FU$500)+IF($C5="",0,SUMIF('DADOS BRUTOS'!$A$3:$A$500,$C5,'DADOS BRUTOS'!FU$3:FU$500)))</f>
        <v/>
      </c>
      <c r="IV5" s="132">
        <f>IF(OR(IV$4="",$B5=""),0,SUMIF('DADOS BRUTOS'!$A$3:$A$500,$B5,'DADOS BRUTOS'!FV$3:FV$500)+IF($C5="",0,SUMIF('DADOS BRUTOS'!$A$3:$A$500,$C5,'DADOS BRUTOS'!FV$3:FV$500)))</f>
        <v/>
      </c>
      <c r="IW5" s="132">
        <f>IF(OR(IW$4="",$B5=""),0,SUMIF('DADOS BRUTOS'!$A$3:$A$500,$B5,'DADOS BRUTOS'!FW$3:FW$500)+IF($C5="",0,SUMIF('DADOS BRUTOS'!$A$3:$A$500,$C5,'DADOS BRUTOS'!FW$3:FW$500)))</f>
        <v/>
      </c>
      <c r="IX5" s="132">
        <f>IF(OR(IX$4="",$B5=""),0,SUMIF('DADOS BRUTOS'!$A$3:$A$500,$B5,'DADOS BRUTOS'!FX$3:FX$500)+IF($C5="",0,SUMIF('DADOS BRUTOS'!$A$3:$A$500,$C5,'DADOS BRUTOS'!FX$3:FX$500)))</f>
        <v/>
      </c>
      <c r="IY5" s="132">
        <f>IF(OR(IY$4="",$B5=""),0,SUMIF('DADOS BRUTOS'!$A$3:$A$500,$B5,'DADOS BRUTOS'!FY$3:FY$500)+IF($C5="",0,SUMIF('DADOS BRUTOS'!$A$3:$A$500,$C5,'DADOS BRUTOS'!FY$3:FY$500)))</f>
        <v/>
      </c>
      <c r="IZ5" s="132">
        <f>IF(OR(IZ$4="",$B5=""),0,SUMIF('DADOS BRUTOS'!$A$3:$A$500,$B5,'DADOS BRUTOS'!FZ$3:FZ$500)+IF($C5="",0,SUMIF('DADOS BRUTOS'!$A$3:$A$500,$C5,'DADOS BRUTOS'!FZ$3:FZ$500)))</f>
        <v/>
      </c>
      <c r="JA5" s="132">
        <f>IF(OR(JA$4="",$B5=""),0,SUMIF('DADOS BRUTOS'!$A$3:$A$500,$B5,'DADOS BRUTOS'!GA$3:GA$500)+IF($C5="",0,SUMIF('DADOS BRUTOS'!$A$3:$A$500,$C5,'DADOS BRUTOS'!GA$3:GA$500)))</f>
        <v/>
      </c>
      <c r="JB5" s="132">
        <f>IF(OR(JB$4="",$B5=""),0,SUMIF('DADOS BRUTOS'!$A$3:$A$500,$B5,'DADOS BRUTOS'!GB$3:GB$500)+IF($C5="",0,SUMIF('DADOS BRUTOS'!$A$3:$A$500,$C5,'DADOS BRUTOS'!GB$3:GB$500)))</f>
        <v/>
      </c>
      <c r="JC5" s="132">
        <f>IF(OR(JC$4="",$B5=""),0,SUMIF('DADOS BRUTOS'!$A$3:$A$500,$B5,'DADOS BRUTOS'!GC$3:GC$500)+IF($C5="",0,SUMIF('DADOS BRUTOS'!$A$3:$A$500,$C5,'DADOS BRUTOS'!GC$3:GC$500)))</f>
        <v/>
      </c>
      <c r="JD5" s="132">
        <f>IF(OR(JD$4="",$B5=""),0,SUMIF('DADOS BRUTOS'!$A$3:$A$500,$B5,'DADOS BRUTOS'!GD$3:GD$500)+IF($C5="",0,SUMIF('DADOS BRUTOS'!$A$3:$A$500,$C5,'DADOS BRUTOS'!GD$3:GD$500)))</f>
        <v/>
      </c>
      <c r="JE5" s="132">
        <f>IF(OR(JE$4="",$B5=""),0,SUMIF('DADOS BRUTOS'!$A$3:$A$500,$B5,'DADOS BRUTOS'!GE$3:GE$500)+IF($C5="",0,SUMIF('DADOS BRUTOS'!$A$3:$A$500,$C5,'DADOS BRUTOS'!GE$3:GE$500)))</f>
        <v/>
      </c>
      <c r="JF5" s="132">
        <f>IF(OR(JF$4="",$B5=""),0,SUMIF('DADOS BRUTOS'!$A$3:$A$500,$B5,'DADOS BRUTOS'!GF$3:GF$500)+IF($C5="",0,SUMIF('DADOS BRUTOS'!$A$3:$A$500,$C5,'DADOS BRUTOS'!GF$3:GF$500)))</f>
        <v/>
      </c>
      <c r="JG5" s="132">
        <f>IF(OR(JG$4="",$B5=""),0,SUMIF('DADOS BRUTOS'!$A$3:$A$500,$B5,'DADOS BRUTOS'!GG$3:GG$500)+IF($C5="",0,SUMIF('DADOS BRUTOS'!$A$3:$A$500,$C5,'DADOS BRUTOS'!GG$3:GG$500)))</f>
        <v/>
      </c>
      <c r="JH5" s="132">
        <f>IF(OR(JH$4="",$B5=""),0,SUMIF('DADOS BRUTOS'!$A$3:$A$500,$B5,'DADOS BRUTOS'!GH$3:GH$500)+IF($C5="",0,SUMIF('DADOS BRUTOS'!$A$3:$A$500,$C5,'DADOS BRUTOS'!GH$3:GH$500)))</f>
        <v/>
      </c>
      <c r="JI5" s="132">
        <f>IF(OR(JI$4="",$B5=""),0,SUMIF('DADOS BRUTOS'!$A$3:$A$500,$B5,'DADOS BRUTOS'!GI$3:GI$500)+IF($C5="",0,SUMIF('DADOS BRUTOS'!$A$3:$A$500,$C5,'DADOS BRUTOS'!GI$3:GI$500)))</f>
        <v/>
      </c>
      <c r="JJ5" s="132">
        <f>IF(OR(JJ$4="",$B5=""),0,SUMIF('DADOS BRUTOS'!$A$3:$A$500,$B5,'DADOS BRUTOS'!GJ$3:GJ$500)+IF($C5="",0,SUMIF('DADOS BRUTOS'!$A$3:$A$500,$C5,'DADOS BRUTOS'!GJ$3:GJ$500)))</f>
        <v/>
      </c>
      <c r="JK5" s="132">
        <f>IF(OR(JK$4="",$B5=""),0,SUMIF('DADOS BRUTOS'!$A$3:$A$500,$B5,'DADOS BRUTOS'!GK$3:GK$500)+IF($C5="",0,SUMIF('DADOS BRUTOS'!$A$3:$A$500,$C5,'DADOS BRUTOS'!GK$3:GK$500)))</f>
        <v/>
      </c>
      <c r="JL5" s="132">
        <f>IF(OR(JL$4="",$B5=""),0,SUMIF('DADOS BRUTOS'!$A$3:$A$500,$B5,'DADOS BRUTOS'!GL$3:GL$500)+IF($C5="",0,SUMIF('DADOS BRUTOS'!$A$3:$A$500,$C5,'DADOS BRUTOS'!GL$3:GL$500)))</f>
        <v/>
      </c>
      <c r="JM5" s="132">
        <f>IF(OR(JM$4="",$B5=""),0,SUMIF('DADOS BRUTOS'!$A$3:$A$500,$B5,'DADOS BRUTOS'!GM$3:GM$500)+IF($C5="",0,SUMIF('DADOS BRUTOS'!$A$3:$A$500,$C5,'DADOS BRUTOS'!GM$3:GM$500)))</f>
        <v/>
      </c>
      <c r="JN5" s="132">
        <f>IF(OR(JN$4="",$B5=""),0,SUMIF('DADOS BRUTOS'!$A$3:$A$500,$B5,'DADOS BRUTOS'!GN$3:GN$500)+IF($C5="",0,SUMIF('DADOS BRUTOS'!$A$3:$A$500,$C5,'DADOS BRUTOS'!GN$3:GN$500)))</f>
        <v/>
      </c>
      <c r="JO5" s="132">
        <f>IF(OR(JO$4="",$B5=""),0,SUMIF('DADOS BRUTOS'!$A$3:$A$500,$B5,'DADOS BRUTOS'!GO$3:GO$500)+IF($C5="",0,SUMIF('DADOS BRUTOS'!$A$3:$A$500,$C5,'DADOS BRUTOS'!GO$3:GO$500)))</f>
        <v/>
      </c>
      <c r="JP5" s="132">
        <f>IF(OR(JP$4="",$B5=""),0,SUMIF('DADOS BRUTOS'!$A$3:$A$500,$B5,'DADOS BRUTOS'!GP$3:GP$500)+IF($C5="",0,SUMIF('DADOS BRUTOS'!$A$3:$A$500,$C5,'DADOS BRUTOS'!GP$3:GP$500)))</f>
        <v/>
      </c>
      <c r="JQ5" s="132">
        <f>IF(OR(JQ$4="",$B5=""),0,SUMIF('DADOS BRUTOS'!$A$3:$A$500,$B5,'DADOS BRUTOS'!GQ$3:GQ$500)+IF($C5="",0,SUMIF('DADOS BRUTOS'!$A$3:$A$500,$C5,'DADOS BRUTOS'!GQ$3:GQ$500)))</f>
        <v/>
      </c>
      <c r="JR5" s="132">
        <f>IF(OR(JR$4="",$B5=""),0,SUMIF('DADOS BRUTOS'!$A$3:$A$500,$B5,'DADOS BRUTOS'!GR$3:GR$500)+IF($C5="",0,SUMIF('DADOS BRUTOS'!$A$3:$A$500,$C5,'DADOS BRUTOS'!GR$3:GR$500)))</f>
        <v/>
      </c>
      <c r="JS5" s="132">
        <f>IF(OR(JS$4="",$B5=""),0,SUMIF('DADOS BRUTOS'!$A$3:$A$500,$B5,'DADOS BRUTOS'!GS$3:GS$500)+IF($C5="",0,SUMIF('DADOS BRUTOS'!$A$3:$A$500,$C5,'DADOS BRUTOS'!GS$3:GS$500)))</f>
        <v/>
      </c>
    </row>
    <row r="6">
      <c r="A6" s="61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BZ6" s="49">
        <f>SUMPRODUCT(($CB$4:$JS$4&lt;&gt;"")*($CB$4:$JS$4&lt;=$D$4),$CB6:$JS6,$CB$1:$JS$1)</f>
        <v/>
      </c>
      <c r="CB6" s="132">
        <f>IF(OR(CB$4="",$B6=""),0,SUMIF('DADOS BRUTOS'!$A$3:$A$500,$B6,'DADOS BRUTOS'!B$3:B$500)+IF($C6="",0,SUMIF('DADOS BRUTOS'!$A$3:$A$500,$C6,'DADOS BRUTOS'!B$3:B$500)))</f>
        <v/>
      </c>
      <c r="CC6" s="132">
        <f>IF(OR(CC$4="",$B6=""),0,SUMIF('DADOS BRUTOS'!$A$3:$A$500,$B6,'DADOS BRUTOS'!C$3:C$500)+IF($C6="",0,SUMIF('DADOS BRUTOS'!$A$3:$A$500,$C6,'DADOS BRUTOS'!C$3:C$500)))</f>
        <v/>
      </c>
      <c r="CD6" s="132">
        <f>IF(OR(CD$4="",$B6=""),0,SUMIF('DADOS BRUTOS'!$A$3:$A$500,$B6,'DADOS BRUTOS'!D$3:D$500)+IF($C6="",0,SUMIF('DADOS BRUTOS'!$A$3:$A$500,$C6,'DADOS BRUTOS'!D$3:D$500)))</f>
        <v/>
      </c>
      <c r="CE6" s="132">
        <f>IF(OR(CE$4="",$B6=""),0,SUMIF('DADOS BRUTOS'!$A$3:$A$500,$B6,'DADOS BRUTOS'!E$3:E$500)+IF($C6="",0,SUMIF('DADOS BRUTOS'!$A$3:$A$500,$C6,'DADOS BRUTOS'!E$3:E$500)))</f>
        <v/>
      </c>
      <c r="CF6" s="132">
        <f>IF(OR(CF$4="",$B6=""),0,SUMIF('DADOS BRUTOS'!$A$3:$A$500,$B6,'DADOS BRUTOS'!F$3:F$500)+IF($C6="",0,SUMIF('DADOS BRUTOS'!$A$3:$A$500,$C6,'DADOS BRUTOS'!F$3:F$500)))</f>
        <v/>
      </c>
      <c r="CG6" s="132">
        <f>IF(OR(CG$4="",$B6=""),0,SUMIF('DADOS BRUTOS'!$A$3:$A$500,$B6,'DADOS BRUTOS'!G$3:G$500)+IF($C6="",0,SUMIF('DADOS BRUTOS'!$A$3:$A$500,$C6,'DADOS BRUTOS'!G$3:G$500)))</f>
        <v/>
      </c>
      <c r="CH6" s="132">
        <f>IF(OR(CH$4="",$B6=""),0,SUMIF('DADOS BRUTOS'!$A$3:$A$500,$B6,'DADOS BRUTOS'!H$3:H$500)+IF($C6="",0,SUMIF('DADOS BRUTOS'!$A$3:$A$500,$C6,'DADOS BRUTOS'!H$3:H$500)))</f>
        <v/>
      </c>
      <c r="CI6" s="132">
        <f>IF(OR(CI$4="",$B6=""),0,SUMIF('DADOS BRUTOS'!$A$3:$A$500,$B6,'DADOS BRUTOS'!I$3:I$500)+IF($C6="",0,SUMIF('DADOS BRUTOS'!$A$3:$A$500,$C6,'DADOS BRUTOS'!I$3:I$500)))</f>
        <v/>
      </c>
      <c r="CJ6" s="132">
        <f>IF(OR(CJ$4="",$B6=""),0,SUMIF('DADOS BRUTOS'!$A$3:$A$500,$B6,'DADOS BRUTOS'!J$3:J$500)+IF($C6="",0,SUMIF('DADOS BRUTOS'!$A$3:$A$500,$C6,'DADOS BRUTOS'!J$3:J$500)))</f>
        <v/>
      </c>
      <c r="CK6" s="132">
        <f>IF(OR(CK$4="",$B6=""),0,SUMIF('DADOS BRUTOS'!$A$3:$A$500,$B6,'DADOS BRUTOS'!K$3:K$500)+IF($C6="",0,SUMIF('DADOS BRUTOS'!$A$3:$A$500,$C6,'DADOS BRUTOS'!K$3:K$500)))</f>
        <v/>
      </c>
      <c r="CL6" s="132">
        <f>IF(OR(CL$4="",$B6=""),0,SUMIF('DADOS BRUTOS'!$A$3:$A$500,$B6,'DADOS BRUTOS'!L$3:L$500)+IF($C6="",0,SUMIF('DADOS BRUTOS'!$A$3:$A$500,$C6,'DADOS BRUTOS'!L$3:L$500)))</f>
        <v/>
      </c>
      <c r="CM6" s="132">
        <f>IF(OR(CM$4="",$B6=""),0,SUMIF('DADOS BRUTOS'!$A$3:$A$500,$B6,'DADOS BRUTOS'!M$3:M$500)+IF($C6="",0,SUMIF('DADOS BRUTOS'!$A$3:$A$500,$C6,'DADOS BRUTOS'!M$3:M$500)))</f>
        <v/>
      </c>
      <c r="CN6" s="132">
        <f>IF(OR(CN$4="",$B6=""),0,SUMIF('DADOS BRUTOS'!$A$3:$A$500,$B6,'DADOS BRUTOS'!N$3:N$500)+IF($C6="",0,SUMIF('DADOS BRUTOS'!$A$3:$A$500,$C6,'DADOS BRUTOS'!N$3:N$500)))</f>
        <v/>
      </c>
      <c r="CO6" s="132">
        <f>IF(OR(CO$4="",$B6=""),0,SUMIF('DADOS BRUTOS'!$A$3:$A$500,$B6,'DADOS BRUTOS'!O$3:O$500)+IF($C6="",0,SUMIF('DADOS BRUTOS'!$A$3:$A$500,$C6,'DADOS BRUTOS'!O$3:O$500)))</f>
        <v/>
      </c>
      <c r="CP6" s="132">
        <f>IF(OR(CP$4="",$B6=""),0,SUMIF('DADOS BRUTOS'!$A$3:$A$500,$B6,'DADOS BRUTOS'!P$3:P$500)+IF($C6="",0,SUMIF('DADOS BRUTOS'!$A$3:$A$500,$C6,'DADOS BRUTOS'!P$3:P$500)))</f>
        <v/>
      </c>
      <c r="CQ6" s="132">
        <f>IF(OR(CQ$4="",$B6=""),0,SUMIF('DADOS BRUTOS'!$A$3:$A$500,$B6,'DADOS BRUTOS'!Q$3:Q$500)+IF($C6="",0,SUMIF('DADOS BRUTOS'!$A$3:$A$500,$C6,'DADOS BRUTOS'!Q$3:Q$500)))</f>
        <v/>
      </c>
      <c r="CR6" s="132">
        <f>IF(OR(CR$4="",$B6=""),0,SUMIF('DADOS BRUTOS'!$A$3:$A$500,$B6,'DADOS BRUTOS'!R$3:R$500)+IF($C6="",0,SUMIF('DADOS BRUTOS'!$A$3:$A$500,$C6,'DADOS BRUTOS'!R$3:R$500)))</f>
        <v/>
      </c>
      <c r="CS6" s="132">
        <f>IF(OR(CS$4="",$B6=""),0,SUMIF('DADOS BRUTOS'!$A$3:$A$500,$B6,'DADOS BRUTOS'!S$3:S$500)+IF($C6="",0,SUMIF('DADOS BRUTOS'!$A$3:$A$500,$C6,'DADOS BRUTOS'!S$3:S$500)))</f>
        <v/>
      </c>
      <c r="CT6" s="132">
        <f>IF(OR(CT$4="",$B6=""),0,SUMIF('DADOS BRUTOS'!$A$3:$A$500,$B6,'DADOS BRUTOS'!T$3:T$500)+IF($C6="",0,SUMIF('DADOS BRUTOS'!$A$3:$A$500,$C6,'DADOS BRUTOS'!T$3:T$500)))</f>
        <v/>
      </c>
      <c r="CU6" s="132">
        <f>IF(OR(CU$4="",$B6=""),0,SUMIF('DADOS BRUTOS'!$A$3:$A$500,$B6,'DADOS BRUTOS'!U$3:U$500)+IF($C6="",0,SUMIF('DADOS BRUTOS'!$A$3:$A$500,$C6,'DADOS BRUTOS'!U$3:U$500)))</f>
        <v/>
      </c>
      <c r="CV6" s="132">
        <f>IF(OR(CV$4="",$B6=""),0,SUMIF('DADOS BRUTOS'!$A$3:$A$500,$B6,'DADOS BRUTOS'!V$3:V$500)+IF($C6="",0,SUMIF('DADOS BRUTOS'!$A$3:$A$500,$C6,'DADOS BRUTOS'!V$3:V$500)))</f>
        <v/>
      </c>
      <c r="CW6" s="132">
        <f>IF(OR(CW$4="",$B6=""),0,SUMIF('DADOS BRUTOS'!$A$3:$A$500,$B6,'DADOS BRUTOS'!W$3:W$500)+IF($C6="",0,SUMIF('DADOS BRUTOS'!$A$3:$A$500,$C6,'DADOS BRUTOS'!W$3:W$500)))</f>
        <v/>
      </c>
      <c r="CX6" s="132">
        <f>IF(OR(CX$4="",$B6=""),0,SUMIF('DADOS BRUTOS'!$A$3:$A$500,$B6,'DADOS BRUTOS'!X$3:X$500)+IF($C6="",0,SUMIF('DADOS BRUTOS'!$A$3:$A$500,$C6,'DADOS BRUTOS'!X$3:X$500)))</f>
        <v/>
      </c>
      <c r="CY6" s="132">
        <f>IF(OR(CY$4="",$B6=""),0,SUMIF('DADOS BRUTOS'!$A$3:$A$500,$B6,'DADOS BRUTOS'!Y$3:Y$500)+IF($C6="",0,SUMIF('DADOS BRUTOS'!$A$3:$A$500,$C6,'DADOS BRUTOS'!Y$3:Y$500)))</f>
        <v/>
      </c>
      <c r="CZ6" s="132">
        <f>IF(OR(CZ$4="",$B6=""),0,SUMIF('DADOS BRUTOS'!$A$3:$A$500,$B6,'DADOS BRUTOS'!Z$3:Z$500)+IF($C6="",0,SUMIF('DADOS BRUTOS'!$A$3:$A$500,$C6,'DADOS BRUTOS'!Z$3:Z$500)))</f>
        <v/>
      </c>
      <c r="DA6" s="132">
        <f>IF(OR(DA$4="",$B6=""),0,SUMIF('DADOS BRUTOS'!$A$3:$A$500,$B6,'DADOS BRUTOS'!AA$3:AA$500)+IF($C6="",0,SUMIF('DADOS BRUTOS'!$A$3:$A$500,$C6,'DADOS BRUTOS'!AA$3:AA$500)))</f>
        <v/>
      </c>
      <c r="DB6" s="132">
        <f>IF(OR(DB$4="",$B6=""),0,SUMIF('DADOS BRUTOS'!$A$3:$A$500,$B6,'DADOS BRUTOS'!AB$3:AB$500)+IF($C6="",0,SUMIF('DADOS BRUTOS'!$A$3:$A$500,$C6,'DADOS BRUTOS'!AB$3:AB$500)))</f>
        <v/>
      </c>
      <c r="DC6" s="132">
        <f>IF(OR(DC$4="",$B6=""),0,SUMIF('DADOS BRUTOS'!$A$3:$A$500,$B6,'DADOS BRUTOS'!AC$3:AC$500)+IF($C6="",0,SUMIF('DADOS BRUTOS'!$A$3:$A$500,$C6,'DADOS BRUTOS'!AC$3:AC$500)))</f>
        <v/>
      </c>
      <c r="DD6" s="132">
        <f>IF(OR(DD$4="",$B6=""),0,SUMIF('DADOS BRUTOS'!$A$3:$A$500,$B6,'DADOS BRUTOS'!AD$3:AD$500)+IF($C6="",0,SUMIF('DADOS BRUTOS'!$A$3:$A$500,$C6,'DADOS BRUTOS'!AD$3:AD$500)))</f>
        <v/>
      </c>
      <c r="DE6" s="132">
        <f>IF(OR(DE$4="",$B6=""),0,SUMIF('DADOS BRUTOS'!$A$3:$A$500,$B6,'DADOS BRUTOS'!AE$3:AE$500)+IF($C6="",0,SUMIF('DADOS BRUTOS'!$A$3:$A$500,$C6,'DADOS BRUTOS'!AE$3:AE$500)))</f>
        <v/>
      </c>
      <c r="DF6" s="132">
        <f>IF(OR(DF$4="",$B6=""),0,SUMIF('DADOS BRUTOS'!$A$3:$A$500,$B6,'DADOS BRUTOS'!AF$3:AF$500)+IF($C6="",0,SUMIF('DADOS BRUTOS'!$A$3:$A$500,$C6,'DADOS BRUTOS'!AF$3:AF$500)))</f>
        <v/>
      </c>
      <c r="DG6" s="132">
        <f>IF(OR(DG$4="",$B6=""),0,SUMIF('DADOS BRUTOS'!$A$3:$A$500,$B6,'DADOS BRUTOS'!AG$3:AG$500)+IF($C6="",0,SUMIF('DADOS BRUTOS'!$A$3:$A$500,$C6,'DADOS BRUTOS'!AG$3:AG$500)))</f>
        <v/>
      </c>
      <c r="DH6" s="132">
        <f>IF(OR(DH$4="",$B6=""),0,SUMIF('DADOS BRUTOS'!$A$3:$A$500,$B6,'DADOS BRUTOS'!AH$3:AH$500)+IF($C6="",0,SUMIF('DADOS BRUTOS'!$A$3:$A$500,$C6,'DADOS BRUTOS'!AH$3:AH$500)))</f>
        <v/>
      </c>
      <c r="DI6" s="132">
        <f>IF(OR(DI$4="",$B6=""),0,SUMIF('DADOS BRUTOS'!$A$3:$A$500,$B6,'DADOS BRUTOS'!AI$3:AI$500)+IF($C6="",0,SUMIF('DADOS BRUTOS'!$A$3:$A$500,$C6,'DADOS BRUTOS'!AI$3:AI$500)))</f>
        <v/>
      </c>
      <c r="DJ6" s="132">
        <f>IF(OR(DJ$4="",$B6=""),0,SUMIF('DADOS BRUTOS'!$A$3:$A$500,$B6,'DADOS BRUTOS'!AJ$3:AJ$500)+IF($C6="",0,SUMIF('DADOS BRUTOS'!$A$3:$A$500,$C6,'DADOS BRUTOS'!AJ$3:AJ$500)))</f>
        <v/>
      </c>
      <c r="DK6" s="132">
        <f>IF(OR(DK$4="",$B6=""),0,SUMIF('DADOS BRUTOS'!$A$3:$A$500,$B6,'DADOS BRUTOS'!AK$3:AK$500)+IF($C6="",0,SUMIF('DADOS BRUTOS'!$A$3:$A$500,$C6,'DADOS BRUTOS'!AK$3:AK$500)))</f>
        <v/>
      </c>
      <c r="DL6" s="132">
        <f>IF(OR(DL$4="",$B6=""),0,SUMIF('DADOS BRUTOS'!$A$3:$A$500,$B6,'DADOS BRUTOS'!AL$3:AL$500)+IF($C6="",0,SUMIF('DADOS BRUTOS'!$A$3:$A$500,$C6,'DADOS BRUTOS'!AL$3:AL$500)))</f>
        <v/>
      </c>
      <c r="DM6" s="132">
        <f>IF(OR(DM$4="",$B6=""),0,SUMIF('DADOS BRUTOS'!$A$3:$A$500,$B6,'DADOS BRUTOS'!AM$3:AM$500)+IF($C6="",0,SUMIF('DADOS BRUTOS'!$A$3:$A$500,$C6,'DADOS BRUTOS'!AM$3:AM$500)))</f>
        <v/>
      </c>
      <c r="DN6" s="132">
        <f>IF(OR(DN$4="",$B6=""),0,SUMIF('DADOS BRUTOS'!$A$3:$A$500,$B6,'DADOS BRUTOS'!AN$3:AN$500)+IF($C6="",0,SUMIF('DADOS BRUTOS'!$A$3:$A$500,$C6,'DADOS BRUTOS'!AN$3:AN$500)))</f>
        <v/>
      </c>
      <c r="DO6" s="132">
        <f>IF(OR(DO$4="",$B6=""),0,SUMIF('DADOS BRUTOS'!$A$3:$A$500,$B6,'DADOS BRUTOS'!AO$3:AO$500)+IF($C6="",0,SUMIF('DADOS BRUTOS'!$A$3:$A$500,$C6,'DADOS BRUTOS'!AO$3:AO$500)))</f>
        <v/>
      </c>
      <c r="DP6" s="132">
        <f>IF(OR(DP$4="",$B6=""),0,SUMIF('DADOS BRUTOS'!$A$3:$A$500,$B6,'DADOS BRUTOS'!AP$3:AP$500)+IF($C6="",0,SUMIF('DADOS BRUTOS'!$A$3:$A$500,$C6,'DADOS BRUTOS'!AP$3:AP$500)))</f>
        <v/>
      </c>
      <c r="DQ6" s="132">
        <f>IF(OR(DQ$4="",$B6=""),0,SUMIF('DADOS BRUTOS'!$A$3:$A$500,$B6,'DADOS BRUTOS'!AQ$3:AQ$500)+IF($C6="",0,SUMIF('DADOS BRUTOS'!$A$3:$A$500,$C6,'DADOS BRUTOS'!AQ$3:AQ$500)))</f>
        <v/>
      </c>
      <c r="DR6" s="132">
        <f>IF(OR(DR$4="",$B6=""),0,SUMIF('DADOS BRUTOS'!$A$3:$A$500,$B6,'DADOS BRUTOS'!AR$3:AR$500)+IF($C6="",0,SUMIF('DADOS BRUTOS'!$A$3:$A$500,$C6,'DADOS BRUTOS'!AR$3:AR$500)))</f>
        <v/>
      </c>
      <c r="DS6" s="132">
        <f>IF(OR(DS$4="",$B6=""),0,SUMIF('DADOS BRUTOS'!$A$3:$A$500,$B6,'DADOS BRUTOS'!AS$3:AS$500)+IF($C6="",0,SUMIF('DADOS BRUTOS'!$A$3:$A$500,$C6,'DADOS BRUTOS'!AS$3:AS$500)))</f>
        <v/>
      </c>
      <c r="DT6" s="132">
        <f>IF(OR(DT$4="",$B6=""),0,SUMIF('DADOS BRUTOS'!$A$3:$A$500,$B6,'DADOS BRUTOS'!AT$3:AT$500)+IF($C6="",0,SUMIF('DADOS BRUTOS'!$A$3:$A$500,$C6,'DADOS BRUTOS'!AT$3:AT$500)))</f>
        <v/>
      </c>
      <c r="DU6" s="132">
        <f>IF(OR(DU$4="",$B6=""),0,SUMIF('DADOS BRUTOS'!$A$3:$A$500,$B6,'DADOS BRUTOS'!AU$3:AU$500)+IF($C6="",0,SUMIF('DADOS BRUTOS'!$A$3:$A$500,$C6,'DADOS BRUTOS'!AU$3:AU$500)))</f>
        <v/>
      </c>
      <c r="DV6" s="132">
        <f>IF(OR(DV$4="",$B6=""),0,SUMIF('DADOS BRUTOS'!$A$3:$A$500,$B6,'DADOS BRUTOS'!AV$3:AV$500)+IF($C6="",0,SUMIF('DADOS BRUTOS'!$A$3:$A$500,$C6,'DADOS BRUTOS'!AV$3:AV$500)))</f>
        <v/>
      </c>
      <c r="DW6" s="132">
        <f>IF(OR(DW$4="",$B6=""),0,SUMIF('DADOS BRUTOS'!$A$3:$A$500,$B6,'DADOS BRUTOS'!AW$3:AW$500)+IF($C6="",0,SUMIF('DADOS BRUTOS'!$A$3:$A$500,$C6,'DADOS BRUTOS'!AW$3:AW$500)))</f>
        <v/>
      </c>
      <c r="DX6" s="132">
        <f>IF(OR(DX$4="",$B6=""),0,SUMIF('DADOS BRUTOS'!$A$3:$A$500,$B6,'DADOS BRUTOS'!AX$3:AX$500)+IF($C6="",0,SUMIF('DADOS BRUTOS'!$A$3:$A$500,$C6,'DADOS BRUTOS'!AX$3:AX$500)))</f>
        <v/>
      </c>
      <c r="DY6" s="132">
        <f>IF(OR(DY$4="",$B6=""),0,SUMIF('DADOS BRUTOS'!$A$3:$A$500,$B6,'DADOS BRUTOS'!AY$3:AY$500)+IF($C6="",0,SUMIF('DADOS BRUTOS'!$A$3:$A$500,$C6,'DADOS BRUTOS'!AY$3:AY$500)))</f>
        <v/>
      </c>
      <c r="DZ6" s="132">
        <f>IF(OR(DZ$4="",$B6=""),0,SUMIF('DADOS BRUTOS'!$A$3:$A$500,$B6,'DADOS BRUTOS'!AZ$3:AZ$500)+IF($C6="",0,SUMIF('DADOS BRUTOS'!$A$3:$A$500,$C6,'DADOS BRUTOS'!AZ$3:AZ$500)))</f>
        <v/>
      </c>
      <c r="EA6" s="132">
        <f>IF(OR(EA$4="",$B6=""),0,SUMIF('DADOS BRUTOS'!$A$3:$A$500,$B6,'DADOS BRUTOS'!BA$3:BA$500)+IF($C6="",0,SUMIF('DADOS BRUTOS'!$A$3:$A$500,$C6,'DADOS BRUTOS'!BA$3:BA$500)))</f>
        <v/>
      </c>
      <c r="EB6" s="132">
        <f>IF(OR(EB$4="",$B6=""),0,SUMIF('DADOS BRUTOS'!$A$3:$A$500,$B6,'DADOS BRUTOS'!BB$3:BB$500)+IF($C6="",0,SUMIF('DADOS BRUTOS'!$A$3:$A$500,$C6,'DADOS BRUTOS'!BB$3:BB$500)))</f>
        <v/>
      </c>
      <c r="EC6" s="132">
        <f>IF(OR(EC$4="",$B6=""),0,SUMIF('DADOS BRUTOS'!$A$3:$A$500,$B6,'DADOS BRUTOS'!BC$3:BC$500)+IF($C6="",0,SUMIF('DADOS BRUTOS'!$A$3:$A$500,$C6,'DADOS BRUTOS'!BC$3:BC$500)))</f>
        <v/>
      </c>
      <c r="ED6" s="132">
        <f>IF(OR(ED$4="",$B6=""),0,SUMIF('DADOS BRUTOS'!$A$3:$A$500,$B6,'DADOS BRUTOS'!BD$3:BD$500)+IF($C6="",0,SUMIF('DADOS BRUTOS'!$A$3:$A$500,$C6,'DADOS BRUTOS'!BD$3:BD$500)))</f>
        <v/>
      </c>
      <c r="EE6" s="132">
        <f>IF(OR(EE$4="",$B6=""),0,SUMIF('DADOS BRUTOS'!$A$3:$A$500,$B6,'DADOS BRUTOS'!BE$3:BE$500)+IF($C6="",0,SUMIF('DADOS BRUTOS'!$A$3:$A$500,$C6,'DADOS BRUTOS'!BE$3:BE$500)))</f>
        <v/>
      </c>
      <c r="EF6" s="132">
        <f>IF(OR(EF$4="",$B6=""),0,SUMIF('DADOS BRUTOS'!$A$3:$A$500,$B6,'DADOS BRUTOS'!BF$3:BF$500)+IF($C6="",0,SUMIF('DADOS BRUTOS'!$A$3:$A$500,$C6,'DADOS BRUTOS'!BF$3:BF$500)))</f>
        <v/>
      </c>
      <c r="EG6" s="132">
        <f>IF(OR(EG$4="",$B6=""),0,SUMIF('DADOS BRUTOS'!$A$3:$A$500,$B6,'DADOS BRUTOS'!BG$3:BG$500)+IF($C6="",0,SUMIF('DADOS BRUTOS'!$A$3:$A$500,$C6,'DADOS BRUTOS'!BG$3:BG$500)))</f>
        <v/>
      </c>
      <c r="EH6" s="132">
        <f>IF(OR(EH$4="",$B6=""),0,SUMIF('DADOS BRUTOS'!$A$3:$A$500,$B6,'DADOS BRUTOS'!BH$3:BH$500)+IF($C6="",0,SUMIF('DADOS BRUTOS'!$A$3:$A$500,$C6,'DADOS BRUTOS'!BH$3:BH$500)))</f>
        <v/>
      </c>
      <c r="EI6" s="132">
        <f>IF(OR(EI$4="",$B6=""),0,SUMIF('DADOS BRUTOS'!$A$3:$A$500,$B6,'DADOS BRUTOS'!BI$3:BI$500)+IF($C6="",0,SUMIF('DADOS BRUTOS'!$A$3:$A$500,$C6,'DADOS BRUTOS'!BI$3:BI$500)))</f>
        <v/>
      </c>
      <c r="EJ6" s="132">
        <f>IF(OR(EJ$4="",$B6=""),0,SUMIF('DADOS BRUTOS'!$A$3:$A$500,$B6,'DADOS BRUTOS'!BJ$3:BJ$500)+IF($C6="",0,SUMIF('DADOS BRUTOS'!$A$3:$A$500,$C6,'DADOS BRUTOS'!BJ$3:BJ$500)))</f>
        <v/>
      </c>
      <c r="EK6" s="132">
        <f>IF(OR(EK$4="",$B6=""),0,SUMIF('DADOS BRUTOS'!$A$3:$A$500,$B6,'DADOS BRUTOS'!BK$3:BK$500)+IF($C6="",0,SUMIF('DADOS BRUTOS'!$A$3:$A$500,$C6,'DADOS BRUTOS'!BK$3:BK$500)))</f>
        <v/>
      </c>
      <c r="EL6" s="132">
        <f>IF(OR(EL$4="",$B6=""),0,SUMIF('DADOS BRUTOS'!$A$3:$A$500,$B6,'DADOS BRUTOS'!BL$3:BL$500)+IF($C6="",0,SUMIF('DADOS BRUTOS'!$A$3:$A$500,$C6,'DADOS BRUTOS'!BL$3:BL$500)))</f>
        <v/>
      </c>
      <c r="EM6" s="132">
        <f>IF(OR(EM$4="",$B6=""),0,SUMIF('DADOS BRUTOS'!$A$3:$A$500,$B6,'DADOS BRUTOS'!BM$3:BM$500)+IF($C6="",0,SUMIF('DADOS BRUTOS'!$A$3:$A$500,$C6,'DADOS BRUTOS'!BM$3:BM$500)))</f>
        <v/>
      </c>
      <c r="EN6" s="132">
        <f>IF(OR(EN$4="",$B6=""),0,SUMIF('DADOS BRUTOS'!$A$3:$A$500,$B6,'DADOS BRUTOS'!BN$3:BN$500)+IF($C6="",0,SUMIF('DADOS BRUTOS'!$A$3:$A$500,$C6,'DADOS BRUTOS'!BN$3:BN$500)))</f>
        <v/>
      </c>
      <c r="EO6" s="132">
        <f>IF(OR(EO$4="",$B6=""),0,SUMIF('DADOS BRUTOS'!$A$3:$A$500,$B6,'DADOS BRUTOS'!BO$3:BO$500)+IF($C6="",0,SUMIF('DADOS BRUTOS'!$A$3:$A$500,$C6,'DADOS BRUTOS'!BO$3:BO$500)))</f>
        <v/>
      </c>
      <c r="EP6" s="132">
        <f>IF(OR(EP$4="",$B6=""),0,SUMIF('DADOS BRUTOS'!$A$3:$A$500,$B6,'DADOS BRUTOS'!BP$3:BP$500)+IF($C6="",0,SUMIF('DADOS BRUTOS'!$A$3:$A$500,$C6,'DADOS BRUTOS'!BP$3:BP$500)))</f>
        <v/>
      </c>
      <c r="EQ6" s="132">
        <f>IF(OR(EQ$4="",$B6=""),0,SUMIF('DADOS BRUTOS'!$A$3:$A$500,$B6,'DADOS BRUTOS'!BQ$3:BQ$500)+IF($C6="",0,SUMIF('DADOS BRUTOS'!$A$3:$A$500,$C6,'DADOS BRUTOS'!BQ$3:BQ$500)))</f>
        <v/>
      </c>
      <c r="ER6" s="132">
        <f>IF(OR(ER$4="",$B6=""),0,SUMIF('DADOS BRUTOS'!$A$3:$A$500,$B6,'DADOS BRUTOS'!BR$3:BR$500)+IF($C6="",0,SUMIF('DADOS BRUTOS'!$A$3:$A$500,$C6,'DADOS BRUTOS'!BR$3:BR$500)))</f>
        <v/>
      </c>
      <c r="ES6" s="132">
        <f>IF(OR(ES$4="",$B6=""),0,SUMIF('DADOS BRUTOS'!$A$3:$A$500,$B6,'DADOS BRUTOS'!BS$3:BS$500)+IF($C6="",0,SUMIF('DADOS BRUTOS'!$A$3:$A$500,$C6,'DADOS BRUTOS'!BS$3:BS$500)))</f>
        <v/>
      </c>
      <c r="ET6" s="132">
        <f>IF(OR(ET$4="",$B6=""),0,SUMIF('DADOS BRUTOS'!$A$3:$A$500,$B6,'DADOS BRUTOS'!BT$3:BT$500)+IF($C6="",0,SUMIF('DADOS BRUTOS'!$A$3:$A$500,$C6,'DADOS BRUTOS'!BT$3:BT$500)))</f>
        <v/>
      </c>
      <c r="EU6" s="132">
        <f>IF(OR(EU$4="",$B6=""),0,SUMIF('DADOS BRUTOS'!$A$3:$A$500,$B6,'DADOS BRUTOS'!BU$3:BU$500)+IF($C6="",0,SUMIF('DADOS BRUTOS'!$A$3:$A$500,$C6,'DADOS BRUTOS'!BU$3:BU$500)))</f>
        <v/>
      </c>
      <c r="EV6" s="132">
        <f>IF(OR(EV$4="",$B6=""),0,SUMIF('DADOS BRUTOS'!$A$3:$A$500,$B6,'DADOS BRUTOS'!BV$3:BV$500)+IF($C6="",0,SUMIF('DADOS BRUTOS'!$A$3:$A$500,$C6,'DADOS BRUTOS'!BV$3:BV$500)))</f>
        <v/>
      </c>
      <c r="EW6" s="132">
        <f>IF(OR(EW$4="",$B6=""),0,SUMIF('DADOS BRUTOS'!$A$3:$A$500,$B6,'DADOS BRUTOS'!BW$3:BW$500)+IF($C6="",0,SUMIF('DADOS BRUTOS'!$A$3:$A$500,$C6,'DADOS BRUTOS'!BW$3:BW$500)))</f>
        <v/>
      </c>
      <c r="EX6" s="132">
        <f>IF(OR(EX$4="",$B6=""),0,SUMIF('DADOS BRUTOS'!$A$3:$A$500,$B6,'DADOS BRUTOS'!BX$3:BX$500)+IF($C6="",0,SUMIF('DADOS BRUTOS'!$A$3:$A$500,$C6,'DADOS BRUTOS'!BX$3:BX$500)))</f>
        <v/>
      </c>
      <c r="EY6" s="132">
        <f>IF(OR(EY$4="",$B6=""),0,SUMIF('DADOS BRUTOS'!$A$3:$A$500,$B6,'DADOS BRUTOS'!BY$3:BY$500)+IF($C6="",0,SUMIF('DADOS BRUTOS'!$A$3:$A$500,$C6,'DADOS BRUTOS'!BY$3:BY$500)))</f>
        <v/>
      </c>
      <c r="EZ6" s="132">
        <f>IF(OR(EZ$4="",$B6=""),0,SUMIF('DADOS BRUTOS'!$A$3:$A$500,$B6,'DADOS BRUTOS'!BZ$3:BZ$500)+IF($C6="",0,SUMIF('DADOS BRUTOS'!$A$3:$A$500,$C6,'DADOS BRUTOS'!BZ$3:BZ$500)))</f>
        <v/>
      </c>
      <c r="FA6" s="132">
        <f>IF(OR(FA$4="",$B6=""),0,SUMIF('DADOS BRUTOS'!$A$3:$A$500,$B6,'DADOS BRUTOS'!CA$3:CA$500)+IF($C6="",0,SUMIF('DADOS BRUTOS'!$A$3:$A$500,$C6,'DADOS BRUTOS'!CA$3:CA$500)))</f>
        <v/>
      </c>
      <c r="FB6" s="132">
        <f>IF(OR(FB$4="",$B6=""),0,SUMIF('DADOS BRUTOS'!$A$3:$A$500,$B6,'DADOS BRUTOS'!CB$3:CB$500)+IF($C6="",0,SUMIF('DADOS BRUTOS'!$A$3:$A$500,$C6,'DADOS BRUTOS'!CB$3:CB$500)))</f>
        <v/>
      </c>
      <c r="FC6" s="132">
        <f>IF(OR(FC$4="",$B6=""),0,SUMIF('DADOS BRUTOS'!$A$3:$A$500,$B6,'DADOS BRUTOS'!CC$3:CC$500)+IF($C6="",0,SUMIF('DADOS BRUTOS'!$A$3:$A$500,$C6,'DADOS BRUTOS'!CC$3:CC$500)))</f>
        <v/>
      </c>
      <c r="FD6" s="132">
        <f>IF(OR(FD$4="",$B6=""),0,SUMIF('DADOS BRUTOS'!$A$3:$A$500,$B6,'DADOS BRUTOS'!CD$3:CD$500)+IF($C6="",0,SUMIF('DADOS BRUTOS'!$A$3:$A$500,$C6,'DADOS BRUTOS'!CD$3:CD$500)))</f>
        <v/>
      </c>
      <c r="FE6" s="132">
        <f>IF(OR(FE$4="",$B6=""),0,SUMIF('DADOS BRUTOS'!$A$3:$A$500,$B6,'DADOS BRUTOS'!CE$3:CE$500)+IF($C6="",0,SUMIF('DADOS BRUTOS'!$A$3:$A$500,$C6,'DADOS BRUTOS'!CE$3:CE$500)))</f>
        <v/>
      </c>
      <c r="FF6" s="132">
        <f>IF(OR(FF$4="",$B6=""),0,SUMIF('DADOS BRUTOS'!$A$3:$A$500,$B6,'DADOS BRUTOS'!CF$3:CF$500)+IF($C6="",0,SUMIF('DADOS BRUTOS'!$A$3:$A$500,$C6,'DADOS BRUTOS'!CF$3:CF$500)))</f>
        <v/>
      </c>
      <c r="FG6" s="132">
        <f>IF(OR(FG$4="",$B6=""),0,SUMIF('DADOS BRUTOS'!$A$3:$A$500,$B6,'DADOS BRUTOS'!CG$3:CG$500)+IF($C6="",0,SUMIF('DADOS BRUTOS'!$A$3:$A$500,$C6,'DADOS BRUTOS'!CG$3:CG$500)))</f>
        <v/>
      </c>
      <c r="FH6" s="132">
        <f>IF(OR(FH$4="",$B6=""),0,SUMIF('DADOS BRUTOS'!$A$3:$A$500,$B6,'DADOS BRUTOS'!CH$3:CH$500)+IF($C6="",0,SUMIF('DADOS BRUTOS'!$A$3:$A$500,$C6,'DADOS BRUTOS'!CH$3:CH$500)))</f>
        <v/>
      </c>
      <c r="FI6" s="132">
        <f>IF(OR(FI$4="",$B6=""),0,SUMIF('DADOS BRUTOS'!$A$3:$A$500,$B6,'DADOS BRUTOS'!CI$3:CI$500)+IF($C6="",0,SUMIF('DADOS BRUTOS'!$A$3:$A$500,$C6,'DADOS BRUTOS'!CI$3:CI$500)))</f>
        <v/>
      </c>
      <c r="FJ6" s="132">
        <f>IF(OR(FJ$4="",$B6=""),0,SUMIF('DADOS BRUTOS'!$A$3:$A$500,$B6,'DADOS BRUTOS'!CJ$3:CJ$500)+IF($C6="",0,SUMIF('DADOS BRUTOS'!$A$3:$A$500,$C6,'DADOS BRUTOS'!CJ$3:CJ$500)))</f>
        <v/>
      </c>
      <c r="FK6" s="132">
        <f>IF(OR(FK$4="",$B6=""),0,SUMIF('DADOS BRUTOS'!$A$3:$A$500,$B6,'DADOS BRUTOS'!CK$3:CK$500)+IF($C6="",0,SUMIF('DADOS BRUTOS'!$A$3:$A$500,$C6,'DADOS BRUTOS'!CK$3:CK$500)))</f>
        <v/>
      </c>
      <c r="FL6" s="132">
        <f>IF(OR(FL$4="",$B6=""),0,SUMIF('DADOS BRUTOS'!$A$3:$A$500,$B6,'DADOS BRUTOS'!CL$3:CL$500)+IF($C6="",0,SUMIF('DADOS BRUTOS'!$A$3:$A$500,$C6,'DADOS BRUTOS'!CL$3:CL$500)))</f>
        <v/>
      </c>
      <c r="FM6" s="132">
        <f>IF(OR(FM$4="",$B6=""),0,SUMIF('DADOS BRUTOS'!$A$3:$A$500,$B6,'DADOS BRUTOS'!CM$3:CM$500)+IF($C6="",0,SUMIF('DADOS BRUTOS'!$A$3:$A$500,$C6,'DADOS BRUTOS'!CM$3:CM$500)))</f>
        <v/>
      </c>
      <c r="FN6" s="132">
        <f>IF(OR(FN$4="",$B6=""),0,SUMIF('DADOS BRUTOS'!$A$3:$A$500,$B6,'DADOS BRUTOS'!CN$3:CN$500)+IF($C6="",0,SUMIF('DADOS BRUTOS'!$A$3:$A$500,$C6,'DADOS BRUTOS'!CN$3:CN$500)))</f>
        <v/>
      </c>
      <c r="FO6" s="132">
        <f>IF(OR(FO$4="",$B6=""),0,SUMIF('DADOS BRUTOS'!$A$3:$A$500,$B6,'DADOS BRUTOS'!CO$3:CO$500)+IF($C6="",0,SUMIF('DADOS BRUTOS'!$A$3:$A$500,$C6,'DADOS BRUTOS'!CO$3:CO$500)))</f>
        <v/>
      </c>
      <c r="FP6" s="132">
        <f>IF(OR(FP$4="",$B6=""),0,SUMIF('DADOS BRUTOS'!$A$3:$A$500,$B6,'DADOS BRUTOS'!CP$3:CP$500)+IF($C6="",0,SUMIF('DADOS BRUTOS'!$A$3:$A$500,$C6,'DADOS BRUTOS'!CP$3:CP$500)))</f>
        <v/>
      </c>
      <c r="FQ6" s="132">
        <f>IF(OR(FQ$4="",$B6=""),0,SUMIF('DADOS BRUTOS'!$A$3:$A$500,$B6,'DADOS BRUTOS'!CQ$3:CQ$500)+IF($C6="",0,SUMIF('DADOS BRUTOS'!$A$3:$A$500,$C6,'DADOS BRUTOS'!CQ$3:CQ$500)))</f>
        <v/>
      </c>
      <c r="FR6" s="132">
        <f>IF(OR(FR$4="",$B6=""),0,SUMIF('DADOS BRUTOS'!$A$3:$A$500,$B6,'DADOS BRUTOS'!CR$3:CR$500)+IF($C6="",0,SUMIF('DADOS BRUTOS'!$A$3:$A$500,$C6,'DADOS BRUTOS'!CR$3:CR$500)))</f>
        <v/>
      </c>
      <c r="FS6" s="132">
        <f>IF(OR(FS$4="",$B6=""),0,SUMIF('DADOS BRUTOS'!$A$3:$A$500,$B6,'DADOS BRUTOS'!CS$3:CS$500)+IF($C6="",0,SUMIF('DADOS BRUTOS'!$A$3:$A$500,$C6,'DADOS BRUTOS'!CS$3:CS$500)))</f>
        <v/>
      </c>
      <c r="FT6" s="132">
        <f>IF(OR(FT$4="",$B6=""),0,SUMIF('DADOS BRUTOS'!$A$3:$A$500,$B6,'DADOS BRUTOS'!CT$3:CT$500)+IF($C6="",0,SUMIF('DADOS BRUTOS'!$A$3:$A$500,$C6,'DADOS BRUTOS'!CT$3:CT$500)))</f>
        <v/>
      </c>
      <c r="FU6" s="132">
        <f>IF(OR(FU$4="",$B6=""),0,SUMIF('DADOS BRUTOS'!$A$3:$A$500,$B6,'DADOS BRUTOS'!CU$3:CU$500)+IF($C6="",0,SUMIF('DADOS BRUTOS'!$A$3:$A$500,$C6,'DADOS BRUTOS'!CU$3:CU$500)))</f>
        <v/>
      </c>
      <c r="FV6" s="132">
        <f>IF(OR(FV$4="",$B6=""),0,SUMIF('DADOS BRUTOS'!$A$3:$A$500,$B6,'DADOS BRUTOS'!CV$3:CV$500)+IF($C6="",0,SUMIF('DADOS BRUTOS'!$A$3:$A$500,$C6,'DADOS BRUTOS'!CV$3:CV$500)))</f>
        <v/>
      </c>
      <c r="FW6" s="132">
        <f>IF(OR(FW$4="",$B6=""),0,SUMIF('DADOS BRUTOS'!$A$3:$A$500,$B6,'DADOS BRUTOS'!CW$3:CW$500)+IF($C6="",0,SUMIF('DADOS BRUTOS'!$A$3:$A$500,$C6,'DADOS BRUTOS'!CW$3:CW$500)))</f>
        <v/>
      </c>
      <c r="FX6" s="132">
        <f>IF(OR(FX$4="",$B6=""),0,SUMIF('DADOS BRUTOS'!$A$3:$A$500,$B6,'DADOS BRUTOS'!CX$3:CX$500)+IF($C6="",0,SUMIF('DADOS BRUTOS'!$A$3:$A$500,$C6,'DADOS BRUTOS'!CX$3:CX$500)))</f>
        <v/>
      </c>
      <c r="FY6" s="132">
        <f>IF(OR(FY$4="",$B6=""),0,SUMIF('DADOS BRUTOS'!$A$3:$A$500,$B6,'DADOS BRUTOS'!CY$3:CY$500)+IF($C6="",0,SUMIF('DADOS BRUTOS'!$A$3:$A$500,$C6,'DADOS BRUTOS'!CY$3:CY$500)))</f>
        <v/>
      </c>
      <c r="FZ6" s="132">
        <f>IF(OR(FZ$4="",$B6=""),0,SUMIF('DADOS BRUTOS'!$A$3:$A$500,$B6,'DADOS BRUTOS'!CZ$3:CZ$500)+IF($C6="",0,SUMIF('DADOS BRUTOS'!$A$3:$A$500,$C6,'DADOS BRUTOS'!CZ$3:CZ$500)))</f>
        <v/>
      </c>
      <c r="GA6" s="132">
        <f>IF(OR(GA$4="",$B6=""),0,SUMIF('DADOS BRUTOS'!$A$3:$A$500,$B6,'DADOS BRUTOS'!DA$3:DA$500)+IF($C6="",0,SUMIF('DADOS BRUTOS'!$A$3:$A$500,$C6,'DADOS BRUTOS'!DA$3:DA$500)))</f>
        <v/>
      </c>
      <c r="GB6" s="132">
        <f>IF(OR(GB$4="",$B6=""),0,SUMIF('DADOS BRUTOS'!$A$3:$A$500,$B6,'DADOS BRUTOS'!DB$3:DB$500)+IF($C6="",0,SUMIF('DADOS BRUTOS'!$A$3:$A$500,$C6,'DADOS BRUTOS'!DB$3:DB$500)))</f>
        <v/>
      </c>
      <c r="GC6" s="132">
        <f>IF(OR(GC$4="",$B6=""),0,SUMIF('DADOS BRUTOS'!$A$3:$A$500,$B6,'DADOS BRUTOS'!DC$3:DC$500)+IF($C6="",0,SUMIF('DADOS BRUTOS'!$A$3:$A$500,$C6,'DADOS BRUTOS'!DC$3:DC$500)))</f>
        <v/>
      </c>
      <c r="GD6" s="132">
        <f>IF(OR(GD$4="",$B6=""),0,SUMIF('DADOS BRUTOS'!$A$3:$A$500,$B6,'DADOS BRUTOS'!DD$3:DD$500)+IF($C6="",0,SUMIF('DADOS BRUTOS'!$A$3:$A$500,$C6,'DADOS BRUTOS'!DD$3:DD$500)))</f>
        <v/>
      </c>
      <c r="GE6" s="132">
        <f>IF(OR(GE$4="",$B6=""),0,SUMIF('DADOS BRUTOS'!$A$3:$A$500,$B6,'DADOS BRUTOS'!DE$3:DE$500)+IF($C6="",0,SUMIF('DADOS BRUTOS'!$A$3:$A$500,$C6,'DADOS BRUTOS'!DE$3:DE$500)))</f>
        <v/>
      </c>
      <c r="GF6" s="132">
        <f>IF(OR(GF$4="",$B6=""),0,SUMIF('DADOS BRUTOS'!$A$3:$A$500,$B6,'DADOS BRUTOS'!DF$3:DF$500)+IF($C6="",0,SUMIF('DADOS BRUTOS'!$A$3:$A$500,$C6,'DADOS BRUTOS'!DF$3:DF$500)))</f>
        <v/>
      </c>
      <c r="GG6" s="132">
        <f>IF(OR(GG$4="",$B6=""),0,SUMIF('DADOS BRUTOS'!$A$3:$A$500,$B6,'DADOS BRUTOS'!DG$3:DG$500)+IF($C6="",0,SUMIF('DADOS BRUTOS'!$A$3:$A$500,$C6,'DADOS BRUTOS'!DG$3:DG$500)))</f>
        <v/>
      </c>
      <c r="GH6" s="132">
        <f>IF(OR(GH$4="",$B6=""),0,SUMIF('DADOS BRUTOS'!$A$3:$A$500,$B6,'DADOS BRUTOS'!DH$3:DH$500)+IF($C6="",0,SUMIF('DADOS BRUTOS'!$A$3:$A$500,$C6,'DADOS BRUTOS'!DH$3:DH$500)))</f>
        <v/>
      </c>
      <c r="GI6" s="132">
        <f>IF(OR(GI$4="",$B6=""),0,SUMIF('DADOS BRUTOS'!$A$3:$A$500,$B6,'DADOS BRUTOS'!DI$3:DI$500)+IF($C6="",0,SUMIF('DADOS BRUTOS'!$A$3:$A$500,$C6,'DADOS BRUTOS'!DI$3:DI$500)))</f>
        <v/>
      </c>
      <c r="GJ6" s="132">
        <f>IF(OR(GJ$4="",$B6=""),0,SUMIF('DADOS BRUTOS'!$A$3:$A$500,$B6,'DADOS BRUTOS'!DJ$3:DJ$500)+IF($C6="",0,SUMIF('DADOS BRUTOS'!$A$3:$A$500,$C6,'DADOS BRUTOS'!DJ$3:DJ$500)))</f>
        <v/>
      </c>
      <c r="GK6" s="132">
        <f>IF(OR(GK$4="",$B6=""),0,SUMIF('DADOS BRUTOS'!$A$3:$A$500,$B6,'DADOS BRUTOS'!DK$3:DK$500)+IF($C6="",0,SUMIF('DADOS BRUTOS'!$A$3:$A$500,$C6,'DADOS BRUTOS'!DK$3:DK$500)))</f>
        <v/>
      </c>
      <c r="GL6" s="132">
        <f>IF(OR(GL$4="",$B6=""),0,SUMIF('DADOS BRUTOS'!$A$3:$A$500,$B6,'DADOS BRUTOS'!DL$3:DL$500)+IF($C6="",0,SUMIF('DADOS BRUTOS'!$A$3:$A$500,$C6,'DADOS BRUTOS'!DL$3:DL$500)))</f>
        <v/>
      </c>
      <c r="GM6" s="132">
        <f>IF(OR(GM$4="",$B6=""),0,SUMIF('DADOS BRUTOS'!$A$3:$A$500,$B6,'DADOS BRUTOS'!DM$3:DM$500)+IF($C6="",0,SUMIF('DADOS BRUTOS'!$A$3:$A$500,$C6,'DADOS BRUTOS'!DM$3:DM$500)))</f>
        <v/>
      </c>
      <c r="GN6" s="132">
        <f>IF(OR(GN$4="",$B6=""),0,SUMIF('DADOS BRUTOS'!$A$3:$A$500,$B6,'DADOS BRUTOS'!DN$3:DN$500)+IF($C6="",0,SUMIF('DADOS BRUTOS'!$A$3:$A$500,$C6,'DADOS BRUTOS'!DN$3:DN$500)))</f>
        <v/>
      </c>
      <c r="GO6" s="132">
        <f>IF(OR(GO$4="",$B6=""),0,SUMIF('DADOS BRUTOS'!$A$3:$A$500,$B6,'DADOS BRUTOS'!DO$3:DO$500)+IF($C6="",0,SUMIF('DADOS BRUTOS'!$A$3:$A$500,$C6,'DADOS BRUTOS'!DO$3:DO$500)))</f>
        <v/>
      </c>
      <c r="GP6" s="132">
        <f>IF(OR(GP$4="",$B6=""),0,SUMIF('DADOS BRUTOS'!$A$3:$A$500,$B6,'DADOS BRUTOS'!DP$3:DP$500)+IF($C6="",0,SUMIF('DADOS BRUTOS'!$A$3:$A$500,$C6,'DADOS BRUTOS'!DP$3:DP$500)))</f>
        <v/>
      </c>
      <c r="GQ6" s="132">
        <f>IF(OR(GQ$4="",$B6=""),0,SUMIF('DADOS BRUTOS'!$A$3:$A$500,$B6,'DADOS BRUTOS'!DQ$3:DQ$500)+IF($C6="",0,SUMIF('DADOS BRUTOS'!$A$3:$A$500,$C6,'DADOS BRUTOS'!DQ$3:DQ$500)))</f>
        <v/>
      </c>
      <c r="GR6" s="132">
        <f>IF(OR(GR$4="",$B6=""),0,SUMIF('DADOS BRUTOS'!$A$3:$A$500,$B6,'DADOS BRUTOS'!DR$3:DR$500)+IF($C6="",0,SUMIF('DADOS BRUTOS'!$A$3:$A$500,$C6,'DADOS BRUTOS'!DR$3:DR$500)))</f>
        <v/>
      </c>
      <c r="GS6" s="132">
        <f>IF(OR(GS$4="",$B6=""),0,SUMIF('DADOS BRUTOS'!$A$3:$A$500,$B6,'DADOS BRUTOS'!DS$3:DS$500)+IF($C6="",0,SUMIF('DADOS BRUTOS'!$A$3:$A$500,$C6,'DADOS BRUTOS'!DS$3:DS$500)))</f>
        <v/>
      </c>
      <c r="GT6" s="132">
        <f>IF(OR(GT$4="",$B6=""),0,SUMIF('DADOS BRUTOS'!$A$3:$A$500,$B6,'DADOS BRUTOS'!DT$3:DT$500)+IF($C6="",0,SUMIF('DADOS BRUTOS'!$A$3:$A$500,$C6,'DADOS BRUTOS'!DT$3:DT$500)))</f>
        <v/>
      </c>
      <c r="GU6" s="132">
        <f>IF(OR(GU$4="",$B6=""),0,SUMIF('DADOS BRUTOS'!$A$3:$A$500,$B6,'DADOS BRUTOS'!DU$3:DU$500)+IF($C6="",0,SUMIF('DADOS BRUTOS'!$A$3:$A$500,$C6,'DADOS BRUTOS'!DU$3:DU$500)))</f>
        <v/>
      </c>
      <c r="GV6" s="132">
        <f>IF(OR(GV$4="",$B6=""),0,SUMIF('DADOS BRUTOS'!$A$3:$A$500,$B6,'DADOS BRUTOS'!DV$3:DV$500)+IF($C6="",0,SUMIF('DADOS BRUTOS'!$A$3:$A$500,$C6,'DADOS BRUTOS'!DV$3:DV$500)))</f>
        <v/>
      </c>
      <c r="GW6" s="132">
        <f>IF(OR(GW$4="",$B6=""),0,SUMIF('DADOS BRUTOS'!$A$3:$A$500,$B6,'DADOS BRUTOS'!DW$3:DW$500)+IF($C6="",0,SUMIF('DADOS BRUTOS'!$A$3:$A$500,$C6,'DADOS BRUTOS'!DW$3:DW$500)))</f>
        <v/>
      </c>
      <c r="GX6" s="132">
        <f>IF(OR(GX$4="",$B6=""),0,SUMIF('DADOS BRUTOS'!$A$3:$A$500,$B6,'DADOS BRUTOS'!DX$3:DX$500)+IF($C6="",0,SUMIF('DADOS BRUTOS'!$A$3:$A$500,$C6,'DADOS BRUTOS'!DX$3:DX$500)))</f>
        <v/>
      </c>
      <c r="GY6" s="132">
        <f>IF(OR(GY$4="",$B6=""),0,SUMIF('DADOS BRUTOS'!$A$3:$A$500,$B6,'DADOS BRUTOS'!DY$3:DY$500)+IF($C6="",0,SUMIF('DADOS BRUTOS'!$A$3:$A$500,$C6,'DADOS BRUTOS'!DY$3:DY$500)))</f>
        <v/>
      </c>
      <c r="GZ6" s="132">
        <f>IF(OR(GZ$4="",$B6=""),0,SUMIF('DADOS BRUTOS'!$A$3:$A$500,$B6,'DADOS BRUTOS'!DZ$3:DZ$500)+IF($C6="",0,SUMIF('DADOS BRUTOS'!$A$3:$A$500,$C6,'DADOS BRUTOS'!DZ$3:DZ$500)))</f>
        <v/>
      </c>
      <c r="HA6" s="132">
        <f>IF(OR(HA$4="",$B6=""),0,SUMIF('DADOS BRUTOS'!$A$3:$A$500,$B6,'DADOS BRUTOS'!EA$3:EA$500)+IF($C6="",0,SUMIF('DADOS BRUTOS'!$A$3:$A$500,$C6,'DADOS BRUTOS'!EA$3:EA$500)))</f>
        <v/>
      </c>
      <c r="HB6" s="132">
        <f>IF(OR(HB$4="",$B6=""),0,SUMIF('DADOS BRUTOS'!$A$3:$A$500,$B6,'DADOS BRUTOS'!EB$3:EB$500)+IF($C6="",0,SUMIF('DADOS BRUTOS'!$A$3:$A$500,$C6,'DADOS BRUTOS'!EB$3:EB$500)))</f>
        <v/>
      </c>
      <c r="HC6" s="132">
        <f>IF(OR(HC$4="",$B6=""),0,SUMIF('DADOS BRUTOS'!$A$3:$A$500,$B6,'DADOS BRUTOS'!EC$3:EC$500)+IF($C6="",0,SUMIF('DADOS BRUTOS'!$A$3:$A$500,$C6,'DADOS BRUTOS'!EC$3:EC$500)))</f>
        <v/>
      </c>
      <c r="HD6" s="132">
        <f>IF(OR(HD$4="",$B6=""),0,SUMIF('DADOS BRUTOS'!$A$3:$A$500,$B6,'DADOS BRUTOS'!ED$3:ED$500)+IF($C6="",0,SUMIF('DADOS BRUTOS'!$A$3:$A$500,$C6,'DADOS BRUTOS'!ED$3:ED$500)))</f>
        <v/>
      </c>
      <c r="HE6" s="132">
        <f>IF(OR(HE$4="",$B6=""),0,SUMIF('DADOS BRUTOS'!$A$3:$A$500,$B6,'DADOS BRUTOS'!EE$3:EE$500)+IF($C6="",0,SUMIF('DADOS BRUTOS'!$A$3:$A$500,$C6,'DADOS BRUTOS'!EE$3:EE$500)))</f>
        <v/>
      </c>
      <c r="HF6" s="132">
        <f>IF(OR(HF$4="",$B6=""),0,SUMIF('DADOS BRUTOS'!$A$3:$A$500,$B6,'DADOS BRUTOS'!EF$3:EF$500)+IF($C6="",0,SUMIF('DADOS BRUTOS'!$A$3:$A$500,$C6,'DADOS BRUTOS'!EF$3:EF$500)))</f>
        <v/>
      </c>
      <c r="HG6" s="132">
        <f>IF(OR(HG$4="",$B6=""),0,SUMIF('DADOS BRUTOS'!$A$3:$A$500,$B6,'DADOS BRUTOS'!EG$3:EG$500)+IF($C6="",0,SUMIF('DADOS BRUTOS'!$A$3:$A$500,$C6,'DADOS BRUTOS'!EG$3:EG$500)))</f>
        <v/>
      </c>
      <c r="HH6" s="132">
        <f>IF(OR(HH$4="",$B6=""),0,SUMIF('DADOS BRUTOS'!$A$3:$A$500,$B6,'DADOS BRUTOS'!EH$3:EH$500)+IF($C6="",0,SUMIF('DADOS BRUTOS'!$A$3:$A$500,$C6,'DADOS BRUTOS'!EH$3:EH$500)))</f>
        <v/>
      </c>
      <c r="HI6" s="132">
        <f>IF(OR(HI$4="",$B6=""),0,SUMIF('DADOS BRUTOS'!$A$3:$A$500,$B6,'DADOS BRUTOS'!EI$3:EI$500)+IF($C6="",0,SUMIF('DADOS BRUTOS'!$A$3:$A$500,$C6,'DADOS BRUTOS'!EI$3:EI$500)))</f>
        <v/>
      </c>
      <c r="HJ6" s="132">
        <f>IF(OR(HJ$4="",$B6=""),0,SUMIF('DADOS BRUTOS'!$A$3:$A$500,$B6,'DADOS BRUTOS'!EJ$3:EJ$500)+IF($C6="",0,SUMIF('DADOS BRUTOS'!$A$3:$A$500,$C6,'DADOS BRUTOS'!EJ$3:EJ$500)))</f>
        <v/>
      </c>
      <c r="HK6" s="132">
        <f>IF(OR(HK$4="",$B6=""),0,SUMIF('DADOS BRUTOS'!$A$3:$A$500,$B6,'DADOS BRUTOS'!EK$3:EK$500)+IF($C6="",0,SUMIF('DADOS BRUTOS'!$A$3:$A$500,$C6,'DADOS BRUTOS'!EK$3:EK$500)))</f>
        <v/>
      </c>
      <c r="HL6" s="132">
        <f>IF(OR(HL$4="",$B6=""),0,SUMIF('DADOS BRUTOS'!$A$3:$A$500,$B6,'DADOS BRUTOS'!EL$3:EL$500)+IF($C6="",0,SUMIF('DADOS BRUTOS'!$A$3:$A$500,$C6,'DADOS BRUTOS'!EL$3:EL$500)))</f>
        <v/>
      </c>
      <c r="HM6" s="132">
        <f>IF(OR(HM$4="",$B6=""),0,SUMIF('DADOS BRUTOS'!$A$3:$A$500,$B6,'DADOS BRUTOS'!EM$3:EM$500)+IF($C6="",0,SUMIF('DADOS BRUTOS'!$A$3:$A$500,$C6,'DADOS BRUTOS'!EM$3:EM$500)))</f>
        <v/>
      </c>
      <c r="HN6" s="132">
        <f>IF(OR(HN$4="",$B6=""),0,SUMIF('DADOS BRUTOS'!$A$3:$A$500,$B6,'DADOS BRUTOS'!EN$3:EN$500)+IF($C6="",0,SUMIF('DADOS BRUTOS'!$A$3:$A$500,$C6,'DADOS BRUTOS'!EN$3:EN$500)))</f>
        <v/>
      </c>
      <c r="HO6" s="132">
        <f>IF(OR(HO$4="",$B6=""),0,SUMIF('DADOS BRUTOS'!$A$3:$A$500,$B6,'DADOS BRUTOS'!EO$3:EO$500)+IF($C6="",0,SUMIF('DADOS BRUTOS'!$A$3:$A$500,$C6,'DADOS BRUTOS'!EO$3:EO$500)))</f>
        <v/>
      </c>
      <c r="HP6" s="132">
        <f>IF(OR(HP$4="",$B6=""),0,SUMIF('DADOS BRUTOS'!$A$3:$A$500,$B6,'DADOS BRUTOS'!EP$3:EP$500)+IF($C6="",0,SUMIF('DADOS BRUTOS'!$A$3:$A$500,$C6,'DADOS BRUTOS'!EP$3:EP$500)))</f>
        <v/>
      </c>
      <c r="HQ6" s="132">
        <f>IF(OR(HQ$4="",$B6=""),0,SUMIF('DADOS BRUTOS'!$A$3:$A$500,$B6,'DADOS BRUTOS'!EQ$3:EQ$500)+IF($C6="",0,SUMIF('DADOS BRUTOS'!$A$3:$A$500,$C6,'DADOS BRUTOS'!EQ$3:EQ$500)))</f>
        <v/>
      </c>
      <c r="HR6" s="132">
        <f>IF(OR(HR$4="",$B6=""),0,SUMIF('DADOS BRUTOS'!$A$3:$A$500,$B6,'DADOS BRUTOS'!ER$3:ER$500)+IF($C6="",0,SUMIF('DADOS BRUTOS'!$A$3:$A$500,$C6,'DADOS BRUTOS'!ER$3:ER$500)))</f>
        <v/>
      </c>
      <c r="HS6" s="132">
        <f>IF(OR(HS$4="",$B6=""),0,SUMIF('DADOS BRUTOS'!$A$3:$A$500,$B6,'DADOS BRUTOS'!ES$3:ES$500)+IF($C6="",0,SUMIF('DADOS BRUTOS'!$A$3:$A$500,$C6,'DADOS BRUTOS'!ES$3:ES$500)))</f>
        <v/>
      </c>
      <c r="HT6" s="132">
        <f>IF(OR(HT$4="",$B6=""),0,SUMIF('DADOS BRUTOS'!$A$3:$A$500,$B6,'DADOS BRUTOS'!ET$3:ET$500)+IF($C6="",0,SUMIF('DADOS BRUTOS'!$A$3:$A$500,$C6,'DADOS BRUTOS'!ET$3:ET$500)))</f>
        <v/>
      </c>
      <c r="HU6" s="132">
        <f>IF(OR(HU$4="",$B6=""),0,SUMIF('DADOS BRUTOS'!$A$3:$A$500,$B6,'DADOS BRUTOS'!EU$3:EU$500)+IF($C6="",0,SUMIF('DADOS BRUTOS'!$A$3:$A$500,$C6,'DADOS BRUTOS'!EU$3:EU$500)))</f>
        <v/>
      </c>
      <c r="HV6" s="132">
        <f>IF(OR(HV$4="",$B6=""),0,SUMIF('DADOS BRUTOS'!$A$3:$A$500,$B6,'DADOS BRUTOS'!EV$3:EV$500)+IF($C6="",0,SUMIF('DADOS BRUTOS'!$A$3:$A$500,$C6,'DADOS BRUTOS'!EV$3:EV$500)))</f>
        <v/>
      </c>
      <c r="HW6" s="132">
        <f>IF(OR(HW$4="",$B6=""),0,SUMIF('DADOS BRUTOS'!$A$3:$A$500,$B6,'DADOS BRUTOS'!EW$3:EW$500)+IF($C6="",0,SUMIF('DADOS BRUTOS'!$A$3:$A$500,$C6,'DADOS BRUTOS'!EW$3:EW$500)))</f>
        <v/>
      </c>
      <c r="HX6" s="132">
        <f>IF(OR(HX$4="",$B6=""),0,SUMIF('DADOS BRUTOS'!$A$3:$A$500,$B6,'DADOS BRUTOS'!EX$3:EX$500)+IF($C6="",0,SUMIF('DADOS BRUTOS'!$A$3:$A$500,$C6,'DADOS BRUTOS'!EX$3:EX$500)))</f>
        <v/>
      </c>
      <c r="HY6" s="132">
        <f>IF(OR(HY$4="",$B6=""),0,SUMIF('DADOS BRUTOS'!$A$3:$A$500,$B6,'DADOS BRUTOS'!EY$3:EY$500)+IF($C6="",0,SUMIF('DADOS BRUTOS'!$A$3:$A$500,$C6,'DADOS BRUTOS'!EY$3:EY$500)))</f>
        <v/>
      </c>
      <c r="HZ6" s="132">
        <f>IF(OR(HZ$4="",$B6=""),0,SUMIF('DADOS BRUTOS'!$A$3:$A$500,$B6,'DADOS BRUTOS'!EZ$3:EZ$500)+IF($C6="",0,SUMIF('DADOS BRUTOS'!$A$3:$A$500,$C6,'DADOS BRUTOS'!EZ$3:EZ$500)))</f>
        <v/>
      </c>
      <c r="IA6" s="132">
        <f>IF(OR(IA$4="",$B6=""),0,SUMIF('DADOS BRUTOS'!$A$3:$A$500,$B6,'DADOS BRUTOS'!FA$3:FA$500)+IF($C6="",0,SUMIF('DADOS BRUTOS'!$A$3:$A$500,$C6,'DADOS BRUTOS'!FA$3:FA$500)))</f>
        <v/>
      </c>
      <c r="IB6" s="132">
        <f>IF(OR(IB$4="",$B6=""),0,SUMIF('DADOS BRUTOS'!$A$3:$A$500,$B6,'DADOS BRUTOS'!FB$3:FB$500)+IF($C6="",0,SUMIF('DADOS BRUTOS'!$A$3:$A$500,$C6,'DADOS BRUTOS'!FB$3:FB$500)))</f>
        <v/>
      </c>
      <c r="IC6" s="132">
        <f>IF(OR(IC$4="",$B6=""),0,SUMIF('DADOS BRUTOS'!$A$3:$A$500,$B6,'DADOS BRUTOS'!FC$3:FC$500)+IF($C6="",0,SUMIF('DADOS BRUTOS'!$A$3:$A$500,$C6,'DADOS BRUTOS'!FC$3:FC$500)))</f>
        <v/>
      </c>
      <c r="ID6" s="132">
        <f>IF(OR(ID$4="",$B6=""),0,SUMIF('DADOS BRUTOS'!$A$3:$A$500,$B6,'DADOS BRUTOS'!FD$3:FD$500)+IF($C6="",0,SUMIF('DADOS BRUTOS'!$A$3:$A$500,$C6,'DADOS BRUTOS'!FD$3:FD$500)))</f>
        <v/>
      </c>
      <c r="IE6" s="132">
        <f>IF(OR(IE$4="",$B6=""),0,SUMIF('DADOS BRUTOS'!$A$3:$A$500,$B6,'DADOS BRUTOS'!FE$3:FE$500)+IF($C6="",0,SUMIF('DADOS BRUTOS'!$A$3:$A$500,$C6,'DADOS BRUTOS'!FE$3:FE$500)))</f>
        <v/>
      </c>
      <c r="IF6" s="132">
        <f>IF(OR(IF$4="",$B6=""),0,SUMIF('DADOS BRUTOS'!$A$3:$A$500,$B6,'DADOS BRUTOS'!FF$3:FF$500)+IF($C6="",0,SUMIF('DADOS BRUTOS'!$A$3:$A$500,$C6,'DADOS BRUTOS'!FF$3:FF$500)))</f>
        <v/>
      </c>
      <c r="IG6" s="132">
        <f>IF(OR(IG$4="",$B6=""),0,SUMIF('DADOS BRUTOS'!$A$3:$A$500,$B6,'DADOS BRUTOS'!FG$3:FG$500)+IF($C6="",0,SUMIF('DADOS BRUTOS'!$A$3:$A$500,$C6,'DADOS BRUTOS'!FG$3:FG$500)))</f>
        <v/>
      </c>
      <c r="IH6" s="132">
        <f>IF(OR(IH$4="",$B6=""),0,SUMIF('DADOS BRUTOS'!$A$3:$A$500,$B6,'DADOS BRUTOS'!FH$3:FH$500)+IF($C6="",0,SUMIF('DADOS BRUTOS'!$A$3:$A$500,$C6,'DADOS BRUTOS'!FH$3:FH$500)))</f>
        <v/>
      </c>
      <c r="II6" s="132">
        <f>IF(OR(II$4="",$B6=""),0,SUMIF('DADOS BRUTOS'!$A$3:$A$500,$B6,'DADOS BRUTOS'!FI$3:FI$500)+IF($C6="",0,SUMIF('DADOS BRUTOS'!$A$3:$A$500,$C6,'DADOS BRUTOS'!FI$3:FI$500)))</f>
        <v/>
      </c>
      <c r="IJ6" s="132">
        <f>IF(OR(IJ$4="",$B6=""),0,SUMIF('DADOS BRUTOS'!$A$3:$A$500,$B6,'DADOS BRUTOS'!FJ$3:FJ$500)+IF($C6="",0,SUMIF('DADOS BRUTOS'!$A$3:$A$500,$C6,'DADOS BRUTOS'!FJ$3:FJ$500)))</f>
        <v/>
      </c>
      <c r="IK6" s="132">
        <f>IF(OR(IK$4="",$B6=""),0,SUMIF('DADOS BRUTOS'!$A$3:$A$500,$B6,'DADOS BRUTOS'!FK$3:FK$500)+IF($C6="",0,SUMIF('DADOS BRUTOS'!$A$3:$A$500,$C6,'DADOS BRUTOS'!FK$3:FK$500)))</f>
        <v/>
      </c>
      <c r="IL6" s="132">
        <f>IF(OR(IL$4="",$B6=""),0,SUMIF('DADOS BRUTOS'!$A$3:$A$500,$B6,'DADOS BRUTOS'!FL$3:FL$500)+IF($C6="",0,SUMIF('DADOS BRUTOS'!$A$3:$A$500,$C6,'DADOS BRUTOS'!FL$3:FL$500)))</f>
        <v/>
      </c>
      <c r="IM6" s="132">
        <f>IF(OR(IM$4="",$B6=""),0,SUMIF('DADOS BRUTOS'!$A$3:$A$500,$B6,'DADOS BRUTOS'!FM$3:FM$500)+IF($C6="",0,SUMIF('DADOS BRUTOS'!$A$3:$A$500,$C6,'DADOS BRUTOS'!FM$3:FM$500)))</f>
        <v/>
      </c>
      <c r="IN6" s="132">
        <f>IF(OR(IN$4="",$B6=""),0,SUMIF('DADOS BRUTOS'!$A$3:$A$500,$B6,'DADOS BRUTOS'!FN$3:FN$500)+IF($C6="",0,SUMIF('DADOS BRUTOS'!$A$3:$A$500,$C6,'DADOS BRUTOS'!FN$3:FN$500)))</f>
        <v/>
      </c>
      <c r="IO6" s="132">
        <f>IF(OR(IO$4="",$B6=""),0,SUMIF('DADOS BRUTOS'!$A$3:$A$500,$B6,'DADOS BRUTOS'!FO$3:FO$500)+IF($C6="",0,SUMIF('DADOS BRUTOS'!$A$3:$A$500,$C6,'DADOS BRUTOS'!FO$3:FO$500)))</f>
        <v/>
      </c>
      <c r="IP6" s="132">
        <f>IF(OR(IP$4="",$B6=""),0,SUMIF('DADOS BRUTOS'!$A$3:$A$500,$B6,'DADOS BRUTOS'!FP$3:FP$500)+IF($C6="",0,SUMIF('DADOS BRUTOS'!$A$3:$A$500,$C6,'DADOS BRUTOS'!FP$3:FP$500)))</f>
        <v/>
      </c>
      <c r="IQ6" s="132">
        <f>IF(OR(IQ$4="",$B6=""),0,SUMIF('DADOS BRUTOS'!$A$3:$A$500,$B6,'DADOS BRUTOS'!FQ$3:FQ$500)+IF($C6="",0,SUMIF('DADOS BRUTOS'!$A$3:$A$500,$C6,'DADOS BRUTOS'!FQ$3:FQ$500)))</f>
        <v/>
      </c>
      <c r="IR6" s="132">
        <f>IF(OR(IR$4="",$B6=""),0,SUMIF('DADOS BRUTOS'!$A$3:$A$500,$B6,'DADOS BRUTOS'!FR$3:FR$500)+IF($C6="",0,SUMIF('DADOS BRUTOS'!$A$3:$A$500,$C6,'DADOS BRUTOS'!FR$3:FR$500)))</f>
        <v/>
      </c>
      <c r="IS6" s="132">
        <f>IF(OR(IS$4="",$B6=""),0,SUMIF('DADOS BRUTOS'!$A$3:$A$500,$B6,'DADOS BRUTOS'!FS$3:FS$500)+IF($C6="",0,SUMIF('DADOS BRUTOS'!$A$3:$A$500,$C6,'DADOS BRUTOS'!FS$3:FS$500)))</f>
        <v/>
      </c>
      <c r="IT6" s="132">
        <f>IF(OR(IT$4="",$B6=""),0,SUMIF('DADOS BRUTOS'!$A$3:$A$500,$B6,'DADOS BRUTOS'!FT$3:FT$500)+IF($C6="",0,SUMIF('DADOS BRUTOS'!$A$3:$A$500,$C6,'DADOS BRUTOS'!FT$3:FT$500)))</f>
        <v/>
      </c>
      <c r="IU6" s="132">
        <f>IF(OR(IU$4="",$B6=""),0,SUMIF('DADOS BRUTOS'!$A$3:$A$500,$B6,'DADOS BRUTOS'!FU$3:FU$500)+IF($C6="",0,SUMIF('DADOS BRUTOS'!$A$3:$A$500,$C6,'DADOS BRUTOS'!FU$3:FU$500)))</f>
        <v/>
      </c>
      <c r="IV6" s="132">
        <f>IF(OR(IV$4="",$B6=""),0,SUMIF('DADOS BRUTOS'!$A$3:$A$500,$B6,'DADOS BRUTOS'!FV$3:FV$500)+IF($C6="",0,SUMIF('DADOS BRUTOS'!$A$3:$A$500,$C6,'DADOS BRUTOS'!FV$3:FV$500)))</f>
        <v/>
      </c>
      <c r="IW6" s="132">
        <f>IF(OR(IW$4="",$B6=""),0,SUMIF('DADOS BRUTOS'!$A$3:$A$500,$B6,'DADOS BRUTOS'!FW$3:FW$500)+IF($C6="",0,SUMIF('DADOS BRUTOS'!$A$3:$A$500,$C6,'DADOS BRUTOS'!FW$3:FW$500)))</f>
        <v/>
      </c>
      <c r="IX6" s="132">
        <f>IF(OR(IX$4="",$B6=""),0,SUMIF('DADOS BRUTOS'!$A$3:$A$500,$B6,'DADOS BRUTOS'!FX$3:FX$500)+IF($C6="",0,SUMIF('DADOS BRUTOS'!$A$3:$A$500,$C6,'DADOS BRUTOS'!FX$3:FX$500)))</f>
        <v/>
      </c>
      <c r="IY6" s="132">
        <f>IF(OR(IY$4="",$B6=""),0,SUMIF('DADOS BRUTOS'!$A$3:$A$500,$B6,'DADOS BRUTOS'!FY$3:FY$500)+IF($C6="",0,SUMIF('DADOS BRUTOS'!$A$3:$A$500,$C6,'DADOS BRUTOS'!FY$3:FY$500)))</f>
        <v/>
      </c>
      <c r="IZ6" s="132">
        <f>IF(OR(IZ$4="",$B6=""),0,SUMIF('DADOS BRUTOS'!$A$3:$A$500,$B6,'DADOS BRUTOS'!FZ$3:FZ$500)+IF($C6="",0,SUMIF('DADOS BRUTOS'!$A$3:$A$500,$C6,'DADOS BRUTOS'!FZ$3:FZ$500)))</f>
        <v/>
      </c>
      <c r="JA6" s="132">
        <f>IF(OR(JA$4="",$B6=""),0,SUMIF('DADOS BRUTOS'!$A$3:$A$500,$B6,'DADOS BRUTOS'!GA$3:GA$500)+IF($C6="",0,SUMIF('DADOS BRUTOS'!$A$3:$A$500,$C6,'DADOS BRUTOS'!GA$3:GA$500)))</f>
        <v/>
      </c>
      <c r="JB6" s="132">
        <f>IF(OR(JB$4="",$B6=""),0,SUMIF('DADOS BRUTOS'!$A$3:$A$500,$B6,'DADOS BRUTOS'!GB$3:GB$500)+IF($C6="",0,SUMIF('DADOS BRUTOS'!$A$3:$A$500,$C6,'DADOS BRUTOS'!GB$3:GB$500)))</f>
        <v/>
      </c>
      <c r="JC6" s="132">
        <f>IF(OR(JC$4="",$B6=""),0,SUMIF('DADOS BRUTOS'!$A$3:$A$500,$B6,'DADOS BRUTOS'!GC$3:GC$500)+IF($C6="",0,SUMIF('DADOS BRUTOS'!$A$3:$A$500,$C6,'DADOS BRUTOS'!GC$3:GC$500)))</f>
        <v/>
      </c>
      <c r="JD6" s="132">
        <f>IF(OR(JD$4="",$B6=""),0,SUMIF('DADOS BRUTOS'!$A$3:$A$500,$B6,'DADOS BRUTOS'!GD$3:GD$500)+IF($C6="",0,SUMIF('DADOS BRUTOS'!$A$3:$A$500,$C6,'DADOS BRUTOS'!GD$3:GD$500)))</f>
        <v/>
      </c>
      <c r="JE6" s="132">
        <f>IF(OR(JE$4="",$B6=""),0,SUMIF('DADOS BRUTOS'!$A$3:$A$500,$B6,'DADOS BRUTOS'!GE$3:GE$500)+IF($C6="",0,SUMIF('DADOS BRUTOS'!$A$3:$A$500,$C6,'DADOS BRUTOS'!GE$3:GE$500)))</f>
        <v/>
      </c>
      <c r="JF6" s="132">
        <f>IF(OR(JF$4="",$B6=""),0,SUMIF('DADOS BRUTOS'!$A$3:$A$500,$B6,'DADOS BRUTOS'!GF$3:GF$500)+IF($C6="",0,SUMIF('DADOS BRUTOS'!$A$3:$A$500,$C6,'DADOS BRUTOS'!GF$3:GF$500)))</f>
        <v/>
      </c>
      <c r="JG6" s="132">
        <f>IF(OR(JG$4="",$B6=""),0,SUMIF('DADOS BRUTOS'!$A$3:$A$500,$B6,'DADOS BRUTOS'!GG$3:GG$500)+IF($C6="",0,SUMIF('DADOS BRUTOS'!$A$3:$A$500,$C6,'DADOS BRUTOS'!GG$3:GG$500)))</f>
        <v/>
      </c>
      <c r="JH6" s="132">
        <f>IF(OR(JH$4="",$B6=""),0,SUMIF('DADOS BRUTOS'!$A$3:$A$500,$B6,'DADOS BRUTOS'!GH$3:GH$500)+IF($C6="",0,SUMIF('DADOS BRUTOS'!$A$3:$A$500,$C6,'DADOS BRUTOS'!GH$3:GH$500)))</f>
        <v/>
      </c>
      <c r="JI6" s="132">
        <f>IF(OR(JI$4="",$B6=""),0,SUMIF('DADOS BRUTOS'!$A$3:$A$500,$B6,'DADOS BRUTOS'!GI$3:GI$500)+IF($C6="",0,SUMIF('DADOS BRUTOS'!$A$3:$A$500,$C6,'DADOS BRUTOS'!GI$3:GI$500)))</f>
        <v/>
      </c>
      <c r="JJ6" s="132">
        <f>IF(OR(JJ$4="",$B6=""),0,SUMIF('DADOS BRUTOS'!$A$3:$A$500,$B6,'DADOS BRUTOS'!GJ$3:GJ$500)+IF($C6="",0,SUMIF('DADOS BRUTOS'!$A$3:$A$500,$C6,'DADOS BRUTOS'!GJ$3:GJ$500)))</f>
        <v/>
      </c>
      <c r="JK6" s="132">
        <f>IF(OR(JK$4="",$B6=""),0,SUMIF('DADOS BRUTOS'!$A$3:$A$500,$B6,'DADOS BRUTOS'!GK$3:GK$500)+IF($C6="",0,SUMIF('DADOS BRUTOS'!$A$3:$A$500,$C6,'DADOS BRUTOS'!GK$3:GK$500)))</f>
        <v/>
      </c>
      <c r="JL6" s="132">
        <f>IF(OR(JL$4="",$B6=""),0,SUMIF('DADOS BRUTOS'!$A$3:$A$500,$B6,'DADOS BRUTOS'!GL$3:GL$500)+IF($C6="",0,SUMIF('DADOS BRUTOS'!$A$3:$A$500,$C6,'DADOS BRUTOS'!GL$3:GL$500)))</f>
        <v/>
      </c>
      <c r="JM6" s="132">
        <f>IF(OR(JM$4="",$B6=""),0,SUMIF('DADOS BRUTOS'!$A$3:$A$500,$B6,'DADOS BRUTOS'!GM$3:GM$500)+IF($C6="",0,SUMIF('DADOS BRUTOS'!$A$3:$A$500,$C6,'DADOS BRUTOS'!GM$3:GM$500)))</f>
        <v/>
      </c>
      <c r="JN6" s="132">
        <f>IF(OR(JN$4="",$B6=""),0,SUMIF('DADOS BRUTOS'!$A$3:$A$500,$B6,'DADOS BRUTOS'!GN$3:GN$500)+IF($C6="",0,SUMIF('DADOS BRUTOS'!$A$3:$A$500,$C6,'DADOS BRUTOS'!GN$3:GN$500)))</f>
        <v/>
      </c>
      <c r="JO6" s="132">
        <f>IF(OR(JO$4="",$B6=""),0,SUMIF('DADOS BRUTOS'!$A$3:$A$500,$B6,'DADOS BRUTOS'!GO$3:GO$500)+IF($C6="",0,SUMIF('DADOS BRUTOS'!$A$3:$A$500,$C6,'DADOS BRUTOS'!GO$3:GO$500)))</f>
        <v/>
      </c>
      <c r="JP6" s="132">
        <f>IF(OR(JP$4="",$B6=""),0,SUMIF('DADOS BRUTOS'!$A$3:$A$500,$B6,'DADOS BRUTOS'!GP$3:GP$500)+IF($C6="",0,SUMIF('DADOS BRUTOS'!$A$3:$A$500,$C6,'DADOS BRUTOS'!GP$3:GP$500)))</f>
        <v/>
      </c>
      <c r="JQ6" s="132">
        <f>IF(OR(JQ$4="",$B6=""),0,SUMIF('DADOS BRUTOS'!$A$3:$A$500,$B6,'DADOS BRUTOS'!GQ$3:GQ$500)+IF($C6="",0,SUMIF('DADOS BRUTOS'!$A$3:$A$500,$C6,'DADOS BRUTOS'!GQ$3:GQ$500)))</f>
        <v/>
      </c>
      <c r="JR6" s="132">
        <f>IF(OR(JR$4="",$B6=""),0,SUMIF('DADOS BRUTOS'!$A$3:$A$500,$B6,'DADOS BRUTOS'!GR$3:GR$500)+IF($C6="",0,SUMIF('DADOS BRUTOS'!$A$3:$A$500,$C6,'DADOS BRUTOS'!GR$3:GR$500)))</f>
        <v/>
      </c>
      <c r="JS6" s="132">
        <f>IF(OR(JS$4="",$B6=""),0,SUMIF('DADOS BRUTOS'!$A$3:$A$500,$B6,'DADOS BRUTOS'!GS$3:GS$500)+IF($C6="",0,SUMIF('DADOS BRUTOS'!$A$3:$A$500,$C6,'DADOS BRUTOS'!GS$3:GS$500)))</f>
        <v/>
      </c>
    </row>
    <row r="7">
      <c r="A7" s="61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BZ7" s="49">
        <f>SUMPRODUCT(($CB$4:$JS$4&lt;&gt;"")*($CB$4:$JS$4&lt;=$D$4),$CB7:$JS7,$CB$1:$JS$1)</f>
        <v/>
      </c>
      <c r="CB7" s="132">
        <f>IF(OR(CB$4="",$B7=""),0,SUMIF('DADOS BRUTOS'!$A$3:$A$500,$B7,'DADOS BRUTOS'!B$3:B$500)+IF($C7="",0,SUMIF('DADOS BRUTOS'!$A$3:$A$500,$C7,'DADOS BRUTOS'!B$3:B$500)))</f>
        <v/>
      </c>
      <c r="CC7" s="132">
        <f>IF(OR(CC$4="",$B7=""),0,SUMIF('DADOS BRUTOS'!$A$3:$A$500,$B7,'DADOS BRUTOS'!C$3:C$500)+IF($C7="",0,SUMIF('DADOS BRUTOS'!$A$3:$A$500,$C7,'DADOS BRUTOS'!C$3:C$500)))</f>
        <v/>
      </c>
      <c r="CD7" s="132">
        <f>IF(OR(CD$4="",$B7=""),0,SUMIF('DADOS BRUTOS'!$A$3:$A$500,$B7,'DADOS BRUTOS'!D$3:D$500)+IF($C7="",0,SUMIF('DADOS BRUTOS'!$A$3:$A$500,$C7,'DADOS BRUTOS'!D$3:D$500)))</f>
        <v/>
      </c>
      <c r="CE7" s="132">
        <f>IF(OR(CE$4="",$B7=""),0,SUMIF('DADOS BRUTOS'!$A$3:$A$500,$B7,'DADOS BRUTOS'!E$3:E$500)+IF($C7="",0,SUMIF('DADOS BRUTOS'!$A$3:$A$500,$C7,'DADOS BRUTOS'!E$3:E$500)))</f>
        <v/>
      </c>
      <c r="CF7" s="132">
        <f>IF(OR(CF$4="",$B7=""),0,SUMIF('DADOS BRUTOS'!$A$3:$A$500,$B7,'DADOS BRUTOS'!F$3:F$500)+IF($C7="",0,SUMIF('DADOS BRUTOS'!$A$3:$A$500,$C7,'DADOS BRUTOS'!F$3:F$500)))</f>
        <v/>
      </c>
      <c r="CG7" s="132">
        <f>IF(OR(CG$4="",$B7=""),0,SUMIF('DADOS BRUTOS'!$A$3:$A$500,$B7,'DADOS BRUTOS'!G$3:G$500)+IF($C7="",0,SUMIF('DADOS BRUTOS'!$A$3:$A$500,$C7,'DADOS BRUTOS'!G$3:G$500)))</f>
        <v/>
      </c>
      <c r="CH7" s="132">
        <f>IF(OR(CH$4="",$B7=""),0,SUMIF('DADOS BRUTOS'!$A$3:$A$500,$B7,'DADOS BRUTOS'!H$3:H$500)+IF($C7="",0,SUMIF('DADOS BRUTOS'!$A$3:$A$500,$C7,'DADOS BRUTOS'!H$3:H$500)))</f>
        <v/>
      </c>
      <c r="CI7" s="132">
        <f>IF(OR(CI$4="",$B7=""),0,SUMIF('DADOS BRUTOS'!$A$3:$A$500,$B7,'DADOS BRUTOS'!I$3:I$500)+IF($C7="",0,SUMIF('DADOS BRUTOS'!$A$3:$A$500,$C7,'DADOS BRUTOS'!I$3:I$500)))</f>
        <v/>
      </c>
      <c r="CJ7" s="132">
        <f>IF(OR(CJ$4="",$B7=""),0,SUMIF('DADOS BRUTOS'!$A$3:$A$500,$B7,'DADOS BRUTOS'!J$3:J$500)+IF($C7="",0,SUMIF('DADOS BRUTOS'!$A$3:$A$500,$C7,'DADOS BRUTOS'!J$3:J$500)))</f>
        <v/>
      </c>
      <c r="CK7" s="132">
        <f>IF(OR(CK$4="",$B7=""),0,SUMIF('DADOS BRUTOS'!$A$3:$A$500,$B7,'DADOS BRUTOS'!K$3:K$500)+IF($C7="",0,SUMIF('DADOS BRUTOS'!$A$3:$A$500,$C7,'DADOS BRUTOS'!K$3:K$500)))</f>
        <v/>
      </c>
      <c r="CL7" s="132">
        <f>IF(OR(CL$4="",$B7=""),0,SUMIF('DADOS BRUTOS'!$A$3:$A$500,$B7,'DADOS BRUTOS'!L$3:L$500)+IF($C7="",0,SUMIF('DADOS BRUTOS'!$A$3:$A$500,$C7,'DADOS BRUTOS'!L$3:L$500)))</f>
        <v/>
      </c>
      <c r="CM7" s="132">
        <f>IF(OR(CM$4="",$B7=""),0,SUMIF('DADOS BRUTOS'!$A$3:$A$500,$B7,'DADOS BRUTOS'!M$3:M$500)+IF($C7="",0,SUMIF('DADOS BRUTOS'!$A$3:$A$500,$C7,'DADOS BRUTOS'!M$3:M$500)))</f>
        <v/>
      </c>
      <c r="CN7" s="132">
        <f>IF(OR(CN$4="",$B7=""),0,SUMIF('DADOS BRUTOS'!$A$3:$A$500,$B7,'DADOS BRUTOS'!N$3:N$500)+IF($C7="",0,SUMIF('DADOS BRUTOS'!$A$3:$A$500,$C7,'DADOS BRUTOS'!N$3:N$500)))</f>
        <v/>
      </c>
      <c r="CO7" s="132">
        <f>IF(OR(CO$4="",$B7=""),0,SUMIF('DADOS BRUTOS'!$A$3:$A$500,$B7,'DADOS BRUTOS'!O$3:O$500)+IF($C7="",0,SUMIF('DADOS BRUTOS'!$A$3:$A$500,$C7,'DADOS BRUTOS'!O$3:O$500)))</f>
        <v/>
      </c>
      <c r="CP7" s="132">
        <f>IF(OR(CP$4="",$B7=""),0,SUMIF('DADOS BRUTOS'!$A$3:$A$500,$B7,'DADOS BRUTOS'!P$3:P$500)+IF($C7="",0,SUMIF('DADOS BRUTOS'!$A$3:$A$500,$C7,'DADOS BRUTOS'!P$3:P$500)))</f>
        <v/>
      </c>
      <c r="CQ7" s="132">
        <f>IF(OR(CQ$4="",$B7=""),0,SUMIF('DADOS BRUTOS'!$A$3:$A$500,$B7,'DADOS BRUTOS'!Q$3:Q$500)+IF($C7="",0,SUMIF('DADOS BRUTOS'!$A$3:$A$500,$C7,'DADOS BRUTOS'!Q$3:Q$500)))</f>
        <v/>
      </c>
      <c r="CR7" s="132">
        <f>IF(OR(CR$4="",$B7=""),0,SUMIF('DADOS BRUTOS'!$A$3:$A$500,$B7,'DADOS BRUTOS'!R$3:R$500)+IF($C7="",0,SUMIF('DADOS BRUTOS'!$A$3:$A$500,$C7,'DADOS BRUTOS'!R$3:R$500)))</f>
        <v/>
      </c>
      <c r="CS7" s="132">
        <f>IF(OR(CS$4="",$B7=""),0,SUMIF('DADOS BRUTOS'!$A$3:$A$500,$B7,'DADOS BRUTOS'!S$3:S$500)+IF($C7="",0,SUMIF('DADOS BRUTOS'!$A$3:$A$500,$C7,'DADOS BRUTOS'!S$3:S$500)))</f>
        <v/>
      </c>
      <c r="CT7" s="132">
        <f>IF(OR(CT$4="",$B7=""),0,SUMIF('DADOS BRUTOS'!$A$3:$A$500,$B7,'DADOS BRUTOS'!T$3:T$500)+IF($C7="",0,SUMIF('DADOS BRUTOS'!$A$3:$A$500,$C7,'DADOS BRUTOS'!T$3:T$500)))</f>
        <v/>
      </c>
      <c r="CU7" s="132">
        <f>IF(OR(CU$4="",$B7=""),0,SUMIF('DADOS BRUTOS'!$A$3:$A$500,$B7,'DADOS BRUTOS'!U$3:U$500)+IF($C7="",0,SUMIF('DADOS BRUTOS'!$A$3:$A$500,$C7,'DADOS BRUTOS'!U$3:U$500)))</f>
        <v/>
      </c>
      <c r="CV7" s="132">
        <f>IF(OR(CV$4="",$B7=""),0,SUMIF('DADOS BRUTOS'!$A$3:$A$500,$B7,'DADOS BRUTOS'!V$3:V$500)+IF($C7="",0,SUMIF('DADOS BRUTOS'!$A$3:$A$500,$C7,'DADOS BRUTOS'!V$3:V$500)))</f>
        <v/>
      </c>
      <c r="CW7" s="132">
        <f>IF(OR(CW$4="",$B7=""),0,SUMIF('DADOS BRUTOS'!$A$3:$A$500,$B7,'DADOS BRUTOS'!W$3:W$500)+IF($C7="",0,SUMIF('DADOS BRUTOS'!$A$3:$A$500,$C7,'DADOS BRUTOS'!W$3:W$500)))</f>
        <v/>
      </c>
      <c r="CX7" s="132">
        <f>IF(OR(CX$4="",$B7=""),0,SUMIF('DADOS BRUTOS'!$A$3:$A$500,$B7,'DADOS BRUTOS'!X$3:X$500)+IF($C7="",0,SUMIF('DADOS BRUTOS'!$A$3:$A$500,$C7,'DADOS BRUTOS'!X$3:X$500)))</f>
        <v/>
      </c>
      <c r="CY7" s="132">
        <f>IF(OR(CY$4="",$B7=""),0,SUMIF('DADOS BRUTOS'!$A$3:$A$500,$B7,'DADOS BRUTOS'!Y$3:Y$500)+IF($C7="",0,SUMIF('DADOS BRUTOS'!$A$3:$A$500,$C7,'DADOS BRUTOS'!Y$3:Y$500)))</f>
        <v/>
      </c>
      <c r="CZ7" s="132">
        <f>IF(OR(CZ$4="",$B7=""),0,SUMIF('DADOS BRUTOS'!$A$3:$A$500,$B7,'DADOS BRUTOS'!Z$3:Z$500)+IF($C7="",0,SUMIF('DADOS BRUTOS'!$A$3:$A$500,$C7,'DADOS BRUTOS'!Z$3:Z$500)))</f>
        <v/>
      </c>
      <c r="DA7" s="132">
        <f>IF(OR(DA$4="",$B7=""),0,SUMIF('DADOS BRUTOS'!$A$3:$A$500,$B7,'DADOS BRUTOS'!AA$3:AA$500)+IF($C7="",0,SUMIF('DADOS BRUTOS'!$A$3:$A$500,$C7,'DADOS BRUTOS'!AA$3:AA$500)))</f>
        <v/>
      </c>
      <c r="DB7" s="132">
        <f>IF(OR(DB$4="",$B7=""),0,SUMIF('DADOS BRUTOS'!$A$3:$A$500,$B7,'DADOS BRUTOS'!AB$3:AB$500)+IF($C7="",0,SUMIF('DADOS BRUTOS'!$A$3:$A$500,$C7,'DADOS BRUTOS'!AB$3:AB$500)))</f>
        <v/>
      </c>
      <c r="DC7" s="132">
        <f>IF(OR(DC$4="",$B7=""),0,SUMIF('DADOS BRUTOS'!$A$3:$A$500,$B7,'DADOS BRUTOS'!AC$3:AC$500)+IF($C7="",0,SUMIF('DADOS BRUTOS'!$A$3:$A$500,$C7,'DADOS BRUTOS'!AC$3:AC$500)))</f>
        <v/>
      </c>
      <c r="DD7" s="132">
        <f>IF(OR(DD$4="",$B7=""),0,SUMIF('DADOS BRUTOS'!$A$3:$A$500,$B7,'DADOS BRUTOS'!AD$3:AD$500)+IF($C7="",0,SUMIF('DADOS BRUTOS'!$A$3:$A$500,$C7,'DADOS BRUTOS'!AD$3:AD$500)))</f>
        <v/>
      </c>
      <c r="DE7" s="132">
        <f>IF(OR(DE$4="",$B7=""),0,SUMIF('DADOS BRUTOS'!$A$3:$A$500,$B7,'DADOS BRUTOS'!AE$3:AE$500)+IF($C7="",0,SUMIF('DADOS BRUTOS'!$A$3:$A$500,$C7,'DADOS BRUTOS'!AE$3:AE$500)))</f>
        <v/>
      </c>
      <c r="DF7" s="132">
        <f>IF(OR(DF$4="",$B7=""),0,SUMIF('DADOS BRUTOS'!$A$3:$A$500,$B7,'DADOS BRUTOS'!AF$3:AF$500)+IF($C7="",0,SUMIF('DADOS BRUTOS'!$A$3:$A$500,$C7,'DADOS BRUTOS'!AF$3:AF$500)))</f>
        <v/>
      </c>
      <c r="DG7" s="132">
        <f>IF(OR(DG$4="",$B7=""),0,SUMIF('DADOS BRUTOS'!$A$3:$A$500,$B7,'DADOS BRUTOS'!AG$3:AG$500)+IF($C7="",0,SUMIF('DADOS BRUTOS'!$A$3:$A$500,$C7,'DADOS BRUTOS'!AG$3:AG$500)))</f>
        <v/>
      </c>
      <c r="DH7" s="132">
        <f>IF(OR(DH$4="",$B7=""),0,SUMIF('DADOS BRUTOS'!$A$3:$A$500,$B7,'DADOS BRUTOS'!AH$3:AH$500)+IF($C7="",0,SUMIF('DADOS BRUTOS'!$A$3:$A$500,$C7,'DADOS BRUTOS'!AH$3:AH$500)))</f>
        <v/>
      </c>
      <c r="DI7" s="132">
        <f>IF(OR(DI$4="",$B7=""),0,SUMIF('DADOS BRUTOS'!$A$3:$A$500,$B7,'DADOS BRUTOS'!AI$3:AI$500)+IF($C7="",0,SUMIF('DADOS BRUTOS'!$A$3:$A$500,$C7,'DADOS BRUTOS'!AI$3:AI$500)))</f>
        <v/>
      </c>
      <c r="DJ7" s="132">
        <f>IF(OR(DJ$4="",$B7=""),0,SUMIF('DADOS BRUTOS'!$A$3:$A$500,$B7,'DADOS BRUTOS'!AJ$3:AJ$500)+IF($C7="",0,SUMIF('DADOS BRUTOS'!$A$3:$A$500,$C7,'DADOS BRUTOS'!AJ$3:AJ$500)))</f>
        <v/>
      </c>
      <c r="DK7" s="132">
        <f>IF(OR(DK$4="",$B7=""),0,SUMIF('DADOS BRUTOS'!$A$3:$A$500,$B7,'DADOS BRUTOS'!AK$3:AK$500)+IF($C7="",0,SUMIF('DADOS BRUTOS'!$A$3:$A$500,$C7,'DADOS BRUTOS'!AK$3:AK$500)))</f>
        <v/>
      </c>
      <c r="DL7" s="132">
        <f>IF(OR(DL$4="",$B7=""),0,SUMIF('DADOS BRUTOS'!$A$3:$A$500,$B7,'DADOS BRUTOS'!AL$3:AL$500)+IF($C7="",0,SUMIF('DADOS BRUTOS'!$A$3:$A$500,$C7,'DADOS BRUTOS'!AL$3:AL$500)))</f>
        <v/>
      </c>
      <c r="DM7" s="132">
        <f>IF(OR(DM$4="",$B7=""),0,SUMIF('DADOS BRUTOS'!$A$3:$A$500,$B7,'DADOS BRUTOS'!AM$3:AM$500)+IF($C7="",0,SUMIF('DADOS BRUTOS'!$A$3:$A$500,$C7,'DADOS BRUTOS'!AM$3:AM$500)))</f>
        <v/>
      </c>
      <c r="DN7" s="132">
        <f>IF(OR(DN$4="",$B7=""),0,SUMIF('DADOS BRUTOS'!$A$3:$A$500,$B7,'DADOS BRUTOS'!AN$3:AN$500)+IF($C7="",0,SUMIF('DADOS BRUTOS'!$A$3:$A$500,$C7,'DADOS BRUTOS'!AN$3:AN$500)))</f>
        <v/>
      </c>
      <c r="DO7" s="132">
        <f>IF(OR(DO$4="",$B7=""),0,SUMIF('DADOS BRUTOS'!$A$3:$A$500,$B7,'DADOS BRUTOS'!AO$3:AO$500)+IF($C7="",0,SUMIF('DADOS BRUTOS'!$A$3:$A$500,$C7,'DADOS BRUTOS'!AO$3:AO$500)))</f>
        <v/>
      </c>
      <c r="DP7" s="132">
        <f>IF(OR(DP$4="",$B7=""),0,SUMIF('DADOS BRUTOS'!$A$3:$A$500,$B7,'DADOS BRUTOS'!AP$3:AP$500)+IF($C7="",0,SUMIF('DADOS BRUTOS'!$A$3:$A$500,$C7,'DADOS BRUTOS'!AP$3:AP$500)))</f>
        <v/>
      </c>
      <c r="DQ7" s="132">
        <f>IF(OR(DQ$4="",$B7=""),0,SUMIF('DADOS BRUTOS'!$A$3:$A$500,$B7,'DADOS BRUTOS'!AQ$3:AQ$500)+IF($C7="",0,SUMIF('DADOS BRUTOS'!$A$3:$A$500,$C7,'DADOS BRUTOS'!AQ$3:AQ$500)))</f>
        <v/>
      </c>
      <c r="DR7" s="132">
        <f>IF(OR(DR$4="",$B7=""),0,SUMIF('DADOS BRUTOS'!$A$3:$A$500,$B7,'DADOS BRUTOS'!AR$3:AR$500)+IF($C7="",0,SUMIF('DADOS BRUTOS'!$A$3:$A$500,$C7,'DADOS BRUTOS'!AR$3:AR$500)))</f>
        <v/>
      </c>
      <c r="DS7" s="132">
        <f>IF(OR(DS$4="",$B7=""),0,SUMIF('DADOS BRUTOS'!$A$3:$A$500,$B7,'DADOS BRUTOS'!AS$3:AS$500)+IF($C7="",0,SUMIF('DADOS BRUTOS'!$A$3:$A$500,$C7,'DADOS BRUTOS'!AS$3:AS$500)))</f>
        <v/>
      </c>
      <c r="DT7" s="132">
        <f>IF(OR(DT$4="",$B7=""),0,SUMIF('DADOS BRUTOS'!$A$3:$A$500,$B7,'DADOS BRUTOS'!AT$3:AT$500)+IF($C7="",0,SUMIF('DADOS BRUTOS'!$A$3:$A$500,$C7,'DADOS BRUTOS'!AT$3:AT$500)))</f>
        <v/>
      </c>
      <c r="DU7" s="132">
        <f>IF(OR(DU$4="",$B7=""),0,SUMIF('DADOS BRUTOS'!$A$3:$A$500,$B7,'DADOS BRUTOS'!AU$3:AU$500)+IF($C7="",0,SUMIF('DADOS BRUTOS'!$A$3:$A$500,$C7,'DADOS BRUTOS'!AU$3:AU$500)))</f>
        <v/>
      </c>
      <c r="DV7" s="132">
        <f>IF(OR(DV$4="",$B7=""),0,SUMIF('DADOS BRUTOS'!$A$3:$A$500,$B7,'DADOS BRUTOS'!AV$3:AV$500)+IF($C7="",0,SUMIF('DADOS BRUTOS'!$A$3:$A$500,$C7,'DADOS BRUTOS'!AV$3:AV$500)))</f>
        <v/>
      </c>
      <c r="DW7" s="132">
        <f>IF(OR(DW$4="",$B7=""),0,SUMIF('DADOS BRUTOS'!$A$3:$A$500,$B7,'DADOS BRUTOS'!AW$3:AW$500)+IF($C7="",0,SUMIF('DADOS BRUTOS'!$A$3:$A$500,$C7,'DADOS BRUTOS'!AW$3:AW$500)))</f>
        <v/>
      </c>
      <c r="DX7" s="132">
        <f>IF(OR(DX$4="",$B7=""),0,SUMIF('DADOS BRUTOS'!$A$3:$A$500,$B7,'DADOS BRUTOS'!AX$3:AX$500)+IF($C7="",0,SUMIF('DADOS BRUTOS'!$A$3:$A$500,$C7,'DADOS BRUTOS'!AX$3:AX$500)))</f>
        <v/>
      </c>
      <c r="DY7" s="132">
        <f>IF(OR(DY$4="",$B7=""),0,SUMIF('DADOS BRUTOS'!$A$3:$A$500,$B7,'DADOS BRUTOS'!AY$3:AY$500)+IF($C7="",0,SUMIF('DADOS BRUTOS'!$A$3:$A$500,$C7,'DADOS BRUTOS'!AY$3:AY$500)))</f>
        <v/>
      </c>
      <c r="DZ7" s="132">
        <f>IF(OR(DZ$4="",$B7=""),0,SUMIF('DADOS BRUTOS'!$A$3:$A$500,$B7,'DADOS BRUTOS'!AZ$3:AZ$500)+IF($C7="",0,SUMIF('DADOS BRUTOS'!$A$3:$A$500,$C7,'DADOS BRUTOS'!AZ$3:AZ$500)))</f>
        <v/>
      </c>
      <c r="EA7" s="132">
        <f>IF(OR(EA$4="",$B7=""),0,SUMIF('DADOS BRUTOS'!$A$3:$A$500,$B7,'DADOS BRUTOS'!BA$3:BA$500)+IF($C7="",0,SUMIF('DADOS BRUTOS'!$A$3:$A$500,$C7,'DADOS BRUTOS'!BA$3:BA$500)))</f>
        <v/>
      </c>
      <c r="EB7" s="132">
        <f>IF(OR(EB$4="",$B7=""),0,SUMIF('DADOS BRUTOS'!$A$3:$A$500,$B7,'DADOS BRUTOS'!BB$3:BB$500)+IF($C7="",0,SUMIF('DADOS BRUTOS'!$A$3:$A$500,$C7,'DADOS BRUTOS'!BB$3:BB$500)))</f>
        <v/>
      </c>
      <c r="EC7" s="132">
        <f>IF(OR(EC$4="",$B7=""),0,SUMIF('DADOS BRUTOS'!$A$3:$A$500,$B7,'DADOS BRUTOS'!BC$3:BC$500)+IF($C7="",0,SUMIF('DADOS BRUTOS'!$A$3:$A$500,$C7,'DADOS BRUTOS'!BC$3:BC$500)))</f>
        <v/>
      </c>
      <c r="ED7" s="132">
        <f>IF(OR(ED$4="",$B7=""),0,SUMIF('DADOS BRUTOS'!$A$3:$A$500,$B7,'DADOS BRUTOS'!BD$3:BD$500)+IF($C7="",0,SUMIF('DADOS BRUTOS'!$A$3:$A$500,$C7,'DADOS BRUTOS'!BD$3:BD$500)))</f>
        <v/>
      </c>
      <c r="EE7" s="132">
        <f>IF(OR(EE$4="",$B7=""),0,SUMIF('DADOS BRUTOS'!$A$3:$A$500,$B7,'DADOS BRUTOS'!BE$3:BE$500)+IF($C7="",0,SUMIF('DADOS BRUTOS'!$A$3:$A$500,$C7,'DADOS BRUTOS'!BE$3:BE$500)))</f>
        <v/>
      </c>
      <c r="EF7" s="132">
        <f>IF(OR(EF$4="",$B7=""),0,SUMIF('DADOS BRUTOS'!$A$3:$A$500,$B7,'DADOS BRUTOS'!BF$3:BF$500)+IF($C7="",0,SUMIF('DADOS BRUTOS'!$A$3:$A$500,$C7,'DADOS BRUTOS'!BF$3:BF$500)))</f>
        <v/>
      </c>
      <c r="EG7" s="132">
        <f>IF(OR(EG$4="",$B7=""),0,SUMIF('DADOS BRUTOS'!$A$3:$A$500,$B7,'DADOS BRUTOS'!BG$3:BG$500)+IF($C7="",0,SUMIF('DADOS BRUTOS'!$A$3:$A$500,$C7,'DADOS BRUTOS'!BG$3:BG$500)))</f>
        <v/>
      </c>
      <c r="EH7" s="132">
        <f>IF(OR(EH$4="",$B7=""),0,SUMIF('DADOS BRUTOS'!$A$3:$A$500,$B7,'DADOS BRUTOS'!BH$3:BH$500)+IF($C7="",0,SUMIF('DADOS BRUTOS'!$A$3:$A$500,$C7,'DADOS BRUTOS'!BH$3:BH$500)))</f>
        <v/>
      </c>
      <c r="EI7" s="132">
        <f>IF(OR(EI$4="",$B7=""),0,SUMIF('DADOS BRUTOS'!$A$3:$A$500,$B7,'DADOS BRUTOS'!BI$3:BI$500)+IF($C7="",0,SUMIF('DADOS BRUTOS'!$A$3:$A$500,$C7,'DADOS BRUTOS'!BI$3:BI$500)))</f>
        <v/>
      </c>
      <c r="EJ7" s="132">
        <f>IF(OR(EJ$4="",$B7=""),0,SUMIF('DADOS BRUTOS'!$A$3:$A$500,$B7,'DADOS BRUTOS'!BJ$3:BJ$500)+IF($C7="",0,SUMIF('DADOS BRUTOS'!$A$3:$A$500,$C7,'DADOS BRUTOS'!BJ$3:BJ$500)))</f>
        <v/>
      </c>
      <c r="EK7" s="132">
        <f>IF(OR(EK$4="",$B7=""),0,SUMIF('DADOS BRUTOS'!$A$3:$A$500,$B7,'DADOS BRUTOS'!BK$3:BK$500)+IF($C7="",0,SUMIF('DADOS BRUTOS'!$A$3:$A$500,$C7,'DADOS BRUTOS'!BK$3:BK$500)))</f>
        <v/>
      </c>
      <c r="EL7" s="132">
        <f>IF(OR(EL$4="",$B7=""),0,SUMIF('DADOS BRUTOS'!$A$3:$A$500,$B7,'DADOS BRUTOS'!BL$3:BL$500)+IF($C7="",0,SUMIF('DADOS BRUTOS'!$A$3:$A$500,$C7,'DADOS BRUTOS'!BL$3:BL$500)))</f>
        <v/>
      </c>
      <c r="EM7" s="132">
        <f>IF(OR(EM$4="",$B7=""),0,SUMIF('DADOS BRUTOS'!$A$3:$A$500,$B7,'DADOS BRUTOS'!BM$3:BM$500)+IF($C7="",0,SUMIF('DADOS BRUTOS'!$A$3:$A$500,$C7,'DADOS BRUTOS'!BM$3:BM$500)))</f>
        <v/>
      </c>
      <c r="EN7" s="132">
        <f>IF(OR(EN$4="",$B7=""),0,SUMIF('DADOS BRUTOS'!$A$3:$A$500,$B7,'DADOS BRUTOS'!BN$3:BN$500)+IF($C7="",0,SUMIF('DADOS BRUTOS'!$A$3:$A$500,$C7,'DADOS BRUTOS'!BN$3:BN$500)))</f>
        <v/>
      </c>
      <c r="EO7" s="132">
        <f>IF(OR(EO$4="",$B7=""),0,SUMIF('DADOS BRUTOS'!$A$3:$A$500,$B7,'DADOS BRUTOS'!BO$3:BO$500)+IF($C7="",0,SUMIF('DADOS BRUTOS'!$A$3:$A$500,$C7,'DADOS BRUTOS'!BO$3:BO$500)))</f>
        <v/>
      </c>
      <c r="EP7" s="132">
        <f>IF(OR(EP$4="",$B7=""),0,SUMIF('DADOS BRUTOS'!$A$3:$A$500,$B7,'DADOS BRUTOS'!BP$3:BP$500)+IF($C7="",0,SUMIF('DADOS BRUTOS'!$A$3:$A$500,$C7,'DADOS BRUTOS'!BP$3:BP$500)))</f>
        <v/>
      </c>
      <c r="EQ7" s="132">
        <f>IF(OR(EQ$4="",$B7=""),0,SUMIF('DADOS BRUTOS'!$A$3:$A$500,$B7,'DADOS BRUTOS'!BQ$3:BQ$500)+IF($C7="",0,SUMIF('DADOS BRUTOS'!$A$3:$A$500,$C7,'DADOS BRUTOS'!BQ$3:BQ$500)))</f>
        <v/>
      </c>
      <c r="ER7" s="132">
        <f>IF(OR(ER$4="",$B7=""),0,SUMIF('DADOS BRUTOS'!$A$3:$A$500,$B7,'DADOS BRUTOS'!BR$3:BR$500)+IF($C7="",0,SUMIF('DADOS BRUTOS'!$A$3:$A$500,$C7,'DADOS BRUTOS'!BR$3:BR$500)))</f>
        <v/>
      </c>
      <c r="ES7" s="132">
        <f>IF(OR(ES$4="",$B7=""),0,SUMIF('DADOS BRUTOS'!$A$3:$A$500,$B7,'DADOS BRUTOS'!BS$3:BS$500)+IF($C7="",0,SUMIF('DADOS BRUTOS'!$A$3:$A$500,$C7,'DADOS BRUTOS'!BS$3:BS$500)))</f>
        <v/>
      </c>
      <c r="ET7" s="132">
        <f>IF(OR(ET$4="",$B7=""),0,SUMIF('DADOS BRUTOS'!$A$3:$A$500,$B7,'DADOS BRUTOS'!BT$3:BT$500)+IF($C7="",0,SUMIF('DADOS BRUTOS'!$A$3:$A$500,$C7,'DADOS BRUTOS'!BT$3:BT$500)))</f>
        <v/>
      </c>
      <c r="EU7" s="132">
        <f>IF(OR(EU$4="",$B7=""),0,SUMIF('DADOS BRUTOS'!$A$3:$A$500,$B7,'DADOS BRUTOS'!BU$3:BU$500)+IF($C7="",0,SUMIF('DADOS BRUTOS'!$A$3:$A$500,$C7,'DADOS BRUTOS'!BU$3:BU$500)))</f>
        <v/>
      </c>
      <c r="EV7" s="132">
        <f>IF(OR(EV$4="",$B7=""),0,SUMIF('DADOS BRUTOS'!$A$3:$A$500,$B7,'DADOS BRUTOS'!BV$3:BV$500)+IF($C7="",0,SUMIF('DADOS BRUTOS'!$A$3:$A$500,$C7,'DADOS BRUTOS'!BV$3:BV$500)))</f>
        <v/>
      </c>
      <c r="EW7" s="132">
        <f>IF(OR(EW$4="",$B7=""),0,SUMIF('DADOS BRUTOS'!$A$3:$A$500,$B7,'DADOS BRUTOS'!BW$3:BW$500)+IF($C7="",0,SUMIF('DADOS BRUTOS'!$A$3:$A$500,$C7,'DADOS BRUTOS'!BW$3:BW$500)))</f>
        <v/>
      </c>
      <c r="EX7" s="132">
        <f>IF(OR(EX$4="",$B7=""),0,SUMIF('DADOS BRUTOS'!$A$3:$A$500,$B7,'DADOS BRUTOS'!BX$3:BX$500)+IF($C7="",0,SUMIF('DADOS BRUTOS'!$A$3:$A$500,$C7,'DADOS BRUTOS'!BX$3:BX$500)))</f>
        <v/>
      </c>
      <c r="EY7" s="132">
        <f>IF(OR(EY$4="",$B7=""),0,SUMIF('DADOS BRUTOS'!$A$3:$A$500,$B7,'DADOS BRUTOS'!BY$3:BY$500)+IF($C7="",0,SUMIF('DADOS BRUTOS'!$A$3:$A$500,$C7,'DADOS BRUTOS'!BY$3:BY$500)))</f>
        <v/>
      </c>
      <c r="EZ7" s="132">
        <f>IF(OR(EZ$4="",$B7=""),0,SUMIF('DADOS BRUTOS'!$A$3:$A$500,$B7,'DADOS BRUTOS'!BZ$3:BZ$500)+IF($C7="",0,SUMIF('DADOS BRUTOS'!$A$3:$A$500,$C7,'DADOS BRUTOS'!BZ$3:BZ$500)))</f>
        <v/>
      </c>
      <c r="FA7" s="132">
        <f>IF(OR(FA$4="",$B7=""),0,SUMIF('DADOS BRUTOS'!$A$3:$A$500,$B7,'DADOS BRUTOS'!CA$3:CA$500)+IF($C7="",0,SUMIF('DADOS BRUTOS'!$A$3:$A$500,$C7,'DADOS BRUTOS'!CA$3:CA$500)))</f>
        <v/>
      </c>
      <c r="FB7" s="132">
        <f>IF(OR(FB$4="",$B7=""),0,SUMIF('DADOS BRUTOS'!$A$3:$A$500,$B7,'DADOS BRUTOS'!CB$3:CB$500)+IF($C7="",0,SUMIF('DADOS BRUTOS'!$A$3:$A$500,$C7,'DADOS BRUTOS'!CB$3:CB$500)))</f>
        <v/>
      </c>
      <c r="FC7" s="132">
        <f>IF(OR(FC$4="",$B7=""),0,SUMIF('DADOS BRUTOS'!$A$3:$A$500,$B7,'DADOS BRUTOS'!CC$3:CC$500)+IF($C7="",0,SUMIF('DADOS BRUTOS'!$A$3:$A$500,$C7,'DADOS BRUTOS'!CC$3:CC$500)))</f>
        <v/>
      </c>
      <c r="FD7" s="132">
        <f>IF(OR(FD$4="",$B7=""),0,SUMIF('DADOS BRUTOS'!$A$3:$A$500,$B7,'DADOS BRUTOS'!CD$3:CD$500)+IF($C7="",0,SUMIF('DADOS BRUTOS'!$A$3:$A$500,$C7,'DADOS BRUTOS'!CD$3:CD$500)))</f>
        <v/>
      </c>
      <c r="FE7" s="132">
        <f>IF(OR(FE$4="",$B7=""),0,SUMIF('DADOS BRUTOS'!$A$3:$A$500,$B7,'DADOS BRUTOS'!CE$3:CE$500)+IF($C7="",0,SUMIF('DADOS BRUTOS'!$A$3:$A$500,$C7,'DADOS BRUTOS'!CE$3:CE$500)))</f>
        <v/>
      </c>
      <c r="FF7" s="132">
        <f>IF(OR(FF$4="",$B7=""),0,SUMIF('DADOS BRUTOS'!$A$3:$A$500,$B7,'DADOS BRUTOS'!CF$3:CF$500)+IF($C7="",0,SUMIF('DADOS BRUTOS'!$A$3:$A$500,$C7,'DADOS BRUTOS'!CF$3:CF$500)))</f>
        <v/>
      </c>
      <c r="FG7" s="132">
        <f>IF(OR(FG$4="",$B7=""),0,SUMIF('DADOS BRUTOS'!$A$3:$A$500,$B7,'DADOS BRUTOS'!CG$3:CG$500)+IF($C7="",0,SUMIF('DADOS BRUTOS'!$A$3:$A$500,$C7,'DADOS BRUTOS'!CG$3:CG$500)))</f>
        <v/>
      </c>
      <c r="FH7" s="132">
        <f>IF(OR(FH$4="",$B7=""),0,SUMIF('DADOS BRUTOS'!$A$3:$A$500,$B7,'DADOS BRUTOS'!CH$3:CH$500)+IF($C7="",0,SUMIF('DADOS BRUTOS'!$A$3:$A$500,$C7,'DADOS BRUTOS'!CH$3:CH$500)))</f>
        <v/>
      </c>
      <c r="FI7" s="132">
        <f>IF(OR(FI$4="",$B7=""),0,SUMIF('DADOS BRUTOS'!$A$3:$A$500,$B7,'DADOS BRUTOS'!CI$3:CI$500)+IF($C7="",0,SUMIF('DADOS BRUTOS'!$A$3:$A$500,$C7,'DADOS BRUTOS'!CI$3:CI$500)))</f>
        <v/>
      </c>
      <c r="FJ7" s="132">
        <f>IF(OR(FJ$4="",$B7=""),0,SUMIF('DADOS BRUTOS'!$A$3:$A$500,$B7,'DADOS BRUTOS'!CJ$3:CJ$500)+IF($C7="",0,SUMIF('DADOS BRUTOS'!$A$3:$A$500,$C7,'DADOS BRUTOS'!CJ$3:CJ$500)))</f>
        <v/>
      </c>
      <c r="FK7" s="132">
        <f>IF(OR(FK$4="",$B7=""),0,SUMIF('DADOS BRUTOS'!$A$3:$A$500,$B7,'DADOS BRUTOS'!CK$3:CK$500)+IF($C7="",0,SUMIF('DADOS BRUTOS'!$A$3:$A$500,$C7,'DADOS BRUTOS'!CK$3:CK$500)))</f>
        <v/>
      </c>
      <c r="FL7" s="132">
        <f>IF(OR(FL$4="",$B7=""),0,SUMIF('DADOS BRUTOS'!$A$3:$A$500,$B7,'DADOS BRUTOS'!CL$3:CL$500)+IF($C7="",0,SUMIF('DADOS BRUTOS'!$A$3:$A$500,$C7,'DADOS BRUTOS'!CL$3:CL$500)))</f>
        <v/>
      </c>
      <c r="FM7" s="132">
        <f>IF(OR(FM$4="",$B7=""),0,SUMIF('DADOS BRUTOS'!$A$3:$A$500,$B7,'DADOS BRUTOS'!CM$3:CM$500)+IF($C7="",0,SUMIF('DADOS BRUTOS'!$A$3:$A$500,$C7,'DADOS BRUTOS'!CM$3:CM$500)))</f>
        <v/>
      </c>
      <c r="FN7" s="132">
        <f>IF(OR(FN$4="",$B7=""),0,SUMIF('DADOS BRUTOS'!$A$3:$A$500,$B7,'DADOS BRUTOS'!CN$3:CN$500)+IF($C7="",0,SUMIF('DADOS BRUTOS'!$A$3:$A$500,$C7,'DADOS BRUTOS'!CN$3:CN$500)))</f>
        <v/>
      </c>
      <c r="FO7" s="132">
        <f>IF(OR(FO$4="",$B7=""),0,SUMIF('DADOS BRUTOS'!$A$3:$A$500,$B7,'DADOS BRUTOS'!CO$3:CO$500)+IF($C7="",0,SUMIF('DADOS BRUTOS'!$A$3:$A$500,$C7,'DADOS BRUTOS'!CO$3:CO$500)))</f>
        <v/>
      </c>
      <c r="FP7" s="132">
        <f>IF(OR(FP$4="",$B7=""),0,SUMIF('DADOS BRUTOS'!$A$3:$A$500,$B7,'DADOS BRUTOS'!CP$3:CP$500)+IF($C7="",0,SUMIF('DADOS BRUTOS'!$A$3:$A$500,$C7,'DADOS BRUTOS'!CP$3:CP$500)))</f>
        <v/>
      </c>
      <c r="FQ7" s="132">
        <f>IF(OR(FQ$4="",$B7=""),0,SUMIF('DADOS BRUTOS'!$A$3:$A$500,$B7,'DADOS BRUTOS'!CQ$3:CQ$500)+IF($C7="",0,SUMIF('DADOS BRUTOS'!$A$3:$A$500,$C7,'DADOS BRUTOS'!CQ$3:CQ$500)))</f>
        <v/>
      </c>
      <c r="FR7" s="132">
        <f>IF(OR(FR$4="",$B7=""),0,SUMIF('DADOS BRUTOS'!$A$3:$A$500,$B7,'DADOS BRUTOS'!CR$3:CR$500)+IF($C7="",0,SUMIF('DADOS BRUTOS'!$A$3:$A$500,$C7,'DADOS BRUTOS'!CR$3:CR$500)))</f>
        <v/>
      </c>
      <c r="FS7" s="132">
        <f>IF(OR(FS$4="",$B7=""),0,SUMIF('DADOS BRUTOS'!$A$3:$A$500,$B7,'DADOS BRUTOS'!CS$3:CS$500)+IF($C7="",0,SUMIF('DADOS BRUTOS'!$A$3:$A$500,$C7,'DADOS BRUTOS'!CS$3:CS$500)))</f>
        <v/>
      </c>
      <c r="FT7" s="132">
        <f>IF(OR(FT$4="",$B7=""),0,SUMIF('DADOS BRUTOS'!$A$3:$A$500,$B7,'DADOS BRUTOS'!CT$3:CT$500)+IF($C7="",0,SUMIF('DADOS BRUTOS'!$A$3:$A$500,$C7,'DADOS BRUTOS'!CT$3:CT$500)))</f>
        <v/>
      </c>
      <c r="FU7" s="132">
        <f>IF(OR(FU$4="",$B7=""),0,SUMIF('DADOS BRUTOS'!$A$3:$A$500,$B7,'DADOS BRUTOS'!CU$3:CU$500)+IF($C7="",0,SUMIF('DADOS BRUTOS'!$A$3:$A$500,$C7,'DADOS BRUTOS'!CU$3:CU$500)))</f>
        <v/>
      </c>
      <c r="FV7" s="132">
        <f>IF(OR(FV$4="",$B7=""),0,SUMIF('DADOS BRUTOS'!$A$3:$A$500,$B7,'DADOS BRUTOS'!CV$3:CV$500)+IF($C7="",0,SUMIF('DADOS BRUTOS'!$A$3:$A$500,$C7,'DADOS BRUTOS'!CV$3:CV$500)))</f>
        <v/>
      </c>
      <c r="FW7" s="132">
        <f>IF(OR(FW$4="",$B7=""),0,SUMIF('DADOS BRUTOS'!$A$3:$A$500,$B7,'DADOS BRUTOS'!CW$3:CW$500)+IF($C7="",0,SUMIF('DADOS BRUTOS'!$A$3:$A$500,$C7,'DADOS BRUTOS'!CW$3:CW$500)))</f>
        <v/>
      </c>
      <c r="FX7" s="132">
        <f>IF(OR(FX$4="",$B7=""),0,SUMIF('DADOS BRUTOS'!$A$3:$A$500,$B7,'DADOS BRUTOS'!CX$3:CX$500)+IF($C7="",0,SUMIF('DADOS BRUTOS'!$A$3:$A$500,$C7,'DADOS BRUTOS'!CX$3:CX$500)))</f>
        <v/>
      </c>
      <c r="FY7" s="132">
        <f>IF(OR(FY$4="",$B7=""),0,SUMIF('DADOS BRUTOS'!$A$3:$A$500,$B7,'DADOS BRUTOS'!CY$3:CY$500)+IF($C7="",0,SUMIF('DADOS BRUTOS'!$A$3:$A$500,$C7,'DADOS BRUTOS'!CY$3:CY$500)))</f>
        <v/>
      </c>
      <c r="FZ7" s="132">
        <f>IF(OR(FZ$4="",$B7=""),0,SUMIF('DADOS BRUTOS'!$A$3:$A$500,$B7,'DADOS BRUTOS'!CZ$3:CZ$500)+IF($C7="",0,SUMIF('DADOS BRUTOS'!$A$3:$A$500,$C7,'DADOS BRUTOS'!CZ$3:CZ$500)))</f>
        <v/>
      </c>
      <c r="GA7" s="132">
        <f>IF(OR(GA$4="",$B7=""),0,SUMIF('DADOS BRUTOS'!$A$3:$A$500,$B7,'DADOS BRUTOS'!DA$3:DA$500)+IF($C7="",0,SUMIF('DADOS BRUTOS'!$A$3:$A$500,$C7,'DADOS BRUTOS'!DA$3:DA$500)))</f>
        <v/>
      </c>
      <c r="GB7" s="132">
        <f>IF(OR(GB$4="",$B7=""),0,SUMIF('DADOS BRUTOS'!$A$3:$A$500,$B7,'DADOS BRUTOS'!DB$3:DB$500)+IF($C7="",0,SUMIF('DADOS BRUTOS'!$A$3:$A$500,$C7,'DADOS BRUTOS'!DB$3:DB$500)))</f>
        <v/>
      </c>
      <c r="GC7" s="132">
        <f>IF(OR(GC$4="",$B7=""),0,SUMIF('DADOS BRUTOS'!$A$3:$A$500,$B7,'DADOS BRUTOS'!DC$3:DC$500)+IF($C7="",0,SUMIF('DADOS BRUTOS'!$A$3:$A$500,$C7,'DADOS BRUTOS'!DC$3:DC$500)))</f>
        <v/>
      </c>
      <c r="GD7" s="132">
        <f>IF(OR(GD$4="",$B7=""),0,SUMIF('DADOS BRUTOS'!$A$3:$A$500,$B7,'DADOS BRUTOS'!DD$3:DD$500)+IF($C7="",0,SUMIF('DADOS BRUTOS'!$A$3:$A$500,$C7,'DADOS BRUTOS'!DD$3:DD$500)))</f>
        <v/>
      </c>
      <c r="GE7" s="132">
        <f>IF(OR(GE$4="",$B7=""),0,SUMIF('DADOS BRUTOS'!$A$3:$A$500,$B7,'DADOS BRUTOS'!DE$3:DE$500)+IF($C7="",0,SUMIF('DADOS BRUTOS'!$A$3:$A$500,$C7,'DADOS BRUTOS'!DE$3:DE$500)))</f>
        <v/>
      </c>
      <c r="GF7" s="132">
        <f>IF(OR(GF$4="",$B7=""),0,SUMIF('DADOS BRUTOS'!$A$3:$A$500,$B7,'DADOS BRUTOS'!DF$3:DF$500)+IF($C7="",0,SUMIF('DADOS BRUTOS'!$A$3:$A$500,$C7,'DADOS BRUTOS'!DF$3:DF$500)))</f>
        <v/>
      </c>
      <c r="GG7" s="132">
        <f>IF(OR(GG$4="",$B7=""),0,SUMIF('DADOS BRUTOS'!$A$3:$A$500,$B7,'DADOS BRUTOS'!DG$3:DG$500)+IF($C7="",0,SUMIF('DADOS BRUTOS'!$A$3:$A$500,$C7,'DADOS BRUTOS'!DG$3:DG$500)))</f>
        <v/>
      </c>
      <c r="GH7" s="132">
        <f>IF(OR(GH$4="",$B7=""),0,SUMIF('DADOS BRUTOS'!$A$3:$A$500,$B7,'DADOS BRUTOS'!DH$3:DH$500)+IF($C7="",0,SUMIF('DADOS BRUTOS'!$A$3:$A$500,$C7,'DADOS BRUTOS'!DH$3:DH$500)))</f>
        <v/>
      </c>
      <c r="GI7" s="132">
        <f>IF(OR(GI$4="",$B7=""),0,SUMIF('DADOS BRUTOS'!$A$3:$A$500,$B7,'DADOS BRUTOS'!DI$3:DI$500)+IF($C7="",0,SUMIF('DADOS BRUTOS'!$A$3:$A$500,$C7,'DADOS BRUTOS'!DI$3:DI$500)))</f>
        <v/>
      </c>
      <c r="GJ7" s="132">
        <f>IF(OR(GJ$4="",$B7=""),0,SUMIF('DADOS BRUTOS'!$A$3:$A$500,$B7,'DADOS BRUTOS'!DJ$3:DJ$500)+IF($C7="",0,SUMIF('DADOS BRUTOS'!$A$3:$A$500,$C7,'DADOS BRUTOS'!DJ$3:DJ$500)))</f>
        <v/>
      </c>
      <c r="GK7" s="132">
        <f>IF(OR(GK$4="",$B7=""),0,SUMIF('DADOS BRUTOS'!$A$3:$A$500,$B7,'DADOS BRUTOS'!DK$3:DK$500)+IF($C7="",0,SUMIF('DADOS BRUTOS'!$A$3:$A$500,$C7,'DADOS BRUTOS'!DK$3:DK$500)))</f>
        <v/>
      </c>
      <c r="GL7" s="132">
        <f>IF(OR(GL$4="",$B7=""),0,SUMIF('DADOS BRUTOS'!$A$3:$A$500,$B7,'DADOS BRUTOS'!DL$3:DL$500)+IF($C7="",0,SUMIF('DADOS BRUTOS'!$A$3:$A$500,$C7,'DADOS BRUTOS'!DL$3:DL$500)))</f>
        <v/>
      </c>
      <c r="GM7" s="132">
        <f>IF(OR(GM$4="",$B7=""),0,SUMIF('DADOS BRUTOS'!$A$3:$A$500,$B7,'DADOS BRUTOS'!DM$3:DM$500)+IF($C7="",0,SUMIF('DADOS BRUTOS'!$A$3:$A$500,$C7,'DADOS BRUTOS'!DM$3:DM$500)))</f>
        <v/>
      </c>
      <c r="GN7" s="132">
        <f>IF(OR(GN$4="",$B7=""),0,SUMIF('DADOS BRUTOS'!$A$3:$A$500,$B7,'DADOS BRUTOS'!DN$3:DN$500)+IF($C7="",0,SUMIF('DADOS BRUTOS'!$A$3:$A$500,$C7,'DADOS BRUTOS'!DN$3:DN$500)))</f>
        <v/>
      </c>
      <c r="GO7" s="132">
        <f>IF(OR(GO$4="",$B7=""),0,SUMIF('DADOS BRUTOS'!$A$3:$A$500,$B7,'DADOS BRUTOS'!DO$3:DO$500)+IF($C7="",0,SUMIF('DADOS BRUTOS'!$A$3:$A$500,$C7,'DADOS BRUTOS'!DO$3:DO$500)))</f>
        <v/>
      </c>
      <c r="GP7" s="132">
        <f>IF(OR(GP$4="",$B7=""),0,SUMIF('DADOS BRUTOS'!$A$3:$A$500,$B7,'DADOS BRUTOS'!DP$3:DP$500)+IF($C7="",0,SUMIF('DADOS BRUTOS'!$A$3:$A$500,$C7,'DADOS BRUTOS'!DP$3:DP$500)))</f>
        <v/>
      </c>
      <c r="GQ7" s="132">
        <f>IF(OR(GQ$4="",$B7=""),0,SUMIF('DADOS BRUTOS'!$A$3:$A$500,$B7,'DADOS BRUTOS'!DQ$3:DQ$500)+IF($C7="",0,SUMIF('DADOS BRUTOS'!$A$3:$A$500,$C7,'DADOS BRUTOS'!DQ$3:DQ$500)))</f>
        <v/>
      </c>
      <c r="GR7" s="132">
        <f>IF(OR(GR$4="",$B7=""),0,SUMIF('DADOS BRUTOS'!$A$3:$A$500,$B7,'DADOS BRUTOS'!DR$3:DR$500)+IF($C7="",0,SUMIF('DADOS BRUTOS'!$A$3:$A$500,$C7,'DADOS BRUTOS'!DR$3:DR$500)))</f>
        <v/>
      </c>
      <c r="GS7" s="132">
        <f>IF(OR(GS$4="",$B7=""),0,SUMIF('DADOS BRUTOS'!$A$3:$A$500,$B7,'DADOS BRUTOS'!DS$3:DS$500)+IF($C7="",0,SUMIF('DADOS BRUTOS'!$A$3:$A$500,$C7,'DADOS BRUTOS'!DS$3:DS$500)))</f>
        <v/>
      </c>
      <c r="GT7" s="132">
        <f>IF(OR(GT$4="",$B7=""),0,SUMIF('DADOS BRUTOS'!$A$3:$A$500,$B7,'DADOS BRUTOS'!DT$3:DT$500)+IF($C7="",0,SUMIF('DADOS BRUTOS'!$A$3:$A$500,$C7,'DADOS BRUTOS'!DT$3:DT$500)))</f>
        <v/>
      </c>
      <c r="GU7" s="132">
        <f>IF(OR(GU$4="",$B7=""),0,SUMIF('DADOS BRUTOS'!$A$3:$A$500,$B7,'DADOS BRUTOS'!DU$3:DU$500)+IF($C7="",0,SUMIF('DADOS BRUTOS'!$A$3:$A$500,$C7,'DADOS BRUTOS'!DU$3:DU$500)))</f>
        <v/>
      </c>
      <c r="GV7" s="132">
        <f>IF(OR(GV$4="",$B7=""),0,SUMIF('DADOS BRUTOS'!$A$3:$A$500,$B7,'DADOS BRUTOS'!DV$3:DV$500)+IF($C7="",0,SUMIF('DADOS BRUTOS'!$A$3:$A$500,$C7,'DADOS BRUTOS'!DV$3:DV$500)))</f>
        <v/>
      </c>
      <c r="GW7" s="132">
        <f>IF(OR(GW$4="",$B7=""),0,SUMIF('DADOS BRUTOS'!$A$3:$A$500,$B7,'DADOS BRUTOS'!DW$3:DW$500)+IF($C7="",0,SUMIF('DADOS BRUTOS'!$A$3:$A$500,$C7,'DADOS BRUTOS'!DW$3:DW$500)))</f>
        <v/>
      </c>
      <c r="GX7" s="132">
        <f>IF(OR(GX$4="",$B7=""),0,SUMIF('DADOS BRUTOS'!$A$3:$A$500,$B7,'DADOS BRUTOS'!DX$3:DX$500)+IF($C7="",0,SUMIF('DADOS BRUTOS'!$A$3:$A$500,$C7,'DADOS BRUTOS'!DX$3:DX$500)))</f>
        <v/>
      </c>
      <c r="GY7" s="132">
        <f>IF(OR(GY$4="",$B7=""),0,SUMIF('DADOS BRUTOS'!$A$3:$A$500,$B7,'DADOS BRUTOS'!DY$3:DY$500)+IF($C7="",0,SUMIF('DADOS BRUTOS'!$A$3:$A$500,$C7,'DADOS BRUTOS'!DY$3:DY$500)))</f>
        <v/>
      </c>
      <c r="GZ7" s="132">
        <f>IF(OR(GZ$4="",$B7=""),0,SUMIF('DADOS BRUTOS'!$A$3:$A$500,$B7,'DADOS BRUTOS'!DZ$3:DZ$500)+IF($C7="",0,SUMIF('DADOS BRUTOS'!$A$3:$A$500,$C7,'DADOS BRUTOS'!DZ$3:DZ$500)))</f>
        <v/>
      </c>
      <c r="HA7" s="132">
        <f>IF(OR(HA$4="",$B7=""),0,SUMIF('DADOS BRUTOS'!$A$3:$A$500,$B7,'DADOS BRUTOS'!EA$3:EA$500)+IF($C7="",0,SUMIF('DADOS BRUTOS'!$A$3:$A$500,$C7,'DADOS BRUTOS'!EA$3:EA$500)))</f>
        <v/>
      </c>
      <c r="HB7" s="132">
        <f>IF(OR(HB$4="",$B7=""),0,SUMIF('DADOS BRUTOS'!$A$3:$A$500,$B7,'DADOS BRUTOS'!EB$3:EB$500)+IF($C7="",0,SUMIF('DADOS BRUTOS'!$A$3:$A$500,$C7,'DADOS BRUTOS'!EB$3:EB$500)))</f>
        <v/>
      </c>
      <c r="HC7" s="132">
        <f>IF(OR(HC$4="",$B7=""),0,SUMIF('DADOS BRUTOS'!$A$3:$A$500,$B7,'DADOS BRUTOS'!EC$3:EC$500)+IF($C7="",0,SUMIF('DADOS BRUTOS'!$A$3:$A$500,$C7,'DADOS BRUTOS'!EC$3:EC$500)))</f>
        <v/>
      </c>
      <c r="HD7" s="132">
        <f>IF(OR(HD$4="",$B7=""),0,SUMIF('DADOS BRUTOS'!$A$3:$A$500,$B7,'DADOS BRUTOS'!ED$3:ED$500)+IF($C7="",0,SUMIF('DADOS BRUTOS'!$A$3:$A$500,$C7,'DADOS BRUTOS'!ED$3:ED$500)))</f>
        <v/>
      </c>
      <c r="HE7" s="132">
        <f>IF(OR(HE$4="",$B7=""),0,SUMIF('DADOS BRUTOS'!$A$3:$A$500,$B7,'DADOS BRUTOS'!EE$3:EE$500)+IF($C7="",0,SUMIF('DADOS BRUTOS'!$A$3:$A$500,$C7,'DADOS BRUTOS'!EE$3:EE$500)))</f>
        <v/>
      </c>
      <c r="HF7" s="132">
        <f>IF(OR(HF$4="",$B7=""),0,SUMIF('DADOS BRUTOS'!$A$3:$A$500,$B7,'DADOS BRUTOS'!EF$3:EF$500)+IF($C7="",0,SUMIF('DADOS BRUTOS'!$A$3:$A$500,$C7,'DADOS BRUTOS'!EF$3:EF$500)))</f>
        <v/>
      </c>
      <c r="HG7" s="132">
        <f>IF(OR(HG$4="",$B7=""),0,SUMIF('DADOS BRUTOS'!$A$3:$A$500,$B7,'DADOS BRUTOS'!EG$3:EG$500)+IF($C7="",0,SUMIF('DADOS BRUTOS'!$A$3:$A$500,$C7,'DADOS BRUTOS'!EG$3:EG$500)))</f>
        <v/>
      </c>
      <c r="HH7" s="132">
        <f>IF(OR(HH$4="",$B7=""),0,SUMIF('DADOS BRUTOS'!$A$3:$A$500,$B7,'DADOS BRUTOS'!EH$3:EH$500)+IF($C7="",0,SUMIF('DADOS BRUTOS'!$A$3:$A$500,$C7,'DADOS BRUTOS'!EH$3:EH$500)))</f>
        <v/>
      </c>
      <c r="HI7" s="132">
        <f>IF(OR(HI$4="",$B7=""),0,SUMIF('DADOS BRUTOS'!$A$3:$A$500,$B7,'DADOS BRUTOS'!EI$3:EI$500)+IF($C7="",0,SUMIF('DADOS BRUTOS'!$A$3:$A$500,$C7,'DADOS BRUTOS'!EI$3:EI$500)))</f>
        <v/>
      </c>
      <c r="HJ7" s="132">
        <f>IF(OR(HJ$4="",$B7=""),0,SUMIF('DADOS BRUTOS'!$A$3:$A$500,$B7,'DADOS BRUTOS'!EJ$3:EJ$500)+IF($C7="",0,SUMIF('DADOS BRUTOS'!$A$3:$A$500,$C7,'DADOS BRUTOS'!EJ$3:EJ$500)))</f>
        <v/>
      </c>
      <c r="HK7" s="132">
        <f>IF(OR(HK$4="",$B7=""),0,SUMIF('DADOS BRUTOS'!$A$3:$A$500,$B7,'DADOS BRUTOS'!EK$3:EK$500)+IF($C7="",0,SUMIF('DADOS BRUTOS'!$A$3:$A$500,$C7,'DADOS BRUTOS'!EK$3:EK$500)))</f>
        <v/>
      </c>
      <c r="HL7" s="132">
        <f>IF(OR(HL$4="",$B7=""),0,SUMIF('DADOS BRUTOS'!$A$3:$A$500,$B7,'DADOS BRUTOS'!EL$3:EL$500)+IF($C7="",0,SUMIF('DADOS BRUTOS'!$A$3:$A$500,$C7,'DADOS BRUTOS'!EL$3:EL$500)))</f>
        <v/>
      </c>
      <c r="HM7" s="132">
        <f>IF(OR(HM$4="",$B7=""),0,SUMIF('DADOS BRUTOS'!$A$3:$A$500,$B7,'DADOS BRUTOS'!EM$3:EM$500)+IF($C7="",0,SUMIF('DADOS BRUTOS'!$A$3:$A$500,$C7,'DADOS BRUTOS'!EM$3:EM$500)))</f>
        <v/>
      </c>
      <c r="HN7" s="132">
        <f>IF(OR(HN$4="",$B7=""),0,SUMIF('DADOS BRUTOS'!$A$3:$A$500,$B7,'DADOS BRUTOS'!EN$3:EN$500)+IF($C7="",0,SUMIF('DADOS BRUTOS'!$A$3:$A$500,$C7,'DADOS BRUTOS'!EN$3:EN$500)))</f>
        <v/>
      </c>
      <c r="HO7" s="132">
        <f>IF(OR(HO$4="",$B7=""),0,SUMIF('DADOS BRUTOS'!$A$3:$A$500,$B7,'DADOS BRUTOS'!EO$3:EO$500)+IF($C7="",0,SUMIF('DADOS BRUTOS'!$A$3:$A$500,$C7,'DADOS BRUTOS'!EO$3:EO$500)))</f>
        <v/>
      </c>
      <c r="HP7" s="132">
        <f>IF(OR(HP$4="",$B7=""),0,SUMIF('DADOS BRUTOS'!$A$3:$A$500,$B7,'DADOS BRUTOS'!EP$3:EP$500)+IF($C7="",0,SUMIF('DADOS BRUTOS'!$A$3:$A$500,$C7,'DADOS BRUTOS'!EP$3:EP$500)))</f>
        <v/>
      </c>
      <c r="HQ7" s="132">
        <f>IF(OR(HQ$4="",$B7=""),0,SUMIF('DADOS BRUTOS'!$A$3:$A$500,$B7,'DADOS BRUTOS'!EQ$3:EQ$500)+IF($C7="",0,SUMIF('DADOS BRUTOS'!$A$3:$A$500,$C7,'DADOS BRUTOS'!EQ$3:EQ$500)))</f>
        <v/>
      </c>
      <c r="HR7" s="132">
        <f>IF(OR(HR$4="",$B7=""),0,SUMIF('DADOS BRUTOS'!$A$3:$A$500,$B7,'DADOS BRUTOS'!ER$3:ER$500)+IF($C7="",0,SUMIF('DADOS BRUTOS'!$A$3:$A$500,$C7,'DADOS BRUTOS'!ER$3:ER$500)))</f>
        <v/>
      </c>
      <c r="HS7" s="132">
        <f>IF(OR(HS$4="",$B7=""),0,SUMIF('DADOS BRUTOS'!$A$3:$A$500,$B7,'DADOS BRUTOS'!ES$3:ES$500)+IF($C7="",0,SUMIF('DADOS BRUTOS'!$A$3:$A$500,$C7,'DADOS BRUTOS'!ES$3:ES$500)))</f>
        <v/>
      </c>
      <c r="HT7" s="132">
        <f>IF(OR(HT$4="",$B7=""),0,SUMIF('DADOS BRUTOS'!$A$3:$A$500,$B7,'DADOS BRUTOS'!ET$3:ET$500)+IF($C7="",0,SUMIF('DADOS BRUTOS'!$A$3:$A$500,$C7,'DADOS BRUTOS'!ET$3:ET$500)))</f>
        <v/>
      </c>
      <c r="HU7" s="132">
        <f>IF(OR(HU$4="",$B7=""),0,SUMIF('DADOS BRUTOS'!$A$3:$A$500,$B7,'DADOS BRUTOS'!EU$3:EU$500)+IF($C7="",0,SUMIF('DADOS BRUTOS'!$A$3:$A$500,$C7,'DADOS BRUTOS'!EU$3:EU$500)))</f>
        <v/>
      </c>
      <c r="HV7" s="132">
        <f>IF(OR(HV$4="",$B7=""),0,SUMIF('DADOS BRUTOS'!$A$3:$A$500,$B7,'DADOS BRUTOS'!EV$3:EV$500)+IF($C7="",0,SUMIF('DADOS BRUTOS'!$A$3:$A$500,$C7,'DADOS BRUTOS'!EV$3:EV$500)))</f>
        <v/>
      </c>
      <c r="HW7" s="132">
        <f>IF(OR(HW$4="",$B7=""),0,SUMIF('DADOS BRUTOS'!$A$3:$A$500,$B7,'DADOS BRUTOS'!EW$3:EW$500)+IF($C7="",0,SUMIF('DADOS BRUTOS'!$A$3:$A$500,$C7,'DADOS BRUTOS'!EW$3:EW$500)))</f>
        <v/>
      </c>
      <c r="HX7" s="132">
        <f>IF(OR(HX$4="",$B7=""),0,SUMIF('DADOS BRUTOS'!$A$3:$A$500,$B7,'DADOS BRUTOS'!EX$3:EX$500)+IF($C7="",0,SUMIF('DADOS BRUTOS'!$A$3:$A$500,$C7,'DADOS BRUTOS'!EX$3:EX$500)))</f>
        <v/>
      </c>
      <c r="HY7" s="132">
        <f>IF(OR(HY$4="",$B7=""),0,SUMIF('DADOS BRUTOS'!$A$3:$A$500,$B7,'DADOS BRUTOS'!EY$3:EY$500)+IF($C7="",0,SUMIF('DADOS BRUTOS'!$A$3:$A$500,$C7,'DADOS BRUTOS'!EY$3:EY$500)))</f>
        <v/>
      </c>
      <c r="HZ7" s="132">
        <f>IF(OR(HZ$4="",$B7=""),0,SUMIF('DADOS BRUTOS'!$A$3:$A$500,$B7,'DADOS BRUTOS'!EZ$3:EZ$500)+IF($C7="",0,SUMIF('DADOS BRUTOS'!$A$3:$A$500,$C7,'DADOS BRUTOS'!EZ$3:EZ$500)))</f>
        <v/>
      </c>
      <c r="IA7" s="132">
        <f>IF(OR(IA$4="",$B7=""),0,SUMIF('DADOS BRUTOS'!$A$3:$A$500,$B7,'DADOS BRUTOS'!FA$3:FA$500)+IF($C7="",0,SUMIF('DADOS BRUTOS'!$A$3:$A$500,$C7,'DADOS BRUTOS'!FA$3:FA$500)))</f>
        <v/>
      </c>
      <c r="IB7" s="132">
        <f>IF(OR(IB$4="",$B7=""),0,SUMIF('DADOS BRUTOS'!$A$3:$A$500,$B7,'DADOS BRUTOS'!FB$3:FB$500)+IF($C7="",0,SUMIF('DADOS BRUTOS'!$A$3:$A$500,$C7,'DADOS BRUTOS'!FB$3:FB$500)))</f>
        <v/>
      </c>
      <c r="IC7" s="132">
        <f>IF(OR(IC$4="",$B7=""),0,SUMIF('DADOS BRUTOS'!$A$3:$A$500,$B7,'DADOS BRUTOS'!FC$3:FC$500)+IF($C7="",0,SUMIF('DADOS BRUTOS'!$A$3:$A$500,$C7,'DADOS BRUTOS'!FC$3:FC$500)))</f>
        <v/>
      </c>
      <c r="ID7" s="132">
        <f>IF(OR(ID$4="",$B7=""),0,SUMIF('DADOS BRUTOS'!$A$3:$A$500,$B7,'DADOS BRUTOS'!FD$3:FD$500)+IF($C7="",0,SUMIF('DADOS BRUTOS'!$A$3:$A$500,$C7,'DADOS BRUTOS'!FD$3:FD$500)))</f>
        <v/>
      </c>
      <c r="IE7" s="132">
        <f>IF(OR(IE$4="",$B7=""),0,SUMIF('DADOS BRUTOS'!$A$3:$A$500,$B7,'DADOS BRUTOS'!FE$3:FE$500)+IF($C7="",0,SUMIF('DADOS BRUTOS'!$A$3:$A$500,$C7,'DADOS BRUTOS'!FE$3:FE$500)))</f>
        <v/>
      </c>
      <c r="IF7" s="132">
        <f>IF(OR(IF$4="",$B7=""),0,SUMIF('DADOS BRUTOS'!$A$3:$A$500,$B7,'DADOS BRUTOS'!FF$3:FF$500)+IF($C7="",0,SUMIF('DADOS BRUTOS'!$A$3:$A$500,$C7,'DADOS BRUTOS'!FF$3:FF$500)))</f>
        <v/>
      </c>
      <c r="IG7" s="132">
        <f>IF(OR(IG$4="",$B7=""),0,SUMIF('DADOS BRUTOS'!$A$3:$A$500,$B7,'DADOS BRUTOS'!FG$3:FG$500)+IF($C7="",0,SUMIF('DADOS BRUTOS'!$A$3:$A$500,$C7,'DADOS BRUTOS'!FG$3:FG$500)))</f>
        <v/>
      </c>
      <c r="IH7" s="132">
        <f>IF(OR(IH$4="",$B7=""),0,SUMIF('DADOS BRUTOS'!$A$3:$A$500,$B7,'DADOS BRUTOS'!FH$3:FH$500)+IF($C7="",0,SUMIF('DADOS BRUTOS'!$A$3:$A$500,$C7,'DADOS BRUTOS'!FH$3:FH$500)))</f>
        <v/>
      </c>
      <c r="II7" s="132">
        <f>IF(OR(II$4="",$B7=""),0,SUMIF('DADOS BRUTOS'!$A$3:$A$500,$B7,'DADOS BRUTOS'!FI$3:FI$500)+IF($C7="",0,SUMIF('DADOS BRUTOS'!$A$3:$A$500,$C7,'DADOS BRUTOS'!FI$3:FI$500)))</f>
        <v/>
      </c>
      <c r="IJ7" s="132">
        <f>IF(OR(IJ$4="",$B7=""),0,SUMIF('DADOS BRUTOS'!$A$3:$A$500,$B7,'DADOS BRUTOS'!FJ$3:FJ$500)+IF($C7="",0,SUMIF('DADOS BRUTOS'!$A$3:$A$500,$C7,'DADOS BRUTOS'!FJ$3:FJ$500)))</f>
        <v/>
      </c>
      <c r="IK7" s="132">
        <f>IF(OR(IK$4="",$B7=""),0,SUMIF('DADOS BRUTOS'!$A$3:$A$500,$B7,'DADOS BRUTOS'!FK$3:FK$500)+IF($C7="",0,SUMIF('DADOS BRUTOS'!$A$3:$A$500,$C7,'DADOS BRUTOS'!FK$3:FK$500)))</f>
        <v/>
      </c>
      <c r="IL7" s="132">
        <f>IF(OR(IL$4="",$B7=""),0,SUMIF('DADOS BRUTOS'!$A$3:$A$500,$B7,'DADOS BRUTOS'!FL$3:FL$500)+IF($C7="",0,SUMIF('DADOS BRUTOS'!$A$3:$A$500,$C7,'DADOS BRUTOS'!FL$3:FL$500)))</f>
        <v/>
      </c>
      <c r="IM7" s="132">
        <f>IF(OR(IM$4="",$B7=""),0,SUMIF('DADOS BRUTOS'!$A$3:$A$500,$B7,'DADOS BRUTOS'!FM$3:FM$500)+IF($C7="",0,SUMIF('DADOS BRUTOS'!$A$3:$A$500,$C7,'DADOS BRUTOS'!FM$3:FM$500)))</f>
        <v/>
      </c>
      <c r="IN7" s="132">
        <f>IF(OR(IN$4="",$B7=""),0,SUMIF('DADOS BRUTOS'!$A$3:$A$500,$B7,'DADOS BRUTOS'!FN$3:FN$500)+IF($C7="",0,SUMIF('DADOS BRUTOS'!$A$3:$A$500,$C7,'DADOS BRUTOS'!FN$3:FN$500)))</f>
        <v/>
      </c>
      <c r="IO7" s="132">
        <f>IF(OR(IO$4="",$B7=""),0,SUMIF('DADOS BRUTOS'!$A$3:$A$500,$B7,'DADOS BRUTOS'!FO$3:FO$500)+IF($C7="",0,SUMIF('DADOS BRUTOS'!$A$3:$A$500,$C7,'DADOS BRUTOS'!FO$3:FO$500)))</f>
        <v/>
      </c>
      <c r="IP7" s="132">
        <f>IF(OR(IP$4="",$B7=""),0,SUMIF('DADOS BRUTOS'!$A$3:$A$500,$B7,'DADOS BRUTOS'!FP$3:FP$500)+IF($C7="",0,SUMIF('DADOS BRUTOS'!$A$3:$A$500,$C7,'DADOS BRUTOS'!FP$3:FP$500)))</f>
        <v/>
      </c>
      <c r="IQ7" s="132">
        <f>IF(OR(IQ$4="",$B7=""),0,SUMIF('DADOS BRUTOS'!$A$3:$A$500,$B7,'DADOS BRUTOS'!FQ$3:FQ$500)+IF($C7="",0,SUMIF('DADOS BRUTOS'!$A$3:$A$500,$C7,'DADOS BRUTOS'!FQ$3:FQ$500)))</f>
        <v/>
      </c>
      <c r="IR7" s="132">
        <f>IF(OR(IR$4="",$B7=""),0,SUMIF('DADOS BRUTOS'!$A$3:$A$500,$B7,'DADOS BRUTOS'!FR$3:FR$500)+IF($C7="",0,SUMIF('DADOS BRUTOS'!$A$3:$A$500,$C7,'DADOS BRUTOS'!FR$3:FR$500)))</f>
        <v/>
      </c>
      <c r="IS7" s="132">
        <f>IF(OR(IS$4="",$B7=""),0,SUMIF('DADOS BRUTOS'!$A$3:$A$500,$B7,'DADOS BRUTOS'!FS$3:FS$500)+IF($C7="",0,SUMIF('DADOS BRUTOS'!$A$3:$A$500,$C7,'DADOS BRUTOS'!FS$3:FS$500)))</f>
        <v/>
      </c>
      <c r="IT7" s="132">
        <f>IF(OR(IT$4="",$B7=""),0,SUMIF('DADOS BRUTOS'!$A$3:$A$500,$B7,'DADOS BRUTOS'!FT$3:FT$500)+IF($C7="",0,SUMIF('DADOS BRUTOS'!$A$3:$A$500,$C7,'DADOS BRUTOS'!FT$3:FT$500)))</f>
        <v/>
      </c>
      <c r="IU7" s="132">
        <f>IF(OR(IU$4="",$B7=""),0,SUMIF('DADOS BRUTOS'!$A$3:$A$500,$B7,'DADOS BRUTOS'!FU$3:FU$500)+IF($C7="",0,SUMIF('DADOS BRUTOS'!$A$3:$A$500,$C7,'DADOS BRUTOS'!FU$3:FU$500)))</f>
        <v/>
      </c>
      <c r="IV7" s="132">
        <f>IF(OR(IV$4="",$B7=""),0,SUMIF('DADOS BRUTOS'!$A$3:$A$500,$B7,'DADOS BRUTOS'!FV$3:FV$500)+IF($C7="",0,SUMIF('DADOS BRUTOS'!$A$3:$A$500,$C7,'DADOS BRUTOS'!FV$3:FV$500)))</f>
        <v/>
      </c>
      <c r="IW7" s="132">
        <f>IF(OR(IW$4="",$B7=""),0,SUMIF('DADOS BRUTOS'!$A$3:$A$500,$B7,'DADOS BRUTOS'!FW$3:FW$500)+IF($C7="",0,SUMIF('DADOS BRUTOS'!$A$3:$A$500,$C7,'DADOS BRUTOS'!FW$3:FW$500)))</f>
        <v/>
      </c>
      <c r="IX7" s="132">
        <f>IF(OR(IX$4="",$B7=""),0,SUMIF('DADOS BRUTOS'!$A$3:$A$500,$B7,'DADOS BRUTOS'!FX$3:FX$500)+IF($C7="",0,SUMIF('DADOS BRUTOS'!$A$3:$A$500,$C7,'DADOS BRUTOS'!FX$3:FX$500)))</f>
        <v/>
      </c>
      <c r="IY7" s="132">
        <f>IF(OR(IY$4="",$B7=""),0,SUMIF('DADOS BRUTOS'!$A$3:$A$500,$B7,'DADOS BRUTOS'!FY$3:FY$500)+IF($C7="",0,SUMIF('DADOS BRUTOS'!$A$3:$A$500,$C7,'DADOS BRUTOS'!FY$3:FY$500)))</f>
        <v/>
      </c>
      <c r="IZ7" s="132">
        <f>IF(OR(IZ$4="",$B7=""),0,SUMIF('DADOS BRUTOS'!$A$3:$A$500,$B7,'DADOS BRUTOS'!FZ$3:FZ$500)+IF($C7="",0,SUMIF('DADOS BRUTOS'!$A$3:$A$500,$C7,'DADOS BRUTOS'!FZ$3:FZ$500)))</f>
        <v/>
      </c>
      <c r="JA7" s="132">
        <f>IF(OR(JA$4="",$B7=""),0,SUMIF('DADOS BRUTOS'!$A$3:$A$500,$B7,'DADOS BRUTOS'!GA$3:GA$500)+IF($C7="",0,SUMIF('DADOS BRUTOS'!$A$3:$A$500,$C7,'DADOS BRUTOS'!GA$3:GA$500)))</f>
        <v/>
      </c>
      <c r="JB7" s="132">
        <f>IF(OR(JB$4="",$B7=""),0,SUMIF('DADOS BRUTOS'!$A$3:$A$500,$B7,'DADOS BRUTOS'!GB$3:GB$500)+IF($C7="",0,SUMIF('DADOS BRUTOS'!$A$3:$A$500,$C7,'DADOS BRUTOS'!GB$3:GB$500)))</f>
        <v/>
      </c>
      <c r="JC7" s="132">
        <f>IF(OR(JC$4="",$B7=""),0,SUMIF('DADOS BRUTOS'!$A$3:$A$500,$B7,'DADOS BRUTOS'!GC$3:GC$500)+IF($C7="",0,SUMIF('DADOS BRUTOS'!$A$3:$A$500,$C7,'DADOS BRUTOS'!GC$3:GC$500)))</f>
        <v/>
      </c>
      <c r="JD7" s="132">
        <f>IF(OR(JD$4="",$B7=""),0,SUMIF('DADOS BRUTOS'!$A$3:$A$500,$B7,'DADOS BRUTOS'!GD$3:GD$500)+IF($C7="",0,SUMIF('DADOS BRUTOS'!$A$3:$A$500,$C7,'DADOS BRUTOS'!GD$3:GD$500)))</f>
        <v/>
      </c>
      <c r="JE7" s="132">
        <f>IF(OR(JE$4="",$B7=""),0,SUMIF('DADOS BRUTOS'!$A$3:$A$500,$B7,'DADOS BRUTOS'!GE$3:GE$500)+IF($C7="",0,SUMIF('DADOS BRUTOS'!$A$3:$A$500,$C7,'DADOS BRUTOS'!GE$3:GE$500)))</f>
        <v/>
      </c>
      <c r="JF7" s="132">
        <f>IF(OR(JF$4="",$B7=""),0,SUMIF('DADOS BRUTOS'!$A$3:$A$500,$B7,'DADOS BRUTOS'!GF$3:GF$500)+IF($C7="",0,SUMIF('DADOS BRUTOS'!$A$3:$A$500,$C7,'DADOS BRUTOS'!GF$3:GF$500)))</f>
        <v/>
      </c>
      <c r="JG7" s="132">
        <f>IF(OR(JG$4="",$B7=""),0,SUMIF('DADOS BRUTOS'!$A$3:$A$500,$B7,'DADOS BRUTOS'!GG$3:GG$500)+IF($C7="",0,SUMIF('DADOS BRUTOS'!$A$3:$A$500,$C7,'DADOS BRUTOS'!GG$3:GG$500)))</f>
        <v/>
      </c>
      <c r="JH7" s="132">
        <f>IF(OR(JH$4="",$B7=""),0,SUMIF('DADOS BRUTOS'!$A$3:$A$500,$B7,'DADOS BRUTOS'!GH$3:GH$500)+IF($C7="",0,SUMIF('DADOS BRUTOS'!$A$3:$A$500,$C7,'DADOS BRUTOS'!GH$3:GH$500)))</f>
        <v/>
      </c>
      <c r="JI7" s="132">
        <f>IF(OR(JI$4="",$B7=""),0,SUMIF('DADOS BRUTOS'!$A$3:$A$500,$B7,'DADOS BRUTOS'!GI$3:GI$500)+IF($C7="",0,SUMIF('DADOS BRUTOS'!$A$3:$A$500,$C7,'DADOS BRUTOS'!GI$3:GI$500)))</f>
        <v/>
      </c>
      <c r="JJ7" s="132">
        <f>IF(OR(JJ$4="",$B7=""),0,SUMIF('DADOS BRUTOS'!$A$3:$A$500,$B7,'DADOS BRUTOS'!GJ$3:GJ$500)+IF($C7="",0,SUMIF('DADOS BRUTOS'!$A$3:$A$500,$C7,'DADOS BRUTOS'!GJ$3:GJ$500)))</f>
        <v/>
      </c>
      <c r="JK7" s="132">
        <f>IF(OR(JK$4="",$B7=""),0,SUMIF('DADOS BRUTOS'!$A$3:$A$500,$B7,'DADOS BRUTOS'!GK$3:GK$500)+IF($C7="",0,SUMIF('DADOS BRUTOS'!$A$3:$A$500,$C7,'DADOS BRUTOS'!GK$3:GK$500)))</f>
        <v/>
      </c>
      <c r="JL7" s="132">
        <f>IF(OR(JL$4="",$B7=""),0,SUMIF('DADOS BRUTOS'!$A$3:$A$500,$B7,'DADOS BRUTOS'!GL$3:GL$500)+IF($C7="",0,SUMIF('DADOS BRUTOS'!$A$3:$A$500,$C7,'DADOS BRUTOS'!GL$3:GL$500)))</f>
        <v/>
      </c>
      <c r="JM7" s="132">
        <f>IF(OR(JM$4="",$B7=""),0,SUMIF('DADOS BRUTOS'!$A$3:$A$500,$B7,'DADOS BRUTOS'!GM$3:GM$500)+IF($C7="",0,SUMIF('DADOS BRUTOS'!$A$3:$A$500,$C7,'DADOS BRUTOS'!GM$3:GM$500)))</f>
        <v/>
      </c>
      <c r="JN7" s="132">
        <f>IF(OR(JN$4="",$B7=""),0,SUMIF('DADOS BRUTOS'!$A$3:$A$500,$B7,'DADOS BRUTOS'!GN$3:GN$500)+IF($C7="",0,SUMIF('DADOS BRUTOS'!$A$3:$A$500,$C7,'DADOS BRUTOS'!GN$3:GN$500)))</f>
        <v/>
      </c>
      <c r="JO7" s="132">
        <f>IF(OR(JO$4="",$B7=""),0,SUMIF('DADOS BRUTOS'!$A$3:$A$500,$B7,'DADOS BRUTOS'!GO$3:GO$500)+IF($C7="",0,SUMIF('DADOS BRUTOS'!$A$3:$A$500,$C7,'DADOS BRUTOS'!GO$3:GO$500)))</f>
        <v/>
      </c>
      <c r="JP7" s="132">
        <f>IF(OR(JP$4="",$B7=""),0,SUMIF('DADOS BRUTOS'!$A$3:$A$500,$B7,'DADOS BRUTOS'!GP$3:GP$500)+IF($C7="",0,SUMIF('DADOS BRUTOS'!$A$3:$A$500,$C7,'DADOS BRUTOS'!GP$3:GP$500)))</f>
        <v/>
      </c>
      <c r="JQ7" s="132">
        <f>IF(OR(JQ$4="",$B7=""),0,SUMIF('DADOS BRUTOS'!$A$3:$A$500,$B7,'DADOS BRUTOS'!GQ$3:GQ$500)+IF($C7="",0,SUMIF('DADOS BRUTOS'!$A$3:$A$500,$C7,'DADOS BRUTOS'!GQ$3:GQ$500)))</f>
        <v/>
      </c>
      <c r="JR7" s="132">
        <f>IF(OR(JR$4="",$B7=""),0,SUMIF('DADOS BRUTOS'!$A$3:$A$500,$B7,'DADOS BRUTOS'!GR$3:GR$500)+IF($C7="",0,SUMIF('DADOS BRUTOS'!$A$3:$A$500,$C7,'DADOS BRUTOS'!GR$3:GR$500)))</f>
        <v/>
      </c>
      <c r="JS7" s="132">
        <f>IF(OR(JS$4="",$B7=""),0,SUMIF('DADOS BRUTOS'!$A$3:$A$500,$B7,'DADOS BRUTOS'!GS$3:GS$500)+IF($C7="",0,SUMIF('DADOS BRUTOS'!$A$3:$A$500,$C7,'DADOS BRUTOS'!GS$3:GS$500)))</f>
        <v/>
      </c>
    </row>
    <row r="8">
      <c r="A8" s="61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BZ8" s="49">
        <f>SUMPRODUCT(($CB$4:$JS$4&lt;&gt;"")*($CB$4:$JS$4&lt;=$D$4),$CB8:$JS8,$CB$1:$JS$1)</f>
        <v/>
      </c>
      <c r="CB8" s="132">
        <f>IF(OR(CB$4="",$B8=""),0,SUMIF('DADOS BRUTOS'!$A$3:$A$500,$B8,'DADOS BRUTOS'!B$3:B$500)+IF($C8="",0,SUMIF('DADOS BRUTOS'!$A$3:$A$500,$C8,'DADOS BRUTOS'!B$3:B$500)))</f>
        <v/>
      </c>
      <c r="CC8" s="132">
        <f>IF(OR(CC$4="",$B8=""),0,SUMIF('DADOS BRUTOS'!$A$3:$A$500,$B8,'DADOS BRUTOS'!C$3:C$500)+IF($C8="",0,SUMIF('DADOS BRUTOS'!$A$3:$A$500,$C8,'DADOS BRUTOS'!C$3:C$500)))</f>
        <v/>
      </c>
      <c r="CD8" s="132">
        <f>IF(OR(CD$4="",$B8=""),0,SUMIF('DADOS BRUTOS'!$A$3:$A$500,$B8,'DADOS BRUTOS'!D$3:D$500)+IF($C8="",0,SUMIF('DADOS BRUTOS'!$A$3:$A$500,$C8,'DADOS BRUTOS'!D$3:D$500)))</f>
        <v/>
      </c>
      <c r="CE8" s="132">
        <f>IF(OR(CE$4="",$B8=""),0,SUMIF('DADOS BRUTOS'!$A$3:$A$500,$B8,'DADOS BRUTOS'!E$3:E$500)+IF($C8="",0,SUMIF('DADOS BRUTOS'!$A$3:$A$500,$C8,'DADOS BRUTOS'!E$3:E$500)))</f>
        <v/>
      </c>
      <c r="CF8" s="132">
        <f>IF(OR(CF$4="",$B8=""),0,SUMIF('DADOS BRUTOS'!$A$3:$A$500,$B8,'DADOS BRUTOS'!F$3:F$500)+IF($C8="",0,SUMIF('DADOS BRUTOS'!$A$3:$A$500,$C8,'DADOS BRUTOS'!F$3:F$500)))</f>
        <v/>
      </c>
      <c r="CG8" s="132">
        <f>IF(OR(CG$4="",$B8=""),0,SUMIF('DADOS BRUTOS'!$A$3:$A$500,$B8,'DADOS BRUTOS'!G$3:G$500)+IF($C8="",0,SUMIF('DADOS BRUTOS'!$A$3:$A$500,$C8,'DADOS BRUTOS'!G$3:G$500)))</f>
        <v/>
      </c>
      <c r="CH8" s="132">
        <f>IF(OR(CH$4="",$B8=""),0,SUMIF('DADOS BRUTOS'!$A$3:$A$500,$B8,'DADOS BRUTOS'!H$3:H$500)+IF($C8="",0,SUMIF('DADOS BRUTOS'!$A$3:$A$500,$C8,'DADOS BRUTOS'!H$3:H$500)))</f>
        <v/>
      </c>
      <c r="CI8" s="132">
        <f>IF(OR(CI$4="",$B8=""),0,SUMIF('DADOS BRUTOS'!$A$3:$A$500,$B8,'DADOS BRUTOS'!I$3:I$500)+IF($C8="",0,SUMIF('DADOS BRUTOS'!$A$3:$A$500,$C8,'DADOS BRUTOS'!I$3:I$500)))</f>
        <v/>
      </c>
      <c r="CJ8" s="132">
        <f>IF(OR(CJ$4="",$B8=""),0,SUMIF('DADOS BRUTOS'!$A$3:$A$500,$B8,'DADOS BRUTOS'!J$3:J$500)+IF($C8="",0,SUMIF('DADOS BRUTOS'!$A$3:$A$500,$C8,'DADOS BRUTOS'!J$3:J$500)))</f>
        <v/>
      </c>
      <c r="CK8" s="132">
        <f>IF(OR(CK$4="",$B8=""),0,SUMIF('DADOS BRUTOS'!$A$3:$A$500,$B8,'DADOS BRUTOS'!K$3:K$500)+IF($C8="",0,SUMIF('DADOS BRUTOS'!$A$3:$A$500,$C8,'DADOS BRUTOS'!K$3:K$500)))</f>
        <v/>
      </c>
      <c r="CL8" s="132">
        <f>IF(OR(CL$4="",$B8=""),0,SUMIF('DADOS BRUTOS'!$A$3:$A$500,$B8,'DADOS BRUTOS'!L$3:L$500)+IF($C8="",0,SUMIF('DADOS BRUTOS'!$A$3:$A$500,$C8,'DADOS BRUTOS'!L$3:L$500)))</f>
        <v/>
      </c>
      <c r="CM8" s="132">
        <f>IF(OR(CM$4="",$B8=""),0,SUMIF('DADOS BRUTOS'!$A$3:$A$500,$B8,'DADOS BRUTOS'!M$3:M$500)+IF($C8="",0,SUMIF('DADOS BRUTOS'!$A$3:$A$500,$C8,'DADOS BRUTOS'!M$3:M$500)))</f>
        <v/>
      </c>
      <c r="CN8" s="132">
        <f>IF(OR(CN$4="",$B8=""),0,SUMIF('DADOS BRUTOS'!$A$3:$A$500,$B8,'DADOS BRUTOS'!N$3:N$500)+IF($C8="",0,SUMIF('DADOS BRUTOS'!$A$3:$A$500,$C8,'DADOS BRUTOS'!N$3:N$500)))</f>
        <v/>
      </c>
      <c r="CO8" s="132">
        <f>IF(OR(CO$4="",$B8=""),0,SUMIF('DADOS BRUTOS'!$A$3:$A$500,$B8,'DADOS BRUTOS'!O$3:O$500)+IF($C8="",0,SUMIF('DADOS BRUTOS'!$A$3:$A$500,$C8,'DADOS BRUTOS'!O$3:O$500)))</f>
        <v/>
      </c>
      <c r="CP8" s="132">
        <f>IF(OR(CP$4="",$B8=""),0,SUMIF('DADOS BRUTOS'!$A$3:$A$500,$B8,'DADOS BRUTOS'!P$3:P$500)+IF($C8="",0,SUMIF('DADOS BRUTOS'!$A$3:$A$500,$C8,'DADOS BRUTOS'!P$3:P$500)))</f>
        <v/>
      </c>
      <c r="CQ8" s="132">
        <f>IF(OR(CQ$4="",$B8=""),0,SUMIF('DADOS BRUTOS'!$A$3:$A$500,$B8,'DADOS BRUTOS'!Q$3:Q$500)+IF($C8="",0,SUMIF('DADOS BRUTOS'!$A$3:$A$500,$C8,'DADOS BRUTOS'!Q$3:Q$500)))</f>
        <v/>
      </c>
      <c r="CR8" s="132">
        <f>IF(OR(CR$4="",$B8=""),0,SUMIF('DADOS BRUTOS'!$A$3:$A$500,$B8,'DADOS BRUTOS'!R$3:R$500)+IF($C8="",0,SUMIF('DADOS BRUTOS'!$A$3:$A$500,$C8,'DADOS BRUTOS'!R$3:R$500)))</f>
        <v/>
      </c>
      <c r="CS8" s="132">
        <f>IF(OR(CS$4="",$B8=""),0,SUMIF('DADOS BRUTOS'!$A$3:$A$500,$B8,'DADOS BRUTOS'!S$3:S$500)+IF($C8="",0,SUMIF('DADOS BRUTOS'!$A$3:$A$500,$C8,'DADOS BRUTOS'!S$3:S$500)))</f>
        <v/>
      </c>
      <c r="CT8" s="132">
        <f>IF(OR(CT$4="",$B8=""),0,SUMIF('DADOS BRUTOS'!$A$3:$A$500,$B8,'DADOS BRUTOS'!T$3:T$500)+IF($C8="",0,SUMIF('DADOS BRUTOS'!$A$3:$A$500,$C8,'DADOS BRUTOS'!T$3:T$500)))</f>
        <v/>
      </c>
      <c r="CU8" s="132">
        <f>IF(OR(CU$4="",$B8=""),0,SUMIF('DADOS BRUTOS'!$A$3:$A$500,$B8,'DADOS BRUTOS'!U$3:U$500)+IF($C8="",0,SUMIF('DADOS BRUTOS'!$A$3:$A$500,$C8,'DADOS BRUTOS'!U$3:U$500)))</f>
        <v/>
      </c>
      <c r="CV8" s="132">
        <f>IF(OR(CV$4="",$B8=""),0,SUMIF('DADOS BRUTOS'!$A$3:$A$500,$B8,'DADOS BRUTOS'!V$3:V$500)+IF($C8="",0,SUMIF('DADOS BRUTOS'!$A$3:$A$500,$C8,'DADOS BRUTOS'!V$3:V$500)))</f>
        <v/>
      </c>
      <c r="CW8" s="132">
        <f>IF(OR(CW$4="",$B8=""),0,SUMIF('DADOS BRUTOS'!$A$3:$A$500,$B8,'DADOS BRUTOS'!W$3:W$500)+IF($C8="",0,SUMIF('DADOS BRUTOS'!$A$3:$A$500,$C8,'DADOS BRUTOS'!W$3:W$500)))</f>
        <v/>
      </c>
      <c r="CX8" s="132">
        <f>IF(OR(CX$4="",$B8=""),0,SUMIF('DADOS BRUTOS'!$A$3:$A$500,$B8,'DADOS BRUTOS'!X$3:X$500)+IF($C8="",0,SUMIF('DADOS BRUTOS'!$A$3:$A$500,$C8,'DADOS BRUTOS'!X$3:X$500)))</f>
        <v/>
      </c>
      <c r="CY8" s="132">
        <f>IF(OR(CY$4="",$B8=""),0,SUMIF('DADOS BRUTOS'!$A$3:$A$500,$B8,'DADOS BRUTOS'!Y$3:Y$500)+IF($C8="",0,SUMIF('DADOS BRUTOS'!$A$3:$A$500,$C8,'DADOS BRUTOS'!Y$3:Y$500)))</f>
        <v/>
      </c>
      <c r="CZ8" s="132">
        <f>IF(OR(CZ$4="",$B8=""),0,SUMIF('DADOS BRUTOS'!$A$3:$A$500,$B8,'DADOS BRUTOS'!Z$3:Z$500)+IF($C8="",0,SUMIF('DADOS BRUTOS'!$A$3:$A$500,$C8,'DADOS BRUTOS'!Z$3:Z$500)))</f>
        <v/>
      </c>
      <c r="DA8" s="132">
        <f>IF(OR(DA$4="",$B8=""),0,SUMIF('DADOS BRUTOS'!$A$3:$A$500,$B8,'DADOS BRUTOS'!AA$3:AA$500)+IF($C8="",0,SUMIF('DADOS BRUTOS'!$A$3:$A$500,$C8,'DADOS BRUTOS'!AA$3:AA$500)))</f>
        <v/>
      </c>
      <c r="DB8" s="132">
        <f>IF(OR(DB$4="",$B8=""),0,SUMIF('DADOS BRUTOS'!$A$3:$A$500,$B8,'DADOS BRUTOS'!AB$3:AB$500)+IF($C8="",0,SUMIF('DADOS BRUTOS'!$A$3:$A$500,$C8,'DADOS BRUTOS'!AB$3:AB$500)))</f>
        <v/>
      </c>
      <c r="DC8" s="132">
        <f>IF(OR(DC$4="",$B8=""),0,SUMIF('DADOS BRUTOS'!$A$3:$A$500,$B8,'DADOS BRUTOS'!AC$3:AC$500)+IF($C8="",0,SUMIF('DADOS BRUTOS'!$A$3:$A$500,$C8,'DADOS BRUTOS'!AC$3:AC$500)))</f>
        <v/>
      </c>
      <c r="DD8" s="132">
        <f>IF(OR(DD$4="",$B8=""),0,SUMIF('DADOS BRUTOS'!$A$3:$A$500,$B8,'DADOS BRUTOS'!AD$3:AD$500)+IF($C8="",0,SUMIF('DADOS BRUTOS'!$A$3:$A$500,$C8,'DADOS BRUTOS'!AD$3:AD$500)))</f>
        <v/>
      </c>
      <c r="DE8" s="132">
        <f>IF(OR(DE$4="",$B8=""),0,SUMIF('DADOS BRUTOS'!$A$3:$A$500,$B8,'DADOS BRUTOS'!AE$3:AE$500)+IF($C8="",0,SUMIF('DADOS BRUTOS'!$A$3:$A$500,$C8,'DADOS BRUTOS'!AE$3:AE$500)))</f>
        <v/>
      </c>
      <c r="DF8" s="132">
        <f>IF(OR(DF$4="",$B8=""),0,SUMIF('DADOS BRUTOS'!$A$3:$A$500,$B8,'DADOS BRUTOS'!AF$3:AF$500)+IF($C8="",0,SUMIF('DADOS BRUTOS'!$A$3:$A$500,$C8,'DADOS BRUTOS'!AF$3:AF$500)))</f>
        <v/>
      </c>
      <c r="DG8" s="132">
        <f>IF(OR(DG$4="",$B8=""),0,SUMIF('DADOS BRUTOS'!$A$3:$A$500,$B8,'DADOS BRUTOS'!AG$3:AG$500)+IF($C8="",0,SUMIF('DADOS BRUTOS'!$A$3:$A$500,$C8,'DADOS BRUTOS'!AG$3:AG$500)))</f>
        <v/>
      </c>
      <c r="DH8" s="132">
        <f>IF(OR(DH$4="",$B8=""),0,SUMIF('DADOS BRUTOS'!$A$3:$A$500,$B8,'DADOS BRUTOS'!AH$3:AH$500)+IF($C8="",0,SUMIF('DADOS BRUTOS'!$A$3:$A$500,$C8,'DADOS BRUTOS'!AH$3:AH$500)))</f>
        <v/>
      </c>
      <c r="DI8" s="132">
        <f>IF(OR(DI$4="",$B8=""),0,SUMIF('DADOS BRUTOS'!$A$3:$A$500,$B8,'DADOS BRUTOS'!AI$3:AI$500)+IF($C8="",0,SUMIF('DADOS BRUTOS'!$A$3:$A$500,$C8,'DADOS BRUTOS'!AI$3:AI$500)))</f>
        <v/>
      </c>
      <c r="DJ8" s="132">
        <f>IF(OR(DJ$4="",$B8=""),0,SUMIF('DADOS BRUTOS'!$A$3:$A$500,$B8,'DADOS BRUTOS'!AJ$3:AJ$500)+IF($C8="",0,SUMIF('DADOS BRUTOS'!$A$3:$A$500,$C8,'DADOS BRUTOS'!AJ$3:AJ$500)))</f>
        <v/>
      </c>
      <c r="DK8" s="132">
        <f>IF(OR(DK$4="",$B8=""),0,SUMIF('DADOS BRUTOS'!$A$3:$A$500,$B8,'DADOS BRUTOS'!AK$3:AK$500)+IF($C8="",0,SUMIF('DADOS BRUTOS'!$A$3:$A$500,$C8,'DADOS BRUTOS'!AK$3:AK$500)))</f>
        <v/>
      </c>
      <c r="DL8" s="132">
        <f>IF(OR(DL$4="",$B8=""),0,SUMIF('DADOS BRUTOS'!$A$3:$A$500,$B8,'DADOS BRUTOS'!AL$3:AL$500)+IF($C8="",0,SUMIF('DADOS BRUTOS'!$A$3:$A$500,$C8,'DADOS BRUTOS'!AL$3:AL$500)))</f>
        <v/>
      </c>
      <c r="DM8" s="132">
        <f>IF(OR(DM$4="",$B8=""),0,SUMIF('DADOS BRUTOS'!$A$3:$A$500,$B8,'DADOS BRUTOS'!AM$3:AM$500)+IF($C8="",0,SUMIF('DADOS BRUTOS'!$A$3:$A$500,$C8,'DADOS BRUTOS'!AM$3:AM$500)))</f>
        <v/>
      </c>
      <c r="DN8" s="132">
        <f>IF(OR(DN$4="",$B8=""),0,SUMIF('DADOS BRUTOS'!$A$3:$A$500,$B8,'DADOS BRUTOS'!AN$3:AN$500)+IF($C8="",0,SUMIF('DADOS BRUTOS'!$A$3:$A$500,$C8,'DADOS BRUTOS'!AN$3:AN$500)))</f>
        <v/>
      </c>
      <c r="DO8" s="132">
        <f>IF(OR(DO$4="",$B8=""),0,SUMIF('DADOS BRUTOS'!$A$3:$A$500,$B8,'DADOS BRUTOS'!AO$3:AO$500)+IF($C8="",0,SUMIF('DADOS BRUTOS'!$A$3:$A$500,$C8,'DADOS BRUTOS'!AO$3:AO$500)))</f>
        <v/>
      </c>
      <c r="DP8" s="132">
        <f>IF(OR(DP$4="",$B8=""),0,SUMIF('DADOS BRUTOS'!$A$3:$A$500,$B8,'DADOS BRUTOS'!AP$3:AP$500)+IF($C8="",0,SUMIF('DADOS BRUTOS'!$A$3:$A$500,$C8,'DADOS BRUTOS'!AP$3:AP$500)))</f>
        <v/>
      </c>
      <c r="DQ8" s="132">
        <f>IF(OR(DQ$4="",$B8=""),0,SUMIF('DADOS BRUTOS'!$A$3:$A$500,$B8,'DADOS BRUTOS'!AQ$3:AQ$500)+IF($C8="",0,SUMIF('DADOS BRUTOS'!$A$3:$A$500,$C8,'DADOS BRUTOS'!AQ$3:AQ$500)))</f>
        <v/>
      </c>
      <c r="DR8" s="132">
        <f>IF(OR(DR$4="",$B8=""),0,SUMIF('DADOS BRUTOS'!$A$3:$A$500,$B8,'DADOS BRUTOS'!AR$3:AR$500)+IF($C8="",0,SUMIF('DADOS BRUTOS'!$A$3:$A$500,$C8,'DADOS BRUTOS'!AR$3:AR$500)))</f>
        <v/>
      </c>
      <c r="DS8" s="132">
        <f>IF(OR(DS$4="",$B8=""),0,SUMIF('DADOS BRUTOS'!$A$3:$A$500,$B8,'DADOS BRUTOS'!AS$3:AS$500)+IF($C8="",0,SUMIF('DADOS BRUTOS'!$A$3:$A$500,$C8,'DADOS BRUTOS'!AS$3:AS$500)))</f>
        <v/>
      </c>
      <c r="DT8" s="132">
        <f>IF(OR(DT$4="",$B8=""),0,SUMIF('DADOS BRUTOS'!$A$3:$A$500,$B8,'DADOS BRUTOS'!AT$3:AT$500)+IF($C8="",0,SUMIF('DADOS BRUTOS'!$A$3:$A$500,$C8,'DADOS BRUTOS'!AT$3:AT$500)))</f>
        <v/>
      </c>
      <c r="DU8" s="132">
        <f>IF(OR(DU$4="",$B8=""),0,SUMIF('DADOS BRUTOS'!$A$3:$A$500,$B8,'DADOS BRUTOS'!AU$3:AU$500)+IF($C8="",0,SUMIF('DADOS BRUTOS'!$A$3:$A$500,$C8,'DADOS BRUTOS'!AU$3:AU$500)))</f>
        <v/>
      </c>
      <c r="DV8" s="132">
        <f>IF(OR(DV$4="",$B8=""),0,SUMIF('DADOS BRUTOS'!$A$3:$A$500,$B8,'DADOS BRUTOS'!AV$3:AV$500)+IF($C8="",0,SUMIF('DADOS BRUTOS'!$A$3:$A$500,$C8,'DADOS BRUTOS'!AV$3:AV$500)))</f>
        <v/>
      </c>
      <c r="DW8" s="132">
        <f>IF(OR(DW$4="",$B8=""),0,SUMIF('DADOS BRUTOS'!$A$3:$A$500,$B8,'DADOS BRUTOS'!AW$3:AW$500)+IF($C8="",0,SUMIF('DADOS BRUTOS'!$A$3:$A$500,$C8,'DADOS BRUTOS'!AW$3:AW$500)))</f>
        <v/>
      </c>
      <c r="DX8" s="132">
        <f>IF(OR(DX$4="",$B8=""),0,SUMIF('DADOS BRUTOS'!$A$3:$A$500,$B8,'DADOS BRUTOS'!AX$3:AX$500)+IF($C8="",0,SUMIF('DADOS BRUTOS'!$A$3:$A$500,$C8,'DADOS BRUTOS'!AX$3:AX$500)))</f>
        <v/>
      </c>
      <c r="DY8" s="132">
        <f>IF(OR(DY$4="",$B8=""),0,SUMIF('DADOS BRUTOS'!$A$3:$A$500,$B8,'DADOS BRUTOS'!AY$3:AY$500)+IF($C8="",0,SUMIF('DADOS BRUTOS'!$A$3:$A$500,$C8,'DADOS BRUTOS'!AY$3:AY$500)))</f>
        <v/>
      </c>
      <c r="DZ8" s="132">
        <f>IF(OR(DZ$4="",$B8=""),0,SUMIF('DADOS BRUTOS'!$A$3:$A$500,$B8,'DADOS BRUTOS'!AZ$3:AZ$500)+IF($C8="",0,SUMIF('DADOS BRUTOS'!$A$3:$A$500,$C8,'DADOS BRUTOS'!AZ$3:AZ$500)))</f>
        <v/>
      </c>
      <c r="EA8" s="132">
        <f>IF(OR(EA$4="",$B8=""),0,SUMIF('DADOS BRUTOS'!$A$3:$A$500,$B8,'DADOS BRUTOS'!BA$3:BA$500)+IF($C8="",0,SUMIF('DADOS BRUTOS'!$A$3:$A$500,$C8,'DADOS BRUTOS'!BA$3:BA$500)))</f>
        <v/>
      </c>
      <c r="EB8" s="132">
        <f>IF(OR(EB$4="",$B8=""),0,SUMIF('DADOS BRUTOS'!$A$3:$A$500,$B8,'DADOS BRUTOS'!BB$3:BB$500)+IF($C8="",0,SUMIF('DADOS BRUTOS'!$A$3:$A$500,$C8,'DADOS BRUTOS'!BB$3:BB$500)))</f>
        <v/>
      </c>
      <c r="EC8" s="132">
        <f>IF(OR(EC$4="",$B8=""),0,SUMIF('DADOS BRUTOS'!$A$3:$A$500,$B8,'DADOS BRUTOS'!BC$3:BC$500)+IF($C8="",0,SUMIF('DADOS BRUTOS'!$A$3:$A$500,$C8,'DADOS BRUTOS'!BC$3:BC$500)))</f>
        <v/>
      </c>
      <c r="ED8" s="132">
        <f>IF(OR(ED$4="",$B8=""),0,SUMIF('DADOS BRUTOS'!$A$3:$A$500,$B8,'DADOS BRUTOS'!BD$3:BD$500)+IF($C8="",0,SUMIF('DADOS BRUTOS'!$A$3:$A$500,$C8,'DADOS BRUTOS'!BD$3:BD$500)))</f>
        <v/>
      </c>
      <c r="EE8" s="132">
        <f>IF(OR(EE$4="",$B8=""),0,SUMIF('DADOS BRUTOS'!$A$3:$A$500,$B8,'DADOS BRUTOS'!BE$3:BE$500)+IF($C8="",0,SUMIF('DADOS BRUTOS'!$A$3:$A$500,$C8,'DADOS BRUTOS'!BE$3:BE$500)))</f>
        <v/>
      </c>
      <c r="EF8" s="132">
        <f>IF(OR(EF$4="",$B8=""),0,SUMIF('DADOS BRUTOS'!$A$3:$A$500,$B8,'DADOS BRUTOS'!BF$3:BF$500)+IF($C8="",0,SUMIF('DADOS BRUTOS'!$A$3:$A$500,$C8,'DADOS BRUTOS'!BF$3:BF$500)))</f>
        <v/>
      </c>
      <c r="EG8" s="132">
        <f>IF(OR(EG$4="",$B8=""),0,SUMIF('DADOS BRUTOS'!$A$3:$A$500,$B8,'DADOS BRUTOS'!BG$3:BG$500)+IF($C8="",0,SUMIF('DADOS BRUTOS'!$A$3:$A$500,$C8,'DADOS BRUTOS'!BG$3:BG$500)))</f>
        <v/>
      </c>
      <c r="EH8" s="132">
        <f>IF(OR(EH$4="",$B8=""),0,SUMIF('DADOS BRUTOS'!$A$3:$A$500,$B8,'DADOS BRUTOS'!BH$3:BH$500)+IF($C8="",0,SUMIF('DADOS BRUTOS'!$A$3:$A$500,$C8,'DADOS BRUTOS'!BH$3:BH$500)))</f>
        <v/>
      </c>
      <c r="EI8" s="132">
        <f>IF(OR(EI$4="",$B8=""),0,SUMIF('DADOS BRUTOS'!$A$3:$A$500,$B8,'DADOS BRUTOS'!BI$3:BI$500)+IF($C8="",0,SUMIF('DADOS BRUTOS'!$A$3:$A$500,$C8,'DADOS BRUTOS'!BI$3:BI$500)))</f>
        <v/>
      </c>
      <c r="EJ8" s="132">
        <f>IF(OR(EJ$4="",$B8=""),0,SUMIF('DADOS BRUTOS'!$A$3:$A$500,$B8,'DADOS BRUTOS'!BJ$3:BJ$500)+IF($C8="",0,SUMIF('DADOS BRUTOS'!$A$3:$A$500,$C8,'DADOS BRUTOS'!BJ$3:BJ$500)))</f>
        <v/>
      </c>
      <c r="EK8" s="132">
        <f>IF(OR(EK$4="",$B8=""),0,SUMIF('DADOS BRUTOS'!$A$3:$A$500,$B8,'DADOS BRUTOS'!BK$3:BK$500)+IF($C8="",0,SUMIF('DADOS BRUTOS'!$A$3:$A$500,$C8,'DADOS BRUTOS'!BK$3:BK$500)))</f>
        <v/>
      </c>
      <c r="EL8" s="132">
        <f>IF(OR(EL$4="",$B8=""),0,SUMIF('DADOS BRUTOS'!$A$3:$A$500,$B8,'DADOS BRUTOS'!BL$3:BL$500)+IF($C8="",0,SUMIF('DADOS BRUTOS'!$A$3:$A$500,$C8,'DADOS BRUTOS'!BL$3:BL$500)))</f>
        <v/>
      </c>
      <c r="EM8" s="132">
        <f>IF(OR(EM$4="",$B8=""),0,SUMIF('DADOS BRUTOS'!$A$3:$A$500,$B8,'DADOS BRUTOS'!BM$3:BM$500)+IF($C8="",0,SUMIF('DADOS BRUTOS'!$A$3:$A$500,$C8,'DADOS BRUTOS'!BM$3:BM$500)))</f>
        <v/>
      </c>
      <c r="EN8" s="132">
        <f>IF(OR(EN$4="",$B8=""),0,SUMIF('DADOS BRUTOS'!$A$3:$A$500,$B8,'DADOS BRUTOS'!BN$3:BN$500)+IF($C8="",0,SUMIF('DADOS BRUTOS'!$A$3:$A$500,$C8,'DADOS BRUTOS'!BN$3:BN$500)))</f>
        <v/>
      </c>
      <c r="EO8" s="132">
        <f>IF(OR(EO$4="",$B8=""),0,SUMIF('DADOS BRUTOS'!$A$3:$A$500,$B8,'DADOS BRUTOS'!BO$3:BO$500)+IF($C8="",0,SUMIF('DADOS BRUTOS'!$A$3:$A$500,$C8,'DADOS BRUTOS'!BO$3:BO$500)))</f>
        <v/>
      </c>
      <c r="EP8" s="132">
        <f>IF(OR(EP$4="",$B8=""),0,SUMIF('DADOS BRUTOS'!$A$3:$A$500,$B8,'DADOS BRUTOS'!BP$3:BP$500)+IF($C8="",0,SUMIF('DADOS BRUTOS'!$A$3:$A$500,$C8,'DADOS BRUTOS'!BP$3:BP$500)))</f>
        <v/>
      </c>
      <c r="EQ8" s="132">
        <f>IF(OR(EQ$4="",$B8=""),0,SUMIF('DADOS BRUTOS'!$A$3:$A$500,$B8,'DADOS BRUTOS'!BQ$3:BQ$500)+IF($C8="",0,SUMIF('DADOS BRUTOS'!$A$3:$A$500,$C8,'DADOS BRUTOS'!BQ$3:BQ$500)))</f>
        <v/>
      </c>
      <c r="ER8" s="132">
        <f>IF(OR(ER$4="",$B8=""),0,SUMIF('DADOS BRUTOS'!$A$3:$A$500,$B8,'DADOS BRUTOS'!BR$3:BR$500)+IF($C8="",0,SUMIF('DADOS BRUTOS'!$A$3:$A$500,$C8,'DADOS BRUTOS'!BR$3:BR$500)))</f>
        <v/>
      </c>
      <c r="ES8" s="132">
        <f>IF(OR(ES$4="",$B8=""),0,SUMIF('DADOS BRUTOS'!$A$3:$A$500,$B8,'DADOS BRUTOS'!BS$3:BS$500)+IF($C8="",0,SUMIF('DADOS BRUTOS'!$A$3:$A$500,$C8,'DADOS BRUTOS'!BS$3:BS$500)))</f>
        <v/>
      </c>
      <c r="ET8" s="132">
        <f>IF(OR(ET$4="",$B8=""),0,SUMIF('DADOS BRUTOS'!$A$3:$A$500,$B8,'DADOS BRUTOS'!BT$3:BT$500)+IF($C8="",0,SUMIF('DADOS BRUTOS'!$A$3:$A$500,$C8,'DADOS BRUTOS'!BT$3:BT$500)))</f>
        <v/>
      </c>
      <c r="EU8" s="132">
        <f>IF(OR(EU$4="",$B8=""),0,SUMIF('DADOS BRUTOS'!$A$3:$A$500,$B8,'DADOS BRUTOS'!BU$3:BU$500)+IF($C8="",0,SUMIF('DADOS BRUTOS'!$A$3:$A$500,$C8,'DADOS BRUTOS'!BU$3:BU$500)))</f>
        <v/>
      </c>
      <c r="EV8" s="132">
        <f>IF(OR(EV$4="",$B8=""),0,SUMIF('DADOS BRUTOS'!$A$3:$A$500,$B8,'DADOS BRUTOS'!BV$3:BV$500)+IF($C8="",0,SUMIF('DADOS BRUTOS'!$A$3:$A$500,$C8,'DADOS BRUTOS'!BV$3:BV$500)))</f>
        <v/>
      </c>
      <c r="EW8" s="132">
        <f>IF(OR(EW$4="",$B8=""),0,SUMIF('DADOS BRUTOS'!$A$3:$A$500,$B8,'DADOS BRUTOS'!BW$3:BW$500)+IF($C8="",0,SUMIF('DADOS BRUTOS'!$A$3:$A$500,$C8,'DADOS BRUTOS'!BW$3:BW$500)))</f>
        <v/>
      </c>
      <c r="EX8" s="132">
        <f>IF(OR(EX$4="",$B8=""),0,SUMIF('DADOS BRUTOS'!$A$3:$A$500,$B8,'DADOS BRUTOS'!BX$3:BX$500)+IF($C8="",0,SUMIF('DADOS BRUTOS'!$A$3:$A$500,$C8,'DADOS BRUTOS'!BX$3:BX$500)))</f>
        <v/>
      </c>
      <c r="EY8" s="132">
        <f>IF(OR(EY$4="",$B8=""),0,SUMIF('DADOS BRUTOS'!$A$3:$A$500,$B8,'DADOS BRUTOS'!BY$3:BY$500)+IF($C8="",0,SUMIF('DADOS BRUTOS'!$A$3:$A$500,$C8,'DADOS BRUTOS'!BY$3:BY$500)))</f>
        <v/>
      </c>
      <c r="EZ8" s="132">
        <f>IF(OR(EZ$4="",$B8=""),0,SUMIF('DADOS BRUTOS'!$A$3:$A$500,$B8,'DADOS BRUTOS'!BZ$3:BZ$500)+IF($C8="",0,SUMIF('DADOS BRUTOS'!$A$3:$A$500,$C8,'DADOS BRUTOS'!BZ$3:BZ$500)))</f>
        <v/>
      </c>
      <c r="FA8" s="132">
        <f>IF(OR(FA$4="",$B8=""),0,SUMIF('DADOS BRUTOS'!$A$3:$A$500,$B8,'DADOS BRUTOS'!CA$3:CA$500)+IF($C8="",0,SUMIF('DADOS BRUTOS'!$A$3:$A$500,$C8,'DADOS BRUTOS'!CA$3:CA$500)))</f>
        <v/>
      </c>
      <c r="FB8" s="132">
        <f>IF(OR(FB$4="",$B8=""),0,SUMIF('DADOS BRUTOS'!$A$3:$A$500,$B8,'DADOS BRUTOS'!CB$3:CB$500)+IF($C8="",0,SUMIF('DADOS BRUTOS'!$A$3:$A$500,$C8,'DADOS BRUTOS'!CB$3:CB$500)))</f>
        <v/>
      </c>
      <c r="FC8" s="132">
        <f>IF(OR(FC$4="",$B8=""),0,SUMIF('DADOS BRUTOS'!$A$3:$A$500,$B8,'DADOS BRUTOS'!CC$3:CC$500)+IF($C8="",0,SUMIF('DADOS BRUTOS'!$A$3:$A$500,$C8,'DADOS BRUTOS'!CC$3:CC$500)))</f>
        <v/>
      </c>
      <c r="FD8" s="132">
        <f>IF(OR(FD$4="",$B8=""),0,SUMIF('DADOS BRUTOS'!$A$3:$A$500,$B8,'DADOS BRUTOS'!CD$3:CD$500)+IF($C8="",0,SUMIF('DADOS BRUTOS'!$A$3:$A$500,$C8,'DADOS BRUTOS'!CD$3:CD$500)))</f>
        <v/>
      </c>
      <c r="FE8" s="132">
        <f>IF(OR(FE$4="",$B8=""),0,SUMIF('DADOS BRUTOS'!$A$3:$A$500,$B8,'DADOS BRUTOS'!CE$3:CE$500)+IF($C8="",0,SUMIF('DADOS BRUTOS'!$A$3:$A$500,$C8,'DADOS BRUTOS'!CE$3:CE$500)))</f>
        <v/>
      </c>
      <c r="FF8" s="132">
        <f>IF(OR(FF$4="",$B8=""),0,SUMIF('DADOS BRUTOS'!$A$3:$A$500,$B8,'DADOS BRUTOS'!CF$3:CF$500)+IF($C8="",0,SUMIF('DADOS BRUTOS'!$A$3:$A$500,$C8,'DADOS BRUTOS'!CF$3:CF$500)))</f>
        <v/>
      </c>
      <c r="FG8" s="132">
        <f>IF(OR(FG$4="",$B8=""),0,SUMIF('DADOS BRUTOS'!$A$3:$A$500,$B8,'DADOS BRUTOS'!CG$3:CG$500)+IF($C8="",0,SUMIF('DADOS BRUTOS'!$A$3:$A$500,$C8,'DADOS BRUTOS'!CG$3:CG$500)))</f>
        <v/>
      </c>
      <c r="FH8" s="132">
        <f>IF(OR(FH$4="",$B8=""),0,SUMIF('DADOS BRUTOS'!$A$3:$A$500,$B8,'DADOS BRUTOS'!CH$3:CH$500)+IF($C8="",0,SUMIF('DADOS BRUTOS'!$A$3:$A$500,$C8,'DADOS BRUTOS'!CH$3:CH$500)))</f>
        <v/>
      </c>
      <c r="FI8" s="132">
        <f>IF(OR(FI$4="",$B8=""),0,SUMIF('DADOS BRUTOS'!$A$3:$A$500,$B8,'DADOS BRUTOS'!CI$3:CI$500)+IF($C8="",0,SUMIF('DADOS BRUTOS'!$A$3:$A$500,$C8,'DADOS BRUTOS'!CI$3:CI$500)))</f>
        <v/>
      </c>
      <c r="FJ8" s="132">
        <f>IF(OR(FJ$4="",$B8=""),0,SUMIF('DADOS BRUTOS'!$A$3:$A$500,$B8,'DADOS BRUTOS'!CJ$3:CJ$500)+IF($C8="",0,SUMIF('DADOS BRUTOS'!$A$3:$A$500,$C8,'DADOS BRUTOS'!CJ$3:CJ$500)))</f>
        <v/>
      </c>
      <c r="FK8" s="132">
        <f>IF(OR(FK$4="",$B8=""),0,SUMIF('DADOS BRUTOS'!$A$3:$A$500,$B8,'DADOS BRUTOS'!CK$3:CK$500)+IF($C8="",0,SUMIF('DADOS BRUTOS'!$A$3:$A$500,$C8,'DADOS BRUTOS'!CK$3:CK$500)))</f>
        <v/>
      </c>
      <c r="FL8" s="132">
        <f>IF(OR(FL$4="",$B8=""),0,SUMIF('DADOS BRUTOS'!$A$3:$A$500,$B8,'DADOS BRUTOS'!CL$3:CL$500)+IF($C8="",0,SUMIF('DADOS BRUTOS'!$A$3:$A$500,$C8,'DADOS BRUTOS'!CL$3:CL$500)))</f>
        <v/>
      </c>
      <c r="FM8" s="132">
        <f>IF(OR(FM$4="",$B8=""),0,SUMIF('DADOS BRUTOS'!$A$3:$A$500,$B8,'DADOS BRUTOS'!CM$3:CM$500)+IF($C8="",0,SUMIF('DADOS BRUTOS'!$A$3:$A$500,$C8,'DADOS BRUTOS'!CM$3:CM$500)))</f>
        <v/>
      </c>
      <c r="FN8" s="132">
        <f>IF(OR(FN$4="",$B8=""),0,SUMIF('DADOS BRUTOS'!$A$3:$A$500,$B8,'DADOS BRUTOS'!CN$3:CN$500)+IF($C8="",0,SUMIF('DADOS BRUTOS'!$A$3:$A$500,$C8,'DADOS BRUTOS'!CN$3:CN$500)))</f>
        <v/>
      </c>
      <c r="FO8" s="132">
        <f>IF(OR(FO$4="",$B8=""),0,SUMIF('DADOS BRUTOS'!$A$3:$A$500,$B8,'DADOS BRUTOS'!CO$3:CO$500)+IF($C8="",0,SUMIF('DADOS BRUTOS'!$A$3:$A$500,$C8,'DADOS BRUTOS'!CO$3:CO$500)))</f>
        <v/>
      </c>
      <c r="FP8" s="132">
        <f>IF(OR(FP$4="",$B8=""),0,SUMIF('DADOS BRUTOS'!$A$3:$A$500,$B8,'DADOS BRUTOS'!CP$3:CP$500)+IF($C8="",0,SUMIF('DADOS BRUTOS'!$A$3:$A$500,$C8,'DADOS BRUTOS'!CP$3:CP$500)))</f>
        <v/>
      </c>
      <c r="FQ8" s="132">
        <f>IF(OR(FQ$4="",$B8=""),0,SUMIF('DADOS BRUTOS'!$A$3:$A$500,$B8,'DADOS BRUTOS'!CQ$3:CQ$500)+IF($C8="",0,SUMIF('DADOS BRUTOS'!$A$3:$A$500,$C8,'DADOS BRUTOS'!CQ$3:CQ$500)))</f>
        <v/>
      </c>
      <c r="FR8" s="132">
        <f>IF(OR(FR$4="",$B8=""),0,SUMIF('DADOS BRUTOS'!$A$3:$A$500,$B8,'DADOS BRUTOS'!CR$3:CR$500)+IF($C8="",0,SUMIF('DADOS BRUTOS'!$A$3:$A$500,$C8,'DADOS BRUTOS'!CR$3:CR$500)))</f>
        <v/>
      </c>
      <c r="FS8" s="132">
        <f>IF(OR(FS$4="",$B8=""),0,SUMIF('DADOS BRUTOS'!$A$3:$A$500,$B8,'DADOS BRUTOS'!CS$3:CS$500)+IF($C8="",0,SUMIF('DADOS BRUTOS'!$A$3:$A$500,$C8,'DADOS BRUTOS'!CS$3:CS$500)))</f>
        <v/>
      </c>
      <c r="FT8" s="132">
        <f>IF(OR(FT$4="",$B8=""),0,SUMIF('DADOS BRUTOS'!$A$3:$A$500,$B8,'DADOS BRUTOS'!CT$3:CT$500)+IF($C8="",0,SUMIF('DADOS BRUTOS'!$A$3:$A$500,$C8,'DADOS BRUTOS'!CT$3:CT$500)))</f>
        <v/>
      </c>
      <c r="FU8" s="132">
        <f>IF(OR(FU$4="",$B8=""),0,SUMIF('DADOS BRUTOS'!$A$3:$A$500,$B8,'DADOS BRUTOS'!CU$3:CU$500)+IF($C8="",0,SUMIF('DADOS BRUTOS'!$A$3:$A$500,$C8,'DADOS BRUTOS'!CU$3:CU$500)))</f>
        <v/>
      </c>
      <c r="FV8" s="132">
        <f>IF(OR(FV$4="",$B8=""),0,SUMIF('DADOS BRUTOS'!$A$3:$A$500,$B8,'DADOS BRUTOS'!CV$3:CV$500)+IF($C8="",0,SUMIF('DADOS BRUTOS'!$A$3:$A$500,$C8,'DADOS BRUTOS'!CV$3:CV$500)))</f>
        <v/>
      </c>
      <c r="FW8" s="132">
        <f>IF(OR(FW$4="",$B8=""),0,SUMIF('DADOS BRUTOS'!$A$3:$A$500,$B8,'DADOS BRUTOS'!CW$3:CW$500)+IF($C8="",0,SUMIF('DADOS BRUTOS'!$A$3:$A$500,$C8,'DADOS BRUTOS'!CW$3:CW$500)))</f>
        <v/>
      </c>
      <c r="FX8" s="132">
        <f>IF(OR(FX$4="",$B8=""),0,SUMIF('DADOS BRUTOS'!$A$3:$A$500,$B8,'DADOS BRUTOS'!CX$3:CX$500)+IF($C8="",0,SUMIF('DADOS BRUTOS'!$A$3:$A$500,$C8,'DADOS BRUTOS'!CX$3:CX$500)))</f>
        <v/>
      </c>
      <c r="FY8" s="132">
        <f>IF(OR(FY$4="",$B8=""),0,SUMIF('DADOS BRUTOS'!$A$3:$A$500,$B8,'DADOS BRUTOS'!CY$3:CY$500)+IF($C8="",0,SUMIF('DADOS BRUTOS'!$A$3:$A$500,$C8,'DADOS BRUTOS'!CY$3:CY$500)))</f>
        <v/>
      </c>
      <c r="FZ8" s="132">
        <f>IF(OR(FZ$4="",$B8=""),0,SUMIF('DADOS BRUTOS'!$A$3:$A$500,$B8,'DADOS BRUTOS'!CZ$3:CZ$500)+IF($C8="",0,SUMIF('DADOS BRUTOS'!$A$3:$A$500,$C8,'DADOS BRUTOS'!CZ$3:CZ$500)))</f>
        <v/>
      </c>
      <c r="GA8" s="132">
        <f>IF(OR(GA$4="",$B8=""),0,SUMIF('DADOS BRUTOS'!$A$3:$A$500,$B8,'DADOS BRUTOS'!DA$3:DA$500)+IF($C8="",0,SUMIF('DADOS BRUTOS'!$A$3:$A$500,$C8,'DADOS BRUTOS'!DA$3:DA$500)))</f>
        <v/>
      </c>
      <c r="GB8" s="132">
        <f>IF(OR(GB$4="",$B8=""),0,SUMIF('DADOS BRUTOS'!$A$3:$A$500,$B8,'DADOS BRUTOS'!DB$3:DB$500)+IF($C8="",0,SUMIF('DADOS BRUTOS'!$A$3:$A$500,$C8,'DADOS BRUTOS'!DB$3:DB$500)))</f>
        <v/>
      </c>
      <c r="GC8" s="132">
        <f>IF(OR(GC$4="",$B8=""),0,SUMIF('DADOS BRUTOS'!$A$3:$A$500,$B8,'DADOS BRUTOS'!DC$3:DC$500)+IF($C8="",0,SUMIF('DADOS BRUTOS'!$A$3:$A$500,$C8,'DADOS BRUTOS'!DC$3:DC$500)))</f>
        <v/>
      </c>
      <c r="GD8" s="132">
        <f>IF(OR(GD$4="",$B8=""),0,SUMIF('DADOS BRUTOS'!$A$3:$A$500,$B8,'DADOS BRUTOS'!DD$3:DD$500)+IF($C8="",0,SUMIF('DADOS BRUTOS'!$A$3:$A$500,$C8,'DADOS BRUTOS'!DD$3:DD$500)))</f>
        <v/>
      </c>
      <c r="GE8" s="132">
        <f>IF(OR(GE$4="",$B8=""),0,SUMIF('DADOS BRUTOS'!$A$3:$A$500,$B8,'DADOS BRUTOS'!DE$3:DE$500)+IF($C8="",0,SUMIF('DADOS BRUTOS'!$A$3:$A$500,$C8,'DADOS BRUTOS'!DE$3:DE$500)))</f>
        <v/>
      </c>
      <c r="GF8" s="132">
        <f>IF(OR(GF$4="",$B8=""),0,SUMIF('DADOS BRUTOS'!$A$3:$A$500,$B8,'DADOS BRUTOS'!DF$3:DF$500)+IF($C8="",0,SUMIF('DADOS BRUTOS'!$A$3:$A$500,$C8,'DADOS BRUTOS'!DF$3:DF$500)))</f>
        <v/>
      </c>
      <c r="GG8" s="132">
        <f>IF(OR(GG$4="",$B8=""),0,SUMIF('DADOS BRUTOS'!$A$3:$A$500,$B8,'DADOS BRUTOS'!DG$3:DG$500)+IF($C8="",0,SUMIF('DADOS BRUTOS'!$A$3:$A$500,$C8,'DADOS BRUTOS'!DG$3:DG$500)))</f>
        <v/>
      </c>
      <c r="GH8" s="132">
        <f>IF(OR(GH$4="",$B8=""),0,SUMIF('DADOS BRUTOS'!$A$3:$A$500,$B8,'DADOS BRUTOS'!DH$3:DH$500)+IF($C8="",0,SUMIF('DADOS BRUTOS'!$A$3:$A$500,$C8,'DADOS BRUTOS'!DH$3:DH$500)))</f>
        <v/>
      </c>
      <c r="GI8" s="132">
        <f>IF(OR(GI$4="",$B8=""),0,SUMIF('DADOS BRUTOS'!$A$3:$A$500,$B8,'DADOS BRUTOS'!DI$3:DI$500)+IF($C8="",0,SUMIF('DADOS BRUTOS'!$A$3:$A$500,$C8,'DADOS BRUTOS'!DI$3:DI$500)))</f>
        <v/>
      </c>
      <c r="GJ8" s="132">
        <f>IF(OR(GJ$4="",$B8=""),0,SUMIF('DADOS BRUTOS'!$A$3:$A$500,$B8,'DADOS BRUTOS'!DJ$3:DJ$500)+IF($C8="",0,SUMIF('DADOS BRUTOS'!$A$3:$A$500,$C8,'DADOS BRUTOS'!DJ$3:DJ$500)))</f>
        <v/>
      </c>
      <c r="GK8" s="132">
        <f>IF(OR(GK$4="",$B8=""),0,SUMIF('DADOS BRUTOS'!$A$3:$A$500,$B8,'DADOS BRUTOS'!DK$3:DK$500)+IF($C8="",0,SUMIF('DADOS BRUTOS'!$A$3:$A$500,$C8,'DADOS BRUTOS'!DK$3:DK$500)))</f>
        <v/>
      </c>
      <c r="GL8" s="132">
        <f>IF(OR(GL$4="",$B8=""),0,SUMIF('DADOS BRUTOS'!$A$3:$A$500,$B8,'DADOS BRUTOS'!DL$3:DL$500)+IF($C8="",0,SUMIF('DADOS BRUTOS'!$A$3:$A$500,$C8,'DADOS BRUTOS'!DL$3:DL$500)))</f>
        <v/>
      </c>
      <c r="GM8" s="132">
        <f>IF(OR(GM$4="",$B8=""),0,SUMIF('DADOS BRUTOS'!$A$3:$A$500,$B8,'DADOS BRUTOS'!DM$3:DM$500)+IF($C8="",0,SUMIF('DADOS BRUTOS'!$A$3:$A$500,$C8,'DADOS BRUTOS'!DM$3:DM$500)))</f>
        <v/>
      </c>
      <c r="GN8" s="132">
        <f>IF(OR(GN$4="",$B8=""),0,SUMIF('DADOS BRUTOS'!$A$3:$A$500,$B8,'DADOS BRUTOS'!DN$3:DN$500)+IF($C8="",0,SUMIF('DADOS BRUTOS'!$A$3:$A$500,$C8,'DADOS BRUTOS'!DN$3:DN$500)))</f>
        <v/>
      </c>
      <c r="GO8" s="132">
        <f>IF(OR(GO$4="",$B8=""),0,SUMIF('DADOS BRUTOS'!$A$3:$A$500,$B8,'DADOS BRUTOS'!DO$3:DO$500)+IF($C8="",0,SUMIF('DADOS BRUTOS'!$A$3:$A$500,$C8,'DADOS BRUTOS'!DO$3:DO$500)))</f>
        <v/>
      </c>
      <c r="GP8" s="132">
        <f>IF(OR(GP$4="",$B8=""),0,SUMIF('DADOS BRUTOS'!$A$3:$A$500,$B8,'DADOS BRUTOS'!DP$3:DP$500)+IF($C8="",0,SUMIF('DADOS BRUTOS'!$A$3:$A$500,$C8,'DADOS BRUTOS'!DP$3:DP$500)))</f>
        <v/>
      </c>
      <c r="GQ8" s="132">
        <f>IF(OR(GQ$4="",$B8=""),0,SUMIF('DADOS BRUTOS'!$A$3:$A$500,$B8,'DADOS BRUTOS'!DQ$3:DQ$500)+IF($C8="",0,SUMIF('DADOS BRUTOS'!$A$3:$A$500,$C8,'DADOS BRUTOS'!DQ$3:DQ$500)))</f>
        <v/>
      </c>
      <c r="GR8" s="132">
        <f>IF(OR(GR$4="",$B8=""),0,SUMIF('DADOS BRUTOS'!$A$3:$A$500,$B8,'DADOS BRUTOS'!DR$3:DR$500)+IF($C8="",0,SUMIF('DADOS BRUTOS'!$A$3:$A$500,$C8,'DADOS BRUTOS'!DR$3:DR$500)))</f>
        <v/>
      </c>
      <c r="GS8" s="132">
        <f>IF(OR(GS$4="",$B8=""),0,SUMIF('DADOS BRUTOS'!$A$3:$A$500,$B8,'DADOS BRUTOS'!DS$3:DS$500)+IF($C8="",0,SUMIF('DADOS BRUTOS'!$A$3:$A$500,$C8,'DADOS BRUTOS'!DS$3:DS$500)))</f>
        <v/>
      </c>
      <c r="GT8" s="132">
        <f>IF(OR(GT$4="",$B8=""),0,SUMIF('DADOS BRUTOS'!$A$3:$A$500,$B8,'DADOS BRUTOS'!DT$3:DT$500)+IF($C8="",0,SUMIF('DADOS BRUTOS'!$A$3:$A$500,$C8,'DADOS BRUTOS'!DT$3:DT$500)))</f>
        <v/>
      </c>
      <c r="GU8" s="132">
        <f>IF(OR(GU$4="",$B8=""),0,SUMIF('DADOS BRUTOS'!$A$3:$A$500,$B8,'DADOS BRUTOS'!DU$3:DU$500)+IF($C8="",0,SUMIF('DADOS BRUTOS'!$A$3:$A$500,$C8,'DADOS BRUTOS'!DU$3:DU$500)))</f>
        <v/>
      </c>
      <c r="GV8" s="132">
        <f>IF(OR(GV$4="",$B8=""),0,SUMIF('DADOS BRUTOS'!$A$3:$A$500,$B8,'DADOS BRUTOS'!DV$3:DV$500)+IF($C8="",0,SUMIF('DADOS BRUTOS'!$A$3:$A$500,$C8,'DADOS BRUTOS'!DV$3:DV$500)))</f>
        <v/>
      </c>
      <c r="GW8" s="132">
        <f>IF(OR(GW$4="",$B8=""),0,SUMIF('DADOS BRUTOS'!$A$3:$A$500,$B8,'DADOS BRUTOS'!DW$3:DW$500)+IF($C8="",0,SUMIF('DADOS BRUTOS'!$A$3:$A$500,$C8,'DADOS BRUTOS'!DW$3:DW$500)))</f>
        <v/>
      </c>
      <c r="GX8" s="132">
        <f>IF(OR(GX$4="",$B8=""),0,SUMIF('DADOS BRUTOS'!$A$3:$A$500,$B8,'DADOS BRUTOS'!DX$3:DX$500)+IF($C8="",0,SUMIF('DADOS BRUTOS'!$A$3:$A$500,$C8,'DADOS BRUTOS'!DX$3:DX$500)))</f>
        <v/>
      </c>
      <c r="GY8" s="132">
        <f>IF(OR(GY$4="",$B8=""),0,SUMIF('DADOS BRUTOS'!$A$3:$A$500,$B8,'DADOS BRUTOS'!DY$3:DY$500)+IF($C8="",0,SUMIF('DADOS BRUTOS'!$A$3:$A$500,$C8,'DADOS BRUTOS'!DY$3:DY$500)))</f>
        <v/>
      </c>
      <c r="GZ8" s="132">
        <f>IF(OR(GZ$4="",$B8=""),0,SUMIF('DADOS BRUTOS'!$A$3:$A$500,$B8,'DADOS BRUTOS'!DZ$3:DZ$500)+IF($C8="",0,SUMIF('DADOS BRUTOS'!$A$3:$A$500,$C8,'DADOS BRUTOS'!DZ$3:DZ$500)))</f>
        <v/>
      </c>
      <c r="HA8" s="132">
        <f>IF(OR(HA$4="",$B8=""),0,SUMIF('DADOS BRUTOS'!$A$3:$A$500,$B8,'DADOS BRUTOS'!EA$3:EA$500)+IF($C8="",0,SUMIF('DADOS BRUTOS'!$A$3:$A$500,$C8,'DADOS BRUTOS'!EA$3:EA$500)))</f>
        <v/>
      </c>
      <c r="HB8" s="132">
        <f>IF(OR(HB$4="",$B8=""),0,SUMIF('DADOS BRUTOS'!$A$3:$A$500,$B8,'DADOS BRUTOS'!EB$3:EB$500)+IF($C8="",0,SUMIF('DADOS BRUTOS'!$A$3:$A$500,$C8,'DADOS BRUTOS'!EB$3:EB$500)))</f>
        <v/>
      </c>
      <c r="HC8" s="132">
        <f>IF(OR(HC$4="",$B8=""),0,SUMIF('DADOS BRUTOS'!$A$3:$A$500,$B8,'DADOS BRUTOS'!EC$3:EC$500)+IF($C8="",0,SUMIF('DADOS BRUTOS'!$A$3:$A$500,$C8,'DADOS BRUTOS'!EC$3:EC$500)))</f>
        <v/>
      </c>
      <c r="HD8" s="132">
        <f>IF(OR(HD$4="",$B8=""),0,SUMIF('DADOS BRUTOS'!$A$3:$A$500,$B8,'DADOS BRUTOS'!ED$3:ED$500)+IF($C8="",0,SUMIF('DADOS BRUTOS'!$A$3:$A$500,$C8,'DADOS BRUTOS'!ED$3:ED$500)))</f>
        <v/>
      </c>
      <c r="HE8" s="132">
        <f>IF(OR(HE$4="",$B8=""),0,SUMIF('DADOS BRUTOS'!$A$3:$A$500,$B8,'DADOS BRUTOS'!EE$3:EE$500)+IF($C8="",0,SUMIF('DADOS BRUTOS'!$A$3:$A$500,$C8,'DADOS BRUTOS'!EE$3:EE$500)))</f>
        <v/>
      </c>
      <c r="HF8" s="132">
        <f>IF(OR(HF$4="",$B8=""),0,SUMIF('DADOS BRUTOS'!$A$3:$A$500,$B8,'DADOS BRUTOS'!EF$3:EF$500)+IF($C8="",0,SUMIF('DADOS BRUTOS'!$A$3:$A$500,$C8,'DADOS BRUTOS'!EF$3:EF$500)))</f>
        <v/>
      </c>
      <c r="HG8" s="132">
        <f>IF(OR(HG$4="",$B8=""),0,SUMIF('DADOS BRUTOS'!$A$3:$A$500,$B8,'DADOS BRUTOS'!EG$3:EG$500)+IF($C8="",0,SUMIF('DADOS BRUTOS'!$A$3:$A$500,$C8,'DADOS BRUTOS'!EG$3:EG$500)))</f>
        <v/>
      </c>
      <c r="HH8" s="132">
        <f>IF(OR(HH$4="",$B8=""),0,SUMIF('DADOS BRUTOS'!$A$3:$A$500,$B8,'DADOS BRUTOS'!EH$3:EH$500)+IF($C8="",0,SUMIF('DADOS BRUTOS'!$A$3:$A$500,$C8,'DADOS BRUTOS'!EH$3:EH$500)))</f>
        <v/>
      </c>
      <c r="HI8" s="132">
        <f>IF(OR(HI$4="",$B8=""),0,SUMIF('DADOS BRUTOS'!$A$3:$A$500,$B8,'DADOS BRUTOS'!EI$3:EI$500)+IF($C8="",0,SUMIF('DADOS BRUTOS'!$A$3:$A$500,$C8,'DADOS BRUTOS'!EI$3:EI$500)))</f>
        <v/>
      </c>
      <c r="HJ8" s="132">
        <f>IF(OR(HJ$4="",$B8=""),0,SUMIF('DADOS BRUTOS'!$A$3:$A$500,$B8,'DADOS BRUTOS'!EJ$3:EJ$500)+IF($C8="",0,SUMIF('DADOS BRUTOS'!$A$3:$A$500,$C8,'DADOS BRUTOS'!EJ$3:EJ$500)))</f>
        <v/>
      </c>
      <c r="HK8" s="132">
        <f>IF(OR(HK$4="",$B8=""),0,SUMIF('DADOS BRUTOS'!$A$3:$A$500,$B8,'DADOS BRUTOS'!EK$3:EK$500)+IF($C8="",0,SUMIF('DADOS BRUTOS'!$A$3:$A$500,$C8,'DADOS BRUTOS'!EK$3:EK$500)))</f>
        <v/>
      </c>
      <c r="HL8" s="132">
        <f>IF(OR(HL$4="",$B8=""),0,SUMIF('DADOS BRUTOS'!$A$3:$A$500,$B8,'DADOS BRUTOS'!EL$3:EL$500)+IF($C8="",0,SUMIF('DADOS BRUTOS'!$A$3:$A$500,$C8,'DADOS BRUTOS'!EL$3:EL$500)))</f>
        <v/>
      </c>
      <c r="HM8" s="132">
        <f>IF(OR(HM$4="",$B8=""),0,SUMIF('DADOS BRUTOS'!$A$3:$A$500,$B8,'DADOS BRUTOS'!EM$3:EM$500)+IF($C8="",0,SUMIF('DADOS BRUTOS'!$A$3:$A$500,$C8,'DADOS BRUTOS'!EM$3:EM$500)))</f>
        <v/>
      </c>
      <c r="HN8" s="132">
        <f>IF(OR(HN$4="",$B8=""),0,SUMIF('DADOS BRUTOS'!$A$3:$A$500,$B8,'DADOS BRUTOS'!EN$3:EN$500)+IF($C8="",0,SUMIF('DADOS BRUTOS'!$A$3:$A$500,$C8,'DADOS BRUTOS'!EN$3:EN$500)))</f>
        <v/>
      </c>
      <c r="HO8" s="132">
        <f>IF(OR(HO$4="",$B8=""),0,SUMIF('DADOS BRUTOS'!$A$3:$A$500,$B8,'DADOS BRUTOS'!EO$3:EO$500)+IF($C8="",0,SUMIF('DADOS BRUTOS'!$A$3:$A$500,$C8,'DADOS BRUTOS'!EO$3:EO$500)))</f>
        <v/>
      </c>
      <c r="HP8" s="132">
        <f>IF(OR(HP$4="",$B8=""),0,SUMIF('DADOS BRUTOS'!$A$3:$A$500,$B8,'DADOS BRUTOS'!EP$3:EP$500)+IF($C8="",0,SUMIF('DADOS BRUTOS'!$A$3:$A$500,$C8,'DADOS BRUTOS'!EP$3:EP$500)))</f>
        <v/>
      </c>
      <c r="HQ8" s="132">
        <f>IF(OR(HQ$4="",$B8=""),0,SUMIF('DADOS BRUTOS'!$A$3:$A$500,$B8,'DADOS BRUTOS'!EQ$3:EQ$500)+IF($C8="",0,SUMIF('DADOS BRUTOS'!$A$3:$A$500,$C8,'DADOS BRUTOS'!EQ$3:EQ$500)))</f>
        <v/>
      </c>
      <c r="HR8" s="132">
        <f>IF(OR(HR$4="",$B8=""),0,SUMIF('DADOS BRUTOS'!$A$3:$A$500,$B8,'DADOS BRUTOS'!ER$3:ER$500)+IF($C8="",0,SUMIF('DADOS BRUTOS'!$A$3:$A$500,$C8,'DADOS BRUTOS'!ER$3:ER$500)))</f>
        <v/>
      </c>
      <c r="HS8" s="132">
        <f>IF(OR(HS$4="",$B8=""),0,SUMIF('DADOS BRUTOS'!$A$3:$A$500,$B8,'DADOS BRUTOS'!ES$3:ES$500)+IF($C8="",0,SUMIF('DADOS BRUTOS'!$A$3:$A$500,$C8,'DADOS BRUTOS'!ES$3:ES$500)))</f>
        <v/>
      </c>
      <c r="HT8" s="132">
        <f>IF(OR(HT$4="",$B8=""),0,SUMIF('DADOS BRUTOS'!$A$3:$A$500,$B8,'DADOS BRUTOS'!ET$3:ET$500)+IF($C8="",0,SUMIF('DADOS BRUTOS'!$A$3:$A$500,$C8,'DADOS BRUTOS'!ET$3:ET$500)))</f>
        <v/>
      </c>
      <c r="HU8" s="132">
        <f>IF(OR(HU$4="",$B8=""),0,SUMIF('DADOS BRUTOS'!$A$3:$A$500,$B8,'DADOS BRUTOS'!EU$3:EU$500)+IF($C8="",0,SUMIF('DADOS BRUTOS'!$A$3:$A$500,$C8,'DADOS BRUTOS'!EU$3:EU$500)))</f>
        <v/>
      </c>
      <c r="HV8" s="132">
        <f>IF(OR(HV$4="",$B8=""),0,SUMIF('DADOS BRUTOS'!$A$3:$A$500,$B8,'DADOS BRUTOS'!EV$3:EV$500)+IF($C8="",0,SUMIF('DADOS BRUTOS'!$A$3:$A$500,$C8,'DADOS BRUTOS'!EV$3:EV$500)))</f>
        <v/>
      </c>
      <c r="HW8" s="132">
        <f>IF(OR(HW$4="",$B8=""),0,SUMIF('DADOS BRUTOS'!$A$3:$A$500,$B8,'DADOS BRUTOS'!EW$3:EW$500)+IF($C8="",0,SUMIF('DADOS BRUTOS'!$A$3:$A$500,$C8,'DADOS BRUTOS'!EW$3:EW$500)))</f>
        <v/>
      </c>
      <c r="HX8" s="132">
        <f>IF(OR(HX$4="",$B8=""),0,SUMIF('DADOS BRUTOS'!$A$3:$A$500,$B8,'DADOS BRUTOS'!EX$3:EX$500)+IF($C8="",0,SUMIF('DADOS BRUTOS'!$A$3:$A$500,$C8,'DADOS BRUTOS'!EX$3:EX$500)))</f>
        <v/>
      </c>
      <c r="HY8" s="132">
        <f>IF(OR(HY$4="",$B8=""),0,SUMIF('DADOS BRUTOS'!$A$3:$A$500,$B8,'DADOS BRUTOS'!EY$3:EY$500)+IF($C8="",0,SUMIF('DADOS BRUTOS'!$A$3:$A$500,$C8,'DADOS BRUTOS'!EY$3:EY$500)))</f>
        <v/>
      </c>
      <c r="HZ8" s="132">
        <f>IF(OR(HZ$4="",$B8=""),0,SUMIF('DADOS BRUTOS'!$A$3:$A$500,$B8,'DADOS BRUTOS'!EZ$3:EZ$500)+IF($C8="",0,SUMIF('DADOS BRUTOS'!$A$3:$A$500,$C8,'DADOS BRUTOS'!EZ$3:EZ$500)))</f>
        <v/>
      </c>
      <c r="IA8" s="132">
        <f>IF(OR(IA$4="",$B8=""),0,SUMIF('DADOS BRUTOS'!$A$3:$A$500,$B8,'DADOS BRUTOS'!FA$3:FA$500)+IF($C8="",0,SUMIF('DADOS BRUTOS'!$A$3:$A$500,$C8,'DADOS BRUTOS'!FA$3:FA$500)))</f>
        <v/>
      </c>
      <c r="IB8" s="132">
        <f>IF(OR(IB$4="",$B8=""),0,SUMIF('DADOS BRUTOS'!$A$3:$A$500,$B8,'DADOS BRUTOS'!FB$3:FB$500)+IF($C8="",0,SUMIF('DADOS BRUTOS'!$A$3:$A$500,$C8,'DADOS BRUTOS'!FB$3:FB$500)))</f>
        <v/>
      </c>
      <c r="IC8" s="132">
        <f>IF(OR(IC$4="",$B8=""),0,SUMIF('DADOS BRUTOS'!$A$3:$A$500,$B8,'DADOS BRUTOS'!FC$3:FC$500)+IF($C8="",0,SUMIF('DADOS BRUTOS'!$A$3:$A$500,$C8,'DADOS BRUTOS'!FC$3:FC$500)))</f>
        <v/>
      </c>
      <c r="ID8" s="132">
        <f>IF(OR(ID$4="",$B8=""),0,SUMIF('DADOS BRUTOS'!$A$3:$A$500,$B8,'DADOS BRUTOS'!FD$3:FD$500)+IF($C8="",0,SUMIF('DADOS BRUTOS'!$A$3:$A$500,$C8,'DADOS BRUTOS'!FD$3:FD$500)))</f>
        <v/>
      </c>
      <c r="IE8" s="132">
        <f>IF(OR(IE$4="",$B8=""),0,SUMIF('DADOS BRUTOS'!$A$3:$A$500,$B8,'DADOS BRUTOS'!FE$3:FE$500)+IF($C8="",0,SUMIF('DADOS BRUTOS'!$A$3:$A$500,$C8,'DADOS BRUTOS'!FE$3:FE$500)))</f>
        <v/>
      </c>
      <c r="IF8" s="132">
        <f>IF(OR(IF$4="",$B8=""),0,SUMIF('DADOS BRUTOS'!$A$3:$A$500,$B8,'DADOS BRUTOS'!FF$3:FF$500)+IF($C8="",0,SUMIF('DADOS BRUTOS'!$A$3:$A$500,$C8,'DADOS BRUTOS'!FF$3:FF$500)))</f>
        <v/>
      </c>
      <c r="IG8" s="132">
        <f>IF(OR(IG$4="",$B8=""),0,SUMIF('DADOS BRUTOS'!$A$3:$A$500,$B8,'DADOS BRUTOS'!FG$3:FG$500)+IF($C8="",0,SUMIF('DADOS BRUTOS'!$A$3:$A$500,$C8,'DADOS BRUTOS'!FG$3:FG$500)))</f>
        <v/>
      </c>
      <c r="IH8" s="132">
        <f>IF(OR(IH$4="",$B8=""),0,SUMIF('DADOS BRUTOS'!$A$3:$A$500,$B8,'DADOS BRUTOS'!FH$3:FH$500)+IF($C8="",0,SUMIF('DADOS BRUTOS'!$A$3:$A$500,$C8,'DADOS BRUTOS'!FH$3:FH$500)))</f>
        <v/>
      </c>
      <c r="II8" s="132">
        <f>IF(OR(II$4="",$B8=""),0,SUMIF('DADOS BRUTOS'!$A$3:$A$500,$B8,'DADOS BRUTOS'!FI$3:FI$500)+IF($C8="",0,SUMIF('DADOS BRUTOS'!$A$3:$A$500,$C8,'DADOS BRUTOS'!FI$3:FI$500)))</f>
        <v/>
      </c>
      <c r="IJ8" s="132">
        <f>IF(OR(IJ$4="",$B8=""),0,SUMIF('DADOS BRUTOS'!$A$3:$A$500,$B8,'DADOS BRUTOS'!FJ$3:FJ$500)+IF($C8="",0,SUMIF('DADOS BRUTOS'!$A$3:$A$500,$C8,'DADOS BRUTOS'!FJ$3:FJ$500)))</f>
        <v/>
      </c>
      <c r="IK8" s="132">
        <f>IF(OR(IK$4="",$B8=""),0,SUMIF('DADOS BRUTOS'!$A$3:$A$500,$B8,'DADOS BRUTOS'!FK$3:FK$500)+IF($C8="",0,SUMIF('DADOS BRUTOS'!$A$3:$A$500,$C8,'DADOS BRUTOS'!FK$3:FK$500)))</f>
        <v/>
      </c>
      <c r="IL8" s="132">
        <f>IF(OR(IL$4="",$B8=""),0,SUMIF('DADOS BRUTOS'!$A$3:$A$500,$B8,'DADOS BRUTOS'!FL$3:FL$500)+IF($C8="",0,SUMIF('DADOS BRUTOS'!$A$3:$A$500,$C8,'DADOS BRUTOS'!FL$3:FL$500)))</f>
        <v/>
      </c>
      <c r="IM8" s="132">
        <f>IF(OR(IM$4="",$B8=""),0,SUMIF('DADOS BRUTOS'!$A$3:$A$500,$B8,'DADOS BRUTOS'!FM$3:FM$500)+IF($C8="",0,SUMIF('DADOS BRUTOS'!$A$3:$A$500,$C8,'DADOS BRUTOS'!FM$3:FM$500)))</f>
        <v/>
      </c>
      <c r="IN8" s="132">
        <f>IF(OR(IN$4="",$B8=""),0,SUMIF('DADOS BRUTOS'!$A$3:$A$500,$B8,'DADOS BRUTOS'!FN$3:FN$500)+IF($C8="",0,SUMIF('DADOS BRUTOS'!$A$3:$A$500,$C8,'DADOS BRUTOS'!FN$3:FN$500)))</f>
        <v/>
      </c>
      <c r="IO8" s="132">
        <f>IF(OR(IO$4="",$B8=""),0,SUMIF('DADOS BRUTOS'!$A$3:$A$500,$B8,'DADOS BRUTOS'!FO$3:FO$500)+IF($C8="",0,SUMIF('DADOS BRUTOS'!$A$3:$A$500,$C8,'DADOS BRUTOS'!FO$3:FO$500)))</f>
        <v/>
      </c>
      <c r="IP8" s="132">
        <f>IF(OR(IP$4="",$B8=""),0,SUMIF('DADOS BRUTOS'!$A$3:$A$500,$B8,'DADOS BRUTOS'!FP$3:FP$500)+IF($C8="",0,SUMIF('DADOS BRUTOS'!$A$3:$A$500,$C8,'DADOS BRUTOS'!FP$3:FP$500)))</f>
        <v/>
      </c>
      <c r="IQ8" s="132">
        <f>IF(OR(IQ$4="",$B8=""),0,SUMIF('DADOS BRUTOS'!$A$3:$A$500,$B8,'DADOS BRUTOS'!FQ$3:FQ$500)+IF($C8="",0,SUMIF('DADOS BRUTOS'!$A$3:$A$500,$C8,'DADOS BRUTOS'!FQ$3:FQ$500)))</f>
        <v/>
      </c>
      <c r="IR8" s="132">
        <f>IF(OR(IR$4="",$B8=""),0,SUMIF('DADOS BRUTOS'!$A$3:$A$500,$B8,'DADOS BRUTOS'!FR$3:FR$500)+IF($C8="",0,SUMIF('DADOS BRUTOS'!$A$3:$A$500,$C8,'DADOS BRUTOS'!FR$3:FR$500)))</f>
        <v/>
      </c>
      <c r="IS8" s="132">
        <f>IF(OR(IS$4="",$B8=""),0,SUMIF('DADOS BRUTOS'!$A$3:$A$500,$B8,'DADOS BRUTOS'!FS$3:FS$500)+IF($C8="",0,SUMIF('DADOS BRUTOS'!$A$3:$A$500,$C8,'DADOS BRUTOS'!FS$3:FS$500)))</f>
        <v/>
      </c>
      <c r="IT8" s="132">
        <f>IF(OR(IT$4="",$B8=""),0,SUMIF('DADOS BRUTOS'!$A$3:$A$500,$B8,'DADOS BRUTOS'!FT$3:FT$500)+IF($C8="",0,SUMIF('DADOS BRUTOS'!$A$3:$A$500,$C8,'DADOS BRUTOS'!FT$3:FT$500)))</f>
        <v/>
      </c>
      <c r="IU8" s="132">
        <f>IF(OR(IU$4="",$B8=""),0,SUMIF('DADOS BRUTOS'!$A$3:$A$500,$B8,'DADOS BRUTOS'!FU$3:FU$500)+IF($C8="",0,SUMIF('DADOS BRUTOS'!$A$3:$A$500,$C8,'DADOS BRUTOS'!FU$3:FU$500)))</f>
        <v/>
      </c>
      <c r="IV8" s="132">
        <f>IF(OR(IV$4="",$B8=""),0,SUMIF('DADOS BRUTOS'!$A$3:$A$500,$B8,'DADOS BRUTOS'!FV$3:FV$500)+IF($C8="",0,SUMIF('DADOS BRUTOS'!$A$3:$A$500,$C8,'DADOS BRUTOS'!FV$3:FV$500)))</f>
        <v/>
      </c>
      <c r="IW8" s="132">
        <f>IF(OR(IW$4="",$B8=""),0,SUMIF('DADOS BRUTOS'!$A$3:$A$500,$B8,'DADOS BRUTOS'!FW$3:FW$500)+IF($C8="",0,SUMIF('DADOS BRUTOS'!$A$3:$A$500,$C8,'DADOS BRUTOS'!FW$3:FW$500)))</f>
        <v/>
      </c>
      <c r="IX8" s="132">
        <f>IF(OR(IX$4="",$B8=""),0,SUMIF('DADOS BRUTOS'!$A$3:$A$500,$B8,'DADOS BRUTOS'!FX$3:FX$500)+IF($C8="",0,SUMIF('DADOS BRUTOS'!$A$3:$A$500,$C8,'DADOS BRUTOS'!FX$3:FX$500)))</f>
        <v/>
      </c>
      <c r="IY8" s="132">
        <f>IF(OR(IY$4="",$B8=""),0,SUMIF('DADOS BRUTOS'!$A$3:$A$500,$B8,'DADOS BRUTOS'!FY$3:FY$500)+IF($C8="",0,SUMIF('DADOS BRUTOS'!$A$3:$A$500,$C8,'DADOS BRUTOS'!FY$3:FY$500)))</f>
        <v/>
      </c>
      <c r="IZ8" s="132">
        <f>IF(OR(IZ$4="",$B8=""),0,SUMIF('DADOS BRUTOS'!$A$3:$A$500,$B8,'DADOS BRUTOS'!FZ$3:FZ$500)+IF($C8="",0,SUMIF('DADOS BRUTOS'!$A$3:$A$500,$C8,'DADOS BRUTOS'!FZ$3:FZ$500)))</f>
        <v/>
      </c>
      <c r="JA8" s="132">
        <f>IF(OR(JA$4="",$B8=""),0,SUMIF('DADOS BRUTOS'!$A$3:$A$500,$B8,'DADOS BRUTOS'!GA$3:GA$500)+IF($C8="",0,SUMIF('DADOS BRUTOS'!$A$3:$A$500,$C8,'DADOS BRUTOS'!GA$3:GA$500)))</f>
        <v/>
      </c>
      <c r="JB8" s="132">
        <f>IF(OR(JB$4="",$B8=""),0,SUMIF('DADOS BRUTOS'!$A$3:$A$500,$B8,'DADOS BRUTOS'!GB$3:GB$500)+IF($C8="",0,SUMIF('DADOS BRUTOS'!$A$3:$A$500,$C8,'DADOS BRUTOS'!GB$3:GB$500)))</f>
        <v/>
      </c>
      <c r="JC8" s="132">
        <f>IF(OR(JC$4="",$B8=""),0,SUMIF('DADOS BRUTOS'!$A$3:$A$500,$B8,'DADOS BRUTOS'!GC$3:GC$500)+IF($C8="",0,SUMIF('DADOS BRUTOS'!$A$3:$A$500,$C8,'DADOS BRUTOS'!GC$3:GC$500)))</f>
        <v/>
      </c>
      <c r="JD8" s="132">
        <f>IF(OR(JD$4="",$B8=""),0,SUMIF('DADOS BRUTOS'!$A$3:$A$500,$B8,'DADOS BRUTOS'!GD$3:GD$500)+IF($C8="",0,SUMIF('DADOS BRUTOS'!$A$3:$A$500,$C8,'DADOS BRUTOS'!GD$3:GD$500)))</f>
        <v/>
      </c>
      <c r="JE8" s="132">
        <f>IF(OR(JE$4="",$B8=""),0,SUMIF('DADOS BRUTOS'!$A$3:$A$500,$B8,'DADOS BRUTOS'!GE$3:GE$500)+IF($C8="",0,SUMIF('DADOS BRUTOS'!$A$3:$A$500,$C8,'DADOS BRUTOS'!GE$3:GE$500)))</f>
        <v/>
      </c>
      <c r="JF8" s="132">
        <f>IF(OR(JF$4="",$B8=""),0,SUMIF('DADOS BRUTOS'!$A$3:$A$500,$B8,'DADOS BRUTOS'!GF$3:GF$500)+IF($C8="",0,SUMIF('DADOS BRUTOS'!$A$3:$A$500,$C8,'DADOS BRUTOS'!GF$3:GF$500)))</f>
        <v/>
      </c>
      <c r="JG8" s="132">
        <f>IF(OR(JG$4="",$B8=""),0,SUMIF('DADOS BRUTOS'!$A$3:$A$500,$B8,'DADOS BRUTOS'!GG$3:GG$500)+IF($C8="",0,SUMIF('DADOS BRUTOS'!$A$3:$A$500,$C8,'DADOS BRUTOS'!GG$3:GG$500)))</f>
        <v/>
      </c>
      <c r="JH8" s="132">
        <f>IF(OR(JH$4="",$B8=""),0,SUMIF('DADOS BRUTOS'!$A$3:$A$500,$B8,'DADOS BRUTOS'!GH$3:GH$500)+IF($C8="",0,SUMIF('DADOS BRUTOS'!$A$3:$A$500,$C8,'DADOS BRUTOS'!GH$3:GH$500)))</f>
        <v/>
      </c>
      <c r="JI8" s="132">
        <f>IF(OR(JI$4="",$B8=""),0,SUMIF('DADOS BRUTOS'!$A$3:$A$500,$B8,'DADOS BRUTOS'!GI$3:GI$500)+IF($C8="",0,SUMIF('DADOS BRUTOS'!$A$3:$A$500,$C8,'DADOS BRUTOS'!GI$3:GI$500)))</f>
        <v/>
      </c>
      <c r="JJ8" s="132">
        <f>IF(OR(JJ$4="",$B8=""),0,SUMIF('DADOS BRUTOS'!$A$3:$A$500,$B8,'DADOS BRUTOS'!GJ$3:GJ$500)+IF($C8="",0,SUMIF('DADOS BRUTOS'!$A$3:$A$500,$C8,'DADOS BRUTOS'!GJ$3:GJ$500)))</f>
        <v/>
      </c>
      <c r="JK8" s="132">
        <f>IF(OR(JK$4="",$B8=""),0,SUMIF('DADOS BRUTOS'!$A$3:$A$500,$B8,'DADOS BRUTOS'!GK$3:GK$500)+IF($C8="",0,SUMIF('DADOS BRUTOS'!$A$3:$A$500,$C8,'DADOS BRUTOS'!GK$3:GK$500)))</f>
        <v/>
      </c>
      <c r="JL8" s="132">
        <f>IF(OR(JL$4="",$B8=""),0,SUMIF('DADOS BRUTOS'!$A$3:$A$500,$B8,'DADOS BRUTOS'!GL$3:GL$500)+IF($C8="",0,SUMIF('DADOS BRUTOS'!$A$3:$A$500,$C8,'DADOS BRUTOS'!GL$3:GL$500)))</f>
        <v/>
      </c>
      <c r="JM8" s="132">
        <f>IF(OR(JM$4="",$B8=""),0,SUMIF('DADOS BRUTOS'!$A$3:$A$500,$B8,'DADOS BRUTOS'!GM$3:GM$500)+IF($C8="",0,SUMIF('DADOS BRUTOS'!$A$3:$A$500,$C8,'DADOS BRUTOS'!GM$3:GM$500)))</f>
        <v/>
      </c>
      <c r="JN8" s="132">
        <f>IF(OR(JN$4="",$B8=""),0,SUMIF('DADOS BRUTOS'!$A$3:$A$500,$B8,'DADOS BRUTOS'!GN$3:GN$500)+IF($C8="",0,SUMIF('DADOS BRUTOS'!$A$3:$A$500,$C8,'DADOS BRUTOS'!GN$3:GN$500)))</f>
        <v/>
      </c>
      <c r="JO8" s="132">
        <f>IF(OR(JO$4="",$B8=""),0,SUMIF('DADOS BRUTOS'!$A$3:$A$500,$B8,'DADOS BRUTOS'!GO$3:GO$500)+IF($C8="",0,SUMIF('DADOS BRUTOS'!$A$3:$A$500,$C8,'DADOS BRUTOS'!GO$3:GO$500)))</f>
        <v/>
      </c>
      <c r="JP8" s="132">
        <f>IF(OR(JP$4="",$B8=""),0,SUMIF('DADOS BRUTOS'!$A$3:$A$500,$B8,'DADOS BRUTOS'!GP$3:GP$500)+IF($C8="",0,SUMIF('DADOS BRUTOS'!$A$3:$A$500,$C8,'DADOS BRUTOS'!GP$3:GP$500)))</f>
        <v/>
      </c>
      <c r="JQ8" s="132">
        <f>IF(OR(JQ$4="",$B8=""),0,SUMIF('DADOS BRUTOS'!$A$3:$A$500,$B8,'DADOS BRUTOS'!GQ$3:GQ$500)+IF($C8="",0,SUMIF('DADOS BRUTOS'!$A$3:$A$500,$C8,'DADOS BRUTOS'!GQ$3:GQ$500)))</f>
        <v/>
      </c>
      <c r="JR8" s="132">
        <f>IF(OR(JR$4="",$B8=""),0,SUMIF('DADOS BRUTOS'!$A$3:$A$500,$B8,'DADOS BRUTOS'!GR$3:GR$500)+IF($C8="",0,SUMIF('DADOS BRUTOS'!$A$3:$A$500,$C8,'DADOS BRUTOS'!GR$3:GR$500)))</f>
        <v/>
      </c>
      <c r="JS8" s="132">
        <f>IF(OR(JS$4="",$B8=""),0,SUMIF('DADOS BRUTOS'!$A$3:$A$500,$B8,'DADOS BRUTOS'!GS$3:GS$500)+IF($C8="",0,SUMIF('DADOS BRUTOS'!$A$3:$A$500,$C8,'DADOS BRUTOS'!GS$3:GS$500)))</f>
        <v/>
      </c>
    </row>
    <row r="9">
      <c r="A9" s="61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BZ9" s="49">
        <f>SUMPRODUCT(($CB$4:$JS$4&lt;&gt;"")*($CB$4:$JS$4&lt;=$D$4),$CB9:$JS9,$CB$1:$JS$1)</f>
        <v/>
      </c>
      <c r="CB9" s="132">
        <f>IF(OR(CB$4="",$B9=""),0,SUMIF('DADOS BRUTOS'!$A$3:$A$500,$B9,'DADOS BRUTOS'!B$3:B$500)+IF($C9="",0,SUMIF('DADOS BRUTOS'!$A$3:$A$500,$C9,'DADOS BRUTOS'!B$3:B$500)))</f>
        <v/>
      </c>
      <c r="CC9" s="132">
        <f>IF(OR(CC$4="",$B9=""),0,SUMIF('DADOS BRUTOS'!$A$3:$A$500,$B9,'DADOS BRUTOS'!C$3:C$500)+IF($C9="",0,SUMIF('DADOS BRUTOS'!$A$3:$A$500,$C9,'DADOS BRUTOS'!C$3:C$500)))</f>
        <v/>
      </c>
      <c r="CD9" s="132">
        <f>IF(OR(CD$4="",$B9=""),0,SUMIF('DADOS BRUTOS'!$A$3:$A$500,$B9,'DADOS BRUTOS'!D$3:D$500)+IF($C9="",0,SUMIF('DADOS BRUTOS'!$A$3:$A$500,$C9,'DADOS BRUTOS'!D$3:D$500)))</f>
        <v/>
      </c>
      <c r="CE9" s="132">
        <f>IF(OR(CE$4="",$B9=""),0,SUMIF('DADOS BRUTOS'!$A$3:$A$500,$B9,'DADOS BRUTOS'!E$3:E$500)+IF($C9="",0,SUMIF('DADOS BRUTOS'!$A$3:$A$500,$C9,'DADOS BRUTOS'!E$3:E$500)))</f>
        <v/>
      </c>
      <c r="CF9" s="132">
        <f>IF(OR(CF$4="",$B9=""),0,SUMIF('DADOS BRUTOS'!$A$3:$A$500,$B9,'DADOS BRUTOS'!F$3:F$500)+IF($C9="",0,SUMIF('DADOS BRUTOS'!$A$3:$A$500,$C9,'DADOS BRUTOS'!F$3:F$500)))</f>
        <v/>
      </c>
      <c r="CG9" s="132">
        <f>IF(OR(CG$4="",$B9=""),0,SUMIF('DADOS BRUTOS'!$A$3:$A$500,$B9,'DADOS BRUTOS'!G$3:G$500)+IF($C9="",0,SUMIF('DADOS BRUTOS'!$A$3:$A$500,$C9,'DADOS BRUTOS'!G$3:G$500)))</f>
        <v/>
      </c>
      <c r="CH9" s="132">
        <f>IF(OR(CH$4="",$B9=""),0,SUMIF('DADOS BRUTOS'!$A$3:$A$500,$B9,'DADOS BRUTOS'!H$3:H$500)+IF($C9="",0,SUMIF('DADOS BRUTOS'!$A$3:$A$500,$C9,'DADOS BRUTOS'!H$3:H$500)))</f>
        <v/>
      </c>
      <c r="CI9" s="132">
        <f>IF(OR(CI$4="",$B9=""),0,SUMIF('DADOS BRUTOS'!$A$3:$A$500,$B9,'DADOS BRUTOS'!I$3:I$500)+IF($C9="",0,SUMIF('DADOS BRUTOS'!$A$3:$A$500,$C9,'DADOS BRUTOS'!I$3:I$500)))</f>
        <v/>
      </c>
      <c r="CJ9" s="132">
        <f>IF(OR(CJ$4="",$B9=""),0,SUMIF('DADOS BRUTOS'!$A$3:$A$500,$B9,'DADOS BRUTOS'!J$3:J$500)+IF($C9="",0,SUMIF('DADOS BRUTOS'!$A$3:$A$500,$C9,'DADOS BRUTOS'!J$3:J$500)))</f>
        <v/>
      </c>
      <c r="CK9" s="132">
        <f>IF(OR(CK$4="",$B9=""),0,SUMIF('DADOS BRUTOS'!$A$3:$A$500,$B9,'DADOS BRUTOS'!K$3:K$500)+IF($C9="",0,SUMIF('DADOS BRUTOS'!$A$3:$A$500,$C9,'DADOS BRUTOS'!K$3:K$500)))</f>
        <v/>
      </c>
      <c r="CL9" s="132">
        <f>IF(OR(CL$4="",$B9=""),0,SUMIF('DADOS BRUTOS'!$A$3:$A$500,$B9,'DADOS BRUTOS'!L$3:L$500)+IF($C9="",0,SUMIF('DADOS BRUTOS'!$A$3:$A$500,$C9,'DADOS BRUTOS'!L$3:L$500)))</f>
        <v/>
      </c>
      <c r="CM9" s="132">
        <f>IF(OR(CM$4="",$B9=""),0,SUMIF('DADOS BRUTOS'!$A$3:$A$500,$B9,'DADOS BRUTOS'!M$3:M$500)+IF($C9="",0,SUMIF('DADOS BRUTOS'!$A$3:$A$500,$C9,'DADOS BRUTOS'!M$3:M$500)))</f>
        <v/>
      </c>
      <c r="CN9" s="132">
        <f>IF(OR(CN$4="",$B9=""),0,SUMIF('DADOS BRUTOS'!$A$3:$A$500,$B9,'DADOS BRUTOS'!N$3:N$500)+IF($C9="",0,SUMIF('DADOS BRUTOS'!$A$3:$A$500,$C9,'DADOS BRUTOS'!N$3:N$500)))</f>
        <v/>
      </c>
      <c r="CO9" s="132">
        <f>IF(OR(CO$4="",$B9=""),0,SUMIF('DADOS BRUTOS'!$A$3:$A$500,$B9,'DADOS BRUTOS'!O$3:O$500)+IF($C9="",0,SUMIF('DADOS BRUTOS'!$A$3:$A$500,$C9,'DADOS BRUTOS'!O$3:O$500)))</f>
        <v/>
      </c>
      <c r="CP9" s="132">
        <f>IF(OR(CP$4="",$B9=""),0,SUMIF('DADOS BRUTOS'!$A$3:$A$500,$B9,'DADOS BRUTOS'!P$3:P$500)+IF($C9="",0,SUMIF('DADOS BRUTOS'!$A$3:$A$500,$C9,'DADOS BRUTOS'!P$3:P$500)))</f>
        <v/>
      </c>
      <c r="CQ9" s="132">
        <f>IF(OR(CQ$4="",$B9=""),0,SUMIF('DADOS BRUTOS'!$A$3:$A$500,$B9,'DADOS BRUTOS'!Q$3:Q$500)+IF($C9="",0,SUMIF('DADOS BRUTOS'!$A$3:$A$500,$C9,'DADOS BRUTOS'!Q$3:Q$500)))</f>
        <v/>
      </c>
      <c r="CR9" s="132">
        <f>IF(OR(CR$4="",$B9=""),0,SUMIF('DADOS BRUTOS'!$A$3:$A$500,$B9,'DADOS BRUTOS'!R$3:R$500)+IF($C9="",0,SUMIF('DADOS BRUTOS'!$A$3:$A$500,$C9,'DADOS BRUTOS'!R$3:R$500)))</f>
        <v/>
      </c>
      <c r="CS9" s="132">
        <f>IF(OR(CS$4="",$B9=""),0,SUMIF('DADOS BRUTOS'!$A$3:$A$500,$B9,'DADOS BRUTOS'!S$3:S$500)+IF($C9="",0,SUMIF('DADOS BRUTOS'!$A$3:$A$500,$C9,'DADOS BRUTOS'!S$3:S$500)))</f>
        <v/>
      </c>
      <c r="CT9" s="132">
        <f>IF(OR(CT$4="",$B9=""),0,SUMIF('DADOS BRUTOS'!$A$3:$A$500,$B9,'DADOS BRUTOS'!T$3:T$500)+IF($C9="",0,SUMIF('DADOS BRUTOS'!$A$3:$A$500,$C9,'DADOS BRUTOS'!T$3:T$500)))</f>
        <v/>
      </c>
      <c r="CU9" s="132">
        <f>IF(OR(CU$4="",$B9=""),0,SUMIF('DADOS BRUTOS'!$A$3:$A$500,$B9,'DADOS BRUTOS'!U$3:U$500)+IF($C9="",0,SUMIF('DADOS BRUTOS'!$A$3:$A$500,$C9,'DADOS BRUTOS'!U$3:U$500)))</f>
        <v/>
      </c>
      <c r="CV9" s="132">
        <f>IF(OR(CV$4="",$B9=""),0,SUMIF('DADOS BRUTOS'!$A$3:$A$500,$B9,'DADOS BRUTOS'!V$3:V$500)+IF($C9="",0,SUMIF('DADOS BRUTOS'!$A$3:$A$500,$C9,'DADOS BRUTOS'!V$3:V$500)))</f>
        <v/>
      </c>
      <c r="CW9" s="132">
        <f>IF(OR(CW$4="",$B9=""),0,SUMIF('DADOS BRUTOS'!$A$3:$A$500,$B9,'DADOS BRUTOS'!W$3:W$500)+IF($C9="",0,SUMIF('DADOS BRUTOS'!$A$3:$A$500,$C9,'DADOS BRUTOS'!W$3:W$500)))</f>
        <v/>
      </c>
      <c r="CX9" s="132">
        <f>IF(OR(CX$4="",$B9=""),0,SUMIF('DADOS BRUTOS'!$A$3:$A$500,$B9,'DADOS BRUTOS'!X$3:X$500)+IF($C9="",0,SUMIF('DADOS BRUTOS'!$A$3:$A$500,$C9,'DADOS BRUTOS'!X$3:X$500)))</f>
        <v/>
      </c>
      <c r="CY9" s="132">
        <f>IF(OR(CY$4="",$B9=""),0,SUMIF('DADOS BRUTOS'!$A$3:$A$500,$B9,'DADOS BRUTOS'!Y$3:Y$500)+IF($C9="",0,SUMIF('DADOS BRUTOS'!$A$3:$A$500,$C9,'DADOS BRUTOS'!Y$3:Y$500)))</f>
        <v/>
      </c>
      <c r="CZ9" s="132">
        <f>IF(OR(CZ$4="",$B9=""),0,SUMIF('DADOS BRUTOS'!$A$3:$A$500,$B9,'DADOS BRUTOS'!Z$3:Z$500)+IF($C9="",0,SUMIF('DADOS BRUTOS'!$A$3:$A$500,$C9,'DADOS BRUTOS'!Z$3:Z$500)))</f>
        <v/>
      </c>
      <c r="DA9" s="132">
        <f>IF(OR(DA$4="",$B9=""),0,SUMIF('DADOS BRUTOS'!$A$3:$A$500,$B9,'DADOS BRUTOS'!AA$3:AA$500)+IF($C9="",0,SUMIF('DADOS BRUTOS'!$A$3:$A$500,$C9,'DADOS BRUTOS'!AA$3:AA$500)))</f>
        <v/>
      </c>
      <c r="DB9" s="132">
        <f>IF(OR(DB$4="",$B9=""),0,SUMIF('DADOS BRUTOS'!$A$3:$A$500,$B9,'DADOS BRUTOS'!AB$3:AB$500)+IF($C9="",0,SUMIF('DADOS BRUTOS'!$A$3:$A$500,$C9,'DADOS BRUTOS'!AB$3:AB$500)))</f>
        <v/>
      </c>
      <c r="DC9" s="132">
        <f>IF(OR(DC$4="",$B9=""),0,SUMIF('DADOS BRUTOS'!$A$3:$A$500,$B9,'DADOS BRUTOS'!AC$3:AC$500)+IF($C9="",0,SUMIF('DADOS BRUTOS'!$A$3:$A$500,$C9,'DADOS BRUTOS'!AC$3:AC$500)))</f>
        <v/>
      </c>
      <c r="DD9" s="132">
        <f>IF(OR(DD$4="",$B9=""),0,SUMIF('DADOS BRUTOS'!$A$3:$A$500,$B9,'DADOS BRUTOS'!AD$3:AD$500)+IF($C9="",0,SUMIF('DADOS BRUTOS'!$A$3:$A$500,$C9,'DADOS BRUTOS'!AD$3:AD$500)))</f>
        <v/>
      </c>
      <c r="DE9" s="132">
        <f>IF(OR(DE$4="",$B9=""),0,SUMIF('DADOS BRUTOS'!$A$3:$A$500,$B9,'DADOS BRUTOS'!AE$3:AE$500)+IF($C9="",0,SUMIF('DADOS BRUTOS'!$A$3:$A$500,$C9,'DADOS BRUTOS'!AE$3:AE$500)))</f>
        <v/>
      </c>
      <c r="DF9" s="132">
        <f>IF(OR(DF$4="",$B9=""),0,SUMIF('DADOS BRUTOS'!$A$3:$A$500,$B9,'DADOS BRUTOS'!AF$3:AF$500)+IF($C9="",0,SUMIF('DADOS BRUTOS'!$A$3:$A$500,$C9,'DADOS BRUTOS'!AF$3:AF$500)))</f>
        <v/>
      </c>
      <c r="DG9" s="132">
        <f>IF(OR(DG$4="",$B9=""),0,SUMIF('DADOS BRUTOS'!$A$3:$A$500,$B9,'DADOS BRUTOS'!AG$3:AG$500)+IF($C9="",0,SUMIF('DADOS BRUTOS'!$A$3:$A$500,$C9,'DADOS BRUTOS'!AG$3:AG$500)))</f>
        <v/>
      </c>
      <c r="DH9" s="132">
        <f>IF(OR(DH$4="",$B9=""),0,SUMIF('DADOS BRUTOS'!$A$3:$A$500,$B9,'DADOS BRUTOS'!AH$3:AH$500)+IF($C9="",0,SUMIF('DADOS BRUTOS'!$A$3:$A$500,$C9,'DADOS BRUTOS'!AH$3:AH$500)))</f>
        <v/>
      </c>
      <c r="DI9" s="132">
        <f>IF(OR(DI$4="",$B9=""),0,SUMIF('DADOS BRUTOS'!$A$3:$A$500,$B9,'DADOS BRUTOS'!AI$3:AI$500)+IF($C9="",0,SUMIF('DADOS BRUTOS'!$A$3:$A$500,$C9,'DADOS BRUTOS'!AI$3:AI$500)))</f>
        <v/>
      </c>
      <c r="DJ9" s="132">
        <f>IF(OR(DJ$4="",$B9=""),0,SUMIF('DADOS BRUTOS'!$A$3:$A$500,$B9,'DADOS BRUTOS'!AJ$3:AJ$500)+IF($C9="",0,SUMIF('DADOS BRUTOS'!$A$3:$A$500,$C9,'DADOS BRUTOS'!AJ$3:AJ$500)))</f>
        <v/>
      </c>
      <c r="DK9" s="132">
        <f>IF(OR(DK$4="",$B9=""),0,SUMIF('DADOS BRUTOS'!$A$3:$A$500,$B9,'DADOS BRUTOS'!AK$3:AK$500)+IF($C9="",0,SUMIF('DADOS BRUTOS'!$A$3:$A$500,$C9,'DADOS BRUTOS'!AK$3:AK$500)))</f>
        <v/>
      </c>
      <c r="DL9" s="132">
        <f>IF(OR(DL$4="",$B9=""),0,SUMIF('DADOS BRUTOS'!$A$3:$A$500,$B9,'DADOS BRUTOS'!AL$3:AL$500)+IF($C9="",0,SUMIF('DADOS BRUTOS'!$A$3:$A$500,$C9,'DADOS BRUTOS'!AL$3:AL$500)))</f>
        <v/>
      </c>
      <c r="DM9" s="132">
        <f>IF(OR(DM$4="",$B9=""),0,SUMIF('DADOS BRUTOS'!$A$3:$A$500,$B9,'DADOS BRUTOS'!AM$3:AM$500)+IF($C9="",0,SUMIF('DADOS BRUTOS'!$A$3:$A$500,$C9,'DADOS BRUTOS'!AM$3:AM$500)))</f>
        <v/>
      </c>
      <c r="DN9" s="132">
        <f>IF(OR(DN$4="",$B9=""),0,SUMIF('DADOS BRUTOS'!$A$3:$A$500,$B9,'DADOS BRUTOS'!AN$3:AN$500)+IF($C9="",0,SUMIF('DADOS BRUTOS'!$A$3:$A$500,$C9,'DADOS BRUTOS'!AN$3:AN$500)))</f>
        <v/>
      </c>
      <c r="DO9" s="132">
        <f>IF(OR(DO$4="",$B9=""),0,SUMIF('DADOS BRUTOS'!$A$3:$A$500,$B9,'DADOS BRUTOS'!AO$3:AO$500)+IF($C9="",0,SUMIF('DADOS BRUTOS'!$A$3:$A$500,$C9,'DADOS BRUTOS'!AO$3:AO$500)))</f>
        <v/>
      </c>
      <c r="DP9" s="132">
        <f>IF(OR(DP$4="",$B9=""),0,SUMIF('DADOS BRUTOS'!$A$3:$A$500,$B9,'DADOS BRUTOS'!AP$3:AP$500)+IF($C9="",0,SUMIF('DADOS BRUTOS'!$A$3:$A$500,$C9,'DADOS BRUTOS'!AP$3:AP$500)))</f>
        <v/>
      </c>
      <c r="DQ9" s="132">
        <f>IF(OR(DQ$4="",$B9=""),0,SUMIF('DADOS BRUTOS'!$A$3:$A$500,$B9,'DADOS BRUTOS'!AQ$3:AQ$500)+IF($C9="",0,SUMIF('DADOS BRUTOS'!$A$3:$A$500,$C9,'DADOS BRUTOS'!AQ$3:AQ$500)))</f>
        <v/>
      </c>
      <c r="DR9" s="132">
        <f>IF(OR(DR$4="",$B9=""),0,SUMIF('DADOS BRUTOS'!$A$3:$A$500,$B9,'DADOS BRUTOS'!AR$3:AR$500)+IF($C9="",0,SUMIF('DADOS BRUTOS'!$A$3:$A$500,$C9,'DADOS BRUTOS'!AR$3:AR$500)))</f>
        <v/>
      </c>
      <c r="DS9" s="132">
        <f>IF(OR(DS$4="",$B9=""),0,SUMIF('DADOS BRUTOS'!$A$3:$A$500,$B9,'DADOS BRUTOS'!AS$3:AS$500)+IF($C9="",0,SUMIF('DADOS BRUTOS'!$A$3:$A$500,$C9,'DADOS BRUTOS'!AS$3:AS$500)))</f>
        <v/>
      </c>
      <c r="DT9" s="132">
        <f>IF(OR(DT$4="",$B9=""),0,SUMIF('DADOS BRUTOS'!$A$3:$A$500,$B9,'DADOS BRUTOS'!AT$3:AT$500)+IF($C9="",0,SUMIF('DADOS BRUTOS'!$A$3:$A$500,$C9,'DADOS BRUTOS'!AT$3:AT$500)))</f>
        <v/>
      </c>
      <c r="DU9" s="132">
        <f>IF(OR(DU$4="",$B9=""),0,SUMIF('DADOS BRUTOS'!$A$3:$A$500,$B9,'DADOS BRUTOS'!AU$3:AU$500)+IF($C9="",0,SUMIF('DADOS BRUTOS'!$A$3:$A$500,$C9,'DADOS BRUTOS'!AU$3:AU$500)))</f>
        <v/>
      </c>
      <c r="DV9" s="132">
        <f>IF(OR(DV$4="",$B9=""),0,SUMIF('DADOS BRUTOS'!$A$3:$A$500,$B9,'DADOS BRUTOS'!AV$3:AV$500)+IF($C9="",0,SUMIF('DADOS BRUTOS'!$A$3:$A$500,$C9,'DADOS BRUTOS'!AV$3:AV$500)))</f>
        <v/>
      </c>
      <c r="DW9" s="132">
        <f>IF(OR(DW$4="",$B9=""),0,SUMIF('DADOS BRUTOS'!$A$3:$A$500,$B9,'DADOS BRUTOS'!AW$3:AW$500)+IF($C9="",0,SUMIF('DADOS BRUTOS'!$A$3:$A$500,$C9,'DADOS BRUTOS'!AW$3:AW$500)))</f>
        <v/>
      </c>
      <c r="DX9" s="132">
        <f>IF(OR(DX$4="",$B9=""),0,SUMIF('DADOS BRUTOS'!$A$3:$A$500,$B9,'DADOS BRUTOS'!AX$3:AX$500)+IF($C9="",0,SUMIF('DADOS BRUTOS'!$A$3:$A$500,$C9,'DADOS BRUTOS'!AX$3:AX$500)))</f>
        <v/>
      </c>
      <c r="DY9" s="132">
        <f>IF(OR(DY$4="",$B9=""),0,SUMIF('DADOS BRUTOS'!$A$3:$A$500,$B9,'DADOS BRUTOS'!AY$3:AY$500)+IF($C9="",0,SUMIF('DADOS BRUTOS'!$A$3:$A$500,$C9,'DADOS BRUTOS'!AY$3:AY$500)))</f>
        <v/>
      </c>
      <c r="DZ9" s="132">
        <f>IF(OR(DZ$4="",$B9=""),0,SUMIF('DADOS BRUTOS'!$A$3:$A$500,$B9,'DADOS BRUTOS'!AZ$3:AZ$500)+IF($C9="",0,SUMIF('DADOS BRUTOS'!$A$3:$A$500,$C9,'DADOS BRUTOS'!AZ$3:AZ$500)))</f>
        <v/>
      </c>
      <c r="EA9" s="132">
        <f>IF(OR(EA$4="",$B9=""),0,SUMIF('DADOS BRUTOS'!$A$3:$A$500,$B9,'DADOS BRUTOS'!BA$3:BA$500)+IF($C9="",0,SUMIF('DADOS BRUTOS'!$A$3:$A$500,$C9,'DADOS BRUTOS'!BA$3:BA$500)))</f>
        <v/>
      </c>
      <c r="EB9" s="132">
        <f>IF(OR(EB$4="",$B9=""),0,SUMIF('DADOS BRUTOS'!$A$3:$A$500,$B9,'DADOS BRUTOS'!BB$3:BB$500)+IF($C9="",0,SUMIF('DADOS BRUTOS'!$A$3:$A$500,$C9,'DADOS BRUTOS'!BB$3:BB$500)))</f>
        <v/>
      </c>
      <c r="EC9" s="132">
        <f>IF(OR(EC$4="",$B9=""),0,SUMIF('DADOS BRUTOS'!$A$3:$A$500,$B9,'DADOS BRUTOS'!BC$3:BC$500)+IF($C9="",0,SUMIF('DADOS BRUTOS'!$A$3:$A$500,$C9,'DADOS BRUTOS'!BC$3:BC$500)))</f>
        <v/>
      </c>
      <c r="ED9" s="132">
        <f>IF(OR(ED$4="",$B9=""),0,SUMIF('DADOS BRUTOS'!$A$3:$A$500,$B9,'DADOS BRUTOS'!BD$3:BD$500)+IF($C9="",0,SUMIF('DADOS BRUTOS'!$A$3:$A$500,$C9,'DADOS BRUTOS'!BD$3:BD$500)))</f>
        <v/>
      </c>
      <c r="EE9" s="132">
        <f>IF(OR(EE$4="",$B9=""),0,SUMIF('DADOS BRUTOS'!$A$3:$A$500,$B9,'DADOS BRUTOS'!BE$3:BE$500)+IF($C9="",0,SUMIF('DADOS BRUTOS'!$A$3:$A$500,$C9,'DADOS BRUTOS'!BE$3:BE$500)))</f>
        <v/>
      </c>
      <c r="EF9" s="132">
        <f>IF(OR(EF$4="",$B9=""),0,SUMIF('DADOS BRUTOS'!$A$3:$A$500,$B9,'DADOS BRUTOS'!BF$3:BF$500)+IF($C9="",0,SUMIF('DADOS BRUTOS'!$A$3:$A$500,$C9,'DADOS BRUTOS'!BF$3:BF$500)))</f>
        <v/>
      </c>
      <c r="EG9" s="132">
        <f>IF(OR(EG$4="",$B9=""),0,SUMIF('DADOS BRUTOS'!$A$3:$A$500,$B9,'DADOS BRUTOS'!BG$3:BG$500)+IF($C9="",0,SUMIF('DADOS BRUTOS'!$A$3:$A$500,$C9,'DADOS BRUTOS'!BG$3:BG$500)))</f>
        <v/>
      </c>
      <c r="EH9" s="132">
        <f>IF(OR(EH$4="",$B9=""),0,SUMIF('DADOS BRUTOS'!$A$3:$A$500,$B9,'DADOS BRUTOS'!BH$3:BH$500)+IF($C9="",0,SUMIF('DADOS BRUTOS'!$A$3:$A$500,$C9,'DADOS BRUTOS'!BH$3:BH$500)))</f>
        <v/>
      </c>
      <c r="EI9" s="132">
        <f>IF(OR(EI$4="",$B9=""),0,SUMIF('DADOS BRUTOS'!$A$3:$A$500,$B9,'DADOS BRUTOS'!BI$3:BI$500)+IF($C9="",0,SUMIF('DADOS BRUTOS'!$A$3:$A$500,$C9,'DADOS BRUTOS'!BI$3:BI$500)))</f>
        <v/>
      </c>
      <c r="EJ9" s="132">
        <f>IF(OR(EJ$4="",$B9=""),0,SUMIF('DADOS BRUTOS'!$A$3:$A$500,$B9,'DADOS BRUTOS'!BJ$3:BJ$500)+IF($C9="",0,SUMIF('DADOS BRUTOS'!$A$3:$A$500,$C9,'DADOS BRUTOS'!BJ$3:BJ$500)))</f>
        <v/>
      </c>
      <c r="EK9" s="132">
        <f>IF(OR(EK$4="",$B9=""),0,SUMIF('DADOS BRUTOS'!$A$3:$A$500,$B9,'DADOS BRUTOS'!BK$3:BK$500)+IF($C9="",0,SUMIF('DADOS BRUTOS'!$A$3:$A$500,$C9,'DADOS BRUTOS'!BK$3:BK$500)))</f>
        <v/>
      </c>
      <c r="EL9" s="132">
        <f>IF(OR(EL$4="",$B9=""),0,SUMIF('DADOS BRUTOS'!$A$3:$A$500,$B9,'DADOS BRUTOS'!BL$3:BL$500)+IF($C9="",0,SUMIF('DADOS BRUTOS'!$A$3:$A$500,$C9,'DADOS BRUTOS'!BL$3:BL$500)))</f>
        <v/>
      </c>
      <c r="EM9" s="132">
        <f>IF(OR(EM$4="",$B9=""),0,SUMIF('DADOS BRUTOS'!$A$3:$A$500,$B9,'DADOS BRUTOS'!BM$3:BM$500)+IF($C9="",0,SUMIF('DADOS BRUTOS'!$A$3:$A$500,$C9,'DADOS BRUTOS'!BM$3:BM$500)))</f>
        <v/>
      </c>
      <c r="EN9" s="132">
        <f>IF(OR(EN$4="",$B9=""),0,SUMIF('DADOS BRUTOS'!$A$3:$A$500,$B9,'DADOS BRUTOS'!BN$3:BN$500)+IF($C9="",0,SUMIF('DADOS BRUTOS'!$A$3:$A$500,$C9,'DADOS BRUTOS'!BN$3:BN$500)))</f>
        <v/>
      </c>
      <c r="EO9" s="132">
        <f>IF(OR(EO$4="",$B9=""),0,SUMIF('DADOS BRUTOS'!$A$3:$A$500,$B9,'DADOS BRUTOS'!BO$3:BO$500)+IF($C9="",0,SUMIF('DADOS BRUTOS'!$A$3:$A$500,$C9,'DADOS BRUTOS'!BO$3:BO$500)))</f>
        <v/>
      </c>
      <c r="EP9" s="132">
        <f>IF(OR(EP$4="",$B9=""),0,SUMIF('DADOS BRUTOS'!$A$3:$A$500,$B9,'DADOS BRUTOS'!BP$3:BP$500)+IF($C9="",0,SUMIF('DADOS BRUTOS'!$A$3:$A$500,$C9,'DADOS BRUTOS'!BP$3:BP$500)))</f>
        <v/>
      </c>
      <c r="EQ9" s="132">
        <f>IF(OR(EQ$4="",$B9=""),0,SUMIF('DADOS BRUTOS'!$A$3:$A$500,$B9,'DADOS BRUTOS'!BQ$3:BQ$500)+IF($C9="",0,SUMIF('DADOS BRUTOS'!$A$3:$A$500,$C9,'DADOS BRUTOS'!BQ$3:BQ$500)))</f>
        <v/>
      </c>
      <c r="ER9" s="132">
        <f>IF(OR(ER$4="",$B9=""),0,SUMIF('DADOS BRUTOS'!$A$3:$A$500,$B9,'DADOS BRUTOS'!BR$3:BR$500)+IF($C9="",0,SUMIF('DADOS BRUTOS'!$A$3:$A$500,$C9,'DADOS BRUTOS'!BR$3:BR$500)))</f>
        <v/>
      </c>
      <c r="ES9" s="132">
        <f>IF(OR(ES$4="",$B9=""),0,SUMIF('DADOS BRUTOS'!$A$3:$A$500,$B9,'DADOS BRUTOS'!BS$3:BS$500)+IF($C9="",0,SUMIF('DADOS BRUTOS'!$A$3:$A$500,$C9,'DADOS BRUTOS'!BS$3:BS$500)))</f>
        <v/>
      </c>
      <c r="ET9" s="132">
        <f>IF(OR(ET$4="",$B9=""),0,SUMIF('DADOS BRUTOS'!$A$3:$A$500,$B9,'DADOS BRUTOS'!BT$3:BT$500)+IF($C9="",0,SUMIF('DADOS BRUTOS'!$A$3:$A$500,$C9,'DADOS BRUTOS'!BT$3:BT$500)))</f>
        <v/>
      </c>
      <c r="EU9" s="132">
        <f>IF(OR(EU$4="",$B9=""),0,SUMIF('DADOS BRUTOS'!$A$3:$A$500,$B9,'DADOS BRUTOS'!BU$3:BU$500)+IF($C9="",0,SUMIF('DADOS BRUTOS'!$A$3:$A$500,$C9,'DADOS BRUTOS'!BU$3:BU$500)))</f>
        <v/>
      </c>
      <c r="EV9" s="132">
        <f>IF(OR(EV$4="",$B9=""),0,SUMIF('DADOS BRUTOS'!$A$3:$A$500,$B9,'DADOS BRUTOS'!BV$3:BV$500)+IF($C9="",0,SUMIF('DADOS BRUTOS'!$A$3:$A$500,$C9,'DADOS BRUTOS'!BV$3:BV$500)))</f>
        <v/>
      </c>
      <c r="EW9" s="132">
        <f>IF(OR(EW$4="",$B9=""),0,SUMIF('DADOS BRUTOS'!$A$3:$A$500,$B9,'DADOS BRUTOS'!BW$3:BW$500)+IF($C9="",0,SUMIF('DADOS BRUTOS'!$A$3:$A$500,$C9,'DADOS BRUTOS'!BW$3:BW$500)))</f>
        <v/>
      </c>
      <c r="EX9" s="132">
        <f>IF(OR(EX$4="",$B9=""),0,SUMIF('DADOS BRUTOS'!$A$3:$A$500,$B9,'DADOS BRUTOS'!BX$3:BX$500)+IF($C9="",0,SUMIF('DADOS BRUTOS'!$A$3:$A$500,$C9,'DADOS BRUTOS'!BX$3:BX$500)))</f>
        <v/>
      </c>
      <c r="EY9" s="132">
        <f>IF(OR(EY$4="",$B9=""),0,SUMIF('DADOS BRUTOS'!$A$3:$A$500,$B9,'DADOS BRUTOS'!BY$3:BY$500)+IF($C9="",0,SUMIF('DADOS BRUTOS'!$A$3:$A$500,$C9,'DADOS BRUTOS'!BY$3:BY$500)))</f>
        <v/>
      </c>
      <c r="EZ9" s="132">
        <f>IF(OR(EZ$4="",$B9=""),0,SUMIF('DADOS BRUTOS'!$A$3:$A$500,$B9,'DADOS BRUTOS'!BZ$3:BZ$500)+IF($C9="",0,SUMIF('DADOS BRUTOS'!$A$3:$A$500,$C9,'DADOS BRUTOS'!BZ$3:BZ$500)))</f>
        <v/>
      </c>
      <c r="FA9" s="132">
        <f>IF(OR(FA$4="",$B9=""),0,SUMIF('DADOS BRUTOS'!$A$3:$A$500,$B9,'DADOS BRUTOS'!CA$3:CA$500)+IF($C9="",0,SUMIF('DADOS BRUTOS'!$A$3:$A$500,$C9,'DADOS BRUTOS'!CA$3:CA$500)))</f>
        <v/>
      </c>
      <c r="FB9" s="132">
        <f>IF(OR(FB$4="",$B9=""),0,SUMIF('DADOS BRUTOS'!$A$3:$A$500,$B9,'DADOS BRUTOS'!CB$3:CB$500)+IF($C9="",0,SUMIF('DADOS BRUTOS'!$A$3:$A$500,$C9,'DADOS BRUTOS'!CB$3:CB$500)))</f>
        <v/>
      </c>
      <c r="FC9" s="132">
        <f>IF(OR(FC$4="",$B9=""),0,SUMIF('DADOS BRUTOS'!$A$3:$A$500,$B9,'DADOS BRUTOS'!CC$3:CC$500)+IF($C9="",0,SUMIF('DADOS BRUTOS'!$A$3:$A$500,$C9,'DADOS BRUTOS'!CC$3:CC$500)))</f>
        <v/>
      </c>
      <c r="FD9" s="132">
        <f>IF(OR(FD$4="",$B9=""),0,SUMIF('DADOS BRUTOS'!$A$3:$A$500,$B9,'DADOS BRUTOS'!CD$3:CD$500)+IF($C9="",0,SUMIF('DADOS BRUTOS'!$A$3:$A$500,$C9,'DADOS BRUTOS'!CD$3:CD$500)))</f>
        <v/>
      </c>
      <c r="FE9" s="132">
        <f>IF(OR(FE$4="",$B9=""),0,SUMIF('DADOS BRUTOS'!$A$3:$A$500,$B9,'DADOS BRUTOS'!CE$3:CE$500)+IF($C9="",0,SUMIF('DADOS BRUTOS'!$A$3:$A$500,$C9,'DADOS BRUTOS'!CE$3:CE$500)))</f>
        <v/>
      </c>
      <c r="FF9" s="132">
        <f>IF(OR(FF$4="",$B9=""),0,SUMIF('DADOS BRUTOS'!$A$3:$A$500,$B9,'DADOS BRUTOS'!CF$3:CF$500)+IF($C9="",0,SUMIF('DADOS BRUTOS'!$A$3:$A$500,$C9,'DADOS BRUTOS'!CF$3:CF$500)))</f>
        <v/>
      </c>
      <c r="FG9" s="132">
        <f>IF(OR(FG$4="",$B9=""),0,SUMIF('DADOS BRUTOS'!$A$3:$A$500,$B9,'DADOS BRUTOS'!CG$3:CG$500)+IF($C9="",0,SUMIF('DADOS BRUTOS'!$A$3:$A$500,$C9,'DADOS BRUTOS'!CG$3:CG$500)))</f>
        <v/>
      </c>
      <c r="FH9" s="132">
        <f>IF(OR(FH$4="",$B9=""),0,SUMIF('DADOS BRUTOS'!$A$3:$A$500,$B9,'DADOS BRUTOS'!CH$3:CH$500)+IF($C9="",0,SUMIF('DADOS BRUTOS'!$A$3:$A$500,$C9,'DADOS BRUTOS'!CH$3:CH$500)))</f>
        <v/>
      </c>
      <c r="FI9" s="132">
        <f>IF(OR(FI$4="",$B9=""),0,SUMIF('DADOS BRUTOS'!$A$3:$A$500,$B9,'DADOS BRUTOS'!CI$3:CI$500)+IF($C9="",0,SUMIF('DADOS BRUTOS'!$A$3:$A$500,$C9,'DADOS BRUTOS'!CI$3:CI$500)))</f>
        <v/>
      </c>
      <c r="FJ9" s="132">
        <f>IF(OR(FJ$4="",$B9=""),0,SUMIF('DADOS BRUTOS'!$A$3:$A$500,$B9,'DADOS BRUTOS'!CJ$3:CJ$500)+IF($C9="",0,SUMIF('DADOS BRUTOS'!$A$3:$A$500,$C9,'DADOS BRUTOS'!CJ$3:CJ$500)))</f>
        <v/>
      </c>
      <c r="FK9" s="132">
        <f>IF(OR(FK$4="",$B9=""),0,SUMIF('DADOS BRUTOS'!$A$3:$A$500,$B9,'DADOS BRUTOS'!CK$3:CK$500)+IF($C9="",0,SUMIF('DADOS BRUTOS'!$A$3:$A$500,$C9,'DADOS BRUTOS'!CK$3:CK$500)))</f>
        <v/>
      </c>
      <c r="FL9" s="132">
        <f>IF(OR(FL$4="",$B9=""),0,SUMIF('DADOS BRUTOS'!$A$3:$A$500,$B9,'DADOS BRUTOS'!CL$3:CL$500)+IF($C9="",0,SUMIF('DADOS BRUTOS'!$A$3:$A$500,$C9,'DADOS BRUTOS'!CL$3:CL$500)))</f>
        <v/>
      </c>
      <c r="FM9" s="132">
        <f>IF(OR(FM$4="",$B9=""),0,SUMIF('DADOS BRUTOS'!$A$3:$A$500,$B9,'DADOS BRUTOS'!CM$3:CM$500)+IF($C9="",0,SUMIF('DADOS BRUTOS'!$A$3:$A$500,$C9,'DADOS BRUTOS'!CM$3:CM$500)))</f>
        <v/>
      </c>
      <c r="FN9" s="132">
        <f>IF(OR(FN$4="",$B9=""),0,SUMIF('DADOS BRUTOS'!$A$3:$A$500,$B9,'DADOS BRUTOS'!CN$3:CN$500)+IF($C9="",0,SUMIF('DADOS BRUTOS'!$A$3:$A$500,$C9,'DADOS BRUTOS'!CN$3:CN$500)))</f>
        <v/>
      </c>
      <c r="FO9" s="132">
        <f>IF(OR(FO$4="",$B9=""),0,SUMIF('DADOS BRUTOS'!$A$3:$A$500,$B9,'DADOS BRUTOS'!CO$3:CO$500)+IF($C9="",0,SUMIF('DADOS BRUTOS'!$A$3:$A$500,$C9,'DADOS BRUTOS'!CO$3:CO$500)))</f>
        <v/>
      </c>
      <c r="FP9" s="132">
        <f>IF(OR(FP$4="",$B9=""),0,SUMIF('DADOS BRUTOS'!$A$3:$A$500,$B9,'DADOS BRUTOS'!CP$3:CP$500)+IF($C9="",0,SUMIF('DADOS BRUTOS'!$A$3:$A$500,$C9,'DADOS BRUTOS'!CP$3:CP$500)))</f>
        <v/>
      </c>
      <c r="FQ9" s="132">
        <f>IF(OR(FQ$4="",$B9=""),0,SUMIF('DADOS BRUTOS'!$A$3:$A$500,$B9,'DADOS BRUTOS'!CQ$3:CQ$500)+IF($C9="",0,SUMIF('DADOS BRUTOS'!$A$3:$A$500,$C9,'DADOS BRUTOS'!CQ$3:CQ$500)))</f>
        <v/>
      </c>
      <c r="FR9" s="132">
        <f>IF(OR(FR$4="",$B9=""),0,SUMIF('DADOS BRUTOS'!$A$3:$A$500,$B9,'DADOS BRUTOS'!CR$3:CR$500)+IF($C9="",0,SUMIF('DADOS BRUTOS'!$A$3:$A$500,$C9,'DADOS BRUTOS'!CR$3:CR$500)))</f>
        <v/>
      </c>
      <c r="FS9" s="132">
        <f>IF(OR(FS$4="",$B9=""),0,SUMIF('DADOS BRUTOS'!$A$3:$A$500,$B9,'DADOS BRUTOS'!CS$3:CS$500)+IF($C9="",0,SUMIF('DADOS BRUTOS'!$A$3:$A$500,$C9,'DADOS BRUTOS'!CS$3:CS$500)))</f>
        <v/>
      </c>
      <c r="FT9" s="132">
        <f>IF(OR(FT$4="",$B9=""),0,SUMIF('DADOS BRUTOS'!$A$3:$A$500,$B9,'DADOS BRUTOS'!CT$3:CT$500)+IF($C9="",0,SUMIF('DADOS BRUTOS'!$A$3:$A$500,$C9,'DADOS BRUTOS'!CT$3:CT$500)))</f>
        <v/>
      </c>
      <c r="FU9" s="132">
        <f>IF(OR(FU$4="",$B9=""),0,SUMIF('DADOS BRUTOS'!$A$3:$A$500,$B9,'DADOS BRUTOS'!CU$3:CU$500)+IF($C9="",0,SUMIF('DADOS BRUTOS'!$A$3:$A$500,$C9,'DADOS BRUTOS'!CU$3:CU$500)))</f>
        <v/>
      </c>
      <c r="FV9" s="132">
        <f>IF(OR(FV$4="",$B9=""),0,SUMIF('DADOS BRUTOS'!$A$3:$A$500,$B9,'DADOS BRUTOS'!CV$3:CV$500)+IF($C9="",0,SUMIF('DADOS BRUTOS'!$A$3:$A$500,$C9,'DADOS BRUTOS'!CV$3:CV$500)))</f>
        <v/>
      </c>
      <c r="FW9" s="132">
        <f>IF(OR(FW$4="",$B9=""),0,SUMIF('DADOS BRUTOS'!$A$3:$A$500,$B9,'DADOS BRUTOS'!CW$3:CW$500)+IF($C9="",0,SUMIF('DADOS BRUTOS'!$A$3:$A$500,$C9,'DADOS BRUTOS'!CW$3:CW$500)))</f>
        <v/>
      </c>
      <c r="FX9" s="132">
        <f>IF(OR(FX$4="",$B9=""),0,SUMIF('DADOS BRUTOS'!$A$3:$A$500,$B9,'DADOS BRUTOS'!CX$3:CX$500)+IF($C9="",0,SUMIF('DADOS BRUTOS'!$A$3:$A$500,$C9,'DADOS BRUTOS'!CX$3:CX$500)))</f>
        <v/>
      </c>
      <c r="FY9" s="132">
        <f>IF(OR(FY$4="",$B9=""),0,SUMIF('DADOS BRUTOS'!$A$3:$A$500,$B9,'DADOS BRUTOS'!CY$3:CY$500)+IF($C9="",0,SUMIF('DADOS BRUTOS'!$A$3:$A$500,$C9,'DADOS BRUTOS'!CY$3:CY$500)))</f>
        <v/>
      </c>
      <c r="FZ9" s="132">
        <f>IF(OR(FZ$4="",$B9=""),0,SUMIF('DADOS BRUTOS'!$A$3:$A$500,$B9,'DADOS BRUTOS'!CZ$3:CZ$500)+IF($C9="",0,SUMIF('DADOS BRUTOS'!$A$3:$A$500,$C9,'DADOS BRUTOS'!CZ$3:CZ$500)))</f>
        <v/>
      </c>
      <c r="GA9" s="132">
        <f>IF(OR(GA$4="",$B9=""),0,SUMIF('DADOS BRUTOS'!$A$3:$A$500,$B9,'DADOS BRUTOS'!DA$3:DA$500)+IF($C9="",0,SUMIF('DADOS BRUTOS'!$A$3:$A$500,$C9,'DADOS BRUTOS'!DA$3:DA$500)))</f>
        <v/>
      </c>
      <c r="GB9" s="132">
        <f>IF(OR(GB$4="",$B9=""),0,SUMIF('DADOS BRUTOS'!$A$3:$A$500,$B9,'DADOS BRUTOS'!DB$3:DB$500)+IF($C9="",0,SUMIF('DADOS BRUTOS'!$A$3:$A$500,$C9,'DADOS BRUTOS'!DB$3:DB$500)))</f>
        <v/>
      </c>
      <c r="GC9" s="132">
        <f>IF(OR(GC$4="",$B9=""),0,SUMIF('DADOS BRUTOS'!$A$3:$A$500,$B9,'DADOS BRUTOS'!DC$3:DC$500)+IF($C9="",0,SUMIF('DADOS BRUTOS'!$A$3:$A$500,$C9,'DADOS BRUTOS'!DC$3:DC$500)))</f>
        <v/>
      </c>
      <c r="GD9" s="132">
        <f>IF(OR(GD$4="",$B9=""),0,SUMIF('DADOS BRUTOS'!$A$3:$A$500,$B9,'DADOS BRUTOS'!DD$3:DD$500)+IF($C9="",0,SUMIF('DADOS BRUTOS'!$A$3:$A$500,$C9,'DADOS BRUTOS'!DD$3:DD$500)))</f>
        <v/>
      </c>
      <c r="GE9" s="132">
        <f>IF(OR(GE$4="",$B9=""),0,SUMIF('DADOS BRUTOS'!$A$3:$A$500,$B9,'DADOS BRUTOS'!DE$3:DE$500)+IF($C9="",0,SUMIF('DADOS BRUTOS'!$A$3:$A$500,$C9,'DADOS BRUTOS'!DE$3:DE$500)))</f>
        <v/>
      </c>
      <c r="GF9" s="132">
        <f>IF(OR(GF$4="",$B9=""),0,SUMIF('DADOS BRUTOS'!$A$3:$A$500,$B9,'DADOS BRUTOS'!DF$3:DF$500)+IF($C9="",0,SUMIF('DADOS BRUTOS'!$A$3:$A$500,$C9,'DADOS BRUTOS'!DF$3:DF$500)))</f>
        <v/>
      </c>
      <c r="GG9" s="132">
        <f>IF(OR(GG$4="",$B9=""),0,SUMIF('DADOS BRUTOS'!$A$3:$A$500,$B9,'DADOS BRUTOS'!DG$3:DG$500)+IF($C9="",0,SUMIF('DADOS BRUTOS'!$A$3:$A$500,$C9,'DADOS BRUTOS'!DG$3:DG$500)))</f>
        <v/>
      </c>
      <c r="GH9" s="132">
        <f>IF(OR(GH$4="",$B9=""),0,SUMIF('DADOS BRUTOS'!$A$3:$A$500,$B9,'DADOS BRUTOS'!DH$3:DH$500)+IF($C9="",0,SUMIF('DADOS BRUTOS'!$A$3:$A$500,$C9,'DADOS BRUTOS'!DH$3:DH$500)))</f>
        <v/>
      </c>
      <c r="GI9" s="132">
        <f>IF(OR(GI$4="",$B9=""),0,SUMIF('DADOS BRUTOS'!$A$3:$A$500,$B9,'DADOS BRUTOS'!DI$3:DI$500)+IF($C9="",0,SUMIF('DADOS BRUTOS'!$A$3:$A$500,$C9,'DADOS BRUTOS'!DI$3:DI$500)))</f>
        <v/>
      </c>
      <c r="GJ9" s="132">
        <f>IF(OR(GJ$4="",$B9=""),0,SUMIF('DADOS BRUTOS'!$A$3:$A$500,$B9,'DADOS BRUTOS'!DJ$3:DJ$500)+IF($C9="",0,SUMIF('DADOS BRUTOS'!$A$3:$A$500,$C9,'DADOS BRUTOS'!DJ$3:DJ$500)))</f>
        <v/>
      </c>
      <c r="GK9" s="132">
        <f>IF(OR(GK$4="",$B9=""),0,SUMIF('DADOS BRUTOS'!$A$3:$A$500,$B9,'DADOS BRUTOS'!DK$3:DK$500)+IF($C9="",0,SUMIF('DADOS BRUTOS'!$A$3:$A$500,$C9,'DADOS BRUTOS'!DK$3:DK$500)))</f>
        <v/>
      </c>
      <c r="GL9" s="132">
        <f>IF(OR(GL$4="",$B9=""),0,SUMIF('DADOS BRUTOS'!$A$3:$A$500,$B9,'DADOS BRUTOS'!DL$3:DL$500)+IF($C9="",0,SUMIF('DADOS BRUTOS'!$A$3:$A$500,$C9,'DADOS BRUTOS'!DL$3:DL$500)))</f>
        <v/>
      </c>
      <c r="GM9" s="132">
        <f>IF(OR(GM$4="",$B9=""),0,SUMIF('DADOS BRUTOS'!$A$3:$A$500,$B9,'DADOS BRUTOS'!DM$3:DM$500)+IF($C9="",0,SUMIF('DADOS BRUTOS'!$A$3:$A$500,$C9,'DADOS BRUTOS'!DM$3:DM$500)))</f>
        <v/>
      </c>
      <c r="GN9" s="132">
        <f>IF(OR(GN$4="",$B9=""),0,SUMIF('DADOS BRUTOS'!$A$3:$A$500,$B9,'DADOS BRUTOS'!DN$3:DN$500)+IF($C9="",0,SUMIF('DADOS BRUTOS'!$A$3:$A$500,$C9,'DADOS BRUTOS'!DN$3:DN$500)))</f>
        <v/>
      </c>
      <c r="GO9" s="132">
        <f>IF(OR(GO$4="",$B9=""),0,SUMIF('DADOS BRUTOS'!$A$3:$A$500,$B9,'DADOS BRUTOS'!DO$3:DO$500)+IF($C9="",0,SUMIF('DADOS BRUTOS'!$A$3:$A$500,$C9,'DADOS BRUTOS'!DO$3:DO$500)))</f>
        <v/>
      </c>
      <c r="GP9" s="132">
        <f>IF(OR(GP$4="",$B9=""),0,SUMIF('DADOS BRUTOS'!$A$3:$A$500,$B9,'DADOS BRUTOS'!DP$3:DP$500)+IF($C9="",0,SUMIF('DADOS BRUTOS'!$A$3:$A$500,$C9,'DADOS BRUTOS'!DP$3:DP$500)))</f>
        <v/>
      </c>
      <c r="GQ9" s="132">
        <f>IF(OR(GQ$4="",$B9=""),0,SUMIF('DADOS BRUTOS'!$A$3:$A$500,$B9,'DADOS BRUTOS'!DQ$3:DQ$500)+IF($C9="",0,SUMIF('DADOS BRUTOS'!$A$3:$A$500,$C9,'DADOS BRUTOS'!DQ$3:DQ$500)))</f>
        <v/>
      </c>
      <c r="GR9" s="132">
        <f>IF(OR(GR$4="",$B9=""),0,SUMIF('DADOS BRUTOS'!$A$3:$A$500,$B9,'DADOS BRUTOS'!DR$3:DR$500)+IF($C9="",0,SUMIF('DADOS BRUTOS'!$A$3:$A$500,$C9,'DADOS BRUTOS'!DR$3:DR$500)))</f>
        <v/>
      </c>
      <c r="GS9" s="132">
        <f>IF(OR(GS$4="",$B9=""),0,SUMIF('DADOS BRUTOS'!$A$3:$A$500,$B9,'DADOS BRUTOS'!DS$3:DS$500)+IF($C9="",0,SUMIF('DADOS BRUTOS'!$A$3:$A$500,$C9,'DADOS BRUTOS'!DS$3:DS$500)))</f>
        <v/>
      </c>
      <c r="GT9" s="132">
        <f>IF(OR(GT$4="",$B9=""),0,SUMIF('DADOS BRUTOS'!$A$3:$A$500,$B9,'DADOS BRUTOS'!DT$3:DT$500)+IF($C9="",0,SUMIF('DADOS BRUTOS'!$A$3:$A$500,$C9,'DADOS BRUTOS'!DT$3:DT$500)))</f>
        <v/>
      </c>
      <c r="GU9" s="132">
        <f>IF(OR(GU$4="",$B9=""),0,SUMIF('DADOS BRUTOS'!$A$3:$A$500,$B9,'DADOS BRUTOS'!DU$3:DU$500)+IF($C9="",0,SUMIF('DADOS BRUTOS'!$A$3:$A$500,$C9,'DADOS BRUTOS'!DU$3:DU$500)))</f>
        <v/>
      </c>
      <c r="GV9" s="132">
        <f>IF(OR(GV$4="",$B9=""),0,SUMIF('DADOS BRUTOS'!$A$3:$A$500,$B9,'DADOS BRUTOS'!DV$3:DV$500)+IF($C9="",0,SUMIF('DADOS BRUTOS'!$A$3:$A$500,$C9,'DADOS BRUTOS'!DV$3:DV$500)))</f>
        <v/>
      </c>
      <c r="GW9" s="132">
        <f>IF(OR(GW$4="",$B9=""),0,SUMIF('DADOS BRUTOS'!$A$3:$A$500,$B9,'DADOS BRUTOS'!DW$3:DW$500)+IF($C9="",0,SUMIF('DADOS BRUTOS'!$A$3:$A$500,$C9,'DADOS BRUTOS'!DW$3:DW$500)))</f>
        <v/>
      </c>
      <c r="GX9" s="132">
        <f>IF(OR(GX$4="",$B9=""),0,SUMIF('DADOS BRUTOS'!$A$3:$A$500,$B9,'DADOS BRUTOS'!DX$3:DX$500)+IF($C9="",0,SUMIF('DADOS BRUTOS'!$A$3:$A$500,$C9,'DADOS BRUTOS'!DX$3:DX$500)))</f>
        <v/>
      </c>
      <c r="GY9" s="132">
        <f>IF(OR(GY$4="",$B9=""),0,SUMIF('DADOS BRUTOS'!$A$3:$A$500,$B9,'DADOS BRUTOS'!DY$3:DY$500)+IF($C9="",0,SUMIF('DADOS BRUTOS'!$A$3:$A$500,$C9,'DADOS BRUTOS'!DY$3:DY$500)))</f>
        <v/>
      </c>
      <c r="GZ9" s="132">
        <f>IF(OR(GZ$4="",$B9=""),0,SUMIF('DADOS BRUTOS'!$A$3:$A$500,$B9,'DADOS BRUTOS'!DZ$3:DZ$500)+IF($C9="",0,SUMIF('DADOS BRUTOS'!$A$3:$A$500,$C9,'DADOS BRUTOS'!DZ$3:DZ$500)))</f>
        <v/>
      </c>
      <c r="HA9" s="132">
        <f>IF(OR(HA$4="",$B9=""),0,SUMIF('DADOS BRUTOS'!$A$3:$A$500,$B9,'DADOS BRUTOS'!EA$3:EA$500)+IF($C9="",0,SUMIF('DADOS BRUTOS'!$A$3:$A$500,$C9,'DADOS BRUTOS'!EA$3:EA$500)))</f>
        <v/>
      </c>
      <c r="HB9" s="132">
        <f>IF(OR(HB$4="",$B9=""),0,SUMIF('DADOS BRUTOS'!$A$3:$A$500,$B9,'DADOS BRUTOS'!EB$3:EB$500)+IF($C9="",0,SUMIF('DADOS BRUTOS'!$A$3:$A$500,$C9,'DADOS BRUTOS'!EB$3:EB$500)))</f>
        <v/>
      </c>
      <c r="HC9" s="132">
        <f>IF(OR(HC$4="",$B9=""),0,SUMIF('DADOS BRUTOS'!$A$3:$A$500,$B9,'DADOS BRUTOS'!EC$3:EC$500)+IF($C9="",0,SUMIF('DADOS BRUTOS'!$A$3:$A$500,$C9,'DADOS BRUTOS'!EC$3:EC$500)))</f>
        <v/>
      </c>
      <c r="HD9" s="132">
        <f>IF(OR(HD$4="",$B9=""),0,SUMIF('DADOS BRUTOS'!$A$3:$A$500,$B9,'DADOS BRUTOS'!ED$3:ED$500)+IF($C9="",0,SUMIF('DADOS BRUTOS'!$A$3:$A$500,$C9,'DADOS BRUTOS'!ED$3:ED$500)))</f>
        <v/>
      </c>
      <c r="HE9" s="132">
        <f>IF(OR(HE$4="",$B9=""),0,SUMIF('DADOS BRUTOS'!$A$3:$A$500,$B9,'DADOS BRUTOS'!EE$3:EE$500)+IF($C9="",0,SUMIF('DADOS BRUTOS'!$A$3:$A$500,$C9,'DADOS BRUTOS'!EE$3:EE$500)))</f>
        <v/>
      </c>
      <c r="HF9" s="132">
        <f>IF(OR(HF$4="",$B9=""),0,SUMIF('DADOS BRUTOS'!$A$3:$A$500,$B9,'DADOS BRUTOS'!EF$3:EF$500)+IF($C9="",0,SUMIF('DADOS BRUTOS'!$A$3:$A$500,$C9,'DADOS BRUTOS'!EF$3:EF$500)))</f>
        <v/>
      </c>
      <c r="HG9" s="132">
        <f>IF(OR(HG$4="",$B9=""),0,SUMIF('DADOS BRUTOS'!$A$3:$A$500,$B9,'DADOS BRUTOS'!EG$3:EG$500)+IF($C9="",0,SUMIF('DADOS BRUTOS'!$A$3:$A$500,$C9,'DADOS BRUTOS'!EG$3:EG$500)))</f>
        <v/>
      </c>
      <c r="HH9" s="132">
        <f>IF(OR(HH$4="",$B9=""),0,SUMIF('DADOS BRUTOS'!$A$3:$A$500,$B9,'DADOS BRUTOS'!EH$3:EH$500)+IF($C9="",0,SUMIF('DADOS BRUTOS'!$A$3:$A$500,$C9,'DADOS BRUTOS'!EH$3:EH$500)))</f>
        <v/>
      </c>
      <c r="HI9" s="132">
        <f>IF(OR(HI$4="",$B9=""),0,SUMIF('DADOS BRUTOS'!$A$3:$A$500,$B9,'DADOS BRUTOS'!EI$3:EI$500)+IF($C9="",0,SUMIF('DADOS BRUTOS'!$A$3:$A$500,$C9,'DADOS BRUTOS'!EI$3:EI$500)))</f>
        <v/>
      </c>
      <c r="HJ9" s="132">
        <f>IF(OR(HJ$4="",$B9=""),0,SUMIF('DADOS BRUTOS'!$A$3:$A$500,$B9,'DADOS BRUTOS'!EJ$3:EJ$500)+IF($C9="",0,SUMIF('DADOS BRUTOS'!$A$3:$A$500,$C9,'DADOS BRUTOS'!EJ$3:EJ$500)))</f>
        <v/>
      </c>
      <c r="HK9" s="132">
        <f>IF(OR(HK$4="",$B9=""),0,SUMIF('DADOS BRUTOS'!$A$3:$A$500,$B9,'DADOS BRUTOS'!EK$3:EK$500)+IF($C9="",0,SUMIF('DADOS BRUTOS'!$A$3:$A$500,$C9,'DADOS BRUTOS'!EK$3:EK$500)))</f>
        <v/>
      </c>
      <c r="HL9" s="132">
        <f>IF(OR(HL$4="",$B9=""),0,SUMIF('DADOS BRUTOS'!$A$3:$A$500,$B9,'DADOS BRUTOS'!EL$3:EL$500)+IF($C9="",0,SUMIF('DADOS BRUTOS'!$A$3:$A$500,$C9,'DADOS BRUTOS'!EL$3:EL$500)))</f>
        <v/>
      </c>
      <c r="HM9" s="132">
        <f>IF(OR(HM$4="",$B9=""),0,SUMIF('DADOS BRUTOS'!$A$3:$A$500,$B9,'DADOS BRUTOS'!EM$3:EM$500)+IF($C9="",0,SUMIF('DADOS BRUTOS'!$A$3:$A$500,$C9,'DADOS BRUTOS'!EM$3:EM$500)))</f>
        <v/>
      </c>
      <c r="HN9" s="132">
        <f>IF(OR(HN$4="",$B9=""),0,SUMIF('DADOS BRUTOS'!$A$3:$A$500,$B9,'DADOS BRUTOS'!EN$3:EN$500)+IF($C9="",0,SUMIF('DADOS BRUTOS'!$A$3:$A$500,$C9,'DADOS BRUTOS'!EN$3:EN$500)))</f>
        <v/>
      </c>
      <c r="HO9" s="132">
        <f>IF(OR(HO$4="",$B9=""),0,SUMIF('DADOS BRUTOS'!$A$3:$A$500,$B9,'DADOS BRUTOS'!EO$3:EO$500)+IF($C9="",0,SUMIF('DADOS BRUTOS'!$A$3:$A$500,$C9,'DADOS BRUTOS'!EO$3:EO$500)))</f>
        <v/>
      </c>
      <c r="HP9" s="132">
        <f>IF(OR(HP$4="",$B9=""),0,SUMIF('DADOS BRUTOS'!$A$3:$A$500,$B9,'DADOS BRUTOS'!EP$3:EP$500)+IF($C9="",0,SUMIF('DADOS BRUTOS'!$A$3:$A$500,$C9,'DADOS BRUTOS'!EP$3:EP$500)))</f>
        <v/>
      </c>
      <c r="HQ9" s="132">
        <f>IF(OR(HQ$4="",$B9=""),0,SUMIF('DADOS BRUTOS'!$A$3:$A$500,$B9,'DADOS BRUTOS'!EQ$3:EQ$500)+IF($C9="",0,SUMIF('DADOS BRUTOS'!$A$3:$A$500,$C9,'DADOS BRUTOS'!EQ$3:EQ$500)))</f>
        <v/>
      </c>
      <c r="HR9" s="132">
        <f>IF(OR(HR$4="",$B9=""),0,SUMIF('DADOS BRUTOS'!$A$3:$A$500,$B9,'DADOS BRUTOS'!ER$3:ER$500)+IF($C9="",0,SUMIF('DADOS BRUTOS'!$A$3:$A$500,$C9,'DADOS BRUTOS'!ER$3:ER$500)))</f>
        <v/>
      </c>
      <c r="HS9" s="132">
        <f>IF(OR(HS$4="",$B9=""),0,SUMIF('DADOS BRUTOS'!$A$3:$A$500,$B9,'DADOS BRUTOS'!ES$3:ES$500)+IF($C9="",0,SUMIF('DADOS BRUTOS'!$A$3:$A$500,$C9,'DADOS BRUTOS'!ES$3:ES$500)))</f>
        <v/>
      </c>
      <c r="HT9" s="132">
        <f>IF(OR(HT$4="",$B9=""),0,SUMIF('DADOS BRUTOS'!$A$3:$A$500,$B9,'DADOS BRUTOS'!ET$3:ET$500)+IF($C9="",0,SUMIF('DADOS BRUTOS'!$A$3:$A$500,$C9,'DADOS BRUTOS'!ET$3:ET$500)))</f>
        <v/>
      </c>
      <c r="HU9" s="132">
        <f>IF(OR(HU$4="",$B9=""),0,SUMIF('DADOS BRUTOS'!$A$3:$A$500,$B9,'DADOS BRUTOS'!EU$3:EU$500)+IF($C9="",0,SUMIF('DADOS BRUTOS'!$A$3:$A$500,$C9,'DADOS BRUTOS'!EU$3:EU$500)))</f>
        <v/>
      </c>
      <c r="HV9" s="132">
        <f>IF(OR(HV$4="",$B9=""),0,SUMIF('DADOS BRUTOS'!$A$3:$A$500,$B9,'DADOS BRUTOS'!EV$3:EV$500)+IF($C9="",0,SUMIF('DADOS BRUTOS'!$A$3:$A$500,$C9,'DADOS BRUTOS'!EV$3:EV$500)))</f>
        <v/>
      </c>
      <c r="HW9" s="132">
        <f>IF(OR(HW$4="",$B9=""),0,SUMIF('DADOS BRUTOS'!$A$3:$A$500,$B9,'DADOS BRUTOS'!EW$3:EW$500)+IF($C9="",0,SUMIF('DADOS BRUTOS'!$A$3:$A$500,$C9,'DADOS BRUTOS'!EW$3:EW$500)))</f>
        <v/>
      </c>
      <c r="HX9" s="132">
        <f>IF(OR(HX$4="",$B9=""),0,SUMIF('DADOS BRUTOS'!$A$3:$A$500,$B9,'DADOS BRUTOS'!EX$3:EX$500)+IF($C9="",0,SUMIF('DADOS BRUTOS'!$A$3:$A$500,$C9,'DADOS BRUTOS'!EX$3:EX$500)))</f>
        <v/>
      </c>
      <c r="HY9" s="132">
        <f>IF(OR(HY$4="",$B9=""),0,SUMIF('DADOS BRUTOS'!$A$3:$A$500,$B9,'DADOS BRUTOS'!EY$3:EY$500)+IF($C9="",0,SUMIF('DADOS BRUTOS'!$A$3:$A$500,$C9,'DADOS BRUTOS'!EY$3:EY$500)))</f>
        <v/>
      </c>
      <c r="HZ9" s="132">
        <f>IF(OR(HZ$4="",$B9=""),0,SUMIF('DADOS BRUTOS'!$A$3:$A$500,$B9,'DADOS BRUTOS'!EZ$3:EZ$500)+IF($C9="",0,SUMIF('DADOS BRUTOS'!$A$3:$A$500,$C9,'DADOS BRUTOS'!EZ$3:EZ$500)))</f>
        <v/>
      </c>
      <c r="IA9" s="132">
        <f>IF(OR(IA$4="",$B9=""),0,SUMIF('DADOS BRUTOS'!$A$3:$A$500,$B9,'DADOS BRUTOS'!FA$3:FA$500)+IF($C9="",0,SUMIF('DADOS BRUTOS'!$A$3:$A$500,$C9,'DADOS BRUTOS'!FA$3:FA$500)))</f>
        <v/>
      </c>
      <c r="IB9" s="132">
        <f>IF(OR(IB$4="",$B9=""),0,SUMIF('DADOS BRUTOS'!$A$3:$A$500,$B9,'DADOS BRUTOS'!FB$3:FB$500)+IF($C9="",0,SUMIF('DADOS BRUTOS'!$A$3:$A$500,$C9,'DADOS BRUTOS'!FB$3:FB$500)))</f>
        <v/>
      </c>
      <c r="IC9" s="132">
        <f>IF(OR(IC$4="",$B9=""),0,SUMIF('DADOS BRUTOS'!$A$3:$A$500,$B9,'DADOS BRUTOS'!FC$3:FC$500)+IF($C9="",0,SUMIF('DADOS BRUTOS'!$A$3:$A$500,$C9,'DADOS BRUTOS'!FC$3:FC$500)))</f>
        <v/>
      </c>
      <c r="ID9" s="132">
        <f>IF(OR(ID$4="",$B9=""),0,SUMIF('DADOS BRUTOS'!$A$3:$A$500,$B9,'DADOS BRUTOS'!FD$3:FD$500)+IF($C9="",0,SUMIF('DADOS BRUTOS'!$A$3:$A$500,$C9,'DADOS BRUTOS'!FD$3:FD$500)))</f>
        <v/>
      </c>
      <c r="IE9" s="132">
        <f>IF(OR(IE$4="",$B9=""),0,SUMIF('DADOS BRUTOS'!$A$3:$A$500,$B9,'DADOS BRUTOS'!FE$3:FE$500)+IF($C9="",0,SUMIF('DADOS BRUTOS'!$A$3:$A$500,$C9,'DADOS BRUTOS'!FE$3:FE$500)))</f>
        <v/>
      </c>
      <c r="IF9" s="132">
        <f>IF(OR(IF$4="",$B9=""),0,SUMIF('DADOS BRUTOS'!$A$3:$A$500,$B9,'DADOS BRUTOS'!FF$3:FF$500)+IF($C9="",0,SUMIF('DADOS BRUTOS'!$A$3:$A$500,$C9,'DADOS BRUTOS'!FF$3:FF$500)))</f>
        <v/>
      </c>
      <c r="IG9" s="132">
        <f>IF(OR(IG$4="",$B9=""),0,SUMIF('DADOS BRUTOS'!$A$3:$A$500,$B9,'DADOS BRUTOS'!FG$3:FG$500)+IF($C9="",0,SUMIF('DADOS BRUTOS'!$A$3:$A$500,$C9,'DADOS BRUTOS'!FG$3:FG$500)))</f>
        <v/>
      </c>
      <c r="IH9" s="132">
        <f>IF(OR(IH$4="",$B9=""),0,SUMIF('DADOS BRUTOS'!$A$3:$A$500,$B9,'DADOS BRUTOS'!FH$3:FH$500)+IF($C9="",0,SUMIF('DADOS BRUTOS'!$A$3:$A$500,$C9,'DADOS BRUTOS'!FH$3:FH$500)))</f>
        <v/>
      </c>
      <c r="II9" s="132">
        <f>IF(OR(II$4="",$B9=""),0,SUMIF('DADOS BRUTOS'!$A$3:$A$500,$B9,'DADOS BRUTOS'!FI$3:FI$500)+IF($C9="",0,SUMIF('DADOS BRUTOS'!$A$3:$A$500,$C9,'DADOS BRUTOS'!FI$3:FI$500)))</f>
        <v/>
      </c>
      <c r="IJ9" s="132">
        <f>IF(OR(IJ$4="",$B9=""),0,SUMIF('DADOS BRUTOS'!$A$3:$A$500,$B9,'DADOS BRUTOS'!FJ$3:FJ$500)+IF($C9="",0,SUMIF('DADOS BRUTOS'!$A$3:$A$500,$C9,'DADOS BRUTOS'!FJ$3:FJ$500)))</f>
        <v/>
      </c>
      <c r="IK9" s="132">
        <f>IF(OR(IK$4="",$B9=""),0,SUMIF('DADOS BRUTOS'!$A$3:$A$500,$B9,'DADOS BRUTOS'!FK$3:FK$500)+IF($C9="",0,SUMIF('DADOS BRUTOS'!$A$3:$A$500,$C9,'DADOS BRUTOS'!FK$3:FK$500)))</f>
        <v/>
      </c>
      <c r="IL9" s="132">
        <f>IF(OR(IL$4="",$B9=""),0,SUMIF('DADOS BRUTOS'!$A$3:$A$500,$B9,'DADOS BRUTOS'!FL$3:FL$500)+IF($C9="",0,SUMIF('DADOS BRUTOS'!$A$3:$A$500,$C9,'DADOS BRUTOS'!FL$3:FL$500)))</f>
        <v/>
      </c>
      <c r="IM9" s="132">
        <f>IF(OR(IM$4="",$B9=""),0,SUMIF('DADOS BRUTOS'!$A$3:$A$500,$B9,'DADOS BRUTOS'!FM$3:FM$500)+IF($C9="",0,SUMIF('DADOS BRUTOS'!$A$3:$A$500,$C9,'DADOS BRUTOS'!FM$3:FM$500)))</f>
        <v/>
      </c>
      <c r="IN9" s="132">
        <f>IF(OR(IN$4="",$B9=""),0,SUMIF('DADOS BRUTOS'!$A$3:$A$500,$B9,'DADOS BRUTOS'!FN$3:FN$500)+IF($C9="",0,SUMIF('DADOS BRUTOS'!$A$3:$A$500,$C9,'DADOS BRUTOS'!FN$3:FN$500)))</f>
        <v/>
      </c>
      <c r="IO9" s="132">
        <f>IF(OR(IO$4="",$B9=""),0,SUMIF('DADOS BRUTOS'!$A$3:$A$500,$B9,'DADOS BRUTOS'!FO$3:FO$500)+IF($C9="",0,SUMIF('DADOS BRUTOS'!$A$3:$A$500,$C9,'DADOS BRUTOS'!FO$3:FO$500)))</f>
        <v/>
      </c>
      <c r="IP9" s="132">
        <f>IF(OR(IP$4="",$B9=""),0,SUMIF('DADOS BRUTOS'!$A$3:$A$500,$B9,'DADOS BRUTOS'!FP$3:FP$500)+IF($C9="",0,SUMIF('DADOS BRUTOS'!$A$3:$A$500,$C9,'DADOS BRUTOS'!FP$3:FP$500)))</f>
        <v/>
      </c>
      <c r="IQ9" s="132">
        <f>IF(OR(IQ$4="",$B9=""),0,SUMIF('DADOS BRUTOS'!$A$3:$A$500,$B9,'DADOS BRUTOS'!FQ$3:FQ$500)+IF($C9="",0,SUMIF('DADOS BRUTOS'!$A$3:$A$500,$C9,'DADOS BRUTOS'!FQ$3:FQ$500)))</f>
        <v/>
      </c>
      <c r="IR9" s="132">
        <f>IF(OR(IR$4="",$B9=""),0,SUMIF('DADOS BRUTOS'!$A$3:$A$500,$B9,'DADOS BRUTOS'!FR$3:FR$500)+IF($C9="",0,SUMIF('DADOS BRUTOS'!$A$3:$A$500,$C9,'DADOS BRUTOS'!FR$3:FR$500)))</f>
        <v/>
      </c>
      <c r="IS9" s="132">
        <f>IF(OR(IS$4="",$B9=""),0,SUMIF('DADOS BRUTOS'!$A$3:$A$500,$B9,'DADOS BRUTOS'!FS$3:FS$500)+IF($C9="",0,SUMIF('DADOS BRUTOS'!$A$3:$A$500,$C9,'DADOS BRUTOS'!FS$3:FS$500)))</f>
        <v/>
      </c>
      <c r="IT9" s="132">
        <f>IF(OR(IT$4="",$B9=""),0,SUMIF('DADOS BRUTOS'!$A$3:$A$500,$B9,'DADOS BRUTOS'!FT$3:FT$500)+IF($C9="",0,SUMIF('DADOS BRUTOS'!$A$3:$A$500,$C9,'DADOS BRUTOS'!FT$3:FT$500)))</f>
        <v/>
      </c>
      <c r="IU9" s="132">
        <f>IF(OR(IU$4="",$B9=""),0,SUMIF('DADOS BRUTOS'!$A$3:$A$500,$B9,'DADOS BRUTOS'!FU$3:FU$500)+IF($C9="",0,SUMIF('DADOS BRUTOS'!$A$3:$A$500,$C9,'DADOS BRUTOS'!FU$3:FU$500)))</f>
        <v/>
      </c>
      <c r="IV9" s="132">
        <f>IF(OR(IV$4="",$B9=""),0,SUMIF('DADOS BRUTOS'!$A$3:$A$500,$B9,'DADOS BRUTOS'!FV$3:FV$500)+IF($C9="",0,SUMIF('DADOS BRUTOS'!$A$3:$A$500,$C9,'DADOS BRUTOS'!FV$3:FV$500)))</f>
        <v/>
      </c>
      <c r="IW9" s="132">
        <f>IF(OR(IW$4="",$B9=""),0,SUMIF('DADOS BRUTOS'!$A$3:$A$500,$B9,'DADOS BRUTOS'!FW$3:FW$500)+IF($C9="",0,SUMIF('DADOS BRUTOS'!$A$3:$A$500,$C9,'DADOS BRUTOS'!FW$3:FW$500)))</f>
        <v/>
      </c>
      <c r="IX9" s="132">
        <f>IF(OR(IX$4="",$B9=""),0,SUMIF('DADOS BRUTOS'!$A$3:$A$500,$B9,'DADOS BRUTOS'!FX$3:FX$500)+IF($C9="",0,SUMIF('DADOS BRUTOS'!$A$3:$A$500,$C9,'DADOS BRUTOS'!FX$3:FX$500)))</f>
        <v/>
      </c>
      <c r="IY9" s="132">
        <f>IF(OR(IY$4="",$B9=""),0,SUMIF('DADOS BRUTOS'!$A$3:$A$500,$B9,'DADOS BRUTOS'!FY$3:FY$500)+IF($C9="",0,SUMIF('DADOS BRUTOS'!$A$3:$A$500,$C9,'DADOS BRUTOS'!FY$3:FY$500)))</f>
        <v/>
      </c>
      <c r="IZ9" s="132">
        <f>IF(OR(IZ$4="",$B9=""),0,SUMIF('DADOS BRUTOS'!$A$3:$A$500,$B9,'DADOS BRUTOS'!FZ$3:FZ$500)+IF($C9="",0,SUMIF('DADOS BRUTOS'!$A$3:$A$500,$C9,'DADOS BRUTOS'!FZ$3:FZ$500)))</f>
        <v/>
      </c>
      <c r="JA9" s="132">
        <f>IF(OR(JA$4="",$B9=""),0,SUMIF('DADOS BRUTOS'!$A$3:$A$500,$B9,'DADOS BRUTOS'!GA$3:GA$500)+IF($C9="",0,SUMIF('DADOS BRUTOS'!$A$3:$A$500,$C9,'DADOS BRUTOS'!GA$3:GA$500)))</f>
        <v/>
      </c>
      <c r="JB9" s="132">
        <f>IF(OR(JB$4="",$B9=""),0,SUMIF('DADOS BRUTOS'!$A$3:$A$500,$B9,'DADOS BRUTOS'!GB$3:GB$500)+IF($C9="",0,SUMIF('DADOS BRUTOS'!$A$3:$A$500,$C9,'DADOS BRUTOS'!GB$3:GB$500)))</f>
        <v/>
      </c>
      <c r="JC9" s="132">
        <f>IF(OR(JC$4="",$B9=""),0,SUMIF('DADOS BRUTOS'!$A$3:$A$500,$B9,'DADOS BRUTOS'!GC$3:GC$500)+IF($C9="",0,SUMIF('DADOS BRUTOS'!$A$3:$A$500,$C9,'DADOS BRUTOS'!GC$3:GC$500)))</f>
        <v/>
      </c>
      <c r="JD9" s="132">
        <f>IF(OR(JD$4="",$B9=""),0,SUMIF('DADOS BRUTOS'!$A$3:$A$500,$B9,'DADOS BRUTOS'!GD$3:GD$500)+IF($C9="",0,SUMIF('DADOS BRUTOS'!$A$3:$A$500,$C9,'DADOS BRUTOS'!GD$3:GD$500)))</f>
        <v/>
      </c>
      <c r="JE9" s="132">
        <f>IF(OR(JE$4="",$B9=""),0,SUMIF('DADOS BRUTOS'!$A$3:$A$500,$B9,'DADOS BRUTOS'!GE$3:GE$500)+IF($C9="",0,SUMIF('DADOS BRUTOS'!$A$3:$A$500,$C9,'DADOS BRUTOS'!GE$3:GE$500)))</f>
        <v/>
      </c>
      <c r="JF9" s="132">
        <f>IF(OR(JF$4="",$B9=""),0,SUMIF('DADOS BRUTOS'!$A$3:$A$500,$B9,'DADOS BRUTOS'!GF$3:GF$500)+IF($C9="",0,SUMIF('DADOS BRUTOS'!$A$3:$A$500,$C9,'DADOS BRUTOS'!GF$3:GF$500)))</f>
        <v/>
      </c>
      <c r="JG9" s="132">
        <f>IF(OR(JG$4="",$B9=""),0,SUMIF('DADOS BRUTOS'!$A$3:$A$500,$B9,'DADOS BRUTOS'!GG$3:GG$500)+IF($C9="",0,SUMIF('DADOS BRUTOS'!$A$3:$A$500,$C9,'DADOS BRUTOS'!GG$3:GG$500)))</f>
        <v/>
      </c>
      <c r="JH9" s="132">
        <f>IF(OR(JH$4="",$B9=""),0,SUMIF('DADOS BRUTOS'!$A$3:$A$500,$B9,'DADOS BRUTOS'!GH$3:GH$500)+IF($C9="",0,SUMIF('DADOS BRUTOS'!$A$3:$A$500,$C9,'DADOS BRUTOS'!GH$3:GH$500)))</f>
        <v/>
      </c>
      <c r="JI9" s="132">
        <f>IF(OR(JI$4="",$B9=""),0,SUMIF('DADOS BRUTOS'!$A$3:$A$500,$B9,'DADOS BRUTOS'!GI$3:GI$500)+IF($C9="",0,SUMIF('DADOS BRUTOS'!$A$3:$A$500,$C9,'DADOS BRUTOS'!GI$3:GI$500)))</f>
        <v/>
      </c>
      <c r="JJ9" s="132">
        <f>IF(OR(JJ$4="",$B9=""),0,SUMIF('DADOS BRUTOS'!$A$3:$A$500,$B9,'DADOS BRUTOS'!GJ$3:GJ$500)+IF($C9="",0,SUMIF('DADOS BRUTOS'!$A$3:$A$500,$C9,'DADOS BRUTOS'!GJ$3:GJ$500)))</f>
        <v/>
      </c>
      <c r="JK9" s="132">
        <f>IF(OR(JK$4="",$B9=""),0,SUMIF('DADOS BRUTOS'!$A$3:$A$500,$B9,'DADOS BRUTOS'!GK$3:GK$500)+IF($C9="",0,SUMIF('DADOS BRUTOS'!$A$3:$A$500,$C9,'DADOS BRUTOS'!GK$3:GK$500)))</f>
        <v/>
      </c>
      <c r="JL9" s="132">
        <f>IF(OR(JL$4="",$B9=""),0,SUMIF('DADOS BRUTOS'!$A$3:$A$500,$B9,'DADOS BRUTOS'!GL$3:GL$500)+IF($C9="",0,SUMIF('DADOS BRUTOS'!$A$3:$A$500,$C9,'DADOS BRUTOS'!GL$3:GL$500)))</f>
        <v/>
      </c>
      <c r="JM9" s="132">
        <f>IF(OR(JM$4="",$B9=""),0,SUMIF('DADOS BRUTOS'!$A$3:$A$500,$B9,'DADOS BRUTOS'!GM$3:GM$500)+IF($C9="",0,SUMIF('DADOS BRUTOS'!$A$3:$A$500,$C9,'DADOS BRUTOS'!GM$3:GM$500)))</f>
        <v/>
      </c>
      <c r="JN9" s="132">
        <f>IF(OR(JN$4="",$B9=""),0,SUMIF('DADOS BRUTOS'!$A$3:$A$500,$B9,'DADOS BRUTOS'!GN$3:GN$500)+IF($C9="",0,SUMIF('DADOS BRUTOS'!$A$3:$A$500,$C9,'DADOS BRUTOS'!GN$3:GN$500)))</f>
        <v/>
      </c>
      <c r="JO9" s="132">
        <f>IF(OR(JO$4="",$B9=""),0,SUMIF('DADOS BRUTOS'!$A$3:$A$500,$B9,'DADOS BRUTOS'!GO$3:GO$500)+IF($C9="",0,SUMIF('DADOS BRUTOS'!$A$3:$A$500,$C9,'DADOS BRUTOS'!GO$3:GO$500)))</f>
        <v/>
      </c>
      <c r="JP9" s="132">
        <f>IF(OR(JP$4="",$B9=""),0,SUMIF('DADOS BRUTOS'!$A$3:$A$500,$B9,'DADOS BRUTOS'!GP$3:GP$500)+IF($C9="",0,SUMIF('DADOS BRUTOS'!$A$3:$A$500,$C9,'DADOS BRUTOS'!GP$3:GP$500)))</f>
        <v/>
      </c>
      <c r="JQ9" s="132">
        <f>IF(OR(JQ$4="",$B9=""),0,SUMIF('DADOS BRUTOS'!$A$3:$A$500,$B9,'DADOS BRUTOS'!GQ$3:GQ$500)+IF($C9="",0,SUMIF('DADOS BRUTOS'!$A$3:$A$500,$C9,'DADOS BRUTOS'!GQ$3:GQ$500)))</f>
        <v/>
      </c>
      <c r="JR9" s="132">
        <f>IF(OR(JR$4="",$B9=""),0,SUMIF('DADOS BRUTOS'!$A$3:$A$500,$B9,'DADOS BRUTOS'!GR$3:GR$500)+IF($C9="",0,SUMIF('DADOS BRUTOS'!$A$3:$A$500,$C9,'DADOS BRUTOS'!GR$3:GR$500)))</f>
        <v/>
      </c>
      <c r="JS9" s="132">
        <f>IF(OR(JS$4="",$B9=""),0,SUMIF('DADOS BRUTOS'!$A$3:$A$500,$B9,'DADOS BRUTOS'!GS$3:GS$500)+IF($C9="",0,SUMIF('DADOS BRUTOS'!$A$3:$A$500,$C9,'DADOS BRUTOS'!GS$3:GS$500)))</f>
        <v/>
      </c>
    </row>
    <row r="10">
      <c r="A10" s="61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BZ10" s="49">
        <f>SUMPRODUCT(($CB$4:$JS$4&lt;&gt;"")*($CB$4:$JS$4&lt;=$D$4),$CB10:$JS10,$CB$1:$JS$1)</f>
        <v/>
      </c>
      <c r="CB10" s="132">
        <f>IF(OR(CB$4="",$B10=""),0,SUMIF('DADOS BRUTOS'!$A$3:$A$500,$B10,'DADOS BRUTOS'!B$3:B$500)+IF($C10="",0,SUMIF('DADOS BRUTOS'!$A$3:$A$500,$C10,'DADOS BRUTOS'!B$3:B$500)))</f>
        <v/>
      </c>
      <c r="CC10" s="132">
        <f>IF(OR(CC$4="",$B10=""),0,SUMIF('DADOS BRUTOS'!$A$3:$A$500,$B10,'DADOS BRUTOS'!C$3:C$500)+IF($C10="",0,SUMIF('DADOS BRUTOS'!$A$3:$A$500,$C10,'DADOS BRUTOS'!C$3:C$500)))</f>
        <v/>
      </c>
      <c r="CD10" s="132">
        <f>IF(OR(CD$4="",$B10=""),0,SUMIF('DADOS BRUTOS'!$A$3:$A$500,$B10,'DADOS BRUTOS'!D$3:D$500)+IF($C10="",0,SUMIF('DADOS BRUTOS'!$A$3:$A$500,$C10,'DADOS BRUTOS'!D$3:D$500)))</f>
        <v/>
      </c>
      <c r="CE10" s="132">
        <f>IF(OR(CE$4="",$B10=""),0,SUMIF('DADOS BRUTOS'!$A$3:$A$500,$B10,'DADOS BRUTOS'!E$3:E$500)+IF($C10="",0,SUMIF('DADOS BRUTOS'!$A$3:$A$500,$C10,'DADOS BRUTOS'!E$3:E$500)))</f>
        <v/>
      </c>
      <c r="CF10" s="132">
        <f>IF(OR(CF$4="",$B10=""),0,SUMIF('DADOS BRUTOS'!$A$3:$A$500,$B10,'DADOS BRUTOS'!F$3:F$500)+IF($C10="",0,SUMIF('DADOS BRUTOS'!$A$3:$A$500,$C10,'DADOS BRUTOS'!F$3:F$500)))</f>
        <v/>
      </c>
      <c r="CG10" s="132">
        <f>IF(OR(CG$4="",$B10=""),0,SUMIF('DADOS BRUTOS'!$A$3:$A$500,$B10,'DADOS BRUTOS'!G$3:G$500)+IF($C10="",0,SUMIF('DADOS BRUTOS'!$A$3:$A$500,$C10,'DADOS BRUTOS'!G$3:G$500)))</f>
        <v/>
      </c>
      <c r="CH10" s="132">
        <f>IF(OR(CH$4="",$B10=""),0,SUMIF('DADOS BRUTOS'!$A$3:$A$500,$B10,'DADOS BRUTOS'!H$3:H$500)+IF($C10="",0,SUMIF('DADOS BRUTOS'!$A$3:$A$500,$C10,'DADOS BRUTOS'!H$3:H$500)))</f>
        <v/>
      </c>
      <c r="CI10" s="132">
        <f>IF(OR(CI$4="",$B10=""),0,SUMIF('DADOS BRUTOS'!$A$3:$A$500,$B10,'DADOS BRUTOS'!I$3:I$500)+IF($C10="",0,SUMIF('DADOS BRUTOS'!$A$3:$A$500,$C10,'DADOS BRUTOS'!I$3:I$500)))</f>
        <v/>
      </c>
      <c r="CJ10" s="132">
        <f>IF(OR(CJ$4="",$B10=""),0,SUMIF('DADOS BRUTOS'!$A$3:$A$500,$B10,'DADOS BRUTOS'!J$3:J$500)+IF($C10="",0,SUMIF('DADOS BRUTOS'!$A$3:$A$500,$C10,'DADOS BRUTOS'!J$3:J$500)))</f>
        <v/>
      </c>
      <c r="CK10" s="132">
        <f>IF(OR(CK$4="",$B10=""),0,SUMIF('DADOS BRUTOS'!$A$3:$A$500,$B10,'DADOS BRUTOS'!K$3:K$500)+IF($C10="",0,SUMIF('DADOS BRUTOS'!$A$3:$A$500,$C10,'DADOS BRUTOS'!K$3:K$500)))</f>
        <v/>
      </c>
      <c r="CL10" s="132">
        <f>IF(OR(CL$4="",$B10=""),0,SUMIF('DADOS BRUTOS'!$A$3:$A$500,$B10,'DADOS BRUTOS'!L$3:L$500)+IF($C10="",0,SUMIF('DADOS BRUTOS'!$A$3:$A$500,$C10,'DADOS BRUTOS'!L$3:L$500)))</f>
        <v/>
      </c>
      <c r="CM10" s="132">
        <f>IF(OR(CM$4="",$B10=""),0,SUMIF('DADOS BRUTOS'!$A$3:$A$500,$B10,'DADOS BRUTOS'!M$3:M$500)+IF($C10="",0,SUMIF('DADOS BRUTOS'!$A$3:$A$500,$C10,'DADOS BRUTOS'!M$3:M$500)))</f>
        <v/>
      </c>
      <c r="CN10" s="132">
        <f>IF(OR(CN$4="",$B10=""),0,SUMIF('DADOS BRUTOS'!$A$3:$A$500,$B10,'DADOS BRUTOS'!N$3:N$500)+IF($C10="",0,SUMIF('DADOS BRUTOS'!$A$3:$A$500,$C10,'DADOS BRUTOS'!N$3:N$500)))</f>
        <v/>
      </c>
      <c r="CO10" s="132">
        <f>IF(OR(CO$4="",$B10=""),0,SUMIF('DADOS BRUTOS'!$A$3:$A$500,$B10,'DADOS BRUTOS'!O$3:O$500)+IF($C10="",0,SUMIF('DADOS BRUTOS'!$A$3:$A$500,$C10,'DADOS BRUTOS'!O$3:O$500)))</f>
        <v/>
      </c>
      <c r="CP10" s="132">
        <f>IF(OR(CP$4="",$B10=""),0,SUMIF('DADOS BRUTOS'!$A$3:$A$500,$B10,'DADOS BRUTOS'!P$3:P$500)+IF($C10="",0,SUMIF('DADOS BRUTOS'!$A$3:$A$500,$C10,'DADOS BRUTOS'!P$3:P$500)))</f>
        <v/>
      </c>
      <c r="CQ10" s="132">
        <f>IF(OR(CQ$4="",$B10=""),0,SUMIF('DADOS BRUTOS'!$A$3:$A$500,$B10,'DADOS BRUTOS'!Q$3:Q$500)+IF($C10="",0,SUMIF('DADOS BRUTOS'!$A$3:$A$500,$C10,'DADOS BRUTOS'!Q$3:Q$500)))</f>
        <v/>
      </c>
      <c r="CR10" s="132">
        <f>IF(OR(CR$4="",$B10=""),0,SUMIF('DADOS BRUTOS'!$A$3:$A$500,$B10,'DADOS BRUTOS'!R$3:R$500)+IF($C10="",0,SUMIF('DADOS BRUTOS'!$A$3:$A$500,$C10,'DADOS BRUTOS'!R$3:R$500)))</f>
        <v/>
      </c>
      <c r="CS10" s="132">
        <f>IF(OR(CS$4="",$B10=""),0,SUMIF('DADOS BRUTOS'!$A$3:$A$500,$B10,'DADOS BRUTOS'!S$3:S$500)+IF($C10="",0,SUMIF('DADOS BRUTOS'!$A$3:$A$500,$C10,'DADOS BRUTOS'!S$3:S$500)))</f>
        <v/>
      </c>
      <c r="CT10" s="132">
        <f>IF(OR(CT$4="",$B10=""),0,SUMIF('DADOS BRUTOS'!$A$3:$A$500,$B10,'DADOS BRUTOS'!T$3:T$500)+IF($C10="",0,SUMIF('DADOS BRUTOS'!$A$3:$A$500,$C10,'DADOS BRUTOS'!T$3:T$500)))</f>
        <v/>
      </c>
      <c r="CU10" s="132">
        <f>IF(OR(CU$4="",$B10=""),0,SUMIF('DADOS BRUTOS'!$A$3:$A$500,$B10,'DADOS BRUTOS'!U$3:U$500)+IF($C10="",0,SUMIF('DADOS BRUTOS'!$A$3:$A$500,$C10,'DADOS BRUTOS'!U$3:U$500)))</f>
        <v/>
      </c>
      <c r="CV10" s="132">
        <f>IF(OR(CV$4="",$B10=""),0,SUMIF('DADOS BRUTOS'!$A$3:$A$500,$B10,'DADOS BRUTOS'!V$3:V$500)+IF($C10="",0,SUMIF('DADOS BRUTOS'!$A$3:$A$500,$C10,'DADOS BRUTOS'!V$3:V$500)))</f>
        <v/>
      </c>
      <c r="CW10" s="132">
        <f>IF(OR(CW$4="",$B10=""),0,SUMIF('DADOS BRUTOS'!$A$3:$A$500,$B10,'DADOS BRUTOS'!W$3:W$500)+IF($C10="",0,SUMIF('DADOS BRUTOS'!$A$3:$A$500,$C10,'DADOS BRUTOS'!W$3:W$500)))</f>
        <v/>
      </c>
      <c r="CX10" s="132">
        <f>IF(OR(CX$4="",$B10=""),0,SUMIF('DADOS BRUTOS'!$A$3:$A$500,$B10,'DADOS BRUTOS'!X$3:X$500)+IF($C10="",0,SUMIF('DADOS BRUTOS'!$A$3:$A$500,$C10,'DADOS BRUTOS'!X$3:X$500)))</f>
        <v/>
      </c>
      <c r="CY10" s="132">
        <f>IF(OR(CY$4="",$B10=""),0,SUMIF('DADOS BRUTOS'!$A$3:$A$500,$B10,'DADOS BRUTOS'!Y$3:Y$500)+IF($C10="",0,SUMIF('DADOS BRUTOS'!$A$3:$A$500,$C10,'DADOS BRUTOS'!Y$3:Y$500)))</f>
        <v/>
      </c>
      <c r="CZ10" s="132">
        <f>IF(OR(CZ$4="",$B10=""),0,SUMIF('DADOS BRUTOS'!$A$3:$A$500,$B10,'DADOS BRUTOS'!Z$3:Z$500)+IF($C10="",0,SUMIF('DADOS BRUTOS'!$A$3:$A$500,$C10,'DADOS BRUTOS'!Z$3:Z$500)))</f>
        <v/>
      </c>
      <c r="DA10" s="132">
        <f>IF(OR(DA$4="",$B10=""),0,SUMIF('DADOS BRUTOS'!$A$3:$A$500,$B10,'DADOS BRUTOS'!AA$3:AA$500)+IF($C10="",0,SUMIF('DADOS BRUTOS'!$A$3:$A$500,$C10,'DADOS BRUTOS'!AA$3:AA$500)))</f>
        <v/>
      </c>
      <c r="DB10" s="132">
        <f>IF(OR(DB$4="",$B10=""),0,SUMIF('DADOS BRUTOS'!$A$3:$A$500,$B10,'DADOS BRUTOS'!AB$3:AB$500)+IF($C10="",0,SUMIF('DADOS BRUTOS'!$A$3:$A$500,$C10,'DADOS BRUTOS'!AB$3:AB$500)))</f>
        <v/>
      </c>
      <c r="DC10" s="132">
        <f>IF(OR(DC$4="",$B10=""),0,SUMIF('DADOS BRUTOS'!$A$3:$A$500,$B10,'DADOS BRUTOS'!AC$3:AC$500)+IF($C10="",0,SUMIF('DADOS BRUTOS'!$A$3:$A$500,$C10,'DADOS BRUTOS'!AC$3:AC$500)))</f>
        <v/>
      </c>
      <c r="DD10" s="132">
        <f>IF(OR(DD$4="",$B10=""),0,SUMIF('DADOS BRUTOS'!$A$3:$A$500,$B10,'DADOS BRUTOS'!AD$3:AD$500)+IF($C10="",0,SUMIF('DADOS BRUTOS'!$A$3:$A$500,$C10,'DADOS BRUTOS'!AD$3:AD$500)))</f>
        <v/>
      </c>
      <c r="DE10" s="132">
        <f>IF(OR(DE$4="",$B10=""),0,SUMIF('DADOS BRUTOS'!$A$3:$A$500,$B10,'DADOS BRUTOS'!AE$3:AE$500)+IF($C10="",0,SUMIF('DADOS BRUTOS'!$A$3:$A$500,$C10,'DADOS BRUTOS'!AE$3:AE$500)))</f>
        <v/>
      </c>
      <c r="DF10" s="132">
        <f>IF(OR(DF$4="",$B10=""),0,SUMIF('DADOS BRUTOS'!$A$3:$A$500,$B10,'DADOS BRUTOS'!AF$3:AF$500)+IF($C10="",0,SUMIF('DADOS BRUTOS'!$A$3:$A$500,$C10,'DADOS BRUTOS'!AF$3:AF$500)))</f>
        <v/>
      </c>
      <c r="DG10" s="132">
        <f>IF(OR(DG$4="",$B10=""),0,SUMIF('DADOS BRUTOS'!$A$3:$A$500,$B10,'DADOS BRUTOS'!AG$3:AG$500)+IF($C10="",0,SUMIF('DADOS BRUTOS'!$A$3:$A$500,$C10,'DADOS BRUTOS'!AG$3:AG$500)))</f>
        <v/>
      </c>
      <c r="DH10" s="132">
        <f>IF(OR(DH$4="",$B10=""),0,SUMIF('DADOS BRUTOS'!$A$3:$A$500,$B10,'DADOS BRUTOS'!AH$3:AH$500)+IF($C10="",0,SUMIF('DADOS BRUTOS'!$A$3:$A$500,$C10,'DADOS BRUTOS'!AH$3:AH$500)))</f>
        <v/>
      </c>
      <c r="DI10" s="132">
        <f>IF(OR(DI$4="",$B10=""),0,SUMIF('DADOS BRUTOS'!$A$3:$A$500,$B10,'DADOS BRUTOS'!AI$3:AI$500)+IF($C10="",0,SUMIF('DADOS BRUTOS'!$A$3:$A$500,$C10,'DADOS BRUTOS'!AI$3:AI$500)))</f>
        <v/>
      </c>
      <c r="DJ10" s="132">
        <f>IF(OR(DJ$4="",$B10=""),0,SUMIF('DADOS BRUTOS'!$A$3:$A$500,$B10,'DADOS BRUTOS'!AJ$3:AJ$500)+IF($C10="",0,SUMIF('DADOS BRUTOS'!$A$3:$A$500,$C10,'DADOS BRUTOS'!AJ$3:AJ$500)))</f>
        <v/>
      </c>
      <c r="DK10" s="132">
        <f>IF(OR(DK$4="",$B10=""),0,SUMIF('DADOS BRUTOS'!$A$3:$A$500,$B10,'DADOS BRUTOS'!AK$3:AK$500)+IF($C10="",0,SUMIF('DADOS BRUTOS'!$A$3:$A$500,$C10,'DADOS BRUTOS'!AK$3:AK$500)))</f>
        <v/>
      </c>
      <c r="DL10" s="132">
        <f>IF(OR(DL$4="",$B10=""),0,SUMIF('DADOS BRUTOS'!$A$3:$A$500,$B10,'DADOS BRUTOS'!AL$3:AL$500)+IF($C10="",0,SUMIF('DADOS BRUTOS'!$A$3:$A$500,$C10,'DADOS BRUTOS'!AL$3:AL$500)))</f>
        <v/>
      </c>
      <c r="DM10" s="132">
        <f>IF(OR(DM$4="",$B10=""),0,SUMIF('DADOS BRUTOS'!$A$3:$A$500,$B10,'DADOS BRUTOS'!AM$3:AM$500)+IF($C10="",0,SUMIF('DADOS BRUTOS'!$A$3:$A$500,$C10,'DADOS BRUTOS'!AM$3:AM$500)))</f>
        <v/>
      </c>
      <c r="DN10" s="132">
        <f>IF(OR(DN$4="",$B10=""),0,SUMIF('DADOS BRUTOS'!$A$3:$A$500,$B10,'DADOS BRUTOS'!AN$3:AN$500)+IF($C10="",0,SUMIF('DADOS BRUTOS'!$A$3:$A$500,$C10,'DADOS BRUTOS'!AN$3:AN$500)))</f>
        <v/>
      </c>
      <c r="DO10" s="132">
        <f>IF(OR(DO$4="",$B10=""),0,SUMIF('DADOS BRUTOS'!$A$3:$A$500,$B10,'DADOS BRUTOS'!AO$3:AO$500)+IF($C10="",0,SUMIF('DADOS BRUTOS'!$A$3:$A$500,$C10,'DADOS BRUTOS'!AO$3:AO$500)))</f>
        <v/>
      </c>
      <c r="DP10" s="132">
        <f>IF(OR(DP$4="",$B10=""),0,SUMIF('DADOS BRUTOS'!$A$3:$A$500,$B10,'DADOS BRUTOS'!AP$3:AP$500)+IF($C10="",0,SUMIF('DADOS BRUTOS'!$A$3:$A$500,$C10,'DADOS BRUTOS'!AP$3:AP$500)))</f>
        <v/>
      </c>
      <c r="DQ10" s="132">
        <f>IF(OR(DQ$4="",$B10=""),0,SUMIF('DADOS BRUTOS'!$A$3:$A$500,$B10,'DADOS BRUTOS'!AQ$3:AQ$500)+IF($C10="",0,SUMIF('DADOS BRUTOS'!$A$3:$A$500,$C10,'DADOS BRUTOS'!AQ$3:AQ$500)))</f>
        <v/>
      </c>
      <c r="DR10" s="132">
        <f>IF(OR(DR$4="",$B10=""),0,SUMIF('DADOS BRUTOS'!$A$3:$A$500,$B10,'DADOS BRUTOS'!AR$3:AR$500)+IF($C10="",0,SUMIF('DADOS BRUTOS'!$A$3:$A$500,$C10,'DADOS BRUTOS'!AR$3:AR$500)))</f>
        <v/>
      </c>
      <c r="DS10" s="132">
        <f>IF(OR(DS$4="",$B10=""),0,SUMIF('DADOS BRUTOS'!$A$3:$A$500,$B10,'DADOS BRUTOS'!AS$3:AS$500)+IF($C10="",0,SUMIF('DADOS BRUTOS'!$A$3:$A$500,$C10,'DADOS BRUTOS'!AS$3:AS$500)))</f>
        <v/>
      </c>
      <c r="DT10" s="132">
        <f>IF(OR(DT$4="",$B10=""),0,SUMIF('DADOS BRUTOS'!$A$3:$A$500,$B10,'DADOS BRUTOS'!AT$3:AT$500)+IF($C10="",0,SUMIF('DADOS BRUTOS'!$A$3:$A$500,$C10,'DADOS BRUTOS'!AT$3:AT$500)))</f>
        <v/>
      </c>
      <c r="DU10" s="132">
        <f>IF(OR(DU$4="",$B10=""),0,SUMIF('DADOS BRUTOS'!$A$3:$A$500,$B10,'DADOS BRUTOS'!AU$3:AU$500)+IF($C10="",0,SUMIF('DADOS BRUTOS'!$A$3:$A$500,$C10,'DADOS BRUTOS'!AU$3:AU$500)))</f>
        <v/>
      </c>
      <c r="DV10" s="132">
        <f>IF(OR(DV$4="",$B10=""),0,SUMIF('DADOS BRUTOS'!$A$3:$A$500,$B10,'DADOS BRUTOS'!AV$3:AV$500)+IF($C10="",0,SUMIF('DADOS BRUTOS'!$A$3:$A$500,$C10,'DADOS BRUTOS'!AV$3:AV$500)))</f>
        <v/>
      </c>
      <c r="DW10" s="132">
        <f>IF(OR(DW$4="",$B10=""),0,SUMIF('DADOS BRUTOS'!$A$3:$A$500,$B10,'DADOS BRUTOS'!AW$3:AW$500)+IF($C10="",0,SUMIF('DADOS BRUTOS'!$A$3:$A$500,$C10,'DADOS BRUTOS'!AW$3:AW$500)))</f>
        <v/>
      </c>
      <c r="DX10" s="132">
        <f>IF(OR(DX$4="",$B10=""),0,SUMIF('DADOS BRUTOS'!$A$3:$A$500,$B10,'DADOS BRUTOS'!AX$3:AX$500)+IF($C10="",0,SUMIF('DADOS BRUTOS'!$A$3:$A$500,$C10,'DADOS BRUTOS'!AX$3:AX$500)))</f>
        <v/>
      </c>
      <c r="DY10" s="132">
        <f>IF(OR(DY$4="",$B10=""),0,SUMIF('DADOS BRUTOS'!$A$3:$A$500,$B10,'DADOS BRUTOS'!AY$3:AY$500)+IF($C10="",0,SUMIF('DADOS BRUTOS'!$A$3:$A$500,$C10,'DADOS BRUTOS'!AY$3:AY$500)))</f>
        <v/>
      </c>
      <c r="DZ10" s="132">
        <f>IF(OR(DZ$4="",$B10=""),0,SUMIF('DADOS BRUTOS'!$A$3:$A$500,$B10,'DADOS BRUTOS'!AZ$3:AZ$500)+IF($C10="",0,SUMIF('DADOS BRUTOS'!$A$3:$A$500,$C10,'DADOS BRUTOS'!AZ$3:AZ$500)))</f>
        <v/>
      </c>
      <c r="EA10" s="132">
        <f>IF(OR(EA$4="",$B10=""),0,SUMIF('DADOS BRUTOS'!$A$3:$A$500,$B10,'DADOS BRUTOS'!BA$3:BA$500)+IF($C10="",0,SUMIF('DADOS BRUTOS'!$A$3:$A$500,$C10,'DADOS BRUTOS'!BA$3:BA$500)))</f>
        <v/>
      </c>
      <c r="EB10" s="132">
        <f>IF(OR(EB$4="",$B10=""),0,SUMIF('DADOS BRUTOS'!$A$3:$A$500,$B10,'DADOS BRUTOS'!BB$3:BB$500)+IF($C10="",0,SUMIF('DADOS BRUTOS'!$A$3:$A$500,$C10,'DADOS BRUTOS'!BB$3:BB$500)))</f>
        <v/>
      </c>
      <c r="EC10" s="132">
        <f>IF(OR(EC$4="",$B10=""),0,SUMIF('DADOS BRUTOS'!$A$3:$A$500,$B10,'DADOS BRUTOS'!BC$3:BC$500)+IF($C10="",0,SUMIF('DADOS BRUTOS'!$A$3:$A$500,$C10,'DADOS BRUTOS'!BC$3:BC$500)))</f>
        <v/>
      </c>
      <c r="ED10" s="132">
        <f>IF(OR(ED$4="",$B10=""),0,SUMIF('DADOS BRUTOS'!$A$3:$A$500,$B10,'DADOS BRUTOS'!BD$3:BD$500)+IF($C10="",0,SUMIF('DADOS BRUTOS'!$A$3:$A$500,$C10,'DADOS BRUTOS'!BD$3:BD$500)))</f>
        <v/>
      </c>
      <c r="EE10" s="132">
        <f>IF(OR(EE$4="",$B10=""),0,SUMIF('DADOS BRUTOS'!$A$3:$A$500,$B10,'DADOS BRUTOS'!BE$3:BE$500)+IF($C10="",0,SUMIF('DADOS BRUTOS'!$A$3:$A$500,$C10,'DADOS BRUTOS'!BE$3:BE$500)))</f>
        <v/>
      </c>
      <c r="EF10" s="132">
        <f>IF(OR(EF$4="",$B10=""),0,SUMIF('DADOS BRUTOS'!$A$3:$A$500,$B10,'DADOS BRUTOS'!BF$3:BF$500)+IF($C10="",0,SUMIF('DADOS BRUTOS'!$A$3:$A$500,$C10,'DADOS BRUTOS'!BF$3:BF$500)))</f>
        <v/>
      </c>
      <c r="EG10" s="132">
        <f>IF(OR(EG$4="",$B10=""),0,SUMIF('DADOS BRUTOS'!$A$3:$A$500,$B10,'DADOS BRUTOS'!BG$3:BG$500)+IF($C10="",0,SUMIF('DADOS BRUTOS'!$A$3:$A$500,$C10,'DADOS BRUTOS'!BG$3:BG$500)))</f>
        <v/>
      </c>
      <c r="EH10" s="132">
        <f>IF(OR(EH$4="",$B10=""),0,SUMIF('DADOS BRUTOS'!$A$3:$A$500,$B10,'DADOS BRUTOS'!BH$3:BH$500)+IF($C10="",0,SUMIF('DADOS BRUTOS'!$A$3:$A$500,$C10,'DADOS BRUTOS'!BH$3:BH$500)))</f>
        <v/>
      </c>
      <c r="EI10" s="132">
        <f>IF(OR(EI$4="",$B10=""),0,SUMIF('DADOS BRUTOS'!$A$3:$A$500,$B10,'DADOS BRUTOS'!BI$3:BI$500)+IF($C10="",0,SUMIF('DADOS BRUTOS'!$A$3:$A$500,$C10,'DADOS BRUTOS'!BI$3:BI$500)))</f>
        <v/>
      </c>
      <c r="EJ10" s="132">
        <f>IF(OR(EJ$4="",$B10=""),0,SUMIF('DADOS BRUTOS'!$A$3:$A$500,$B10,'DADOS BRUTOS'!BJ$3:BJ$500)+IF($C10="",0,SUMIF('DADOS BRUTOS'!$A$3:$A$500,$C10,'DADOS BRUTOS'!BJ$3:BJ$500)))</f>
        <v/>
      </c>
      <c r="EK10" s="132">
        <f>IF(OR(EK$4="",$B10=""),0,SUMIF('DADOS BRUTOS'!$A$3:$A$500,$B10,'DADOS BRUTOS'!BK$3:BK$500)+IF($C10="",0,SUMIF('DADOS BRUTOS'!$A$3:$A$500,$C10,'DADOS BRUTOS'!BK$3:BK$500)))</f>
        <v/>
      </c>
      <c r="EL10" s="132">
        <f>IF(OR(EL$4="",$B10=""),0,SUMIF('DADOS BRUTOS'!$A$3:$A$500,$B10,'DADOS BRUTOS'!BL$3:BL$500)+IF($C10="",0,SUMIF('DADOS BRUTOS'!$A$3:$A$500,$C10,'DADOS BRUTOS'!BL$3:BL$500)))</f>
        <v/>
      </c>
      <c r="EM10" s="132">
        <f>IF(OR(EM$4="",$B10=""),0,SUMIF('DADOS BRUTOS'!$A$3:$A$500,$B10,'DADOS BRUTOS'!BM$3:BM$500)+IF($C10="",0,SUMIF('DADOS BRUTOS'!$A$3:$A$500,$C10,'DADOS BRUTOS'!BM$3:BM$500)))</f>
        <v/>
      </c>
      <c r="EN10" s="132">
        <f>IF(OR(EN$4="",$B10=""),0,SUMIF('DADOS BRUTOS'!$A$3:$A$500,$B10,'DADOS BRUTOS'!BN$3:BN$500)+IF($C10="",0,SUMIF('DADOS BRUTOS'!$A$3:$A$500,$C10,'DADOS BRUTOS'!BN$3:BN$500)))</f>
        <v/>
      </c>
      <c r="EO10" s="132">
        <f>IF(OR(EO$4="",$B10=""),0,SUMIF('DADOS BRUTOS'!$A$3:$A$500,$B10,'DADOS BRUTOS'!BO$3:BO$500)+IF($C10="",0,SUMIF('DADOS BRUTOS'!$A$3:$A$500,$C10,'DADOS BRUTOS'!BO$3:BO$500)))</f>
        <v/>
      </c>
      <c r="EP10" s="132">
        <f>IF(OR(EP$4="",$B10=""),0,SUMIF('DADOS BRUTOS'!$A$3:$A$500,$B10,'DADOS BRUTOS'!BP$3:BP$500)+IF($C10="",0,SUMIF('DADOS BRUTOS'!$A$3:$A$500,$C10,'DADOS BRUTOS'!BP$3:BP$500)))</f>
        <v/>
      </c>
      <c r="EQ10" s="132">
        <f>IF(OR(EQ$4="",$B10=""),0,SUMIF('DADOS BRUTOS'!$A$3:$A$500,$B10,'DADOS BRUTOS'!BQ$3:BQ$500)+IF($C10="",0,SUMIF('DADOS BRUTOS'!$A$3:$A$500,$C10,'DADOS BRUTOS'!BQ$3:BQ$500)))</f>
        <v/>
      </c>
      <c r="ER10" s="132">
        <f>IF(OR(ER$4="",$B10=""),0,SUMIF('DADOS BRUTOS'!$A$3:$A$500,$B10,'DADOS BRUTOS'!BR$3:BR$500)+IF($C10="",0,SUMIF('DADOS BRUTOS'!$A$3:$A$500,$C10,'DADOS BRUTOS'!BR$3:BR$500)))</f>
        <v/>
      </c>
      <c r="ES10" s="132">
        <f>IF(OR(ES$4="",$B10=""),0,SUMIF('DADOS BRUTOS'!$A$3:$A$500,$B10,'DADOS BRUTOS'!BS$3:BS$500)+IF($C10="",0,SUMIF('DADOS BRUTOS'!$A$3:$A$500,$C10,'DADOS BRUTOS'!BS$3:BS$500)))</f>
        <v/>
      </c>
      <c r="ET10" s="132">
        <f>IF(OR(ET$4="",$B10=""),0,SUMIF('DADOS BRUTOS'!$A$3:$A$500,$B10,'DADOS BRUTOS'!BT$3:BT$500)+IF($C10="",0,SUMIF('DADOS BRUTOS'!$A$3:$A$500,$C10,'DADOS BRUTOS'!BT$3:BT$500)))</f>
        <v/>
      </c>
      <c r="EU10" s="132">
        <f>IF(OR(EU$4="",$B10=""),0,SUMIF('DADOS BRUTOS'!$A$3:$A$500,$B10,'DADOS BRUTOS'!BU$3:BU$500)+IF($C10="",0,SUMIF('DADOS BRUTOS'!$A$3:$A$500,$C10,'DADOS BRUTOS'!BU$3:BU$500)))</f>
        <v/>
      </c>
      <c r="EV10" s="132">
        <f>IF(OR(EV$4="",$B10=""),0,SUMIF('DADOS BRUTOS'!$A$3:$A$500,$B10,'DADOS BRUTOS'!BV$3:BV$500)+IF($C10="",0,SUMIF('DADOS BRUTOS'!$A$3:$A$500,$C10,'DADOS BRUTOS'!BV$3:BV$500)))</f>
        <v/>
      </c>
      <c r="EW10" s="132">
        <f>IF(OR(EW$4="",$B10=""),0,SUMIF('DADOS BRUTOS'!$A$3:$A$500,$B10,'DADOS BRUTOS'!BW$3:BW$500)+IF($C10="",0,SUMIF('DADOS BRUTOS'!$A$3:$A$500,$C10,'DADOS BRUTOS'!BW$3:BW$500)))</f>
        <v/>
      </c>
      <c r="EX10" s="132">
        <f>IF(OR(EX$4="",$B10=""),0,SUMIF('DADOS BRUTOS'!$A$3:$A$500,$B10,'DADOS BRUTOS'!BX$3:BX$500)+IF($C10="",0,SUMIF('DADOS BRUTOS'!$A$3:$A$500,$C10,'DADOS BRUTOS'!BX$3:BX$500)))</f>
        <v/>
      </c>
      <c r="EY10" s="132">
        <f>IF(OR(EY$4="",$B10=""),0,SUMIF('DADOS BRUTOS'!$A$3:$A$500,$B10,'DADOS BRUTOS'!BY$3:BY$500)+IF($C10="",0,SUMIF('DADOS BRUTOS'!$A$3:$A$500,$C10,'DADOS BRUTOS'!BY$3:BY$500)))</f>
        <v/>
      </c>
      <c r="EZ10" s="132">
        <f>IF(OR(EZ$4="",$B10=""),0,SUMIF('DADOS BRUTOS'!$A$3:$A$500,$B10,'DADOS BRUTOS'!BZ$3:BZ$500)+IF($C10="",0,SUMIF('DADOS BRUTOS'!$A$3:$A$500,$C10,'DADOS BRUTOS'!BZ$3:BZ$500)))</f>
        <v/>
      </c>
      <c r="FA10" s="132">
        <f>IF(OR(FA$4="",$B10=""),0,SUMIF('DADOS BRUTOS'!$A$3:$A$500,$B10,'DADOS BRUTOS'!CA$3:CA$500)+IF($C10="",0,SUMIF('DADOS BRUTOS'!$A$3:$A$500,$C10,'DADOS BRUTOS'!CA$3:CA$500)))</f>
        <v/>
      </c>
      <c r="FB10" s="132">
        <f>IF(OR(FB$4="",$B10=""),0,SUMIF('DADOS BRUTOS'!$A$3:$A$500,$B10,'DADOS BRUTOS'!CB$3:CB$500)+IF($C10="",0,SUMIF('DADOS BRUTOS'!$A$3:$A$500,$C10,'DADOS BRUTOS'!CB$3:CB$500)))</f>
        <v/>
      </c>
      <c r="FC10" s="132">
        <f>IF(OR(FC$4="",$B10=""),0,SUMIF('DADOS BRUTOS'!$A$3:$A$500,$B10,'DADOS BRUTOS'!CC$3:CC$500)+IF($C10="",0,SUMIF('DADOS BRUTOS'!$A$3:$A$500,$C10,'DADOS BRUTOS'!CC$3:CC$500)))</f>
        <v/>
      </c>
      <c r="FD10" s="132">
        <f>IF(OR(FD$4="",$B10=""),0,SUMIF('DADOS BRUTOS'!$A$3:$A$500,$B10,'DADOS BRUTOS'!CD$3:CD$500)+IF($C10="",0,SUMIF('DADOS BRUTOS'!$A$3:$A$500,$C10,'DADOS BRUTOS'!CD$3:CD$500)))</f>
        <v/>
      </c>
      <c r="FE10" s="132">
        <f>IF(OR(FE$4="",$B10=""),0,SUMIF('DADOS BRUTOS'!$A$3:$A$500,$B10,'DADOS BRUTOS'!CE$3:CE$500)+IF($C10="",0,SUMIF('DADOS BRUTOS'!$A$3:$A$500,$C10,'DADOS BRUTOS'!CE$3:CE$500)))</f>
        <v/>
      </c>
      <c r="FF10" s="132">
        <f>IF(OR(FF$4="",$B10=""),0,SUMIF('DADOS BRUTOS'!$A$3:$A$500,$B10,'DADOS BRUTOS'!CF$3:CF$500)+IF($C10="",0,SUMIF('DADOS BRUTOS'!$A$3:$A$500,$C10,'DADOS BRUTOS'!CF$3:CF$500)))</f>
        <v/>
      </c>
      <c r="FG10" s="132">
        <f>IF(OR(FG$4="",$B10=""),0,SUMIF('DADOS BRUTOS'!$A$3:$A$500,$B10,'DADOS BRUTOS'!CG$3:CG$500)+IF($C10="",0,SUMIF('DADOS BRUTOS'!$A$3:$A$500,$C10,'DADOS BRUTOS'!CG$3:CG$500)))</f>
        <v/>
      </c>
      <c r="FH10" s="132">
        <f>IF(OR(FH$4="",$B10=""),0,SUMIF('DADOS BRUTOS'!$A$3:$A$500,$B10,'DADOS BRUTOS'!CH$3:CH$500)+IF($C10="",0,SUMIF('DADOS BRUTOS'!$A$3:$A$500,$C10,'DADOS BRUTOS'!CH$3:CH$500)))</f>
        <v/>
      </c>
      <c r="FI10" s="132">
        <f>IF(OR(FI$4="",$B10=""),0,SUMIF('DADOS BRUTOS'!$A$3:$A$500,$B10,'DADOS BRUTOS'!CI$3:CI$500)+IF($C10="",0,SUMIF('DADOS BRUTOS'!$A$3:$A$500,$C10,'DADOS BRUTOS'!CI$3:CI$500)))</f>
        <v/>
      </c>
      <c r="FJ10" s="132">
        <f>IF(OR(FJ$4="",$B10=""),0,SUMIF('DADOS BRUTOS'!$A$3:$A$500,$B10,'DADOS BRUTOS'!CJ$3:CJ$500)+IF($C10="",0,SUMIF('DADOS BRUTOS'!$A$3:$A$500,$C10,'DADOS BRUTOS'!CJ$3:CJ$500)))</f>
        <v/>
      </c>
      <c r="FK10" s="132">
        <f>IF(OR(FK$4="",$B10=""),0,SUMIF('DADOS BRUTOS'!$A$3:$A$500,$B10,'DADOS BRUTOS'!CK$3:CK$500)+IF($C10="",0,SUMIF('DADOS BRUTOS'!$A$3:$A$500,$C10,'DADOS BRUTOS'!CK$3:CK$500)))</f>
        <v/>
      </c>
      <c r="FL10" s="132">
        <f>IF(OR(FL$4="",$B10=""),0,SUMIF('DADOS BRUTOS'!$A$3:$A$500,$B10,'DADOS BRUTOS'!CL$3:CL$500)+IF($C10="",0,SUMIF('DADOS BRUTOS'!$A$3:$A$500,$C10,'DADOS BRUTOS'!CL$3:CL$500)))</f>
        <v/>
      </c>
      <c r="FM10" s="132">
        <f>IF(OR(FM$4="",$B10=""),0,SUMIF('DADOS BRUTOS'!$A$3:$A$500,$B10,'DADOS BRUTOS'!CM$3:CM$500)+IF($C10="",0,SUMIF('DADOS BRUTOS'!$A$3:$A$500,$C10,'DADOS BRUTOS'!CM$3:CM$500)))</f>
        <v/>
      </c>
      <c r="FN10" s="132">
        <f>IF(OR(FN$4="",$B10=""),0,SUMIF('DADOS BRUTOS'!$A$3:$A$500,$B10,'DADOS BRUTOS'!CN$3:CN$500)+IF($C10="",0,SUMIF('DADOS BRUTOS'!$A$3:$A$500,$C10,'DADOS BRUTOS'!CN$3:CN$500)))</f>
        <v/>
      </c>
      <c r="FO10" s="132">
        <f>IF(OR(FO$4="",$B10=""),0,SUMIF('DADOS BRUTOS'!$A$3:$A$500,$B10,'DADOS BRUTOS'!CO$3:CO$500)+IF($C10="",0,SUMIF('DADOS BRUTOS'!$A$3:$A$500,$C10,'DADOS BRUTOS'!CO$3:CO$500)))</f>
        <v/>
      </c>
      <c r="FP10" s="132">
        <f>IF(OR(FP$4="",$B10=""),0,SUMIF('DADOS BRUTOS'!$A$3:$A$500,$B10,'DADOS BRUTOS'!CP$3:CP$500)+IF($C10="",0,SUMIF('DADOS BRUTOS'!$A$3:$A$500,$C10,'DADOS BRUTOS'!CP$3:CP$500)))</f>
        <v/>
      </c>
      <c r="FQ10" s="132">
        <f>IF(OR(FQ$4="",$B10=""),0,SUMIF('DADOS BRUTOS'!$A$3:$A$500,$B10,'DADOS BRUTOS'!CQ$3:CQ$500)+IF($C10="",0,SUMIF('DADOS BRUTOS'!$A$3:$A$500,$C10,'DADOS BRUTOS'!CQ$3:CQ$500)))</f>
        <v/>
      </c>
      <c r="FR10" s="132">
        <f>IF(OR(FR$4="",$B10=""),0,SUMIF('DADOS BRUTOS'!$A$3:$A$500,$B10,'DADOS BRUTOS'!CR$3:CR$500)+IF($C10="",0,SUMIF('DADOS BRUTOS'!$A$3:$A$500,$C10,'DADOS BRUTOS'!CR$3:CR$500)))</f>
        <v/>
      </c>
      <c r="FS10" s="132">
        <f>IF(OR(FS$4="",$B10=""),0,SUMIF('DADOS BRUTOS'!$A$3:$A$500,$B10,'DADOS BRUTOS'!CS$3:CS$500)+IF($C10="",0,SUMIF('DADOS BRUTOS'!$A$3:$A$500,$C10,'DADOS BRUTOS'!CS$3:CS$500)))</f>
        <v/>
      </c>
      <c r="FT10" s="132">
        <f>IF(OR(FT$4="",$B10=""),0,SUMIF('DADOS BRUTOS'!$A$3:$A$500,$B10,'DADOS BRUTOS'!CT$3:CT$500)+IF($C10="",0,SUMIF('DADOS BRUTOS'!$A$3:$A$500,$C10,'DADOS BRUTOS'!CT$3:CT$500)))</f>
        <v/>
      </c>
      <c r="FU10" s="132">
        <f>IF(OR(FU$4="",$B10=""),0,SUMIF('DADOS BRUTOS'!$A$3:$A$500,$B10,'DADOS BRUTOS'!CU$3:CU$500)+IF($C10="",0,SUMIF('DADOS BRUTOS'!$A$3:$A$500,$C10,'DADOS BRUTOS'!CU$3:CU$500)))</f>
        <v/>
      </c>
      <c r="FV10" s="132">
        <f>IF(OR(FV$4="",$B10=""),0,SUMIF('DADOS BRUTOS'!$A$3:$A$500,$B10,'DADOS BRUTOS'!CV$3:CV$500)+IF($C10="",0,SUMIF('DADOS BRUTOS'!$A$3:$A$500,$C10,'DADOS BRUTOS'!CV$3:CV$500)))</f>
        <v/>
      </c>
      <c r="FW10" s="132">
        <f>IF(OR(FW$4="",$B10=""),0,SUMIF('DADOS BRUTOS'!$A$3:$A$500,$B10,'DADOS BRUTOS'!CW$3:CW$500)+IF($C10="",0,SUMIF('DADOS BRUTOS'!$A$3:$A$500,$C10,'DADOS BRUTOS'!CW$3:CW$500)))</f>
        <v/>
      </c>
      <c r="FX10" s="132">
        <f>IF(OR(FX$4="",$B10=""),0,SUMIF('DADOS BRUTOS'!$A$3:$A$500,$B10,'DADOS BRUTOS'!CX$3:CX$500)+IF($C10="",0,SUMIF('DADOS BRUTOS'!$A$3:$A$500,$C10,'DADOS BRUTOS'!CX$3:CX$500)))</f>
        <v/>
      </c>
      <c r="FY10" s="132">
        <f>IF(OR(FY$4="",$B10=""),0,SUMIF('DADOS BRUTOS'!$A$3:$A$500,$B10,'DADOS BRUTOS'!CY$3:CY$500)+IF($C10="",0,SUMIF('DADOS BRUTOS'!$A$3:$A$500,$C10,'DADOS BRUTOS'!CY$3:CY$500)))</f>
        <v/>
      </c>
      <c r="FZ10" s="132">
        <f>IF(OR(FZ$4="",$B10=""),0,SUMIF('DADOS BRUTOS'!$A$3:$A$500,$B10,'DADOS BRUTOS'!CZ$3:CZ$500)+IF($C10="",0,SUMIF('DADOS BRUTOS'!$A$3:$A$500,$C10,'DADOS BRUTOS'!CZ$3:CZ$500)))</f>
        <v/>
      </c>
      <c r="GA10" s="132">
        <f>IF(OR(GA$4="",$B10=""),0,SUMIF('DADOS BRUTOS'!$A$3:$A$500,$B10,'DADOS BRUTOS'!DA$3:DA$500)+IF($C10="",0,SUMIF('DADOS BRUTOS'!$A$3:$A$500,$C10,'DADOS BRUTOS'!DA$3:DA$500)))</f>
        <v/>
      </c>
      <c r="GB10" s="132">
        <f>IF(OR(GB$4="",$B10=""),0,SUMIF('DADOS BRUTOS'!$A$3:$A$500,$B10,'DADOS BRUTOS'!DB$3:DB$500)+IF($C10="",0,SUMIF('DADOS BRUTOS'!$A$3:$A$500,$C10,'DADOS BRUTOS'!DB$3:DB$500)))</f>
        <v/>
      </c>
      <c r="GC10" s="132">
        <f>IF(OR(GC$4="",$B10=""),0,SUMIF('DADOS BRUTOS'!$A$3:$A$500,$B10,'DADOS BRUTOS'!DC$3:DC$500)+IF($C10="",0,SUMIF('DADOS BRUTOS'!$A$3:$A$500,$C10,'DADOS BRUTOS'!DC$3:DC$500)))</f>
        <v/>
      </c>
      <c r="GD10" s="132">
        <f>IF(OR(GD$4="",$B10=""),0,SUMIF('DADOS BRUTOS'!$A$3:$A$500,$B10,'DADOS BRUTOS'!DD$3:DD$500)+IF($C10="",0,SUMIF('DADOS BRUTOS'!$A$3:$A$500,$C10,'DADOS BRUTOS'!DD$3:DD$500)))</f>
        <v/>
      </c>
      <c r="GE10" s="132">
        <f>IF(OR(GE$4="",$B10=""),0,SUMIF('DADOS BRUTOS'!$A$3:$A$500,$B10,'DADOS BRUTOS'!DE$3:DE$500)+IF($C10="",0,SUMIF('DADOS BRUTOS'!$A$3:$A$500,$C10,'DADOS BRUTOS'!DE$3:DE$500)))</f>
        <v/>
      </c>
      <c r="GF10" s="132">
        <f>IF(OR(GF$4="",$B10=""),0,SUMIF('DADOS BRUTOS'!$A$3:$A$500,$B10,'DADOS BRUTOS'!DF$3:DF$500)+IF($C10="",0,SUMIF('DADOS BRUTOS'!$A$3:$A$500,$C10,'DADOS BRUTOS'!DF$3:DF$500)))</f>
        <v/>
      </c>
      <c r="GG10" s="132">
        <f>IF(OR(GG$4="",$B10=""),0,SUMIF('DADOS BRUTOS'!$A$3:$A$500,$B10,'DADOS BRUTOS'!DG$3:DG$500)+IF($C10="",0,SUMIF('DADOS BRUTOS'!$A$3:$A$500,$C10,'DADOS BRUTOS'!DG$3:DG$500)))</f>
        <v/>
      </c>
      <c r="GH10" s="132">
        <f>IF(OR(GH$4="",$B10=""),0,SUMIF('DADOS BRUTOS'!$A$3:$A$500,$B10,'DADOS BRUTOS'!DH$3:DH$500)+IF($C10="",0,SUMIF('DADOS BRUTOS'!$A$3:$A$500,$C10,'DADOS BRUTOS'!DH$3:DH$500)))</f>
        <v/>
      </c>
      <c r="GI10" s="132">
        <f>IF(OR(GI$4="",$B10=""),0,SUMIF('DADOS BRUTOS'!$A$3:$A$500,$B10,'DADOS BRUTOS'!DI$3:DI$500)+IF($C10="",0,SUMIF('DADOS BRUTOS'!$A$3:$A$500,$C10,'DADOS BRUTOS'!DI$3:DI$500)))</f>
        <v/>
      </c>
      <c r="GJ10" s="132">
        <f>IF(OR(GJ$4="",$B10=""),0,SUMIF('DADOS BRUTOS'!$A$3:$A$500,$B10,'DADOS BRUTOS'!DJ$3:DJ$500)+IF($C10="",0,SUMIF('DADOS BRUTOS'!$A$3:$A$500,$C10,'DADOS BRUTOS'!DJ$3:DJ$500)))</f>
        <v/>
      </c>
      <c r="GK10" s="132">
        <f>IF(OR(GK$4="",$B10=""),0,SUMIF('DADOS BRUTOS'!$A$3:$A$500,$B10,'DADOS BRUTOS'!DK$3:DK$500)+IF($C10="",0,SUMIF('DADOS BRUTOS'!$A$3:$A$500,$C10,'DADOS BRUTOS'!DK$3:DK$500)))</f>
        <v/>
      </c>
      <c r="GL10" s="132">
        <f>IF(OR(GL$4="",$B10=""),0,SUMIF('DADOS BRUTOS'!$A$3:$A$500,$B10,'DADOS BRUTOS'!DL$3:DL$500)+IF($C10="",0,SUMIF('DADOS BRUTOS'!$A$3:$A$500,$C10,'DADOS BRUTOS'!DL$3:DL$500)))</f>
        <v/>
      </c>
      <c r="GM10" s="132">
        <f>IF(OR(GM$4="",$B10=""),0,SUMIF('DADOS BRUTOS'!$A$3:$A$500,$B10,'DADOS BRUTOS'!DM$3:DM$500)+IF($C10="",0,SUMIF('DADOS BRUTOS'!$A$3:$A$500,$C10,'DADOS BRUTOS'!DM$3:DM$500)))</f>
        <v/>
      </c>
      <c r="GN10" s="132">
        <f>IF(OR(GN$4="",$B10=""),0,SUMIF('DADOS BRUTOS'!$A$3:$A$500,$B10,'DADOS BRUTOS'!DN$3:DN$500)+IF($C10="",0,SUMIF('DADOS BRUTOS'!$A$3:$A$500,$C10,'DADOS BRUTOS'!DN$3:DN$500)))</f>
        <v/>
      </c>
      <c r="GO10" s="132">
        <f>IF(OR(GO$4="",$B10=""),0,SUMIF('DADOS BRUTOS'!$A$3:$A$500,$B10,'DADOS BRUTOS'!DO$3:DO$500)+IF($C10="",0,SUMIF('DADOS BRUTOS'!$A$3:$A$500,$C10,'DADOS BRUTOS'!DO$3:DO$500)))</f>
        <v/>
      </c>
      <c r="GP10" s="132">
        <f>IF(OR(GP$4="",$B10=""),0,SUMIF('DADOS BRUTOS'!$A$3:$A$500,$B10,'DADOS BRUTOS'!DP$3:DP$500)+IF($C10="",0,SUMIF('DADOS BRUTOS'!$A$3:$A$500,$C10,'DADOS BRUTOS'!DP$3:DP$500)))</f>
        <v/>
      </c>
      <c r="GQ10" s="132">
        <f>IF(OR(GQ$4="",$B10=""),0,SUMIF('DADOS BRUTOS'!$A$3:$A$500,$B10,'DADOS BRUTOS'!DQ$3:DQ$500)+IF($C10="",0,SUMIF('DADOS BRUTOS'!$A$3:$A$500,$C10,'DADOS BRUTOS'!DQ$3:DQ$500)))</f>
        <v/>
      </c>
      <c r="GR10" s="132">
        <f>IF(OR(GR$4="",$B10=""),0,SUMIF('DADOS BRUTOS'!$A$3:$A$500,$B10,'DADOS BRUTOS'!DR$3:DR$500)+IF($C10="",0,SUMIF('DADOS BRUTOS'!$A$3:$A$500,$C10,'DADOS BRUTOS'!DR$3:DR$500)))</f>
        <v/>
      </c>
      <c r="GS10" s="132">
        <f>IF(OR(GS$4="",$B10=""),0,SUMIF('DADOS BRUTOS'!$A$3:$A$500,$B10,'DADOS BRUTOS'!DS$3:DS$500)+IF($C10="",0,SUMIF('DADOS BRUTOS'!$A$3:$A$500,$C10,'DADOS BRUTOS'!DS$3:DS$500)))</f>
        <v/>
      </c>
      <c r="GT10" s="132">
        <f>IF(OR(GT$4="",$B10=""),0,SUMIF('DADOS BRUTOS'!$A$3:$A$500,$B10,'DADOS BRUTOS'!DT$3:DT$500)+IF($C10="",0,SUMIF('DADOS BRUTOS'!$A$3:$A$500,$C10,'DADOS BRUTOS'!DT$3:DT$500)))</f>
        <v/>
      </c>
      <c r="GU10" s="132">
        <f>IF(OR(GU$4="",$B10=""),0,SUMIF('DADOS BRUTOS'!$A$3:$A$500,$B10,'DADOS BRUTOS'!DU$3:DU$500)+IF($C10="",0,SUMIF('DADOS BRUTOS'!$A$3:$A$500,$C10,'DADOS BRUTOS'!DU$3:DU$500)))</f>
        <v/>
      </c>
      <c r="GV10" s="132">
        <f>IF(OR(GV$4="",$B10=""),0,SUMIF('DADOS BRUTOS'!$A$3:$A$500,$B10,'DADOS BRUTOS'!DV$3:DV$500)+IF($C10="",0,SUMIF('DADOS BRUTOS'!$A$3:$A$500,$C10,'DADOS BRUTOS'!DV$3:DV$500)))</f>
        <v/>
      </c>
      <c r="GW10" s="132">
        <f>IF(OR(GW$4="",$B10=""),0,SUMIF('DADOS BRUTOS'!$A$3:$A$500,$B10,'DADOS BRUTOS'!DW$3:DW$500)+IF($C10="",0,SUMIF('DADOS BRUTOS'!$A$3:$A$500,$C10,'DADOS BRUTOS'!DW$3:DW$500)))</f>
        <v/>
      </c>
      <c r="GX10" s="132">
        <f>IF(OR(GX$4="",$B10=""),0,SUMIF('DADOS BRUTOS'!$A$3:$A$500,$B10,'DADOS BRUTOS'!DX$3:DX$500)+IF($C10="",0,SUMIF('DADOS BRUTOS'!$A$3:$A$500,$C10,'DADOS BRUTOS'!DX$3:DX$500)))</f>
        <v/>
      </c>
      <c r="GY10" s="132">
        <f>IF(OR(GY$4="",$B10=""),0,SUMIF('DADOS BRUTOS'!$A$3:$A$500,$B10,'DADOS BRUTOS'!DY$3:DY$500)+IF($C10="",0,SUMIF('DADOS BRUTOS'!$A$3:$A$500,$C10,'DADOS BRUTOS'!DY$3:DY$500)))</f>
        <v/>
      </c>
      <c r="GZ10" s="132">
        <f>IF(OR(GZ$4="",$B10=""),0,SUMIF('DADOS BRUTOS'!$A$3:$A$500,$B10,'DADOS BRUTOS'!DZ$3:DZ$500)+IF($C10="",0,SUMIF('DADOS BRUTOS'!$A$3:$A$500,$C10,'DADOS BRUTOS'!DZ$3:DZ$500)))</f>
        <v/>
      </c>
      <c r="HA10" s="132">
        <f>IF(OR(HA$4="",$B10=""),0,SUMIF('DADOS BRUTOS'!$A$3:$A$500,$B10,'DADOS BRUTOS'!EA$3:EA$500)+IF($C10="",0,SUMIF('DADOS BRUTOS'!$A$3:$A$500,$C10,'DADOS BRUTOS'!EA$3:EA$500)))</f>
        <v/>
      </c>
      <c r="HB10" s="132">
        <f>IF(OR(HB$4="",$B10=""),0,SUMIF('DADOS BRUTOS'!$A$3:$A$500,$B10,'DADOS BRUTOS'!EB$3:EB$500)+IF($C10="",0,SUMIF('DADOS BRUTOS'!$A$3:$A$500,$C10,'DADOS BRUTOS'!EB$3:EB$500)))</f>
        <v/>
      </c>
      <c r="HC10" s="132">
        <f>IF(OR(HC$4="",$B10=""),0,SUMIF('DADOS BRUTOS'!$A$3:$A$500,$B10,'DADOS BRUTOS'!EC$3:EC$500)+IF($C10="",0,SUMIF('DADOS BRUTOS'!$A$3:$A$500,$C10,'DADOS BRUTOS'!EC$3:EC$500)))</f>
        <v/>
      </c>
      <c r="HD10" s="132">
        <f>IF(OR(HD$4="",$B10=""),0,SUMIF('DADOS BRUTOS'!$A$3:$A$500,$B10,'DADOS BRUTOS'!ED$3:ED$500)+IF($C10="",0,SUMIF('DADOS BRUTOS'!$A$3:$A$500,$C10,'DADOS BRUTOS'!ED$3:ED$500)))</f>
        <v/>
      </c>
      <c r="HE10" s="132">
        <f>IF(OR(HE$4="",$B10=""),0,SUMIF('DADOS BRUTOS'!$A$3:$A$500,$B10,'DADOS BRUTOS'!EE$3:EE$500)+IF($C10="",0,SUMIF('DADOS BRUTOS'!$A$3:$A$500,$C10,'DADOS BRUTOS'!EE$3:EE$500)))</f>
        <v/>
      </c>
      <c r="HF10" s="132">
        <f>IF(OR(HF$4="",$B10=""),0,SUMIF('DADOS BRUTOS'!$A$3:$A$500,$B10,'DADOS BRUTOS'!EF$3:EF$500)+IF($C10="",0,SUMIF('DADOS BRUTOS'!$A$3:$A$500,$C10,'DADOS BRUTOS'!EF$3:EF$500)))</f>
        <v/>
      </c>
      <c r="HG10" s="132">
        <f>IF(OR(HG$4="",$B10=""),0,SUMIF('DADOS BRUTOS'!$A$3:$A$500,$B10,'DADOS BRUTOS'!EG$3:EG$500)+IF($C10="",0,SUMIF('DADOS BRUTOS'!$A$3:$A$500,$C10,'DADOS BRUTOS'!EG$3:EG$500)))</f>
        <v/>
      </c>
      <c r="HH10" s="132">
        <f>IF(OR(HH$4="",$B10=""),0,SUMIF('DADOS BRUTOS'!$A$3:$A$500,$B10,'DADOS BRUTOS'!EH$3:EH$500)+IF($C10="",0,SUMIF('DADOS BRUTOS'!$A$3:$A$500,$C10,'DADOS BRUTOS'!EH$3:EH$500)))</f>
        <v/>
      </c>
      <c r="HI10" s="132">
        <f>IF(OR(HI$4="",$B10=""),0,SUMIF('DADOS BRUTOS'!$A$3:$A$500,$B10,'DADOS BRUTOS'!EI$3:EI$500)+IF($C10="",0,SUMIF('DADOS BRUTOS'!$A$3:$A$500,$C10,'DADOS BRUTOS'!EI$3:EI$500)))</f>
        <v/>
      </c>
      <c r="HJ10" s="132">
        <f>IF(OR(HJ$4="",$B10=""),0,SUMIF('DADOS BRUTOS'!$A$3:$A$500,$B10,'DADOS BRUTOS'!EJ$3:EJ$500)+IF($C10="",0,SUMIF('DADOS BRUTOS'!$A$3:$A$500,$C10,'DADOS BRUTOS'!EJ$3:EJ$500)))</f>
        <v/>
      </c>
      <c r="HK10" s="132">
        <f>IF(OR(HK$4="",$B10=""),0,SUMIF('DADOS BRUTOS'!$A$3:$A$500,$B10,'DADOS BRUTOS'!EK$3:EK$500)+IF($C10="",0,SUMIF('DADOS BRUTOS'!$A$3:$A$500,$C10,'DADOS BRUTOS'!EK$3:EK$500)))</f>
        <v/>
      </c>
      <c r="HL10" s="132">
        <f>IF(OR(HL$4="",$B10=""),0,SUMIF('DADOS BRUTOS'!$A$3:$A$500,$B10,'DADOS BRUTOS'!EL$3:EL$500)+IF($C10="",0,SUMIF('DADOS BRUTOS'!$A$3:$A$500,$C10,'DADOS BRUTOS'!EL$3:EL$500)))</f>
        <v/>
      </c>
      <c r="HM10" s="132">
        <f>IF(OR(HM$4="",$B10=""),0,SUMIF('DADOS BRUTOS'!$A$3:$A$500,$B10,'DADOS BRUTOS'!EM$3:EM$500)+IF($C10="",0,SUMIF('DADOS BRUTOS'!$A$3:$A$500,$C10,'DADOS BRUTOS'!EM$3:EM$500)))</f>
        <v/>
      </c>
      <c r="HN10" s="132">
        <f>IF(OR(HN$4="",$B10=""),0,SUMIF('DADOS BRUTOS'!$A$3:$A$500,$B10,'DADOS BRUTOS'!EN$3:EN$500)+IF($C10="",0,SUMIF('DADOS BRUTOS'!$A$3:$A$500,$C10,'DADOS BRUTOS'!EN$3:EN$500)))</f>
        <v/>
      </c>
      <c r="HO10" s="132">
        <f>IF(OR(HO$4="",$B10=""),0,SUMIF('DADOS BRUTOS'!$A$3:$A$500,$B10,'DADOS BRUTOS'!EO$3:EO$500)+IF($C10="",0,SUMIF('DADOS BRUTOS'!$A$3:$A$500,$C10,'DADOS BRUTOS'!EO$3:EO$500)))</f>
        <v/>
      </c>
      <c r="HP10" s="132">
        <f>IF(OR(HP$4="",$B10=""),0,SUMIF('DADOS BRUTOS'!$A$3:$A$500,$B10,'DADOS BRUTOS'!EP$3:EP$500)+IF($C10="",0,SUMIF('DADOS BRUTOS'!$A$3:$A$500,$C10,'DADOS BRUTOS'!EP$3:EP$500)))</f>
        <v/>
      </c>
      <c r="HQ10" s="132">
        <f>IF(OR(HQ$4="",$B10=""),0,SUMIF('DADOS BRUTOS'!$A$3:$A$500,$B10,'DADOS BRUTOS'!EQ$3:EQ$500)+IF($C10="",0,SUMIF('DADOS BRUTOS'!$A$3:$A$500,$C10,'DADOS BRUTOS'!EQ$3:EQ$500)))</f>
        <v/>
      </c>
      <c r="HR10" s="132">
        <f>IF(OR(HR$4="",$B10=""),0,SUMIF('DADOS BRUTOS'!$A$3:$A$500,$B10,'DADOS BRUTOS'!ER$3:ER$500)+IF($C10="",0,SUMIF('DADOS BRUTOS'!$A$3:$A$500,$C10,'DADOS BRUTOS'!ER$3:ER$500)))</f>
        <v/>
      </c>
      <c r="HS10" s="132">
        <f>IF(OR(HS$4="",$B10=""),0,SUMIF('DADOS BRUTOS'!$A$3:$A$500,$B10,'DADOS BRUTOS'!ES$3:ES$500)+IF($C10="",0,SUMIF('DADOS BRUTOS'!$A$3:$A$500,$C10,'DADOS BRUTOS'!ES$3:ES$500)))</f>
        <v/>
      </c>
      <c r="HT10" s="132">
        <f>IF(OR(HT$4="",$B10=""),0,SUMIF('DADOS BRUTOS'!$A$3:$A$500,$B10,'DADOS BRUTOS'!ET$3:ET$500)+IF($C10="",0,SUMIF('DADOS BRUTOS'!$A$3:$A$500,$C10,'DADOS BRUTOS'!ET$3:ET$500)))</f>
        <v/>
      </c>
      <c r="HU10" s="132">
        <f>IF(OR(HU$4="",$B10=""),0,SUMIF('DADOS BRUTOS'!$A$3:$A$500,$B10,'DADOS BRUTOS'!EU$3:EU$500)+IF($C10="",0,SUMIF('DADOS BRUTOS'!$A$3:$A$500,$C10,'DADOS BRUTOS'!EU$3:EU$500)))</f>
        <v/>
      </c>
      <c r="HV10" s="132">
        <f>IF(OR(HV$4="",$B10=""),0,SUMIF('DADOS BRUTOS'!$A$3:$A$500,$B10,'DADOS BRUTOS'!EV$3:EV$500)+IF($C10="",0,SUMIF('DADOS BRUTOS'!$A$3:$A$500,$C10,'DADOS BRUTOS'!EV$3:EV$500)))</f>
        <v/>
      </c>
      <c r="HW10" s="132">
        <f>IF(OR(HW$4="",$B10=""),0,SUMIF('DADOS BRUTOS'!$A$3:$A$500,$B10,'DADOS BRUTOS'!EW$3:EW$500)+IF($C10="",0,SUMIF('DADOS BRUTOS'!$A$3:$A$500,$C10,'DADOS BRUTOS'!EW$3:EW$500)))</f>
        <v/>
      </c>
      <c r="HX10" s="132">
        <f>IF(OR(HX$4="",$B10=""),0,SUMIF('DADOS BRUTOS'!$A$3:$A$500,$B10,'DADOS BRUTOS'!EX$3:EX$500)+IF($C10="",0,SUMIF('DADOS BRUTOS'!$A$3:$A$500,$C10,'DADOS BRUTOS'!EX$3:EX$500)))</f>
        <v/>
      </c>
      <c r="HY10" s="132">
        <f>IF(OR(HY$4="",$B10=""),0,SUMIF('DADOS BRUTOS'!$A$3:$A$500,$B10,'DADOS BRUTOS'!EY$3:EY$500)+IF($C10="",0,SUMIF('DADOS BRUTOS'!$A$3:$A$500,$C10,'DADOS BRUTOS'!EY$3:EY$500)))</f>
        <v/>
      </c>
      <c r="HZ10" s="132">
        <f>IF(OR(HZ$4="",$B10=""),0,SUMIF('DADOS BRUTOS'!$A$3:$A$500,$B10,'DADOS BRUTOS'!EZ$3:EZ$500)+IF($C10="",0,SUMIF('DADOS BRUTOS'!$A$3:$A$500,$C10,'DADOS BRUTOS'!EZ$3:EZ$500)))</f>
        <v/>
      </c>
      <c r="IA10" s="132">
        <f>IF(OR(IA$4="",$B10=""),0,SUMIF('DADOS BRUTOS'!$A$3:$A$500,$B10,'DADOS BRUTOS'!FA$3:FA$500)+IF($C10="",0,SUMIF('DADOS BRUTOS'!$A$3:$A$500,$C10,'DADOS BRUTOS'!FA$3:FA$500)))</f>
        <v/>
      </c>
      <c r="IB10" s="132">
        <f>IF(OR(IB$4="",$B10=""),0,SUMIF('DADOS BRUTOS'!$A$3:$A$500,$B10,'DADOS BRUTOS'!FB$3:FB$500)+IF($C10="",0,SUMIF('DADOS BRUTOS'!$A$3:$A$500,$C10,'DADOS BRUTOS'!FB$3:FB$500)))</f>
        <v/>
      </c>
      <c r="IC10" s="132">
        <f>IF(OR(IC$4="",$B10=""),0,SUMIF('DADOS BRUTOS'!$A$3:$A$500,$B10,'DADOS BRUTOS'!FC$3:FC$500)+IF($C10="",0,SUMIF('DADOS BRUTOS'!$A$3:$A$500,$C10,'DADOS BRUTOS'!FC$3:FC$500)))</f>
        <v/>
      </c>
      <c r="ID10" s="132">
        <f>IF(OR(ID$4="",$B10=""),0,SUMIF('DADOS BRUTOS'!$A$3:$A$500,$B10,'DADOS BRUTOS'!FD$3:FD$500)+IF($C10="",0,SUMIF('DADOS BRUTOS'!$A$3:$A$500,$C10,'DADOS BRUTOS'!FD$3:FD$500)))</f>
        <v/>
      </c>
      <c r="IE10" s="132">
        <f>IF(OR(IE$4="",$B10=""),0,SUMIF('DADOS BRUTOS'!$A$3:$A$500,$B10,'DADOS BRUTOS'!FE$3:FE$500)+IF($C10="",0,SUMIF('DADOS BRUTOS'!$A$3:$A$500,$C10,'DADOS BRUTOS'!FE$3:FE$500)))</f>
        <v/>
      </c>
      <c r="IF10" s="132">
        <f>IF(OR(IF$4="",$B10=""),0,SUMIF('DADOS BRUTOS'!$A$3:$A$500,$B10,'DADOS BRUTOS'!FF$3:FF$500)+IF($C10="",0,SUMIF('DADOS BRUTOS'!$A$3:$A$500,$C10,'DADOS BRUTOS'!FF$3:FF$500)))</f>
        <v/>
      </c>
      <c r="IG10" s="132">
        <f>IF(OR(IG$4="",$B10=""),0,SUMIF('DADOS BRUTOS'!$A$3:$A$500,$B10,'DADOS BRUTOS'!FG$3:FG$500)+IF($C10="",0,SUMIF('DADOS BRUTOS'!$A$3:$A$500,$C10,'DADOS BRUTOS'!FG$3:FG$500)))</f>
        <v/>
      </c>
      <c r="IH10" s="132">
        <f>IF(OR(IH$4="",$B10=""),0,SUMIF('DADOS BRUTOS'!$A$3:$A$500,$B10,'DADOS BRUTOS'!FH$3:FH$500)+IF($C10="",0,SUMIF('DADOS BRUTOS'!$A$3:$A$500,$C10,'DADOS BRUTOS'!FH$3:FH$500)))</f>
        <v/>
      </c>
      <c r="II10" s="132">
        <f>IF(OR(II$4="",$B10=""),0,SUMIF('DADOS BRUTOS'!$A$3:$A$500,$B10,'DADOS BRUTOS'!FI$3:FI$500)+IF($C10="",0,SUMIF('DADOS BRUTOS'!$A$3:$A$500,$C10,'DADOS BRUTOS'!FI$3:FI$500)))</f>
        <v/>
      </c>
      <c r="IJ10" s="132">
        <f>IF(OR(IJ$4="",$B10=""),0,SUMIF('DADOS BRUTOS'!$A$3:$A$500,$B10,'DADOS BRUTOS'!FJ$3:FJ$500)+IF($C10="",0,SUMIF('DADOS BRUTOS'!$A$3:$A$500,$C10,'DADOS BRUTOS'!FJ$3:FJ$500)))</f>
        <v/>
      </c>
      <c r="IK10" s="132">
        <f>IF(OR(IK$4="",$B10=""),0,SUMIF('DADOS BRUTOS'!$A$3:$A$500,$B10,'DADOS BRUTOS'!FK$3:FK$500)+IF($C10="",0,SUMIF('DADOS BRUTOS'!$A$3:$A$500,$C10,'DADOS BRUTOS'!FK$3:FK$500)))</f>
        <v/>
      </c>
      <c r="IL10" s="132">
        <f>IF(OR(IL$4="",$B10=""),0,SUMIF('DADOS BRUTOS'!$A$3:$A$500,$B10,'DADOS BRUTOS'!FL$3:FL$500)+IF($C10="",0,SUMIF('DADOS BRUTOS'!$A$3:$A$500,$C10,'DADOS BRUTOS'!FL$3:FL$500)))</f>
        <v/>
      </c>
      <c r="IM10" s="132">
        <f>IF(OR(IM$4="",$B10=""),0,SUMIF('DADOS BRUTOS'!$A$3:$A$500,$B10,'DADOS BRUTOS'!FM$3:FM$500)+IF($C10="",0,SUMIF('DADOS BRUTOS'!$A$3:$A$500,$C10,'DADOS BRUTOS'!FM$3:FM$500)))</f>
        <v/>
      </c>
      <c r="IN10" s="132">
        <f>IF(OR(IN$4="",$B10=""),0,SUMIF('DADOS BRUTOS'!$A$3:$A$500,$B10,'DADOS BRUTOS'!FN$3:FN$500)+IF($C10="",0,SUMIF('DADOS BRUTOS'!$A$3:$A$500,$C10,'DADOS BRUTOS'!FN$3:FN$500)))</f>
        <v/>
      </c>
      <c r="IO10" s="132">
        <f>IF(OR(IO$4="",$B10=""),0,SUMIF('DADOS BRUTOS'!$A$3:$A$500,$B10,'DADOS BRUTOS'!FO$3:FO$500)+IF($C10="",0,SUMIF('DADOS BRUTOS'!$A$3:$A$500,$C10,'DADOS BRUTOS'!FO$3:FO$500)))</f>
        <v/>
      </c>
      <c r="IP10" s="132">
        <f>IF(OR(IP$4="",$B10=""),0,SUMIF('DADOS BRUTOS'!$A$3:$A$500,$B10,'DADOS BRUTOS'!FP$3:FP$500)+IF($C10="",0,SUMIF('DADOS BRUTOS'!$A$3:$A$500,$C10,'DADOS BRUTOS'!FP$3:FP$500)))</f>
        <v/>
      </c>
      <c r="IQ10" s="132">
        <f>IF(OR(IQ$4="",$B10=""),0,SUMIF('DADOS BRUTOS'!$A$3:$A$500,$B10,'DADOS BRUTOS'!FQ$3:FQ$500)+IF($C10="",0,SUMIF('DADOS BRUTOS'!$A$3:$A$500,$C10,'DADOS BRUTOS'!FQ$3:FQ$500)))</f>
        <v/>
      </c>
      <c r="IR10" s="132">
        <f>IF(OR(IR$4="",$B10=""),0,SUMIF('DADOS BRUTOS'!$A$3:$A$500,$B10,'DADOS BRUTOS'!FR$3:FR$500)+IF($C10="",0,SUMIF('DADOS BRUTOS'!$A$3:$A$500,$C10,'DADOS BRUTOS'!FR$3:FR$500)))</f>
        <v/>
      </c>
      <c r="IS10" s="132">
        <f>IF(OR(IS$4="",$B10=""),0,SUMIF('DADOS BRUTOS'!$A$3:$A$500,$B10,'DADOS BRUTOS'!FS$3:FS$500)+IF($C10="",0,SUMIF('DADOS BRUTOS'!$A$3:$A$500,$C10,'DADOS BRUTOS'!FS$3:FS$500)))</f>
        <v/>
      </c>
      <c r="IT10" s="132">
        <f>IF(OR(IT$4="",$B10=""),0,SUMIF('DADOS BRUTOS'!$A$3:$A$500,$B10,'DADOS BRUTOS'!FT$3:FT$500)+IF($C10="",0,SUMIF('DADOS BRUTOS'!$A$3:$A$500,$C10,'DADOS BRUTOS'!FT$3:FT$500)))</f>
        <v/>
      </c>
      <c r="IU10" s="132">
        <f>IF(OR(IU$4="",$B10=""),0,SUMIF('DADOS BRUTOS'!$A$3:$A$500,$B10,'DADOS BRUTOS'!FU$3:FU$500)+IF($C10="",0,SUMIF('DADOS BRUTOS'!$A$3:$A$500,$C10,'DADOS BRUTOS'!FU$3:FU$500)))</f>
        <v/>
      </c>
      <c r="IV10" s="132">
        <f>IF(OR(IV$4="",$B10=""),0,SUMIF('DADOS BRUTOS'!$A$3:$A$500,$B10,'DADOS BRUTOS'!FV$3:FV$500)+IF($C10="",0,SUMIF('DADOS BRUTOS'!$A$3:$A$500,$C10,'DADOS BRUTOS'!FV$3:FV$500)))</f>
        <v/>
      </c>
      <c r="IW10" s="132">
        <f>IF(OR(IW$4="",$B10=""),0,SUMIF('DADOS BRUTOS'!$A$3:$A$500,$B10,'DADOS BRUTOS'!FW$3:FW$500)+IF($C10="",0,SUMIF('DADOS BRUTOS'!$A$3:$A$500,$C10,'DADOS BRUTOS'!FW$3:FW$500)))</f>
        <v/>
      </c>
      <c r="IX10" s="132">
        <f>IF(OR(IX$4="",$B10=""),0,SUMIF('DADOS BRUTOS'!$A$3:$A$500,$B10,'DADOS BRUTOS'!FX$3:FX$500)+IF($C10="",0,SUMIF('DADOS BRUTOS'!$A$3:$A$500,$C10,'DADOS BRUTOS'!FX$3:FX$500)))</f>
        <v/>
      </c>
      <c r="IY10" s="132">
        <f>IF(OR(IY$4="",$B10=""),0,SUMIF('DADOS BRUTOS'!$A$3:$A$500,$B10,'DADOS BRUTOS'!FY$3:FY$500)+IF($C10="",0,SUMIF('DADOS BRUTOS'!$A$3:$A$500,$C10,'DADOS BRUTOS'!FY$3:FY$500)))</f>
        <v/>
      </c>
      <c r="IZ10" s="132">
        <f>IF(OR(IZ$4="",$B10=""),0,SUMIF('DADOS BRUTOS'!$A$3:$A$500,$B10,'DADOS BRUTOS'!FZ$3:FZ$500)+IF($C10="",0,SUMIF('DADOS BRUTOS'!$A$3:$A$500,$C10,'DADOS BRUTOS'!FZ$3:FZ$500)))</f>
        <v/>
      </c>
      <c r="JA10" s="132">
        <f>IF(OR(JA$4="",$B10=""),0,SUMIF('DADOS BRUTOS'!$A$3:$A$500,$B10,'DADOS BRUTOS'!GA$3:GA$500)+IF($C10="",0,SUMIF('DADOS BRUTOS'!$A$3:$A$500,$C10,'DADOS BRUTOS'!GA$3:GA$500)))</f>
        <v/>
      </c>
      <c r="JB10" s="132">
        <f>IF(OR(JB$4="",$B10=""),0,SUMIF('DADOS BRUTOS'!$A$3:$A$500,$B10,'DADOS BRUTOS'!GB$3:GB$500)+IF($C10="",0,SUMIF('DADOS BRUTOS'!$A$3:$A$500,$C10,'DADOS BRUTOS'!GB$3:GB$500)))</f>
        <v/>
      </c>
      <c r="JC10" s="132">
        <f>IF(OR(JC$4="",$B10=""),0,SUMIF('DADOS BRUTOS'!$A$3:$A$500,$B10,'DADOS BRUTOS'!GC$3:GC$500)+IF($C10="",0,SUMIF('DADOS BRUTOS'!$A$3:$A$500,$C10,'DADOS BRUTOS'!GC$3:GC$500)))</f>
        <v/>
      </c>
      <c r="JD10" s="132">
        <f>IF(OR(JD$4="",$B10=""),0,SUMIF('DADOS BRUTOS'!$A$3:$A$500,$B10,'DADOS BRUTOS'!GD$3:GD$500)+IF($C10="",0,SUMIF('DADOS BRUTOS'!$A$3:$A$500,$C10,'DADOS BRUTOS'!GD$3:GD$500)))</f>
        <v/>
      </c>
      <c r="JE10" s="132">
        <f>IF(OR(JE$4="",$B10=""),0,SUMIF('DADOS BRUTOS'!$A$3:$A$500,$B10,'DADOS BRUTOS'!GE$3:GE$500)+IF($C10="",0,SUMIF('DADOS BRUTOS'!$A$3:$A$500,$C10,'DADOS BRUTOS'!GE$3:GE$500)))</f>
        <v/>
      </c>
      <c r="JF10" s="132">
        <f>IF(OR(JF$4="",$B10=""),0,SUMIF('DADOS BRUTOS'!$A$3:$A$500,$B10,'DADOS BRUTOS'!GF$3:GF$500)+IF($C10="",0,SUMIF('DADOS BRUTOS'!$A$3:$A$500,$C10,'DADOS BRUTOS'!GF$3:GF$500)))</f>
        <v/>
      </c>
      <c r="JG10" s="132">
        <f>IF(OR(JG$4="",$B10=""),0,SUMIF('DADOS BRUTOS'!$A$3:$A$500,$B10,'DADOS BRUTOS'!GG$3:GG$500)+IF($C10="",0,SUMIF('DADOS BRUTOS'!$A$3:$A$500,$C10,'DADOS BRUTOS'!GG$3:GG$500)))</f>
        <v/>
      </c>
      <c r="JH10" s="132">
        <f>IF(OR(JH$4="",$B10=""),0,SUMIF('DADOS BRUTOS'!$A$3:$A$500,$B10,'DADOS BRUTOS'!GH$3:GH$500)+IF($C10="",0,SUMIF('DADOS BRUTOS'!$A$3:$A$500,$C10,'DADOS BRUTOS'!GH$3:GH$500)))</f>
        <v/>
      </c>
      <c r="JI10" s="132">
        <f>IF(OR(JI$4="",$B10=""),0,SUMIF('DADOS BRUTOS'!$A$3:$A$500,$B10,'DADOS BRUTOS'!GI$3:GI$500)+IF($C10="",0,SUMIF('DADOS BRUTOS'!$A$3:$A$500,$C10,'DADOS BRUTOS'!GI$3:GI$500)))</f>
        <v/>
      </c>
      <c r="JJ10" s="132">
        <f>IF(OR(JJ$4="",$B10=""),0,SUMIF('DADOS BRUTOS'!$A$3:$A$500,$B10,'DADOS BRUTOS'!GJ$3:GJ$500)+IF($C10="",0,SUMIF('DADOS BRUTOS'!$A$3:$A$500,$C10,'DADOS BRUTOS'!GJ$3:GJ$500)))</f>
        <v/>
      </c>
      <c r="JK10" s="132">
        <f>IF(OR(JK$4="",$B10=""),0,SUMIF('DADOS BRUTOS'!$A$3:$A$500,$B10,'DADOS BRUTOS'!GK$3:GK$500)+IF($C10="",0,SUMIF('DADOS BRUTOS'!$A$3:$A$500,$C10,'DADOS BRUTOS'!GK$3:GK$500)))</f>
        <v/>
      </c>
      <c r="JL10" s="132">
        <f>IF(OR(JL$4="",$B10=""),0,SUMIF('DADOS BRUTOS'!$A$3:$A$500,$B10,'DADOS BRUTOS'!GL$3:GL$500)+IF($C10="",0,SUMIF('DADOS BRUTOS'!$A$3:$A$500,$C10,'DADOS BRUTOS'!GL$3:GL$500)))</f>
        <v/>
      </c>
      <c r="JM10" s="132">
        <f>IF(OR(JM$4="",$B10=""),0,SUMIF('DADOS BRUTOS'!$A$3:$A$500,$B10,'DADOS BRUTOS'!GM$3:GM$500)+IF($C10="",0,SUMIF('DADOS BRUTOS'!$A$3:$A$500,$C10,'DADOS BRUTOS'!GM$3:GM$500)))</f>
        <v/>
      </c>
      <c r="JN10" s="132">
        <f>IF(OR(JN$4="",$B10=""),0,SUMIF('DADOS BRUTOS'!$A$3:$A$500,$B10,'DADOS BRUTOS'!GN$3:GN$500)+IF($C10="",0,SUMIF('DADOS BRUTOS'!$A$3:$A$500,$C10,'DADOS BRUTOS'!GN$3:GN$500)))</f>
        <v/>
      </c>
      <c r="JO10" s="132">
        <f>IF(OR(JO$4="",$B10=""),0,SUMIF('DADOS BRUTOS'!$A$3:$A$500,$B10,'DADOS BRUTOS'!GO$3:GO$500)+IF($C10="",0,SUMIF('DADOS BRUTOS'!$A$3:$A$500,$C10,'DADOS BRUTOS'!GO$3:GO$500)))</f>
        <v/>
      </c>
      <c r="JP10" s="132">
        <f>IF(OR(JP$4="",$B10=""),0,SUMIF('DADOS BRUTOS'!$A$3:$A$500,$B10,'DADOS BRUTOS'!GP$3:GP$500)+IF($C10="",0,SUMIF('DADOS BRUTOS'!$A$3:$A$500,$C10,'DADOS BRUTOS'!GP$3:GP$500)))</f>
        <v/>
      </c>
      <c r="JQ10" s="132">
        <f>IF(OR(JQ$4="",$B10=""),0,SUMIF('DADOS BRUTOS'!$A$3:$A$500,$B10,'DADOS BRUTOS'!GQ$3:GQ$500)+IF($C10="",0,SUMIF('DADOS BRUTOS'!$A$3:$A$500,$C10,'DADOS BRUTOS'!GQ$3:GQ$500)))</f>
        <v/>
      </c>
      <c r="JR10" s="132">
        <f>IF(OR(JR$4="",$B10=""),0,SUMIF('DADOS BRUTOS'!$A$3:$A$500,$B10,'DADOS BRUTOS'!GR$3:GR$500)+IF($C10="",0,SUMIF('DADOS BRUTOS'!$A$3:$A$500,$C10,'DADOS BRUTOS'!GR$3:GR$500)))</f>
        <v/>
      </c>
      <c r="JS10" s="132">
        <f>IF(OR(JS$4="",$B10=""),0,SUMIF('DADOS BRUTOS'!$A$3:$A$500,$B10,'DADOS BRUTOS'!GS$3:GS$500)+IF($C10="",0,SUMIF('DADOS BRUTOS'!$A$3:$A$500,$C10,'DADOS BRUTOS'!GS$3:GS$500)))</f>
        <v/>
      </c>
    </row>
    <row r="11">
      <c r="A11" s="61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BZ11" s="49">
        <f>SUMPRODUCT(($CB$4:$JS$4&lt;&gt;"")*($CB$4:$JS$4&lt;=$D$4),$CB11:$JS11,$CB$1:$JS$1)</f>
        <v/>
      </c>
      <c r="CB11" s="132">
        <f>IF(OR(CB$4="",$B11=""),0,SUMIF('DADOS BRUTOS'!$A$3:$A$500,$B11,'DADOS BRUTOS'!B$3:B$500)+IF($C11="",0,SUMIF('DADOS BRUTOS'!$A$3:$A$500,$C11,'DADOS BRUTOS'!B$3:B$500)))</f>
        <v/>
      </c>
      <c r="CC11" s="132">
        <f>IF(OR(CC$4="",$B11=""),0,SUMIF('DADOS BRUTOS'!$A$3:$A$500,$B11,'DADOS BRUTOS'!C$3:C$500)+IF($C11="",0,SUMIF('DADOS BRUTOS'!$A$3:$A$500,$C11,'DADOS BRUTOS'!C$3:C$500)))</f>
        <v/>
      </c>
      <c r="CD11" s="132">
        <f>IF(OR(CD$4="",$B11=""),0,SUMIF('DADOS BRUTOS'!$A$3:$A$500,$B11,'DADOS BRUTOS'!D$3:D$500)+IF($C11="",0,SUMIF('DADOS BRUTOS'!$A$3:$A$500,$C11,'DADOS BRUTOS'!D$3:D$500)))</f>
        <v/>
      </c>
      <c r="CE11" s="132">
        <f>IF(OR(CE$4="",$B11=""),0,SUMIF('DADOS BRUTOS'!$A$3:$A$500,$B11,'DADOS BRUTOS'!E$3:E$500)+IF($C11="",0,SUMIF('DADOS BRUTOS'!$A$3:$A$500,$C11,'DADOS BRUTOS'!E$3:E$500)))</f>
        <v/>
      </c>
      <c r="CF11" s="132">
        <f>IF(OR(CF$4="",$B11=""),0,SUMIF('DADOS BRUTOS'!$A$3:$A$500,$B11,'DADOS BRUTOS'!F$3:F$500)+IF($C11="",0,SUMIF('DADOS BRUTOS'!$A$3:$A$500,$C11,'DADOS BRUTOS'!F$3:F$500)))</f>
        <v/>
      </c>
      <c r="CG11" s="132">
        <f>IF(OR(CG$4="",$B11=""),0,SUMIF('DADOS BRUTOS'!$A$3:$A$500,$B11,'DADOS BRUTOS'!G$3:G$500)+IF($C11="",0,SUMIF('DADOS BRUTOS'!$A$3:$A$500,$C11,'DADOS BRUTOS'!G$3:G$500)))</f>
        <v/>
      </c>
      <c r="CH11" s="132">
        <f>IF(OR(CH$4="",$B11=""),0,SUMIF('DADOS BRUTOS'!$A$3:$A$500,$B11,'DADOS BRUTOS'!H$3:H$500)+IF($C11="",0,SUMIF('DADOS BRUTOS'!$A$3:$A$500,$C11,'DADOS BRUTOS'!H$3:H$500)))</f>
        <v/>
      </c>
      <c r="CI11" s="132">
        <f>IF(OR(CI$4="",$B11=""),0,SUMIF('DADOS BRUTOS'!$A$3:$A$500,$B11,'DADOS BRUTOS'!I$3:I$500)+IF($C11="",0,SUMIF('DADOS BRUTOS'!$A$3:$A$500,$C11,'DADOS BRUTOS'!I$3:I$500)))</f>
        <v/>
      </c>
      <c r="CJ11" s="132">
        <f>IF(OR(CJ$4="",$B11=""),0,SUMIF('DADOS BRUTOS'!$A$3:$A$500,$B11,'DADOS BRUTOS'!J$3:J$500)+IF($C11="",0,SUMIF('DADOS BRUTOS'!$A$3:$A$500,$C11,'DADOS BRUTOS'!J$3:J$500)))</f>
        <v/>
      </c>
      <c r="CK11" s="132">
        <f>IF(OR(CK$4="",$B11=""),0,SUMIF('DADOS BRUTOS'!$A$3:$A$500,$B11,'DADOS BRUTOS'!K$3:K$500)+IF($C11="",0,SUMIF('DADOS BRUTOS'!$A$3:$A$500,$C11,'DADOS BRUTOS'!K$3:K$500)))</f>
        <v/>
      </c>
      <c r="CL11" s="132">
        <f>IF(OR(CL$4="",$B11=""),0,SUMIF('DADOS BRUTOS'!$A$3:$A$500,$B11,'DADOS BRUTOS'!L$3:L$500)+IF($C11="",0,SUMIF('DADOS BRUTOS'!$A$3:$A$500,$C11,'DADOS BRUTOS'!L$3:L$500)))</f>
        <v/>
      </c>
      <c r="CM11" s="132">
        <f>IF(OR(CM$4="",$B11=""),0,SUMIF('DADOS BRUTOS'!$A$3:$A$500,$B11,'DADOS BRUTOS'!M$3:M$500)+IF($C11="",0,SUMIF('DADOS BRUTOS'!$A$3:$A$500,$C11,'DADOS BRUTOS'!M$3:M$500)))</f>
        <v/>
      </c>
      <c r="CN11" s="132">
        <f>IF(OR(CN$4="",$B11=""),0,SUMIF('DADOS BRUTOS'!$A$3:$A$500,$B11,'DADOS BRUTOS'!N$3:N$500)+IF($C11="",0,SUMIF('DADOS BRUTOS'!$A$3:$A$500,$C11,'DADOS BRUTOS'!N$3:N$500)))</f>
        <v/>
      </c>
      <c r="CO11" s="132">
        <f>IF(OR(CO$4="",$B11=""),0,SUMIF('DADOS BRUTOS'!$A$3:$A$500,$B11,'DADOS BRUTOS'!O$3:O$500)+IF($C11="",0,SUMIF('DADOS BRUTOS'!$A$3:$A$500,$C11,'DADOS BRUTOS'!O$3:O$500)))</f>
        <v/>
      </c>
      <c r="CP11" s="132">
        <f>IF(OR(CP$4="",$B11=""),0,SUMIF('DADOS BRUTOS'!$A$3:$A$500,$B11,'DADOS BRUTOS'!P$3:P$500)+IF($C11="",0,SUMIF('DADOS BRUTOS'!$A$3:$A$500,$C11,'DADOS BRUTOS'!P$3:P$500)))</f>
        <v/>
      </c>
      <c r="CQ11" s="132">
        <f>IF(OR(CQ$4="",$B11=""),0,SUMIF('DADOS BRUTOS'!$A$3:$A$500,$B11,'DADOS BRUTOS'!Q$3:Q$500)+IF($C11="",0,SUMIF('DADOS BRUTOS'!$A$3:$A$500,$C11,'DADOS BRUTOS'!Q$3:Q$500)))</f>
        <v/>
      </c>
      <c r="CR11" s="132">
        <f>IF(OR(CR$4="",$B11=""),0,SUMIF('DADOS BRUTOS'!$A$3:$A$500,$B11,'DADOS BRUTOS'!R$3:R$500)+IF($C11="",0,SUMIF('DADOS BRUTOS'!$A$3:$A$500,$C11,'DADOS BRUTOS'!R$3:R$500)))</f>
        <v/>
      </c>
      <c r="CS11" s="132">
        <f>IF(OR(CS$4="",$B11=""),0,SUMIF('DADOS BRUTOS'!$A$3:$A$500,$B11,'DADOS BRUTOS'!S$3:S$500)+IF($C11="",0,SUMIF('DADOS BRUTOS'!$A$3:$A$500,$C11,'DADOS BRUTOS'!S$3:S$500)))</f>
        <v/>
      </c>
      <c r="CT11" s="132">
        <f>IF(OR(CT$4="",$B11=""),0,SUMIF('DADOS BRUTOS'!$A$3:$A$500,$B11,'DADOS BRUTOS'!T$3:T$500)+IF($C11="",0,SUMIF('DADOS BRUTOS'!$A$3:$A$500,$C11,'DADOS BRUTOS'!T$3:T$500)))</f>
        <v/>
      </c>
      <c r="CU11" s="132">
        <f>IF(OR(CU$4="",$B11=""),0,SUMIF('DADOS BRUTOS'!$A$3:$A$500,$B11,'DADOS BRUTOS'!U$3:U$500)+IF($C11="",0,SUMIF('DADOS BRUTOS'!$A$3:$A$500,$C11,'DADOS BRUTOS'!U$3:U$500)))</f>
        <v/>
      </c>
      <c r="CV11" s="132">
        <f>IF(OR(CV$4="",$B11=""),0,SUMIF('DADOS BRUTOS'!$A$3:$A$500,$B11,'DADOS BRUTOS'!V$3:V$500)+IF($C11="",0,SUMIF('DADOS BRUTOS'!$A$3:$A$500,$C11,'DADOS BRUTOS'!V$3:V$500)))</f>
        <v/>
      </c>
      <c r="CW11" s="132">
        <f>IF(OR(CW$4="",$B11=""),0,SUMIF('DADOS BRUTOS'!$A$3:$A$500,$B11,'DADOS BRUTOS'!W$3:W$500)+IF($C11="",0,SUMIF('DADOS BRUTOS'!$A$3:$A$500,$C11,'DADOS BRUTOS'!W$3:W$500)))</f>
        <v/>
      </c>
      <c r="CX11" s="132">
        <f>IF(OR(CX$4="",$B11=""),0,SUMIF('DADOS BRUTOS'!$A$3:$A$500,$B11,'DADOS BRUTOS'!X$3:X$500)+IF($C11="",0,SUMIF('DADOS BRUTOS'!$A$3:$A$500,$C11,'DADOS BRUTOS'!X$3:X$500)))</f>
        <v/>
      </c>
      <c r="CY11" s="132">
        <f>IF(OR(CY$4="",$B11=""),0,SUMIF('DADOS BRUTOS'!$A$3:$A$500,$B11,'DADOS BRUTOS'!Y$3:Y$500)+IF($C11="",0,SUMIF('DADOS BRUTOS'!$A$3:$A$500,$C11,'DADOS BRUTOS'!Y$3:Y$500)))</f>
        <v/>
      </c>
      <c r="CZ11" s="132">
        <f>IF(OR(CZ$4="",$B11=""),0,SUMIF('DADOS BRUTOS'!$A$3:$A$500,$B11,'DADOS BRUTOS'!Z$3:Z$500)+IF($C11="",0,SUMIF('DADOS BRUTOS'!$A$3:$A$500,$C11,'DADOS BRUTOS'!Z$3:Z$500)))</f>
        <v/>
      </c>
      <c r="DA11" s="132">
        <f>IF(OR(DA$4="",$B11=""),0,SUMIF('DADOS BRUTOS'!$A$3:$A$500,$B11,'DADOS BRUTOS'!AA$3:AA$500)+IF($C11="",0,SUMIF('DADOS BRUTOS'!$A$3:$A$500,$C11,'DADOS BRUTOS'!AA$3:AA$500)))</f>
        <v/>
      </c>
      <c r="DB11" s="132">
        <f>IF(OR(DB$4="",$B11=""),0,SUMIF('DADOS BRUTOS'!$A$3:$A$500,$B11,'DADOS BRUTOS'!AB$3:AB$500)+IF($C11="",0,SUMIF('DADOS BRUTOS'!$A$3:$A$500,$C11,'DADOS BRUTOS'!AB$3:AB$500)))</f>
        <v/>
      </c>
      <c r="DC11" s="132">
        <f>IF(OR(DC$4="",$B11=""),0,SUMIF('DADOS BRUTOS'!$A$3:$A$500,$B11,'DADOS BRUTOS'!AC$3:AC$500)+IF($C11="",0,SUMIF('DADOS BRUTOS'!$A$3:$A$500,$C11,'DADOS BRUTOS'!AC$3:AC$500)))</f>
        <v/>
      </c>
      <c r="DD11" s="132">
        <f>IF(OR(DD$4="",$B11=""),0,SUMIF('DADOS BRUTOS'!$A$3:$A$500,$B11,'DADOS BRUTOS'!AD$3:AD$500)+IF($C11="",0,SUMIF('DADOS BRUTOS'!$A$3:$A$500,$C11,'DADOS BRUTOS'!AD$3:AD$500)))</f>
        <v/>
      </c>
      <c r="DE11" s="132">
        <f>IF(OR(DE$4="",$B11=""),0,SUMIF('DADOS BRUTOS'!$A$3:$A$500,$B11,'DADOS BRUTOS'!AE$3:AE$500)+IF($C11="",0,SUMIF('DADOS BRUTOS'!$A$3:$A$500,$C11,'DADOS BRUTOS'!AE$3:AE$500)))</f>
        <v/>
      </c>
      <c r="DF11" s="132">
        <f>IF(OR(DF$4="",$B11=""),0,SUMIF('DADOS BRUTOS'!$A$3:$A$500,$B11,'DADOS BRUTOS'!AF$3:AF$500)+IF($C11="",0,SUMIF('DADOS BRUTOS'!$A$3:$A$500,$C11,'DADOS BRUTOS'!AF$3:AF$500)))</f>
        <v/>
      </c>
      <c r="DG11" s="132">
        <f>IF(OR(DG$4="",$B11=""),0,SUMIF('DADOS BRUTOS'!$A$3:$A$500,$B11,'DADOS BRUTOS'!AG$3:AG$500)+IF($C11="",0,SUMIF('DADOS BRUTOS'!$A$3:$A$500,$C11,'DADOS BRUTOS'!AG$3:AG$500)))</f>
        <v/>
      </c>
      <c r="DH11" s="132">
        <f>IF(OR(DH$4="",$B11=""),0,SUMIF('DADOS BRUTOS'!$A$3:$A$500,$B11,'DADOS BRUTOS'!AH$3:AH$500)+IF($C11="",0,SUMIF('DADOS BRUTOS'!$A$3:$A$500,$C11,'DADOS BRUTOS'!AH$3:AH$500)))</f>
        <v/>
      </c>
      <c r="DI11" s="132">
        <f>IF(OR(DI$4="",$B11=""),0,SUMIF('DADOS BRUTOS'!$A$3:$A$500,$B11,'DADOS BRUTOS'!AI$3:AI$500)+IF($C11="",0,SUMIF('DADOS BRUTOS'!$A$3:$A$500,$C11,'DADOS BRUTOS'!AI$3:AI$500)))</f>
        <v/>
      </c>
      <c r="DJ11" s="132">
        <f>IF(OR(DJ$4="",$B11=""),0,SUMIF('DADOS BRUTOS'!$A$3:$A$500,$B11,'DADOS BRUTOS'!AJ$3:AJ$500)+IF($C11="",0,SUMIF('DADOS BRUTOS'!$A$3:$A$500,$C11,'DADOS BRUTOS'!AJ$3:AJ$500)))</f>
        <v/>
      </c>
      <c r="DK11" s="132">
        <f>IF(OR(DK$4="",$B11=""),0,SUMIF('DADOS BRUTOS'!$A$3:$A$500,$B11,'DADOS BRUTOS'!AK$3:AK$500)+IF($C11="",0,SUMIF('DADOS BRUTOS'!$A$3:$A$500,$C11,'DADOS BRUTOS'!AK$3:AK$500)))</f>
        <v/>
      </c>
      <c r="DL11" s="132">
        <f>IF(OR(DL$4="",$B11=""),0,SUMIF('DADOS BRUTOS'!$A$3:$A$500,$B11,'DADOS BRUTOS'!AL$3:AL$500)+IF($C11="",0,SUMIF('DADOS BRUTOS'!$A$3:$A$500,$C11,'DADOS BRUTOS'!AL$3:AL$500)))</f>
        <v/>
      </c>
      <c r="DM11" s="132">
        <f>IF(OR(DM$4="",$B11=""),0,SUMIF('DADOS BRUTOS'!$A$3:$A$500,$B11,'DADOS BRUTOS'!AM$3:AM$500)+IF($C11="",0,SUMIF('DADOS BRUTOS'!$A$3:$A$500,$C11,'DADOS BRUTOS'!AM$3:AM$500)))</f>
        <v/>
      </c>
      <c r="DN11" s="132">
        <f>IF(OR(DN$4="",$B11=""),0,SUMIF('DADOS BRUTOS'!$A$3:$A$500,$B11,'DADOS BRUTOS'!AN$3:AN$500)+IF($C11="",0,SUMIF('DADOS BRUTOS'!$A$3:$A$500,$C11,'DADOS BRUTOS'!AN$3:AN$500)))</f>
        <v/>
      </c>
      <c r="DO11" s="132">
        <f>IF(OR(DO$4="",$B11=""),0,SUMIF('DADOS BRUTOS'!$A$3:$A$500,$B11,'DADOS BRUTOS'!AO$3:AO$500)+IF($C11="",0,SUMIF('DADOS BRUTOS'!$A$3:$A$500,$C11,'DADOS BRUTOS'!AO$3:AO$500)))</f>
        <v/>
      </c>
      <c r="DP11" s="132">
        <f>IF(OR(DP$4="",$B11=""),0,SUMIF('DADOS BRUTOS'!$A$3:$A$500,$B11,'DADOS BRUTOS'!AP$3:AP$500)+IF($C11="",0,SUMIF('DADOS BRUTOS'!$A$3:$A$500,$C11,'DADOS BRUTOS'!AP$3:AP$500)))</f>
        <v/>
      </c>
      <c r="DQ11" s="132">
        <f>IF(OR(DQ$4="",$B11=""),0,SUMIF('DADOS BRUTOS'!$A$3:$A$500,$B11,'DADOS BRUTOS'!AQ$3:AQ$500)+IF($C11="",0,SUMIF('DADOS BRUTOS'!$A$3:$A$500,$C11,'DADOS BRUTOS'!AQ$3:AQ$500)))</f>
        <v/>
      </c>
      <c r="DR11" s="132">
        <f>IF(OR(DR$4="",$B11=""),0,SUMIF('DADOS BRUTOS'!$A$3:$A$500,$B11,'DADOS BRUTOS'!AR$3:AR$500)+IF($C11="",0,SUMIF('DADOS BRUTOS'!$A$3:$A$500,$C11,'DADOS BRUTOS'!AR$3:AR$500)))</f>
        <v/>
      </c>
      <c r="DS11" s="132">
        <f>IF(OR(DS$4="",$B11=""),0,SUMIF('DADOS BRUTOS'!$A$3:$A$500,$B11,'DADOS BRUTOS'!AS$3:AS$500)+IF($C11="",0,SUMIF('DADOS BRUTOS'!$A$3:$A$500,$C11,'DADOS BRUTOS'!AS$3:AS$500)))</f>
        <v/>
      </c>
      <c r="DT11" s="132">
        <f>IF(OR(DT$4="",$B11=""),0,SUMIF('DADOS BRUTOS'!$A$3:$A$500,$B11,'DADOS BRUTOS'!AT$3:AT$500)+IF($C11="",0,SUMIF('DADOS BRUTOS'!$A$3:$A$500,$C11,'DADOS BRUTOS'!AT$3:AT$500)))</f>
        <v/>
      </c>
      <c r="DU11" s="132">
        <f>IF(OR(DU$4="",$B11=""),0,SUMIF('DADOS BRUTOS'!$A$3:$A$500,$B11,'DADOS BRUTOS'!AU$3:AU$500)+IF($C11="",0,SUMIF('DADOS BRUTOS'!$A$3:$A$500,$C11,'DADOS BRUTOS'!AU$3:AU$500)))</f>
        <v/>
      </c>
      <c r="DV11" s="132">
        <f>IF(OR(DV$4="",$B11=""),0,SUMIF('DADOS BRUTOS'!$A$3:$A$500,$B11,'DADOS BRUTOS'!AV$3:AV$500)+IF($C11="",0,SUMIF('DADOS BRUTOS'!$A$3:$A$500,$C11,'DADOS BRUTOS'!AV$3:AV$500)))</f>
        <v/>
      </c>
      <c r="DW11" s="132">
        <f>IF(OR(DW$4="",$B11=""),0,SUMIF('DADOS BRUTOS'!$A$3:$A$500,$B11,'DADOS BRUTOS'!AW$3:AW$500)+IF($C11="",0,SUMIF('DADOS BRUTOS'!$A$3:$A$500,$C11,'DADOS BRUTOS'!AW$3:AW$500)))</f>
        <v/>
      </c>
      <c r="DX11" s="132">
        <f>IF(OR(DX$4="",$B11=""),0,SUMIF('DADOS BRUTOS'!$A$3:$A$500,$B11,'DADOS BRUTOS'!AX$3:AX$500)+IF($C11="",0,SUMIF('DADOS BRUTOS'!$A$3:$A$500,$C11,'DADOS BRUTOS'!AX$3:AX$500)))</f>
        <v/>
      </c>
      <c r="DY11" s="132">
        <f>IF(OR(DY$4="",$B11=""),0,SUMIF('DADOS BRUTOS'!$A$3:$A$500,$B11,'DADOS BRUTOS'!AY$3:AY$500)+IF($C11="",0,SUMIF('DADOS BRUTOS'!$A$3:$A$500,$C11,'DADOS BRUTOS'!AY$3:AY$500)))</f>
        <v/>
      </c>
      <c r="DZ11" s="132">
        <f>IF(OR(DZ$4="",$B11=""),0,SUMIF('DADOS BRUTOS'!$A$3:$A$500,$B11,'DADOS BRUTOS'!AZ$3:AZ$500)+IF($C11="",0,SUMIF('DADOS BRUTOS'!$A$3:$A$500,$C11,'DADOS BRUTOS'!AZ$3:AZ$500)))</f>
        <v/>
      </c>
      <c r="EA11" s="132">
        <f>IF(OR(EA$4="",$B11=""),0,SUMIF('DADOS BRUTOS'!$A$3:$A$500,$B11,'DADOS BRUTOS'!BA$3:BA$500)+IF($C11="",0,SUMIF('DADOS BRUTOS'!$A$3:$A$500,$C11,'DADOS BRUTOS'!BA$3:BA$500)))</f>
        <v/>
      </c>
      <c r="EB11" s="132">
        <f>IF(OR(EB$4="",$B11=""),0,SUMIF('DADOS BRUTOS'!$A$3:$A$500,$B11,'DADOS BRUTOS'!BB$3:BB$500)+IF($C11="",0,SUMIF('DADOS BRUTOS'!$A$3:$A$500,$C11,'DADOS BRUTOS'!BB$3:BB$500)))</f>
        <v/>
      </c>
      <c r="EC11" s="132">
        <f>IF(OR(EC$4="",$B11=""),0,SUMIF('DADOS BRUTOS'!$A$3:$A$500,$B11,'DADOS BRUTOS'!BC$3:BC$500)+IF($C11="",0,SUMIF('DADOS BRUTOS'!$A$3:$A$500,$C11,'DADOS BRUTOS'!BC$3:BC$500)))</f>
        <v/>
      </c>
      <c r="ED11" s="132">
        <f>IF(OR(ED$4="",$B11=""),0,SUMIF('DADOS BRUTOS'!$A$3:$A$500,$B11,'DADOS BRUTOS'!BD$3:BD$500)+IF($C11="",0,SUMIF('DADOS BRUTOS'!$A$3:$A$500,$C11,'DADOS BRUTOS'!BD$3:BD$500)))</f>
        <v/>
      </c>
      <c r="EE11" s="132">
        <f>IF(OR(EE$4="",$B11=""),0,SUMIF('DADOS BRUTOS'!$A$3:$A$500,$B11,'DADOS BRUTOS'!BE$3:BE$500)+IF($C11="",0,SUMIF('DADOS BRUTOS'!$A$3:$A$500,$C11,'DADOS BRUTOS'!BE$3:BE$500)))</f>
        <v/>
      </c>
      <c r="EF11" s="132">
        <f>IF(OR(EF$4="",$B11=""),0,SUMIF('DADOS BRUTOS'!$A$3:$A$500,$B11,'DADOS BRUTOS'!BF$3:BF$500)+IF($C11="",0,SUMIF('DADOS BRUTOS'!$A$3:$A$500,$C11,'DADOS BRUTOS'!BF$3:BF$500)))</f>
        <v/>
      </c>
      <c r="EG11" s="132">
        <f>IF(OR(EG$4="",$B11=""),0,SUMIF('DADOS BRUTOS'!$A$3:$A$500,$B11,'DADOS BRUTOS'!BG$3:BG$500)+IF($C11="",0,SUMIF('DADOS BRUTOS'!$A$3:$A$500,$C11,'DADOS BRUTOS'!BG$3:BG$500)))</f>
        <v/>
      </c>
      <c r="EH11" s="132">
        <f>IF(OR(EH$4="",$B11=""),0,SUMIF('DADOS BRUTOS'!$A$3:$A$500,$B11,'DADOS BRUTOS'!BH$3:BH$500)+IF($C11="",0,SUMIF('DADOS BRUTOS'!$A$3:$A$500,$C11,'DADOS BRUTOS'!BH$3:BH$500)))</f>
        <v/>
      </c>
      <c r="EI11" s="132">
        <f>IF(OR(EI$4="",$B11=""),0,SUMIF('DADOS BRUTOS'!$A$3:$A$500,$B11,'DADOS BRUTOS'!BI$3:BI$500)+IF($C11="",0,SUMIF('DADOS BRUTOS'!$A$3:$A$500,$C11,'DADOS BRUTOS'!BI$3:BI$500)))</f>
        <v/>
      </c>
      <c r="EJ11" s="132">
        <f>IF(OR(EJ$4="",$B11=""),0,SUMIF('DADOS BRUTOS'!$A$3:$A$500,$B11,'DADOS BRUTOS'!BJ$3:BJ$500)+IF($C11="",0,SUMIF('DADOS BRUTOS'!$A$3:$A$500,$C11,'DADOS BRUTOS'!BJ$3:BJ$500)))</f>
        <v/>
      </c>
      <c r="EK11" s="132">
        <f>IF(OR(EK$4="",$B11=""),0,SUMIF('DADOS BRUTOS'!$A$3:$A$500,$B11,'DADOS BRUTOS'!BK$3:BK$500)+IF($C11="",0,SUMIF('DADOS BRUTOS'!$A$3:$A$500,$C11,'DADOS BRUTOS'!BK$3:BK$500)))</f>
        <v/>
      </c>
      <c r="EL11" s="132">
        <f>IF(OR(EL$4="",$B11=""),0,SUMIF('DADOS BRUTOS'!$A$3:$A$500,$B11,'DADOS BRUTOS'!BL$3:BL$500)+IF($C11="",0,SUMIF('DADOS BRUTOS'!$A$3:$A$500,$C11,'DADOS BRUTOS'!BL$3:BL$500)))</f>
        <v/>
      </c>
      <c r="EM11" s="132">
        <f>IF(OR(EM$4="",$B11=""),0,SUMIF('DADOS BRUTOS'!$A$3:$A$500,$B11,'DADOS BRUTOS'!BM$3:BM$500)+IF($C11="",0,SUMIF('DADOS BRUTOS'!$A$3:$A$500,$C11,'DADOS BRUTOS'!BM$3:BM$500)))</f>
        <v/>
      </c>
      <c r="EN11" s="132">
        <f>IF(OR(EN$4="",$B11=""),0,SUMIF('DADOS BRUTOS'!$A$3:$A$500,$B11,'DADOS BRUTOS'!BN$3:BN$500)+IF($C11="",0,SUMIF('DADOS BRUTOS'!$A$3:$A$500,$C11,'DADOS BRUTOS'!BN$3:BN$500)))</f>
        <v/>
      </c>
      <c r="EO11" s="132">
        <f>IF(OR(EO$4="",$B11=""),0,SUMIF('DADOS BRUTOS'!$A$3:$A$500,$B11,'DADOS BRUTOS'!BO$3:BO$500)+IF($C11="",0,SUMIF('DADOS BRUTOS'!$A$3:$A$500,$C11,'DADOS BRUTOS'!BO$3:BO$500)))</f>
        <v/>
      </c>
      <c r="EP11" s="132">
        <f>IF(OR(EP$4="",$B11=""),0,SUMIF('DADOS BRUTOS'!$A$3:$A$500,$B11,'DADOS BRUTOS'!BP$3:BP$500)+IF($C11="",0,SUMIF('DADOS BRUTOS'!$A$3:$A$500,$C11,'DADOS BRUTOS'!BP$3:BP$500)))</f>
        <v/>
      </c>
      <c r="EQ11" s="132">
        <f>IF(OR(EQ$4="",$B11=""),0,SUMIF('DADOS BRUTOS'!$A$3:$A$500,$B11,'DADOS BRUTOS'!BQ$3:BQ$500)+IF($C11="",0,SUMIF('DADOS BRUTOS'!$A$3:$A$500,$C11,'DADOS BRUTOS'!BQ$3:BQ$500)))</f>
        <v/>
      </c>
      <c r="ER11" s="132">
        <f>IF(OR(ER$4="",$B11=""),0,SUMIF('DADOS BRUTOS'!$A$3:$A$500,$B11,'DADOS BRUTOS'!BR$3:BR$500)+IF($C11="",0,SUMIF('DADOS BRUTOS'!$A$3:$A$500,$C11,'DADOS BRUTOS'!BR$3:BR$500)))</f>
        <v/>
      </c>
      <c r="ES11" s="132">
        <f>IF(OR(ES$4="",$B11=""),0,SUMIF('DADOS BRUTOS'!$A$3:$A$500,$B11,'DADOS BRUTOS'!BS$3:BS$500)+IF($C11="",0,SUMIF('DADOS BRUTOS'!$A$3:$A$500,$C11,'DADOS BRUTOS'!BS$3:BS$500)))</f>
        <v/>
      </c>
      <c r="ET11" s="132">
        <f>IF(OR(ET$4="",$B11=""),0,SUMIF('DADOS BRUTOS'!$A$3:$A$500,$B11,'DADOS BRUTOS'!BT$3:BT$500)+IF($C11="",0,SUMIF('DADOS BRUTOS'!$A$3:$A$500,$C11,'DADOS BRUTOS'!BT$3:BT$500)))</f>
        <v/>
      </c>
      <c r="EU11" s="132">
        <f>IF(OR(EU$4="",$B11=""),0,SUMIF('DADOS BRUTOS'!$A$3:$A$500,$B11,'DADOS BRUTOS'!BU$3:BU$500)+IF($C11="",0,SUMIF('DADOS BRUTOS'!$A$3:$A$500,$C11,'DADOS BRUTOS'!BU$3:BU$500)))</f>
        <v/>
      </c>
      <c r="EV11" s="132">
        <f>IF(OR(EV$4="",$B11=""),0,SUMIF('DADOS BRUTOS'!$A$3:$A$500,$B11,'DADOS BRUTOS'!BV$3:BV$500)+IF($C11="",0,SUMIF('DADOS BRUTOS'!$A$3:$A$500,$C11,'DADOS BRUTOS'!BV$3:BV$500)))</f>
        <v/>
      </c>
      <c r="EW11" s="132">
        <f>IF(OR(EW$4="",$B11=""),0,SUMIF('DADOS BRUTOS'!$A$3:$A$500,$B11,'DADOS BRUTOS'!BW$3:BW$500)+IF($C11="",0,SUMIF('DADOS BRUTOS'!$A$3:$A$500,$C11,'DADOS BRUTOS'!BW$3:BW$500)))</f>
        <v/>
      </c>
      <c r="EX11" s="132">
        <f>IF(OR(EX$4="",$B11=""),0,SUMIF('DADOS BRUTOS'!$A$3:$A$500,$B11,'DADOS BRUTOS'!BX$3:BX$500)+IF($C11="",0,SUMIF('DADOS BRUTOS'!$A$3:$A$500,$C11,'DADOS BRUTOS'!BX$3:BX$500)))</f>
        <v/>
      </c>
      <c r="EY11" s="132">
        <f>IF(OR(EY$4="",$B11=""),0,SUMIF('DADOS BRUTOS'!$A$3:$A$500,$B11,'DADOS BRUTOS'!BY$3:BY$500)+IF($C11="",0,SUMIF('DADOS BRUTOS'!$A$3:$A$500,$C11,'DADOS BRUTOS'!BY$3:BY$500)))</f>
        <v/>
      </c>
      <c r="EZ11" s="132">
        <f>IF(OR(EZ$4="",$B11=""),0,SUMIF('DADOS BRUTOS'!$A$3:$A$500,$B11,'DADOS BRUTOS'!BZ$3:BZ$500)+IF($C11="",0,SUMIF('DADOS BRUTOS'!$A$3:$A$500,$C11,'DADOS BRUTOS'!BZ$3:BZ$500)))</f>
        <v/>
      </c>
      <c r="FA11" s="132">
        <f>IF(OR(FA$4="",$B11=""),0,SUMIF('DADOS BRUTOS'!$A$3:$A$500,$B11,'DADOS BRUTOS'!CA$3:CA$500)+IF($C11="",0,SUMIF('DADOS BRUTOS'!$A$3:$A$500,$C11,'DADOS BRUTOS'!CA$3:CA$500)))</f>
        <v/>
      </c>
      <c r="FB11" s="132">
        <f>IF(OR(FB$4="",$B11=""),0,SUMIF('DADOS BRUTOS'!$A$3:$A$500,$B11,'DADOS BRUTOS'!CB$3:CB$500)+IF($C11="",0,SUMIF('DADOS BRUTOS'!$A$3:$A$500,$C11,'DADOS BRUTOS'!CB$3:CB$500)))</f>
        <v/>
      </c>
      <c r="FC11" s="132">
        <f>IF(OR(FC$4="",$B11=""),0,SUMIF('DADOS BRUTOS'!$A$3:$A$500,$B11,'DADOS BRUTOS'!CC$3:CC$500)+IF($C11="",0,SUMIF('DADOS BRUTOS'!$A$3:$A$500,$C11,'DADOS BRUTOS'!CC$3:CC$500)))</f>
        <v/>
      </c>
      <c r="FD11" s="132">
        <f>IF(OR(FD$4="",$B11=""),0,SUMIF('DADOS BRUTOS'!$A$3:$A$500,$B11,'DADOS BRUTOS'!CD$3:CD$500)+IF($C11="",0,SUMIF('DADOS BRUTOS'!$A$3:$A$500,$C11,'DADOS BRUTOS'!CD$3:CD$500)))</f>
        <v/>
      </c>
      <c r="FE11" s="132">
        <f>IF(OR(FE$4="",$B11=""),0,SUMIF('DADOS BRUTOS'!$A$3:$A$500,$B11,'DADOS BRUTOS'!CE$3:CE$500)+IF($C11="",0,SUMIF('DADOS BRUTOS'!$A$3:$A$500,$C11,'DADOS BRUTOS'!CE$3:CE$500)))</f>
        <v/>
      </c>
      <c r="FF11" s="132">
        <f>IF(OR(FF$4="",$B11=""),0,SUMIF('DADOS BRUTOS'!$A$3:$A$500,$B11,'DADOS BRUTOS'!CF$3:CF$500)+IF($C11="",0,SUMIF('DADOS BRUTOS'!$A$3:$A$500,$C11,'DADOS BRUTOS'!CF$3:CF$500)))</f>
        <v/>
      </c>
      <c r="FG11" s="132">
        <f>IF(OR(FG$4="",$B11=""),0,SUMIF('DADOS BRUTOS'!$A$3:$A$500,$B11,'DADOS BRUTOS'!CG$3:CG$500)+IF($C11="",0,SUMIF('DADOS BRUTOS'!$A$3:$A$500,$C11,'DADOS BRUTOS'!CG$3:CG$500)))</f>
        <v/>
      </c>
      <c r="FH11" s="132">
        <f>IF(OR(FH$4="",$B11=""),0,SUMIF('DADOS BRUTOS'!$A$3:$A$500,$B11,'DADOS BRUTOS'!CH$3:CH$500)+IF($C11="",0,SUMIF('DADOS BRUTOS'!$A$3:$A$500,$C11,'DADOS BRUTOS'!CH$3:CH$500)))</f>
        <v/>
      </c>
      <c r="FI11" s="132">
        <f>IF(OR(FI$4="",$B11=""),0,SUMIF('DADOS BRUTOS'!$A$3:$A$500,$B11,'DADOS BRUTOS'!CI$3:CI$500)+IF($C11="",0,SUMIF('DADOS BRUTOS'!$A$3:$A$500,$C11,'DADOS BRUTOS'!CI$3:CI$500)))</f>
        <v/>
      </c>
      <c r="FJ11" s="132">
        <f>IF(OR(FJ$4="",$B11=""),0,SUMIF('DADOS BRUTOS'!$A$3:$A$500,$B11,'DADOS BRUTOS'!CJ$3:CJ$500)+IF($C11="",0,SUMIF('DADOS BRUTOS'!$A$3:$A$500,$C11,'DADOS BRUTOS'!CJ$3:CJ$500)))</f>
        <v/>
      </c>
      <c r="FK11" s="132">
        <f>IF(OR(FK$4="",$B11=""),0,SUMIF('DADOS BRUTOS'!$A$3:$A$500,$B11,'DADOS BRUTOS'!CK$3:CK$500)+IF($C11="",0,SUMIF('DADOS BRUTOS'!$A$3:$A$500,$C11,'DADOS BRUTOS'!CK$3:CK$500)))</f>
        <v/>
      </c>
      <c r="FL11" s="132">
        <f>IF(OR(FL$4="",$B11=""),0,SUMIF('DADOS BRUTOS'!$A$3:$A$500,$B11,'DADOS BRUTOS'!CL$3:CL$500)+IF($C11="",0,SUMIF('DADOS BRUTOS'!$A$3:$A$500,$C11,'DADOS BRUTOS'!CL$3:CL$500)))</f>
        <v/>
      </c>
      <c r="FM11" s="132">
        <f>IF(OR(FM$4="",$B11=""),0,SUMIF('DADOS BRUTOS'!$A$3:$A$500,$B11,'DADOS BRUTOS'!CM$3:CM$500)+IF($C11="",0,SUMIF('DADOS BRUTOS'!$A$3:$A$500,$C11,'DADOS BRUTOS'!CM$3:CM$500)))</f>
        <v/>
      </c>
      <c r="FN11" s="132">
        <f>IF(OR(FN$4="",$B11=""),0,SUMIF('DADOS BRUTOS'!$A$3:$A$500,$B11,'DADOS BRUTOS'!CN$3:CN$500)+IF($C11="",0,SUMIF('DADOS BRUTOS'!$A$3:$A$500,$C11,'DADOS BRUTOS'!CN$3:CN$500)))</f>
        <v/>
      </c>
      <c r="FO11" s="132">
        <f>IF(OR(FO$4="",$B11=""),0,SUMIF('DADOS BRUTOS'!$A$3:$A$500,$B11,'DADOS BRUTOS'!CO$3:CO$500)+IF($C11="",0,SUMIF('DADOS BRUTOS'!$A$3:$A$500,$C11,'DADOS BRUTOS'!CO$3:CO$500)))</f>
        <v/>
      </c>
      <c r="FP11" s="132">
        <f>IF(OR(FP$4="",$B11=""),0,SUMIF('DADOS BRUTOS'!$A$3:$A$500,$B11,'DADOS BRUTOS'!CP$3:CP$500)+IF($C11="",0,SUMIF('DADOS BRUTOS'!$A$3:$A$500,$C11,'DADOS BRUTOS'!CP$3:CP$500)))</f>
        <v/>
      </c>
      <c r="FQ11" s="132">
        <f>IF(OR(FQ$4="",$B11=""),0,SUMIF('DADOS BRUTOS'!$A$3:$A$500,$B11,'DADOS BRUTOS'!CQ$3:CQ$500)+IF($C11="",0,SUMIF('DADOS BRUTOS'!$A$3:$A$500,$C11,'DADOS BRUTOS'!CQ$3:CQ$500)))</f>
        <v/>
      </c>
      <c r="FR11" s="132">
        <f>IF(OR(FR$4="",$B11=""),0,SUMIF('DADOS BRUTOS'!$A$3:$A$500,$B11,'DADOS BRUTOS'!CR$3:CR$500)+IF($C11="",0,SUMIF('DADOS BRUTOS'!$A$3:$A$500,$C11,'DADOS BRUTOS'!CR$3:CR$500)))</f>
        <v/>
      </c>
      <c r="FS11" s="132">
        <f>IF(OR(FS$4="",$B11=""),0,SUMIF('DADOS BRUTOS'!$A$3:$A$500,$B11,'DADOS BRUTOS'!CS$3:CS$500)+IF($C11="",0,SUMIF('DADOS BRUTOS'!$A$3:$A$500,$C11,'DADOS BRUTOS'!CS$3:CS$500)))</f>
        <v/>
      </c>
      <c r="FT11" s="132">
        <f>IF(OR(FT$4="",$B11=""),0,SUMIF('DADOS BRUTOS'!$A$3:$A$500,$B11,'DADOS BRUTOS'!CT$3:CT$500)+IF($C11="",0,SUMIF('DADOS BRUTOS'!$A$3:$A$500,$C11,'DADOS BRUTOS'!CT$3:CT$500)))</f>
        <v/>
      </c>
      <c r="FU11" s="132">
        <f>IF(OR(FU$4="",$B11=""),0,SUMIF('DADOS BRUTOS'!$A$3:$A$500,$B11,'DADOS BRUTOS'!CU$3:CU$500)+IF($C11="",0,SUMIF('DADOS BRUTOS'!$A$3:$A$500,$C11,'DADOS BRUTOS'!CU$3:CU$500)))</f>
        <v/>
      </c>
      <c r="FV11" s="132">
        <f>IF(OR(FV$4="",$B11=""),0,SUMIF('DADOS BRUTOS'!$A$3:$A$500,$B11,'DADOS BRUTOS'!CV$3:CV$500)+IF($C11="",0,SUMIF('DADOS BRUTOS'!$A$3:$A$500,$C11,'DADOS BRUTOS'!CV$3:CV$500)))</f>
        <v/>
      </c>
      <c r="FW11" s="132">
        <f>IF(OR(FW$4="",$B11=""),0,SUMIF('DADOS BRUTOS'!$A$3:$A$500,$B11,'DADOS BRUTOS'!CW$3:CW$500)+IF($C11="",0,SUMIF('DADOS BRUTOS'!$A$3:$A$500,$C11,'DADOS BRUTOS'!CW$3:CW$500)))</f>
        <v/>
      </c>
      <c r="FX11" s="132">
        <f>IF(OR(FX$4="",$B11=""),0,SUMIF('DADOS BRUTOS'!$A$3:$A$500,$B11,'DADOS BRUTOS'!CX$3:CX$500)+IF($C11="",0,SUMIF('DADOS BRUTOS'!$A$3:$A$500,$C11,'DADOS BRUTOS'!CX$3:CX$500)))</f>
        <v/>
      </c>
      <c r="FY11" s="132">
        <f>IF(OR(FY$4="",$B11=""),0,SUMIF('DADOS BRUTOS'!$A$3:$A$500,$B11,'DADOS BRUTOS'!CY$3:CY$500)+IF($C11="",0,SUMIF('DADOS BRUTOS'!$A$3:$A$500,$C11,'DADOS BRUTOS'!CY$3:CY$500)))</f>
        <v/>
      </c>
      <c r="FZ11" s="132">
        <f>IF(OR(FZ$4="",$B11=""),0,SUMIF('DADOS BRUTOS'!$A$3:$A$500,$B11,'DADOS BRUTOS'!CZ$3:CZ$500)+IF($C11="",0,SUMIF('DADOS BRUTOS'!$A$3:$A$500,$C11,'DADOS BRUTOS'!CZ$3:CZ$500)))</f>
        <v/>
      </c>
      <c r="GA11" s="132">
        <f>IF(OR(GA$4="",$B11=""),0,SUMIF('DADOS BRUTOS'!$A$3:$A$500,$B11,'DADOS BRUTOS'!DA$3:DA$500)+IF($C11="",0,SUMIF('DADOS BRUTOS'!$A$3:$A$500,$C11,'DADOS BRUTOS'!DA$3:DA$500)))</f>
        <v/>
      </c>
      <c r="GB11" s="132">
        <f>IF(OR(GB$4="",$B11=""),0,SUMIF('DADOS BRUTOS'!$A$3:$A$500,$B11,'DADOS BRUTOS'!DB$3:DB$500)+IF($C11="",0,SUMIF('DADOS BRUTOS'!$A$3:$A$500,$C11,'DADOS BRUTOS'!DB$3:DB$500)))</f>
        <v/>
      </c>
      <c r="GC11" s="132">
        <f>IF(OR(GC$4="",$B11=""),0,SUMIF('DADOS BRUTOS'!$A$3:$A$500,$B11,'DADOS BRUTOS'!DC$3:DC$500)+IF($C11="",0,SUMIF('DADOS BRUTOS'!$A$3:$A$500,$C11,'DADOS BRUTOS'!DC$3:DC$500)))</f>
        <v/>
      </c>
      <c r="GD11" s="132">
        <f>IF(OR(GD$4="",$B11=""),0,SUMIF('DADOS BRUTOS'!$A$3:$A$500,$B11,'DADOS BRUTOS'!DD$3:DD$500)+IF($C11="",0,SUMIF('DADOS BRUTOS'!$A$3:$A$500,$C11,'DADOS BRUTOS'!DD$3:DD$500)))</f>
        <v/>
      </c>
      <c r="GE11" s="132">
        <f>IF(OR(GE$4="",$B11=""),0,SUMIF('DADOS BRUTOS'!$A$3:$A$500,$B11,'DADOS BRUTOS'!DE$3:DE$500)+IF($C11="",0,SUMIF('DADOS BRUTOS'!$A$3:$A$500,$C11,'DADOS BRUTOS'!DE$3:DE$500)))</f>
        <v/>
      </c>
      <c r="GF11" s="132">
        <f>IF(OR(GF$4="",$B11=""),0,SUMIF('DADOS BRUTOS'!$A$3:$A$500,$B11,'DADOS BRUTOS'!DF$3:DF$500)+IF($C11="",0,SUMIF('DADOS BRUTOS'!$A$3:$A$500,$C11,'DADOS BRUTOS'!DF$3:DF$500)))</f>
        <v/>
      </c>
      <c r="GG11" s="132">
        <f>IF(OR(GG$4="",$B11=""),0,SUMIF('DADOS BRUTOS'!$A$3:$A$500,$B11,'DADOS BRUTOS'!DG$3:DG$500)+IF($C11="",0,SUMIF('DADOS BRUTOS'!$A$3:$A$500,$C11,'DADOS BRUTOS'!DG$3:DG$500)))</f>
        <v/>
      </c>
      <c r="GH11" s="132">
        <f>IF(OR(GH$4="",$B11=""),0,SUMIF('DADOS BRUTOS'!$A$3:$A$500,$B11,'DADOS BRUTOS'!DH$3:DH$500)+IF($C11="",0,SUMIF('DADOS BRUTOS'!$A$3:$A$500,$C11,'DADOS BRUTOS'!DH$3:DH$500)))</f>
        <v/>
      </c>
      <c r="GI11" s="132">
        <f>IF(OR(GI$4="",$B11=""),0,SUMIF('DADOS BRUTOS'!$A$3:$A$500,$B11,'DADOS BRUTOS'!DI$3:DI$500)+IF($C11="",0,SUMIF('DADOS BRUTOS'!$A$3:$A$500,$C11,'DADOS BRUTOS'!DI$3:DI$500)))</f>
        <v/>
      </c>
      <c r="GJ11" s="132">
        <f>IF(OR(GJ$4="",$B11=""),0,SUMIF('DADOS BRUTOS'!$A$3:$A$500,$B11,'DADOS BRUTOS'!DJ$3:DJ$500)+IF($C11="",0,SUMIF('DADOS BRUTOS'!$A$3:$A$500,$C11,'DADOS BRUTOS'!DJ$3:DJ$500)))</f>
        <v/>
      </c>
      <c r="GK11" s="132">
        <f>IF(OR(GK$4="",$B11=""),0,SUMIF('DADOS BRUTOS'!$A$3:$A$500,$B11,'DADOS BRUTOS'!DK$3:DK$500)+IF($C11="",0,SUMIF('DADOS BRUTOS'!$A$3:$A$500,$C11,'DADOS BRUTOS'!DK$3:DK$500)))</f>
        <v/>
      </c>
      <c r="GL11" s="132">
        <f>IF(OR(GL$4="",$B11=""),0,SUMIF('DADOS BRUTOS'!$A$3:$A$500,$B11,'DADOS BRUTOS'!DL$3:DL$500)+IF($C11="",0,SUMIF('DADOS BRUTOS'!$A$3:$A$500,$C11,'DADOS BRUTOS'!DL$3:DL$500)))</f>
        <v/>
      </c>
      <c r="GM11" s="132">
        <f>IF(OR(GM$4="",$B11=""),0,SUMIF('DADOS BRUTOS'!$A$3:$A$500,$B11,'DADOS BRUTOS'!DM$3:DM$500)+IF($C11="",0,SUMIF('DADOS BRUTOS'!$A$3:$A$500,$C11,'DADOS BRUTOS'!DM$3:DM$500)))</f>
        <v/>
      </c>
      <c r="GN11" s="132">
        <f>IF(OR(GN$4="",$B11=""),0,SUMIF('DADOS BRUTOS'!$A$3:$A$500,$B11,'DADOS BRUTOS'!DN$3:DN$500)+IF($C11="",0,SUMIF('DADOS BRUTOS'!$A$3:$A$500,$C11,'DADOS BRUTOS'!DN$3:DN$500)))</f>
        <v/>
      </c>
      <c r="GO11" s="132">
        <f>IF(OR(GO$4="",$B11=""),0,SUMIF('DADOS BRUTOS'!$A$3:$A$500,$B11,'DADOS BRUTOS'!DO$3:DO$500)+IF($C11="",0,SUMIF('DADOS BRUTOS'!$A$3:$A$500,$C11,'DADOS BRUTOS'!DO$3:DO$500)))</f>
        <v/>
      </c>
      <c r="GP11" s="132">
        <f>IF(OR(GP$4="",$B11=""),0,SUMIF('DADOS BRUTOS'!$A$3:$A$500,$B11,'DADOS BRUTOS'!DP$3:DP$500)+IF($C11="",0,SUMIF('DADOS BRUTOS'!$A$3:$A$500,$C11,'DADOS BRUTOS'!DP$3:DP$500)))</f>
        <v/>
      </c>
      <c r="GQ11" s="132">
        <f>IF(OR(GQ$4="",$B11=""),0,SUMIF('DADOS BRUTOS'!$A$3:$A$500,$B11,'DADOS BRUTOS'!DQ$3:DQ$500)+IF($C11="",0,SUMIF('DADOS BRUTOS'!$A$3:$A$500,$C11,'DADOS BRUTOS'!DQ$3:DQ$500)))</f>
        <v/>
      </c>
      <c r="GR11" s="132">
        <f>IF(OR(GR$4="",$B11=""),0,SUMIF('DADOS BRUTOS'!$A$3:$A$500,$B11,'DADOS BRUTOS'!DR$3:DR$500)+IF($C11="",0,SUMIF('DADOS BRUTOS'!$A$3:$A$500,$C11,'DADOS BRUTOS'!DR$3:DR$500)))</f>
        <v/>
      </c>
      <c r="GS11" s="132">
        <f>IF(OR(GS$4="",$B11=""),0,SUMIF('DADOS BRUTOS'!$A$3:$A$500,$B11,'DADOS BRUTOS'!DS$3:DS$500)+IF($C11="",0,SUMIF('DADOS BRUTOS'!$A$3:$A$500,$C11,'DADOS BRUTOS'!DS$3:DS$500)))</f>
        <v/>
      </c>
      <c r="GT11" s="132">
        <f>IF(OR(GT$4="",$B11=""),0,SUMIF('DADOS BRUTOS'!$A$3:$A$500,$B11,'DADOS BRUTOS'!DT$3:DT$500)+IF($C11="",0,SUMIF('DADOS BRUTOS'!$A$3:$A$500,$C11,'DADOS BRUTOS'!DT$3:DT$500)))</f>
        <v/>
      </c>
      <c r="GU11" s="132">
        <f>IF(OR(GU$4="",$B11=""),0,SUMIF('DADOS BRUTOS'!$A$3:$A$500,$B11,'DADOS BRUTOS'!DU$3:DU$500)+IF($C11="",0,SUMIF('DADOS BRUTOS'!$A$3:$A$500,$C11,'DADOS BRUTOS'!DU$3:DU$500)))</f>
        <v/>
      </c>
      <c r="GV11" s="132">
        <f>IF(OR(GV$4="",$B11=""),0,SUMIF('DADOS BRUTOS'!$A$3:$A$500,$B11,'DADOS BRUTOS'!DV$3:DV$500)+IF($C11="",0,SUMIF('DADOS BRUTOS'!$A$3:$A$500,$C11,'DADOS BRUTOS'!DV$3:DV$500)))</f>
        <v/>
      </c>
      <c r="GW11" s="132">
        <f>IF(OR(GW$4="",$B11=""),0,SUMIF('DADOS BRUTOS'!$A$3:$A$500,$B11,'DADOS BRUTOS'!DW$3:DW$500)+IF($C11="",0,SUMIF('DADOS BRUTOS'!$A$3:$A$500,$C11,'DADOS BRUTOS'!DW$3:DW$500)))</f>
        <v/>
      </c>
      <c r="GX11" s="132">
        <f>IF(OR(GX$4="",$B11=""),0,SUMIF('DADOS BRUTOS'!$A$3:$A$500,$B11,'DADOS BRUTOS'!DX$3:DX$500)+IF($C11="",0,SUMIF('DADOS BRUTOS'!$A$3:$A$500,$C11,'DADOS BRUTOS'!DX$3:DX$500)))</f>
        <v/>
      </c>
      <c r="GY11" s="132">
        <f>IF(OR(GY$4="",$B11=""),0,SUMIF('DADOS BRUTOS'!$A$3:$A$500,$B11,'DADOS BRUTOS'!DY$3:DY$500)+IF($C11="",0,SUMIF('DADOS BRUTOS'!$A$3:$A$500,$C11,'DADOS BRUTOS'!DY$3:DY$500)))</f>
        <v/>
      </c>
      <c r="GZ11" s="132">
        <f>IF(OR(GZ$4="",$B11=""),0,SUMIF('DADOS BRUTOS'!$A$3:$A$500,$B11,'DADOS BRUTOS'!DZ$3:DZ$500)+IF($C11="",0,SUMIF('DADOS BRUTOS'!$A$3:$A$500,$C11,'DADOS BRUTOS'!DZ$3:DZ$500)))</f>
        <v/>
      </c>
      <c r="HA11" s="132">
        <f>IF(OR(HA$4="",$B11=""),0,SUMIF('DADOS BRUTOS'!$A$3:$A$500,$B11,'DADOS BRUTOS'!EA$3:EA$500)+IF($C11="",0,SUMIF('DADOS BRUTOS'!$A$3:$A$500,$C11,'DADOS BRUTOS'!EA$3:EA$500)))</f>
        <v/>
      </c>
      <c r="HB11" s="132">
        <f>IF(OR(HB$4="",$B11=""),0,SUMIF('DADOS BRUTOS'!$A$3:$A$500,$B11,'DADOS BRUTOS'!EB$3:EB$500)+IF($C11="",0,SUMIF('DADOS BRUTOS'!$A$3:$A$500,$C11,'DADOS BRUTOS'!EB$3:EB$500)))</f>
        <v/>
      </c>
      <c r="HC11" s="132">
        <f>IF(OR(HC$4="",$B11=""),0,SUMIF('DADOS BRUTOS'!$A$3:$A$500,$B11,'DADOS BRUTOS'!EC$3:EC$500)+IF($C11="",0,SUMIF('DADOS BRUTOS'!$A$3:$A$500,$C11,'DADOS BRUTOS'!EC$3:EC$500)))</f>
        <v/>
      </c>
      <c r="HD11" s="132">
        <f>IF(OR(HD$4="",$B11=""),0,SUMIF('DADOS BRUTOS'!$A$3:$A$500,$B11,'DADOS BRUTOS'!ED$3:ED$500)+IF($C11="",0,SUMIF('DADOS BRUTOS'!$A$3:$A$500,$C11,'DADOS BRUTOS'!ED$3:ED$500)))</f>
        <v/>
      </c>
      <c r="HE11" s="132">
        <f>IF(OR(HE$4="",$B11=""),0,SUMIF('DADOS BRUTOS'!$A$3:$A$500,$B11,'DADOS BRUTOS'!EE$3:EE$500)+IF($C11="",0,SUMIF('DADOS BRUTOS'!$A$3:$A$500,$C11,'DADOS BRUTOS'!EE$3:EE$500)))</f>
        <v/>
      </c>
      <c r="HF11" s="132">
        <f>IF(OR(HF$4="",$B11=""),0,SUMIF('DADOS BRUTOS'!$A$3:$A$500,$B11,'DADOS BRUTOS'!EF$3:EF$500)+IF($C11="",0,SUMIF('DADOS BRUTOS'!$A$3:$A$500,$C11,'DADOS BRUTOS'!EF$3:EF$500)))</f>
        <v/>
      </c>
      <c r="HG11" s="132">
        <f>IF(OR(HG$4="",$B11=""),0,SUMIF('DADOS BRUTOS'!$A$3:$A$500,$B11,'DADOS BRUTOS'!EG$3:EG$500)+IF($C11="",0,SUMIF('DADOS BRUTOS'!$A$3:$A$500,$C11,'DADOS BRUTOS'!EG$3:EG$500)))</f>
        <v/>
      </c>
      <c r="HH11" s="132">
        <f>IF(OR(HH$4="",$B11=""),0,SUMIF('DADOS BRUTOS'!$A$3:$A$500,$B11,'DADOS BRUTOS'!EH$3:EH$500)+IF($C11="",0,SUMIF('DADOS BRUTOS'!$A$3:$A$500,$C11,'DADOS BRUTOS'!EH$3:EH$500)))</f>
        <v/>
      </c>
      <c r="HI11" s="132">
        <f>IF(OR(HI$4="",$B11=""),0,SUMIF('DADOS BRUTOS'!$A$3:$A$500,$B11,'DADOS BRUTOS'!EI$3:EI$500)+IF($C11="",0,SUMIF('DADOS BRUTOS'!$A$3:$A$500,$C11,'DADOS BRUTOS'!EI$3:EI$500)))</f>
        <v/>
      </c>
      <c r="HJ11" s="132">
        <f>IF(OR(HJ$4="",$B11=""),0,SUMIF('DADOS BRUTOS'!$A$3:$A$500,$B11,'DADOS BRUTOS'!EJ$3:EJ$500)+IF($C11="",0,SUMIF('DADOS BRUTOS'!$A$3:$A$500,$C11,'DADOS BRUTOS'!EJ$3:EJ$500)))</f>
        <v/>
      </c>
      <c r="HK11" s="132">
        <f>IF(OR(HK$4="",$B11=""),0,SUMIF('DADOS BRUTOS'!$A$3:$A$500,$B11,'DADOS BRUTOS'!EK$3:EK$500)+IF($C11="",0,SUMIF('DADOS BRUTOS'!$A$3:$A$500,$C11,'DADOS BRUTOS'!EK$3:EK$500)))</f>
        <v/>
      </c>
      <c r="HL11" s="132">
        <f>IF(OR(HL$4="",$B11=""),0,SUMIF('DADOS BRUTOS'!$A$3:$A$500,$B11,'DADOS BRUTOS'!EL$3:EL$500)+IF($C11="",0,SUMIF('DADOS BRUTOS'!$A$3:$A$500,$C11,'DADOS BRUTOS'!EL$3:EL$500)))</f>
        <v/>
      </c>
      <c r="HM11" s="132">
        <f>IF(OR(HM$4="",$B11=""),0,SUMIF('DADOS BRUTOS'!$A$3:$A$500,$B11,'DADOS BRUTOS'!EM$3:EM$500)+IF($C11="",0,SUMIF('DADOS BRUTOS'!$A$3:$A$500,$C11,'DADOS BRUTOS'!EM$3:EM$500)))</f>
        <v/>
      </c>
      <c r="HN11" s="132">
        <f>IF(OR(HN$4="",$B11=""),0,SUMIF('DADOS BRUTOS'!$A$3:$A$500,$B11,'DADOS BRUTOS'!EN$3:EN$500)+IF($C11="",0,SUMIF('DADOS BRUTOS'!$A$3:$A$500,$C11,'DADOS BRUTOS'!EN$3:EN$500)))</f>
        <v/>
      </c>
      <c r="HO11" s="132">
        <f>IF(OR(HO$4="",$B11=""),0,SUMIF('DADOS BRUTOS'!$A$3:$A$500,$B11,'DADOS BRUTOS'!EO$3:EO$500)+IF($C11="",0,SUMIF('DADOS BRUTOS'!$A$3:$A$500,$C11,'DADOS BRUTOS'!EO$3:EO$500)))</f>
        <v/>
      </c>
      <c r="HP11" s="132">
        <f>IF(OR(HP$4="",$B11=""),0,SUMIF('DADOS BRUTOS'!$A$3:$A$500,$B11,'DADOS BRUTOS'!EP$3:EP$500)+IF($C11="",0,SUMIF('DADOS BRUTOS'!$A$3:$A$500,$C11,'DADOS BRUTOS'!EP$3:EP$500)))</f>
        <v/>
      </c>
      <c r="HQ11" s="132">
        <f>IF(OR(HQ$4="",$B11=""),0,SUMIF('DADOS BRUTOS'!$A$3:$A$500,$B11,'DADOS BRUTOS'!EQ$3:EQ$500)+IF($C11="",0,SUMIF('DADOS BRUTOS'!$A$3:$A$500,$C11,'DADOS BRUTOS'!EQ$3:EQ$500)))</f>
        <v/>
      </c>
      <c r="HR11" s="132">
        <f>IF(OR(HR$4="",$B11=""),0,SUMIF('DADOS BRUTOS'!$A$3:$A$500,$B11,'DADOS BRUTOS'!ER$3:ER$500)+IF($C11="",0,SUMIF('DADOS BRUTOS'!$A$3:$A$500,$C11,'DADOS BRUTOS'!ER$3:ER$500)))</f>
        <v/>
      </c>
      <c r="HS11" s="132">
        <f>IF(OR(HS$4="",$B11=""),0,SUMIF('DADOS BRUTOS'!$A$3:$A$500,$B11,'DADOS BRUTOS'!ES$3:ES$500)+IF($C11="",0,SUMIF('DADOS BRUTOS'!$A$3:$A$500,$C11,'DADOS BRUTOS'!ES$3:ES$500)))</f>
        <v/>
      </c>
      <c r="HT11" s="132">
        <f>IF(OR(HT$4="",$B11=""),0,SUMIF('DADOS BRUTOS'!$A$3:$A$500,$B11,'DADOS BRUTOS'!ET$3:ET$500)+IF($C11="",0,SUMIF('DADOS BRUTOS'!$A$3:$A$500,$C11,'DADOS BRUTOS'!ET$3:ET$500)))</f>
        <v/>
      </c>
      <c r="HU11" s="132">
        <f>IF(OR(HU$4="",$B11=""),0,SUMIF('DADOS BRUTOS'!$A$3:$A$500,$B11,'DADOS BRUTOS'!EU$3:EU$500)+IF($C11="",0,SUMIF('DADOS BRUTOS'!$A$3:$A$500,$C11,'DADOS BRUTOS'!EU$3:EU$500)))</f>
        <v/>
      </c>
      <c r="HV11" s="132">
        <f>IF(OR(HV$4="",$B11=""),0,SUMIF('DADOS BRUTOS'!$A$3:$A$500,$B11,'DADOS BRUTOS'!EV$3:EV$500)+IF($C11="",0,SUMIF('DADOS BRUTOS'!$A$3:$A$500,$C11,'DADOS BRUTOS'!EV$3:EV$500)))</f>
        <v/>
      </c>
      <c r="HW11" s="132">
        <f>IF(OR(HW$4="",$B11=""),0,SUMIF('DADOS BRUTOS'!$A$3:$A$500,$B11,'DADOS BRUTOS'!EW$3:EW$500)+IF($C11="",0,SUMIF('DADOS BRUTOS'!$A$3:$A$500,$C11,'DADOS BRUTOS'!EW$3:EW$500)))</f>
        <v/>
      </c>
      <c r="HX11" s="132">
        <f>IF(OR(HX$4="",$B11=""),0,SUMIF('DADOS BRUTOS'!$A$3:$A$500,$B11,'DADOS BRUTOS'!EX$3:EX$500)+IF($C11="",0,SUMIF('DADOS BRUTOS'!$A$3:$A$500,$C11,'DADOS BRUTOS'!EX$3:EX$500)))</f>
        <v/>
      </c>
      <c r="HY11" s="132">
        <f>IF(OR(HY$4="",$B11=""),0,SUMIF('DADOS BRUTOS'!$A$3:$A$500,$B11,'DADOS BRUTOS'!EY$3:EY$500)+IF($C11="",0,SUMIF('DADOS BRUTOS'!$A$3:$A$500,$C11,'DADOS BRUTOS'!EY$3:EY$500)))</f>
        <v/>
      </c>
      <c r="HZ11" s="132">
        <f>IF(OR(HZ$4="",$B11=""),0,SUMIF('DADOS BRUTOS'!$A$3:$A$500,$B11,'DADOS BRUTOS'!EZ$3:EZ$500)+IF($C11="",0,SUMIF('DADOS BRUTOS'!$A$3:$A$500,$C11,'DADOS BRUTOS'!EZ$3:EZ$500)))</f>
        <v/>
      </c>
      <c r="IA11" s="132">
        <f>IF(OR(IA$4="",$B11=""),0,SUMIF('DADOS BRUTOS'!$A$3:$A$500,$B11,'DADOS BRUTOS'!FA$3:FA$500)+IF($C11="",0,SUMIF('DADOS BRUTOS'!$A$3:$A$500,$C11,'DADOS BRUTOS'!FA$3:FA$500)))</f>
        <v/>
      </c>
      <c r="IB11" s="132">
        <f>IF(OR(IB$4="",$B11=""),0,SUMIF('DADOS BRUTOS'!$A$3:$A$500,$B11,'DADOS BRUTOS'!FB$3:FB$500)+IF($C11="",0,SUMIF('DADOS BRUTOS'!$A$3:$A$500,$C11,'DADOS BRUTOS'!FB$3:FB$500)))</f>
        <v/>
      </c>
      <c r="IC11" s="132">
        <f>IF(OR(IC$4="",$B11=""),0,SUMIF('DADOS BRUTOS'!$A$3:$A$500,$B11,'DADOS BRUTOS'!FC$3:FC$500)+IF($C11="",0,SUMIF('DADOS BRUTOS'!$A$3:$A$500,$C11,'DADOS BRUTOS'!FC$3:FC$500)))</f>
        <v/>
      </c>
      <c r="ID11" s="132">
        <f>IF(OR(ID$4="",$B11=""),0,SUMIF('DADOS BRUTOS'!$A$3:$A$500,$B11,'DADOS BRUTOS'!FD$3:FD$500)+IF($C11="",0,SUMIF('DADOS BRUTOS'!$A$3:$A$500,$C11,'DADOS BRUTOS'!FD$3:FD$500)))</f>
        <v/>
      </c>
      <c r="IE11" s="132">
        <f>IF(OR(IE$4="",$B11=""),0,SUMIF('DADOS BRUTOS'!$A$3:$A$500,$B11,'DADOS BRUTOS'!FE$3:FE$500)+IF($C11="",0,SUMIF('DADOS BRUTOS'!$A$3:$A$500,$C11,'DADOS BRUTOS'!FE$3:FE$500)))</f>
        <v/>
      </c>
      <c r="IF11" s="132">
        <f>IF(OR(IF$4="",$B11=""),0,SUMIF('DADOS BRUTOS'!$A$3:$A$500,$B11,'DADOS BRUTOS'!FF$3:FF$500)+IF($C11="",0,SUMIF('DADOS BRUTOS'!$A$3:$A$500,$C11,'DADOS BRUTOS'!FF$3:FF$500)))</f>
        <v/>
      </c>
      <c r="IG11" s="132">
        <f>IF(OR(IG$4="",$B11=""),0,SUMIF('DADOS BRUTOS'!$A$3:$A$500,$B11,'DADOS BRUTOS'!FG$3:FG$500)+IF($C11="",0,SUMIF('DADOS BRUTOS'!$A$3:$A$500,$C11,'DADOS BRUTOS'!FG$3:FG$500)))</f>
        <v/>
      </c>
      <c r="IH11" s="132">
        <f>IF(OR(IH$4="",$B11=""),0,SUMIF('DADOS BRUTOS'!$A$3:$A$500,$B11,'DADOS BRUTOS'!FH$3:FH$500)+IF($C11="",0,SUMIF('DADOS BRUTOS'!$A$3:$A$500,$C11,'DADOS BRUTOS'!FH$3:FH$500)))</f>
        <v/>
      </c>
      <c r="II11" s="132">
        <f>IF(OR(II$4="",$B11=""),0,SUMIF('DADOS BRUTOS'!$A$3:$A$500,$B11,'DADOS BRUTOS'!FI$3:FI$500)+IF($C11="",0,SUMIF('DADOS BRUTOS'!$A$3:$A$500,$C11,'DADOS BRUTOS'!FI$3:FI$500)))</f>
        <v/>
      </c>
      <c r="IJ11" s="132">
        <f>IF(OR(IJ$4="",$B11=""),0,SUMIF('DADOS BRUTOS'!$A$3:$A$500,$B11,'DADOS BRUTOS'!FJ$3:FJ$500)+IF($C11="",0,SUMIF('DADOS BRUTOS'!$A$3:$A$500,$C11,'DADOS BRUTOS'!FJ$3:FJ$500)))</f>
        <v/>
      </c>
      <c r="IK11" s="132">
        <f>IF(OR(IK$4="",$B11=""),0,SUMIF('DADOS BRUTOS'!$A$3:$A$500,$B11,'DADOS BRUTOS'!FK$3:FK$500)+IF($C11="",0,SUMIF('DADOS BRUTOS'!$A$3:$A$500,$C11,'DADOS BRUTOS'!FK$3:FK$500)))</f>
        <v/>
      </c>
      <c r="IL11" s="132">
        <f>IF(OR(IL$4="",$B11=""),0,SUMIF('DADOS BRUTOS'!$A$3:$A$500,$B11,'DADOS BRUTOS'!FL$3:FL$500)+IF($C11="",0,SUMIF('DADOS BRUTOS'!$A$3:$A$500,$C11,'DADOS BRUTOS'!FL$3:FL$500)))</f>
        <v/>
      </c>
      <c r="IM11" s="132">
        <f>IF(OR(IM$4="",$B11=""),0,SUMIF('DADOS BRUTOS'!$A$3:$A$500,$B11,'DADOS BRUTOS'!FM$3:FM$500)+IF($C11="",0,SUMIF('DADOS BRUTOS'!$A$3:$A$500,$C11,'DADOS BRUTOS'!FM$3:FM$500)))</f>
        <v/>
      </c>
      <c r="IN11" s="132">
        <f>IF(OR(IN$4="",$B11=""),0,SUMIF('DADOS BRUTOS'!$A$3:$A$500,$B11,'DADOS BRUTOS'!FN$3:FN$500)+IF($C11="",0,SUMIF('DADOS BRUTOS'!$A$3:$A$500,$C11,'DADOS BRUTOS'!FN$3:FN$500)))</f>
        <v/>
      </c>
      <c r="IO11" s="132">
        <f>IF(OR(IO$4="",$B11=""),0,SUMIF('DADOS BRUTOS'!$A$3:$A$500,$B11,'DADOS BRUTOS'!FO$3:FO$500)+IF($C11="",0,SUMIF('DADOS BRUTOS'!$A$3:$A$500,$C11,'DADOS BRUTOS'!FO$3:FO$500)))</f>
        <v/>
      </c>
      <c r="IP11" s="132">
        <f>IF(OR(IP$4="",$B11=""),0,SUMIF('DADOS BRUTOS'!$A$3:$A$500,$B11,'DADOS BRUTOS'!FP$3:FP$500)+IF($C11="",0,SUMIF('DADOS BRUTOS'!$A$3:$A$500,$C11,'DADOS BRUTOS'!FP$3:FP$500)))</f>
        <v/>
      </c>
      <c r="IQ11" s="132">
        <f>IF(OR(IQ$4="",$B11=""),0,SUMIF('DADOS BRUTOS'!$A$3:$A$500,$B11,'DADOS BRUTOS'!FQ$3:FQ$500)+IF($C11="",0,SUMIF('DADOS BRUTOS'!$A$3:$A$500,$C11,'DADOS BRUTOS'!FQ$3:FQ$500)))</f>
        <v/>
      </c>
      <c r="IR11" s="132">
        <f>IF(OR(IR$4="",$B11=""),0,SUMIF('DADOS BRUTOS'!$A$3:$A$500,$B11,'DADOS BRUTOS'!FR$3:FR$500)+IF($C11="",0,SUMIF('DADOS BRUTOS'!$A$3:$A$500,$C11,'DADOS BRUTOS'!FR$3:FR$500)))</f>
        <v/>
      </c>
      <c r="IS11" s="132">
        <f>IF(OR(IS$4="",$B11=""),0,SUMIF('DADOS BRUTOS'!$A$3:$A$500,$B11,'DADOS BRUTOS'!FS$3:FS$500)+IF($C11="",0,SUMIF('DADOS BRUTOS'!$A$3:$A$500,$C11,'DADOS BRUTOS'!FS$3:FS$500)))</f>
        <v/>
      </c>
      <c r="IT11" s="132">
        <f>IF(OR(IT$4="",$B11=""),0,SUMIF('DADOS BRUTOS'!$A$3:$A$500,$B11,'DADOS BRUTOS'!FT$3:FT$500)+IF($C11="",0,SUMIF('DADOS BRUTOS'!$A$3:$A$500,$C11,'DADOS BRUTOS'!FT$3:FT$500)))</f>
        <v/>
      </c>
      <c r="IU11" s="132">
        <f>IF(OR(IU$4="",$B11=""),0,SUMIF('DADOS BRUTOS'!$A$3:$A$500,$B11,'DADOS BRUTOS'!FU$3:FU$500)+IF($C11="",0,SUMIF('DADOS BRUTOS'!$A$3:$A$500,$C11,'DADOS BRUTOS'!FU$3:FU$500)))</f>
        <v/>
      </c>
      <c r="IV11" s="132">
        <f>IF(OR(IV$4="",$B11=""),0,SUMIF('DADOS BRUTOS'!$A$3:$A$500,$B11,'DADOS BRUTOS'!FV$3:FV$500)+IF($C11="",0,SUMIF('DADOS BRUTOS'!$A$3:$A$500,$C11,'DADOS BRUTOS'!FV$3:FV$500)))</f>
        <v/>
      </c>
      <c r="IW11" s="132">
        <f>IF(OR(IW$4="",$B11=""),0,SUMIF('DADOS BRUTOS'!$A$3:$A$500,$B11,'DADOS BRUTOS'!FW$3:FW$500)+IF($C11="",0,SUMIF('DADOS BRUTOS'!$A$3:$A$500,$C11,'DADOS BRUTOS'!FW$3:FW$500)))</f>
        <v/>
      </c>
      <c r="IX11" s="132">
        <f>IF(OR(IX$4="",$B11=""),0,SUMIF('DADOS BRUTOS'!$A$3:$A$500,$B11,'DADOS BRUTOS'!FX$3:FX$500)+IF($C11="",0,SUMIF('DADOS BRUTOS'!$A$3:$A$500,$C11,'DADOS BRUTOS'!FX$3:FX$500)))</f>
        <v/>
      </c>
      <c r="IY11" s="132">
        <f>IF(OR(IY$4="",$B11=""),0,SUMIF('DADOS BRUTOS'!$A$3:$A$500,$B11,'DADOS BRUTOS'!FY$3:FY$500)+IF($C11="",0,SUMIF('DADOS BRUTOS'!$A$3:$A$500,$C11,'DADOS BRUTOS'!FY$3:FY$500)))</f>
        <v/>
      </c>
      <c r="IZ11" s="132">
        <f>IF(OR(IZ$4="",$B11=""),0,SUMIF('DADOS BRUTOS'!$A$3:$A$500,$B11,'DADOS BRUTOS'!FZ$3:FZ$500)+IF($C11="",0,SUMIF('DADOS BRUTOS'!$A$3:$A$500,$C11,'DADOS BRUTOS'!FZ$3:FZ$500)))</f>
        <v/>
      </c>
      <c r="JA11" s="132">
        <f>IF(OR(JA$4="",$B11=""),0,SUMIF('DADOS BRUTOS'!$A$3:$A$500,$B11,'DADOS BRUTOS'!GA$3:GA$500)+IF($C11="",0,SUMIF('DADOS BRUTOS'!$A$3:$A$500,$C11,'DADOS BRUTOS'!GA$3:GA$500)))</f>
        <v/>
      </c>
      <c r="JB11" s="132">
        <f>IF(OR(JB$4="",$B11=""),0,SUMIF('DADOS BRUTOS'!$A$3:$A$500,$B11,'DADOS BRUTOS'!GB$3:GB$500)+IF($C11="",0,SUMIF('DADOS BRUTOS'!$A$3:$A$500,$C11,'DADOS BRUTOS'!GB$3:GB$500)))</f>
        <v/>
      </c>
      <c r="JC11" s="132">
        <f>IF(OR(JC$4="",$B11=""),0,SUMIF('DADOS BRUTOS'!$A$3:$A$500,$B11,'DADOS BRUTOS'!GC$3:GC$500)+IF($C11="",0,SUMIF('DADOS BRUTOS'!$A$3:$A$500,$C11,'DADOS BRUTOS'!GC$3:GC$500)))</f>
        <v/>
      </c>
      <c r="JD11" s="132">
        <f>IF(OR(JD$4="",$B11=""),0,SUMIF('DADOS BRUTOS'!$A$3:$A$500,$B11,'DADOS BRUTOS'!GD$3:GD$500)+IF($C11="",0,SUMIF('DADOS BRUTOS'!$A$3:$A$500,$C11,'DADOS BRUTOS'!GD$3:GD$500)))</f>
        <v/>
      </c>
      <c r="JE11" s="132">
        <f>IF(OR(JE$4="",$B11=""),0,SUMIF('DADOS BRUTOS'!$A$3:$A$500,$B11,'DADOS BRUTOS'!GE$3:GE$500)+IF($C11="",0,SUMIF('DADOS BRUTOS'!$A$3:$A$500,$C11,'DADOS BRUTOS'!GE$3:GE$500)))</f>
        <v/>
      </c>
      <c r="JF11" s="132">
        <f>IF(OR(JF$4="",$B11=""),0,SUMIF('DADOS BRUTOS'!$A$3:$A$500,$B11,'DADOS BRUTOS'!GF$3:GF$500)+IF($C11="",0,SUMIF('DADOS BRUTOS'!$A$3:$A$500,$C11,'DADOS BRUTOS'!GF$3:GF$500)))</f>
        <v/>
      </c>
      <c r="JG11" s="132">
        <f>IF(OR(JG$4="",$B11=""),0,SUMIF('DADOS BRUTOS'!$A$3:$A$500,$B11,'DADOS BRUTOS'!GG$3:GG$500)+IF($C11="",0,SUMIF('DADOS BRUTOS'!$A$3:$A$500,$C11,'DADOS BRUTOS'!GG$3:GG$500)))</f>
        <v/>
      </c>
      <c r="JH11" s="132">
        <f>IF(OR(JH$4="",$B11=""),0,SUMIF('DADOS BRUTOS'!$A$3:$A$500,$B11,'DADOS BRUTOS'!GH$3:GH$500)+IF($C11="",0,SUMIF('DADOS BRUTOS'!$A$3:$A$500,$C11,'DADOS BRUTOS'!GH$3:GH$500)))</f>
        <v/>
      </c>
      <c r="JI11" s="132">
        <f>IF(OR(JI$4="",$B11=""),0,SUMIF('DADOS BRUTOS'!$A$3:$A$500,$B11,'DADOS BRUTOS'!GI$3:GI$500)+IF($C11="",0,SUMIF('DADOS BRUTOS'!$A$3:$A$500,$C11,'DADOS BRUTOS'!GI$3:GI$500)))</f>
        <v/>
      </c>
      <c r="JJ11" s="132">
        <f>IF(OR(JJ$4="",$B11=""),0,SUMIF('DADOS BRUTOS'!$A$3:$A$500,$B11,'DADOS BRUTOS'!GJ$3:GJ$500)+IF($C11="",0,SUMIF('DADOS BRUTOS'!$A$3:$A$500,$C11,'DADOS BRUTOS'!GJ$3:GJ$500)))</f>
        <v/>
      </c>
      <c r="JK11" s="132">
        <f>IF(OR(JK$4="",$B11=""),0,SUMIF('DADOS BRUTOS'!$A$3:$A$500,$B11,'DADOS BRUTOS'!GK$3:GK$500)+IF($C11="",0,SUMIF('DADOS BRUTOS'!$A$3:$A$500,$C11,'DADOS BRUTOS'!GK$3:GK$500)))</f>
        <v/>
      </c>
      <c r="JL11" s="132">
        <f>IF(OR(JL$4="",$B11=""),0,SUMIF('DADOS BRUTOS'!$A$3:$A$500,$B11,'DADOS BRUTOS'!GL$3:GL$500)+IF($C11="",0,SUMIF('DADOS BRUTOS'!$A$3:$A$500,$C11,'DADOS BRUTOS'!GL$3:GL$500)))</f>
        <v/>
      </c>
      <c r="JM11" s="132">
        <f>IF(OR(JM$4="",$B11=""),0,SUMIF('DADOS BRUTOS'!$A$3:$A$500,$B11,'DADOS BRUTOS'!GM$3:GM$500)+IF($C11="",0,SUMIF('DADOS BRUTOS'!$A$3:$A$500,$C11,'DADOS BRUTOS'!GM$3:GM$500)))</f>
        <v/>
      </c>
      <c r="JN11" s="132">
        <f>IF(OR(JN$4="",$B11=""),0,SUMIF('DADOS BRUTOS'!$A$3:$A$500,$B11,'DADOS BRUTOS'!GN$3:GN$500)+IF($C11="",0,SUMIF('DADOS BRUTOS'!$A$3:$A$500,$C11,'DADOS BRUTOS'!GN$3:GN$500)))</f>
        <v/>
      </c>
      <c r="JO11" s="132">
        <f>IF(OR(JO$4="",$B11=""),0,SUMIF('DADOS BRUTOS'!$A$3:$A$500,$B11,'DADOS BRUTOS'!GO$3:GO$500)+IF($C11="",0,SUMIF('DADOS BRUTOS'!$A$3:$A$500,$C11,'DADOS BRUTOS'!GO$3:GO$500)))</f>
        <v/>
      </c>
      <c r="JP11" s="132">
        <f>IF(OR(JP$4="",$B11=""),0,SUMIF('DADOS BRUTOS'!$A$3:$A$500,$B11,'DADOS BRUTOS'!GP$3:GP$500)+IF($C11="",0,SUMIF('DADOS BRUTOS'!$A$3:$A$500,$C11,'DADOS BRUTOS'!GP$3:GP$500)))</f>
        <v/>
      </c>
      <c r="JQ11" s="132">
        <f>IF(OR(JQ$4="",$B11=""),0,SUMIF('DADOS BRUTOS'!$A$3:$A$500,$B11,'DADOS BRUTOS'!GQ$3:GQ$500)+IF($C11="",0,SUMIF('DADOS BRUTOS'!$A$3:$A$500,$C11,'DADOS BRUTOS'!GQ$3:GQ$500)))</f>
        <v/>
      </c>
      <c r="JR11" s="132">
        <f>IF(OR(JR$4="",$B11=""),0,SUMIF('DADOS BRUTOS'!$A$3:$A$500,$B11,'DADOS BRUTOS'!GR$3:GR$500)+IF($C11="",0,SUMIF('DADOS BRUTOS'!$A$3:$A$500,$C11,'DADOS BRUTOS'!GR$3:GR$500)))</f>
        <v/>
      </c>
      <c r="JS11" s="132">
        <f>IF(OR(JS$4="",$B11=""),0,SUMIF('DADOS BRUTOS'!$A$3:$A$500,$B11,'DADOS BRUTOS'!GS$3:GS$500)+IF($C11="",0,SUMIF('DADOS BRUTOS'!$A$3:$A$500,$C11,'DADOS BRUTOS'!GS$3:GS$500)))</f>
        <v/>
      </c>
    </row>
    <row r="12">
      <c r="A12" s="61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BZ12" s="49">
        <f>SUMPRODUCT(($CB$4:$JS$4&lt;&gt;"")*($CB$4:$JS$4&lt;=$D$4),$CB12:$JS12,$CB$1:$JS$1)</f>
        <v/>
      </c>
      <c r="CB12" s="132">
        <f>IF(OR(CB$4="",$B12=""),0,SUMIF('DADOS BRUTOS'!$A$3:$A$500,$B12,'DADOS BRUTOS'!B$3:B$500)+IF($C12="",0,SUMIF('DADOS BRUTOS'!$A$3:$A$500,$C12,'DADOS BRUTOS'!B$3:B$500)))</f>
        <v/>
      </c>
      <c r="CC12" s="132">
        <f>IF(OR(CC$4="",$B12=""),0,SUMIF('DADOS BRUTOS'!$A$3:$A$500,$B12,'DADOS BRUTOS'!C$3:C$500)+IF($C12="",0,SUMIF('DADOS BRUTOS'!$A$3:$A$500,$C12,'DADOS BRUTOS'!C$3:C$500)))</f>
        <v/>
      </c>
      <c r="CD12" s="132">
        <f>IF(OR(CD$4="",$B12=""),0,SUMIF('DADOS BRUTOS'!$A$3:$A$500,$B12,'DADOS BRUTOS'!D$3:D$500)+IF($C12="",0,SUMIF('DADOS BRUTOS'!$A$3:$A$500,$C12,'DADOS BRUTOS'!D$3:D$500)))</f>
        <v/>
      </c>
      <c r="CE12" s="132">
        <f>IF(OR(CE$4="",$B12=""),0,SUMIF('DADOS BRUTOS'!$A$3:$A$500,$B12,'DADOS BRUTOS'!E$3:E$500)+IF($C12="",0,SUMIF('DADOS BRUTOS'!$A$3:$A$500,$C12,'DADOS BRUTOS'!E$3:E$500)))</f>
        <v/>
      </c>
      <c r="CF12" s="132">
        <f>IF(OR(CF$4="",$B12=""),0,SUMIF('DADOS BRUTOS'!$A$3:$A$500,$B12,'DADOS BRUTOS'!F$3:F$500)+IF($C12="",0,SUMIF('DADOS BRUTOS'!$A$3:$A$500,$C12,'DADOS BRUTOS'!F$3:F$500)))</f>
        <v/>
      </c>
      <c r="CG12" s="132">
        <f>IF(OR(CG$4="",$B12=""),0,SUMIF('DADOS BRUTOS'!$A$3:$A$500,$B12,'DADOS BRUTOS'!G$3:G$500)+IF($C12="",0,SUMIF('DADOS BRUTOS'!$A$3:$A$500,$C12,'DADOS BRUTOS'!G$3:G$500)))</f>
        <v/>
      </c>
      <c r="CH12" s="132">
        <f>IF(OR(CH$4="",$B12=""),0,SUMIF('DADOS BRUTOS'!$A$3:$A$500,$B12,'DADOS BRUTOS'!H$3:H$500)+IF($C12="",0,SUMIF('DADOS BRUTOS'!$A$3:$A$500,$C12,'DADOS BRUTOS'!H$3:H$500)))</f>
        <v/>
      </c>
      <c r="CI12" s="132">
        <f>IF(OR(CI$4="",$B12=""),0,SUMIF('DADOS BRUTOS'!$A$3:$A$500,$B12,'DADOS BRUTOS'!I$3:I$500)+IF($C12="",0,SUMIF('DADOS BRUTOS'!$A$3:$A$500,$C12,'DADOS BRUTOS'!I$3:I$500)))</f>
        <v/>
      </c>
      <c r="CJ12" s="132">
        <f>IF(OR(CJ$4="",$B12=""),0,SUMIF('DADOS BRUTOS'!$A$3:$A$500,$B12,'DADOS BRUTOS'!J$3:J$500)+IF($C12="",0,SUMIF('DADOS BRUTOS'!$A$3:$A$500,$C12,'DADOS BRUTOS'!J$3:J$500)))</f>
        <v/>
      </c>
      <c r="CK12" s="132">
        <f>IF(OR(CK$4="",$B12=""),0,SUMIF('DADOS BRUTOS'!$A$3:$A$500,$B12,'DADOS BRUTOS'!K$3:K$500)+IF($C12="",0,SUMIF('DADOS BRUTOS'!$A$3:$A$500,$C12,'DADOS BRUTOS'!K$3:K$500)))</f>
        <v/>
      </c>
      <c r="CL12" s="132">
        <f>IF(OR(CL$4="",$B12=""),0,SUMIF('DADOS BRUTOS'!$A$3:$A$500,$B12,'DADOS BRUTOS'!L$3:L$500)+IF($C12="",0,SUMIF('DADOS BRUTOS'!$A$3:$A$500,$C12,'DADOS BRUTOS'!L$3:L$500)))</f>
        <v/>
      </c>
      <c r="CM12" s="132">
        <f>IF(OR(CM$4="",$B12=""),0,SUMIF('DADOS BRUTOS'!$A$3:$A$500,$B12,'DADOS BRUTOS'!M$3:M$500)+IF($C12="",0,SUMIF('DADOS BRUTOS'!$A$3:$A$500,$C12,'DADOS BRUTOS'!M$3:M$500)))</f>
        <v/>
      </c>
      <c r="CN12" s="132">
        <f>IF(OR(CN$4="",$B12=""),0,SUMIF('DADOS BRUTOS'!$A$3:$A$500,$B12,'DADOS BRUTOS'!N$3:N$500)+IF($C12="",0,SUMIF('DADOS BRUTOS'!$A$3:$A$500,$C12,'DADOS BRUTOS'!N$3:N$500)))</f>
        <v/>
      </c>
      <c r="CO12" s="132">
        <f>IF(OR(CO$4="",$B12=""),0,SUMIF('DADOS BRUTOS'!$A$3:$A$500,$B12,'DADOS BRUTOS'!O$3:O$500)+IF($C12="",0,SUMIF('DADOS BRUTOS'!$A$3:$A$500,$C12,'DADOS BRUTOS'!O$3:O$500)))</f>
        <v/>
      </c>
      <c r="CP12" s="132">
        <f>IF(OR(CP$4="",$B12=""),0,SUMIF('DADOS BRUTOS'!$A$3:$A$500,$B12,'DADOS BRUTOS'!P$3:P$500)+IF($C12="",0,SUMIF('DADOS BRUTOS'!$A$3:$A$500,$C12,'DADOS BRUTOS'!P$3:P$500)))</f>
        <v/>
      </c>
      <c r="CQ12" s="132">
        <f>IF(OR(CQ$4="",$B12=""),0,SUMIF('DADOS BRUTOS'!$A$3:$A$500,$B12,'DADOS BRUTOS'!Q$3:Q$500)+IF($C12="",0,SUMIF('DADOS BRUTOS'!$A$3:$A$500,$C12,'DADOS BRUTOS'!Q$3:Q$500)))</f>
        <v/>
      </c>
      <c r="CR12" s="132">
        <f>IF(OR(CR$4="",$B12=""),0,SUMIF('DADOS BRUTOS'!$A$3:$A$500,$B12,'DADOS BRUTOS'!R$3:R$500)+IF($C12="",0,SUMIF('DADOS BRUTOS'!$A$3:$A$500,$C12,'DADOS BRUTOS'!R$3:R$500)))</f>
        <v/>
      </c>
      <c r="CS12" s="132">
        <f>IF(OR(CS$4="",$B12=""),0,SUMIF('DADOS BRUTOS'!$A$3:$A$500,$B12,'DADOS BRUTOS'!S$3:S$500)+IF($C12="",0,SUMIF('DADOS BRUTOS'!$A$3:$A$500,$C12,'DADOS BRUTOS'!S$3:S$500)))</f>
        <v/>
      </c>
      <c r="CT12" s="132">
        <f>IF(OR(CT$4="",$B12=""),0,SUMIF('DADOS BRUTOS'!$A$3:$A$500,$B12,'DADOS BRUTOS'!T$3:T$500)+IF($C12="",0,SUMIF('DADOS BRUTOS'!$A$3:$A$500,$C12,'DADOS BRUTOS'!T$3:T$500)))</f>
        <v/>
      </c>
      <c r="CU12" s="132">
        <f>IF(OR(CU$4="",$B12=""),0,SUMIF('DADOS BRUTOS'!$A$3:$A$500,$B12,'DADOS BRUTOS'!U$3:U$500)+IF($C12="",0,SUMIF('DADOS BRUTOS'!$A$3:$A$500,$C12,'DADOS BRUTOS'!U$3:U$500)))</f>
        <v/>
      </c>
      <c r="CV12" s="132">
        <f>IF(OR(CV$4="",$B12=""),0,SUMIF('DADOS BRUTOS'!$A$3:$A$500,$B12,'DADOS BRUTOS'!V$3:V$500)+IF($C12="",0,SUMIF('DADOS BRUTOS'!$A$3:$A$500,$C12,'DADOS BRUTOS'!V$3:V$500)))</f>
        <v/>
      </c>
      <c r="CW12" s="132">
        <f>IF(OR(CW$4="",$B12=""),0,SUMIF('DADOS BRUTOS'!$A$3:$A$500,$B12,'DADOS BRUTOS'!W$3:W$500)+IF($C12="",0,SUMIF('DADOS BRUTOS'!$A$3:$A$500,$C12,'DADOS BRUTOS'!W$3:W$500)))</f>
        <v/>
      </c>
      <c r="CX12" s="132">
        <f>IF(OR(CX$4="",$B12=""),0,SUMIF('DADOS BRUTOS'!$A$3:$A$500,$B12,'DADOS BRUTOS'!X$3:X$500)+IF($C12="",0,SUMIF('DADOS BRUTOS'!$A$3:$A$500,$C12,'DADOS BRUTOS'!X$3:X$500)))</f>
        <v/>
      </c>
      <c r="CY12" s="132">
        <f>IF(OR(CY$4="",$B12=""),0,SUMIF('DADOS BRUTOS'!$A$3:$A$500,$B12,'DADOS BRUTOS'!Y$3:Y$500)+IF($C12="",0,SUMIF('DADOS BRUTOS'!$A$3:$A$500,$C12,'DADOS BRUTOS'!Y$3:Y$500)))</f>
        <v/>
      </c>
      <c r="CZ12" s="132">
        <f>IF(OR(CZ$4="",$B12=""),0,SUMIF('DADOS BRUTOS'!$A$3:$A$500,$B12,'DADOS BRUTOS'!Z$3:Z$500)+IF($C12="",0,SUMIF('DADOS BRUTOS'!$A$3:$A$500,$C12,'DADOS BRUTOS'!Z$3:Z$500)))</f>
        <v/>
      </c>
      <c r="DA12" s="132">
        <f>IF(OR(DA$4="",$B12=""),0,SUMIF('DADOS BRUTOS'!$A$3:$A$500,$B12,'DADOS BRUTOS'!AA$3:AA$500)+IF($C12="",0,SUMIF('DADOS BRUTOS'!$A$3:$A$500,$C12,'DADOS BRUTOS'!AA$3:AA$500)))</f>
        <v/>
      </c>
      <c r="DB12" s="132">
        <f>IF(OR(DB$4="",$B12=""),0,SUMIF('DADOS BRUTOS'!$A$3:$A$500,$B12,'DADOS BRUTOS'!AB$3:AB$500)+IF($C12="",0,SUMIF('DADOS BRUTOS'!$A$3:$A$500,$C12,'DADOS BRUTOS'!AB$3:AB$500)))</f>
        <v/>
      </c>
      <c r="DC12" s="132">
        <f>IF(OR(DC$4="",$B12=""),0,SUMIF('DADOS BRUTOS'!$A$3:$A$500,$B12,'DADOS BRUTOS'!AC$3:AC$500)+IF($C12="",0,SUMIF('DADOS BRUTOS'!$A$3:$A$500,$C12,'DADOS BRUTOS'!AC$3:AC$500)))</f>
        <v/>
      </c>
      <c r="DD12" s="132">
        <f>IF(OR(DD$4="",$B12=""),0,SUMIF('DADOS BRUTOS'!$A$3:$A$500,$B12,'DADOS BRUTOS'!AD$3:AD$500)+IF($C12="",0,SUMIF('DADOS BRUTOS'!$A$3:$A$500,$C12,'DADOS BRUTOS'!AD$3:AD$500)))</f>
        <v/>
      </c>
      <c r="DE12" s="132">
        <f>IF(OR(DE$4="",$B12=""),0,SUMIF('DADOS BRUTOS'!$A$3:$A$500,$B12,'DADOS BRUTOS'!AE$3:AE$500)+IF($C12="",0,SUMIF('DADOS BRUTOS'!$A$3:$A$500,$C12,'DADOS BRUTOS'!AE$3:AE$500)))</f>
        <v/>
      </c>
      <c r="DF12" s="132">
        <f>IF(OR(DF$4="",$B12=""),0,SUMIF('DADOS BRUTOS'!$A$3:$A$500,$B12,'DADOS BRUTOS'!AF$3:AF$500)+IF($C12="",0,SUMIF('DADOS BRUTOS'!$A$3:$A$500,$C12,'DADOS BRUTOS'!AF$3:AF$500)))</f>
        <v/>
      </c>
      <c r="DG12" s="132">
        <f>IF(OR(DG$4="",$B12=""),0,SUMIF('DADOS BRUTOS'!$A$3:$A$500,$B12,'DADOS BRUTOS'!AG$3:AG$500)+IF($C12="",0,SUMIF('DADOS BRUTOS'!$A$3:$A$500,$C12,'DADOS BRUTOS'!AG$3:AG$500)))</f>
        <v/>
      </c>
      <c r="DH12" s="132">
        <f>IF(OR(DH$4="",$B12=""),0,SUMIF('DADOS BRUTOS'!$A$3:$A$500,$B12,'DADOS BRUTOS'!AH$3:AH$500)+IF($C12="",0,SUMIF('DADOS BRUTOS'!$A$3:$A$500,$C12,'DADOS BRUTOS'!AH$3:AH$500)))</f>
        <v/>
      </c>
      <c r="DI12" s="132">
        <f>IF(OR(DI$4="",$B12=""),0,SUMIF('DADOS BRUTOS'!$A$3:$A$500,$B12,'DADOS BRUTOS'!AI$3:AI$500)+IF($C12="",0,SUMIF('DADOS BRUTOS'!$A$3:$A$500,$C12,'DADOS BRUTOS'!AI$3:AI$500)))</f>
        <v/>
      </c>
      <c r="DJ12" s="132">
        <f>IF(OR(DJ$4="",$B12=""),0,SUMIF('DADOS BRUTOS'!$A$3:$A$500,$B12,'DADOS BRUTOS'!AJ$3:AJ$500)+IF($C12="",0,SUMIF('DADOS BRUTOS'!$A$3:$A$500,$C12,'DADOS BRUTOS'!AJ$3:AJ$500)))</f>
        <v/>
      </c>
      <c r="DK12" s="132">
        <f>IF(OR(DK$4="",$B12=""),0,SUMIF('DADOS BRUTOS'!$A$3:$A$500,$B12,'DADOS BRUTOS'!AK$3:AK$500)+IF($C12="",0,SUMIF('DADOS BRUTOS'!$A$3:$A$500,$C12,'DADOS BRUTOS'!AK$3:AK$500)))</f>
        <v/>
      </c>
      <c r="DL12" s="132">
        <f>IF(OR(DL$4="",$B12=""),0,SUMIF('DADOS BRUTOS'!$A$3:$A$500,$B12,'DADOS BRUTOS'!AL$3:AL$500)+IF($C12="",0,SUMIF('DADOS BRUTOS'!$A$3:$A$500,$C12,'DADOS BRUTOS'!AL$3:AL$500)))</f>
        <v/>
      </c>
      <c r="DM12" s="132">
        <f>IF(OR(DM$4="",$B12=""),0,SUMIF('DADOS BRUTOS'!$A$3:$A$500,$B12,'DADOS BRUTOS'!AM$3:AM$500)+IF($C12="",0,SUMIF('DADOS BRUTOS'!$A$3:$A$500,$C12,'DADOS BRUTOS'!AM$3:AM$500)))</f>
        <v/>
      </c>
      <c r="DN12" s="132">
        <f>IF(OR(DN$4="",$B12=""),0,SUMIF('DADOS BRUTOS'!$A$3:$A$500,$B12,'DADOS BRUTOS'!AN$3:AN$500)+IF($C12="",0,SUMIF('DADOS BRUTOS'!$A$3:$A$500,$C12,'DADOS BRUTOS'!AN$3:AN$500)))</f>
        <v/>
      </c>
      <c r="DO12" s="132">
        <f>IF(OR(DO$4="",$B12=""),0,SUMIF('DADOS BRUTOS'!$A$3:$A$500,$B12,'DADOS BRUTOS'!AO$3:AO$500)+IF($C12="",0,SUMIF('DADOS BRUTOS'!$A$3:$A$500,$C12,'DADOS BRUTOS'!AO$3:AO$500)))</f>
        <v/>
      </c>
      <c r="DP12" s="132">
        <f>IF(OR(DP$4="",$B12=""),0,SUMIF('DADOS BRUTOS'!$A$3:$A$500,$B12,'DADOS BRUTOS'!AP$3:AP$500)+IF($C12="",0,SUMIF('DADOS BRUTOS'!$A$3:$A$500,$C12,'DADOS BRUTOS'!AP$3:AP$500)))</f>
        <v/>
      </c>
      <c r="DQ12" s="132">
        <f>IF(OR(DQ$4="",$B12=""),0,SUMIF('DADOS BRUTOS'!$A$3:$A$500,$B12,'DADOS BRUTOS'!AQ$3:AQ$500)+IF($C12="",0,SUMIF('DADOS BRUTOS'!$A$3:$A$500,$C12,'DADOS BRUTOS'!AQ$3:AQ$500)))</f>
        <v/>
      </c>
      <c r="DR12" s="132">
        <f>IF(OR(DR$4="",$B12=""),0,SUMIF('DADOS BRUTOS'!$A$3:$A$500,$B12,'DADOS BRUTOS'!AR$3:AR$500)+IF($C12="",0,SUMIF('DADOS BRUTOS'!$A$3:$A$500,$C12,'DADOS BRUTOS'!AR$3:AR$500)))</f>
        <v/>
      </c>
      <c r="DS12" s="132">
        <f>IF(OR(DS$4="",$B12=""),0,SUMIF('DADOS BRUTOS'!$A$3:$A$500,$B12,'DADOS BRUTOS'!AS$3:AS$500)+IF($C12="",0,SUMIF('DADOS BRUTOS'!$A$3:$A$500,$C12,'DADOS BRUTOS'!AS$3:AS$500)))</f>
        <v/>
      </c>
      <c r="DT12" s="132">
        <f>IF(OR(DT$4="",$B12=""),0,SUMIF('DADOS BRUTOS'!$A$3:$A$500,$B12,'DADOS BRUTOS'!AT$3:AT$500)+IF($C12="",0,SUMIF('DADOS BRUTOS'!$A$3:$A$500,$C12,'DADOS BRUTOS'!AT$3:AT$500)))</f>
        <v/>
      </c>
      <c r="DU12" s="132">
        <f>IF(OR(DU$4="",$B12=""),0,SUMIF('DADOS BRUTOS'!$A$3:$A$500,$B12,'DADOS BRUTOS'!AU$3:AU$500)+IF($C12="",0,SUMIF('DADOS BRUTOS'!$A$3:$A$500,$C12,'DADOS BRUTOS'!AU$3:AU$500)))</f>
        <v/>
      </c>
      <c r="DV12" s="132">
        <f>IF(OR(DV$4="",$B12=""),0,SUMIF('DADOS BRUTOS'!$A$3:$A$500,$B12,'DADOS BRUTOS'!AV$3:AV$500)+IF($C12="",0,SUMIF('DADOS BRUTOS'!$A$3:$A$500,$C12,'DADOS BRUTOS'!AV$3:AV$500)))</f>
        <v/>
      </c>
      <c r="DW12" s="132">
        <f>IF(OR(DW$4="",$B12=""),0,SUMIF('DADOS BRUTOS'!$A$3:$A$500,$B12,'DADOS BRUTOS'!AW$3:AW$500)+IF($C12="",0,SUMIF('DADOS BRUTOS'!$A$3:$A$500,$C12,'DADOS BRUTOS'!AW$3:AW$500)))</f>
        <v/>
      </c>
      <c r="DX12" s="132">
        <f>IF(OR(DX$4="",$B12=""),0,SUMIF('DADOS BRUTOS'!$A$3:$A$500,$B12,'DADOS BRUTOS'!AX$3:AX$500)+IF($C12="",0,SUMIF('DADOS BRUTOS'!$A$3:$A$500,$C12,'DADOS BRUTOS'!AX$3:AX$500)))</f>
        <v/>
      </c>
      <c r="DY12" s="132">
        <f>IF(OR(DY$4="",$B12=""),0,SUMIF('DADOS BRUTOS'!$A$3:$A$500,$B12,'DADOS BRUTOS'!AY$3:AY$500)+IF($C12="",0,SUMIF('DADOS BRUTOS'!$A$3:$A$500,$C12,'DADOS BRUTOS'!AY$3:AY$500)))</f>
        <v/>
      </c>
      <c r="DZ12" s="132">
        <f>IF(OR(DZ$4="",$B12=""),0,SUMIF('DADOS BRUTOS'!$A$3:$A$500,$B12,'DADOS BRUTOS'!AZ$3:AZ$500)+IF($C12="",0,SUMIF('DADOS BRUTOS'!$A$3:$A$500,$C12,'DADOS BRUTOS'!AZ$3:AZ$500)))</f>
        <v/>
      </c>
      <c r="EA12" s="132">
        <f>IF(OR(EA$4="",$B12=""),0,SUMIF('DADOS BRUTOS'!$A$3:$A$500,$B12,'DADOS BRUTOS'!BA$3:BA$500)+IF($C12="",0,SUMIF('DADOS BRUTOS'!$A$3:$A$500,$C12,'DADOS BRUTOS'!BA$3:BA$500)))</f>
        <v/>
      </c>
      <c r="EB12" s="132">
        <f>IF(OR(EB$4="",$B12=""),0,SUMIF('DADOS BRUTOS'!$A$3:$A$500,$B12,'DADOS BRUTOS'!BB$3:BB$500)+IF($C12="",0,SUMIF('DADOS BRUTOS'!$A$3:$A$500,$C12,'DADOS BRUTOS'!BB$3:BB$500)))</f>
        <v/>
      </c>
      <c r="EC12" s="132">
        <f>IF(OR(EC$4="",$B12=""),0,SUMIF('DADOS BRUTOS'!$A$3:$A$500,$B12,'DADOS BRUTOS'!BC$3:BC$500)+IF($C12="",0,SUMIF('DADOS BRUTOS'!$A$3:$A$500,$C12,'DADOS BRUTOS'!BC$3:BC$500)))</f>
        <v/>
      </c>
      <c r="ED12" s="132">
        <f>IF(OR(ED$4="",$B12=""),0,SUMIF('DADOS BRUTOS'!$A$3:$A$500,$B12,'DADOS BRUTOS'!BD$3:BD$500)+IF($C12="",0,SUMIF('DADOS BRUTOS'!$A$3:$A$500,$C12,'DADOS BRUTOS'!BD$3:BD$500)))</f>
        <v/>
      </c>
      <c r="EE12" s="132">
        <f>IF(OR(EE$4="",$B12=""),0,SUMIF('DADOS BRUTOS'!$A$3:$A$500,$B12,'DADOS BRUTOS'!BE$3:BE$500)+IF($C12="",0,SUMIF('DADOS BRUTOS'!$A$3:$A$500,$C12,'DADOS BRUTOS'!BE$3:BE$500)))</f>
        <v/>
      </c>
      <c r="EF12" s="132">
        <f>IF(OR(EF$4="",$B12=""),0,SUMIF('DADOS BRUTOS'!$A$3:$A$500,$B12,'DADOS BRUTOS'!BF$3:BF$500)+IF($C12="",0,SUMIF('DADOS BRUTOS'!$A$3:$A$500,$C12,'DADOS BRUTOS'!BF$3:BF$500)))</f>
        <v/>
      </c>
      <c r="EG12" s="132">
        <f>IF(OR(EG$4="",$B12=""),0,SUMIF('DADOS BRUTOS'!$A$3:$A$500,$B12,'DADOS BRUTOS'!BG$3:BG$500)+IF($C12="",0,SUMIF('DADOS BRUTOS'!$A$3:$A$500,$C12,'DADOS BRUTOS'!BG$3:BG$500)))</f>
        <v/>
      </c>
      <c r="EH12" s="132">
        <f>IF(OR(EH$4="",$B12=""),0,SUMIF('DADOS BRUTOS'!$A$3:$A$500,$B12,'DADOS BRUTOS'!BH$3:BH$500)+IF($C12="",0,SUMIF('DADOS BRUTOS'!$A$3:$A$500,$C12,'DADOS BRUTOS'!BH$3:BH$500)))</f>
        <v/>
      </c>
      <c r="EI12" s="132">
        <f>IF(OR(EI$4="",$B12=""),0,SUMIF('DADOS BRUTOS'!$A$3:$A$500,$B12,'DADOS BRUTOS'!BI$3:BI$500)+IF($C12="",0,SUMIF('DADOS BRUTOS'!$A$3:$A$500,$C12,'DADOS BRUTOS'!BI$3:BI$500)))</f>
        <v/>
      </c>
      <c r="EJ12" s="132">
        <f>IF(OR(EJ$4="",$B12=""),0,SUMIF('DADOS BRUTOS'!$A$3:$A$500,$B12,'DADOS BRUTOS'!BJ$3:BJ$500)+IF($C12="",0,SUMIF('DADOS BRUTOS'!$A$3:$A$500,$C12,'DADOS BRUTOS'!BJ$3:BJ$500)))</f>
        <v/>
      </c>
      <c r="EK12" s="132">
        <f>IF(OR(EK$4="",$B12=""),0,SUMIF('DADOS BRUTOS'!$A$3:$A$500,$B12,'DADOS BRUTOS'!BK$3:BK$500)+IF($C12="",0,SUMIF('DADOS BRUTOS'!$A$3:$A$500,$C12,'DADOS BRUTOS'!BK$3:BK$500)))</f>
        <v/>
      </c>
      <c r="EL12" s="132">
        <f>IF(OR(EL$4="",$B12=""),0,SUMIF('DADOS BRUTOS'!$A$3:$A$500,$B12,'DADOS BRUTOS'!BL$3:BL$500)+IF($C12="",0,SUMIF('DADOS BRUTOS'!$A$3:$A$500,$C12,'DADOS BRUTOS'!BL$3:BL$500)))</f>
        <v/>
      </c>
      <c r="EM12" s="132">
        <f>IF(OR(EM$4="",$B12=""),0,SUMIF('DADOS BRUTOS'!$A$3:$A$500,$B12,'DADOS BRUTOS'!BM$3:BM$500)+IF($C12="",0,SUMIF('DADOS BRUTOS'!$A$3:$A$500,$C12,'DADOS BRUTOS'!BM$3:BM$500)))</f>
        <v/>
      </c>
      <c r="EN12" s="132">
        <f>IF(OR(EN$4="",$B12=""),0,SUMIF('DADOS BRUTOS'!$A$3:$A$500,$B12,'DADOS BRUTOS'!BN$3:BN$500)+IF($C12="",0,SUMIF('DADOS BRUTOS'!$A$3:$A$500,$C12,'DADOS BRUTOS'!BN$3:BN$500)))</f>
        <v/>
      </c>
      <c r="EO12" s="132">
        <f>IF(OR(EO$4="",$B12=""),0,SUMIF('DADOS BRUTOS'!$A$3:$A$500,$B12,'DADOS BRUTOS'!BO$3:BO$500)+IF($C12="",0,SUMIF('DADOS BRUTOS'!$A$3:$A$500,$C12,'DADOS BRUTOS'!BO$3:BO$500)))</f>
        <v/>
      </c>
      <c r="EP12" s="132">
        <f>IF(OR(EP$4="",$B12=""),0,SUMIF('DADOS BRUTOS'!$A$3:$A$500,$B12,'DADOS BRUTOS'!BP$3:BP$500)+IF($C12="",0,SUMIF('DADOS BRUTOS'!$A$3:$A$500,$C12,'DADOS BRUTOS'!BP$3:BP$500)))</f>
        <v/>
      </c>
      <c r="EQ12" s="132">
        <f>IF(OR(EQ$4="",$B12=""),0,SUMIF('DADOS BRUTOS'!$A$3:$A$500,$B12,'DADOS BRUTOS'!BQ$3:BQ$500)+IF($C12="",0,SUMIF('DADOS BRUTOS'!$A$3:$A$500,$C12,'DADOS BRUTOS'!BQ$3:BQ$500)))</f>
        <v/>
      </c>
      <c r="ER12" s="132">
        <f>IF(OR(ER$4="",$B12=""),0,SUMIF('DADOS BRUTOS'!$A$3:$A$500,$B12,'DADOS BRUTOS'!BR$3:BR$500)+IF($C12="",0,SUMIF('DADOS BRUTOS'!$A$3:$A$500,$C12,'DADOS BRUTOS'!BR$3:BR$500)))</f>
        <v/>
      </c>
      <c r="ES12" s="132">
        <f>IF(OR(ES$4="",$B12=""),0,SUMIF('DADOS BRUTOS'!$A$3:$A$500,$B12,'DADOS BRUTOS'!BS$3:BS$500)+IF($C12="",0,SUMIF('DADOS BRUTOS'!$A$3:$A$500,$C12,'DADOS BRUTOS'!BS$3:BS$500)))</f>
        <v/>
      </c>
      <c r="ET12" s="132">
        <f>IF(OR(ET$4="",$B12=""),0,SUMIF('DADOS BRUTOS'!$A$3:$A$500,$B12,'DADOS BRUTOS'!BT$3:BT$500)+IF($C12="",0,SUMIF('DADOS BRUTOS'!$A$3:$A$500,$C12,'DADOS BRUTOS'!BT$3:BT$500)))</f>
        <v/>
      </c>
      <c r="EU12" s="132">
        <f>IF(OR(EU$4="",$B12=""),0,SUMIF('DADOS BRUTOS'!$A$3:$A$500,$B12,'DADOS BRUTOS'!BU$3:BU$500)+IF($C12="",0,SUMIF('DADOS BRUTOS'!$A$3:$A$500,$C12,'DADOS BRUTOS'!BU$3:BU$500)))</f>
        <v/>
      </c>
      <c r="EV12" s="132">
        <f>IF(OR(EV$4="",$B12=""),0,SUMIF('DADOS BRUTOS'!$A$3:$A$500,$B12,'DADOS BRUTOS'!BV$3:BV$500)+IF($C12="",0,SUMIF('DADOS BRUTOS'!$A$3:$A$500,$C12,'DADOS BRUTOS'!BV$3:BV$500)))</f>
        <v/>
      </c>
      <c r="EW12" s="132">
        <f>IF(OR(EW$4="",$B12=""),0,SUMIF('DADOS BRUTOS'!$A$3:$A$500,$B12,'DADOS BRUTOS'!BW$3:BW$500)+IF($C12="",0,SUMIF('DADOS BRUTOS'!$A$3:$A$500,$C12,'DADOS BRUTOS'!BW$3:BW$500)))</f>
        <v/>
      </c>
      <c r="EX12" s="132">
        <f>IF(OR(EX$4="",$B12=""),0,SUMIF('DADOS BRUTOS'!$A$3:$A$500,$B12,'DADOS BRUTOS'!BX$3:BX$500)+IF($C12="",0,SUMIF('DADOS BRUTOS'!$A$3:$A$500,$C12,'DADOS BRUTOS'!BX$3:BX$500)))</f>
        <v/>
      </c>
      <c r="EY12" s="132">
        <f>IF(OR(EY$4="",$B12=""),0,SUMIF('DADOS BRUTOS'!$A$3:$A$500,$B12,'DADOS BRUTOS'!BY$3:BY$500)+IF($C12="",0,SUMIF('DADOS BRUTOS'!$A$3:$A$500,$C12,'DADOS BRUTOS'!BY$3:BY$500)))</f>
        <v/>
      </c>
      <c r="EZ12" s="132">
        <f>IF(OR(EZ$4="",$B12=""),0,SUMIF('DADOS BRUTOS'!$A$3:$A$500,$B12,'DADOS BRUTOS'!BZ$3:BZ$500)+IF($C12="",0,SUMIF('DADOS BRUTOS'!$A$3:$A$500,$C12,'DADOS BRUTOS'!BZ$3:BZ$500)))</f>
        <v/>
      </c>
      <c r="FA12" s="132">
        <f>IF(OR(FA$4="",$B12=""),0,SUMIF('DADOS BRUTOS'!$A$3:$A$500,$B12,'DADOS BRUTOS'!CA$3:CA$500)+IF($C12="",0,SUMIF('DADOS BRUTOS'!$A$3:$A$500,$C12,'DADOS BRUTOS'!CA$3:CA$500)))</f>
        <v/>
      </c>
      <c r="FB12" s="132">
        <f>IF(OR(FB$4="",$B12=""),0,SUMIF('DADOS BRUTOS'!$A$3:$A$500,$B12,'DADOS BRUTOS'!CB$3:CB$500)+IF($C12="",0,SUMIF('DADOS BRUTOS'!$A$3:$A$500,$C12,'DADOS BRUTOS'!CB$3:CB$500)))</f>
        <v/>
      </c>
      <c r="FC12" s="132">
        <f>IF(OR(FC$4="",$B12=""),0,SUMIF('DADOS BRUTOS'!$A$3:$A$500,$B12,'DADOS BRUTOS'!CC$3:CC$500)+IF($C12="",0,SUMIF('DADOS BRUTOS'!$A$3:$A$500,$C12,'DADOS BRUTOS'!CC$3:CC$500)))</f>
        <v/>
      </c>
      <c r="FD12" s="132">
        <f>IF(OR(FD$4="",$B12=""),0,SUMIF('DADOS BRUTOS'!$A$3:$A$500,$B12,'DADOS BRUTOS'!CD$3:CD$500)+IF($C12="",0,SUMIF('DADOS BRUTOS'!$A$3:$A$500,$C12,'DADOS BRUTOS'!CD$3:CD$500)))</f>
        <v/>
      </c>
      <c r="FE12" s="132">
        <f>IF(OR(FE$4="",$B12=""),0,SUMIF('DADOS BRUTOS'!$A$3:$A$500,$B12,'DADOS BRUTOS'!CE$3:CE$500)+IF($C12="",0,SUMIF('DADOS BRUTOS'!$A$3:$A$500,$C12,'DADOS BRUTOS'!CE$3:CE$500)))</f>
        <v/>
      </c>
      <c r="FF12" s="132">
        <f>IF(OR(FF$4="",$B12=""),0,SUMIF('DADOS BRUTOS'!$A$3:$A$500,$B12,'DADOS BRUTOS'!CF$3:CF$500)+IF($C12="",0,SUMIF('DADOS BRUTOS'!$A$3:$A$500,$C12,'DADOS BRUTOS'!CF$3:CF$500)))</f>
        <v/>
      </c>
      <c r="FG12" s="132">
        <f>IF(OR(FG$4="",$B12=""),0,SUMIF('DADOS BRUTOS'!$A$3:$A$500,$B12,'DADOS BRUTOS'!CG$3:CG$500)+IF($C12="",0,SUMIF('DADOS BRUTOS'!$A$3:$A$500,$C12,'DADOS BRUTOS'!CG$3:CG$500)))</f>
        <v/>
      </c>
      <c r="FH12" s="132">
        <f>IF(OR(FH$4="",$B12=""),0,SUMIF('DADOS BRUTOS'!$A$3:$A$500,$B12,'DADOS BRUTOS'!CH$3:CH$500)+IF($C12="",0,SUMIF('DADOS BRUTOS'!$A$3:$A$500,$C12,'DADOS BRUTOS'!CH$3:CH$500)))</f>
        <v/>
      </c>
      <c r="FI12" s="132">
        <f>IF(OR(FI$4="",$B12=""),0,SUMIF('DADOS BRUTOS'!$A$3:$A$500,$B12,'DADOS BRUTOS'!CI$3:CI$500)+IF($C12="",0,SUMIF('DADOS BRUTOS'!$A$3:$A$500,$C12,'DADOS BRUTOS'!CI$3:CI$500)))</f>
        <v/>
      </c>
      <c r="FJ12" s="132">
        <f>IF(OR(FJ$4="",$B12=""),0,SUMIF('DADOS BRUTOS'!$A$3:$A$500,$B12,'DADOS BRUTOS'!CJ$3:CJ$500)+IF($C12="",0,SUMIF('DADOS BRUTOS'!$A$3:$A$500,$C12,'DADOS BRUTOS'!CJ$3:CJ$500)))</f>
        <v/>
      </c>
      <c r="FK12" s="132">
        <f>IF(OR(FK$4="",$B12=""),0,SUMIF('DADOS BRUTOS'!$A$3:$A$500,$B12,'DADOS BRUTOS'!CK$3:CK$500)+IF($C12="",0,SUMIF('DADOS BRUTOS'!$A$3:$A$500,$C12,'DADOS BRUTOS'!CK$3:CK$500)))</f>
        <v/>
      </c>
      <c r="FL12" s="132">
        <f>IF(OR(FL$4="",$B12=""),0,SUMIF('DADOS BRUTOS'!$A$3:$A$500,$B12,'DADOS BRUTOS'!CL$3:CL$500)+IF($C12="",0,SUMIF('DADOS BRUTOS'!$A$3:$A$500,$C12,'DADOS BRUTOS'!CL$3:CL$500)))</f>
        <v/>
      </c>
      <c r="FM12" s="132">
        <f>IF(OR(FM$4="",$B12=""),0,SUMIF('DADOS BRUTOS'!$A$3:$A$500,$B12,'DADOS BRUTOS'!CM$3:CM$500)+IF($C12="",0,SUMIF('DADOS BRUTOS'!$A$3:$A$500,$C12,'DADOS BRUTOS'!CM$3:CM$500)))</f>
        <v/>
      </c>
      <c r="FN12" s="132">
        <f>IF(OR(FN$4="",$B12=""),0,SUMIF('DADOS BRUTOS'!$A$3:$A$500,$B12,'DADOS BRUTOS'!CN$3:CN$500)+IF($C12="",0,SUMIF('DADOS BRUTOS'!$A$3:$A$500,$C12,'DADOS BRUTOS'!CN$3:CN$500)))</f>
        <v/>
      </c>
      <c r="FO12" s="132">
        <f>IF(OR(FO$4="",$B12=""),0,SUMIF('DADOS BRUTOS'!$A$3:$A$500,$B12,'DADOS BRUTOS'!CO$3:CO$500)+IF($C12="",0,SUMIF('DADOS BRUTOS'!$A$3:$A$500,$C12,'DADOS BRUTOS'!CO$3:CO$500)))</f>
        <v/>
      </c>
      <c r="FP12" s="132">
        <f>IF(OR(FP$4="",$B12=""),0,SUMIF('DADOS BRUTOS'!$A$3:$A$500,$B12,'DADOS BRUTOS'!CP$3:CP$500)+IF($C12="",0,SUMIF('DADOS BRUTOS'!$A$3:$A$500,$C12,'DADOS BRUTOS'!CP$3:CP$500)))</f>
        <v/>
      </c>
      <c r="FQ12" s="132">
        <f>IF(OR(FQ$4="",$B12=""),0,SUMIF('DADOS BRUTOS'!$A$3:$A$500,$B12,'DADOS BRUTOS'!CQ$3:CQ$500)+IF($C12="",0,SUMIF('DADOS BRUTOS'!$A$3:$A$500,$C12,'DADOS BRUTOS'!CQ$3:CQ$500)))</f>
        <v/>
      </c>
      <c r="FR12" s="132">
        <f>IF(OR(FR$4="",$B12=""),0,SUMIF('DADOS BRUTOS'!$A$3:$A$500,$B12,'DADOS BRUTOS'!CR$3:CR$500)+IF($C12="",0,SUMIF('DADOS BRUTOS'!$A$3:$A$500,$C12,'DADOS BRUTOS'!CR$3:CR$500)))</f>
        <v/>
      </c>
      <c r="FS12" s="132">
        <f>IF(OR(FS$4="",$B12=""),0,SUMIF('DADOS BRUTOS'!$A$3:$A$500,$B12,'DADOS BRUTOS'!CS$3:CS$500)+IF($C12="",0,SUMIF('DADOS BRUTOS'!$A$3:$A$500,$C12,'DADOS BRUTOS'!CS$3:CS$500)))</f>
        <v/>
      </c>
      <c r="FT12" s="132">
        <f>IF(OR(FT$4="",$B12=""),0,SUMIF('DADOS BRUTOS'!$A$3:$A$500,$B12,'DADOS BRUTOS'!CT$3:CT$500)+IF($C12="",0,SUMIF('DADOS BRUTOS'!$A$3:$A$500,$C12,'DADOS BRUTOS'!CT$3:CT$500)))</f>
        <v/>
      </c>
      <c r="FU12" s="132">
        <f>IF(OR(FU$4="",$B12=""),0,SUMIF('DADOS BRUTOS'!$A$3:$A$500,$B12,'DADOS BRUTOS'!CU$3:CU$500)+IF($C12="",0,SUMIF('DADOS BRUTOS'!$A$3:$A$500,$C12,'DADOS BRUTOS'!CU$3:CU$500)))</f>
        <v/>
      </c>
      <c r="FV12" s="132">
        <f>IF(OR(FV$4="",$B12=""),0,SUMIF('DADOS BRUTOS'!$A$3:$A$500,$B12,'DADOS BRUTOS'!CV$3:CV$500)+IF($C12="",0,SUMIF('DADOS BRUTOS'!$A$3:$A$500,$C12,'DADOS BRUTOS'!CV$3:CV$500)))</f>
        <v/>
      </c>
      <c r="FW12" s="132">
        <f>IF(OR(FW$4="",$B12=""),0,SUMIF('DADOS BRUTOS'!$A$3:$A$500,$B12,'DADOS BRUTOS'!CW$3:CW$500)+IF($C12="",0,SUMIF('DADOS BRUTOS'!$A$3:$A$500,$C12,'DADOS BRUTOS'!CW$3:CW$500)))</f>
        <v/>
      </c>
      <c r="FX12" s="132">
        <f>IF(OR(FX$4="",$B12=""),0,SUMIF('DADOS BRUTOS'!$A$3:$A$500,$B12,'DADOS BRUTOS'!CX$3:CX$500)+IF($C12="",0,SUMIF('DADOS BRUTOS'!$A$3:$A$500,$C12,'DADOS BRUTOS'!CX$3:CX$500)))</f>
        <v/>
      </c>
      <c r="FY12" s="132">
        <f>IF(OR(FY$4="",$B12=""),0,SUMIF('DADOS BRUTOS'!$A$3:$A$500,$B12,'DADOS BRUTOS'!CY$3:CY$500)+IF($C12="",0,SUMIF('DADOS BRUTOS'!$A$3:$A$500,$C12,'DADOS BRUTOS'!CY$3:CY$500)))</f>
        <v/>
      </c>
      <c r="FZ12" s="132">
        <f>IF(OR(FZ$4="",$B12=""),0,SUMIF('DADOS BRUTOS'!$A$3:$A$500,$B12,'DADOS BRUTOS'!CZ$3:CZ$500)+IF($C12="",0,SUMIF('DADOS BRUTOS'!$A$3:$A$500,$C12,'DADOS BRUTOS'!CZ$3:CZ$500)))</f>
        <v/>
      </c>
      <c r="GA12" s="132">
        <f>IF(OR(GA$4="",$B12=""),0,SUMIF('DADOS BRUTOS'!$A$3:$A$500,$B12,'DADOS BRUTOS'!DA$3:DA$500)+IF($C12="",0,SUMIF('DADOS BRUTOS'!$A$3:$A$500,$C12,'DADOS BRUTOS'!DA$3:DA$500)))</f>
        <v/>
      </c>
      <c r="GB12" s="132">
        <f>IF(OR(GB$4="",$B12=""),0,SUMIF('DADOS BRUTOS'!$A$3:$A$500,$B12,'DADOS BRUTOS'!DB$3:DB$500)+IF($C12="",0,SUMIF('DADOS BRUTOS'!$A$3:$A$500,$C12,'DADOS BRUTOS'!DB$3:DB$500)))</f>
        <v/>
      </c>
      <c r="GC12" s="132">
        <f>IF(OR(GC$4="",$B12=""),0,SUMIF('DADOS BRUTOS'!$A$3:$A$500,$B12,'DADOS BRUTOS'!DC$3:DC$500)+IF($C12="",0,SUMIF('DADOS BRUTOS'!$A$3:$A$500,$C12,'DADOS BRUTOS'!DC$3:DC$500)))</f>
        <v/>
      </c>
      <c r="GD12" s="132">
        <f>IF(OR(GD$4="",$B12=""),0,SUMIF('DADOS BRUTOS'!$A$3:$A$500,$B12,'DADOS BRUTOS'!DD$3:DD$500)+IF($C12="",0,SUMIF('DADOS BRUTOS'!$A$3:$A$500,$C12,'DADOS BRUTOS'!DD$3:DD$500)))</f>
        <v/>
      </c>
      <c r="GE12" s="132">
        <f>IF(OR(GE$4="",$B12=""),0,SUMIF('DADOS BRUTOS'!$A$3:$A$500,$B12,'DADOS BRUTOS'!DE$3:DE$500)+IF($C12="",0,SUMIF('DADOS BRUTOS'!$A$3:$A$500,$C12,'DADOS BRUTOS'!DE$3:DE$500)))</f>
        <v/>
      </c>
      <c r="GF12" s="132">
        <f>IF(OR(GF$4="",$B12=""),0,SUMIF('DADOS BRUTOS'!$A$3:$A$500,$B12,'DADOS BRUTOS'!DF$3:DF$500)+IF($C12="",0,SUMIF('DADOS BRUTOS'!$A$3:$A$500,$C12,'DADOS BRUTOS'!DF$3:DF$500)))</f>
        <v/>
      </c>
      <c r="GG12" s="132">
        <f>IF(OR(GG$4="",$B12=""),0,SUMIF('DADOS BRUTOS'!$A$3:$A$500,$B12,'DADOS BRUTOS'!DG$3:DG$500)+IF($C12="",0,SUMIF('DADOS BRUTOS'!$A$3:$A$500,$C12,'DADOS BRUTOS'!DG$3:DG$500)))</f>
        <v/>
      </c>
      <c r="GH12" s="132">
        <f>IF(OR(GH$4="",$B12=""),0,SUMIF('DADOS BRUTOS'!$A$3:$A$500,$B12,'DADOS BRUTOS'!DH$3:DH$500)+IF($C12="",0,SUMIF('DADOS BRUTOS'!$A$3:$A$500,$C12,'DADOS BRUTOS'!DH$3:DH$500)))</f>
        <v/>
      </c>
      <c r="GI12" s="132">
        <f>IF(OR(GI$4="",$B12=""),0,SUMIF('DADOS BRUTOS'!$A$3:$A$500,$B12,'DADOS BRUTOS'!DI$3:DI$500)+IF($C12="",0,SUMIF('DADOS BRUTOS'!$A$3:$A$500,$C12,'DADOS BRUTOS'!DI$3:DI$500)))</f>
        <v/>
      </c>
      <c r="GJ12" s="132">
        <f>IF(OR(GJ$4="",$B12=""),0,SUMIF('DADOS BRUTOS'!$A$3:$A$500,$B12,'DADOS BRUTOS'!DJ$3:DJ$500)+IF($C12="",0,SUMIF('DADOS BRUTOS'!$A$3:$A$500,$C12,'DADOS BRUTOS'!DJ$3:DJ$500)))</f>
        <v/>
      </c>
      <c r="GK12" s="132">
        <f>IF(OR(GK$4="",$B12=""),0,SUMIF('DADOS BRUTOS'!$A$3:$A$500,$B12,'DADOS BRUTOS'!DK$3:DK$500)+IF($C12="",0,SUMIF('DADOS BRUTOS'!$A$3:$A$500,$C12,'DADOS BRUTOS'!DK$3:DK$500)))</f>
        <v/>
      </c>
      <c r="GL12" s="132">
        <f>IF(OR(GL$4="",$B12=""),0,SUMIF('DADOS BRUTOS'!$A$3:$A$500,$B12,'DADOS BRUTOS'!DL$3:DL$500)+IF($C12="",0,SUMIF('DADOS BRUTOS'!$A$3:$A$500,$C12,'DADOS BRUTOS'!DL$3:DL$500)))</f>
        <v/>
      </c>
      <c r="GM12" s="132">
        <f>IF(OR(GM$4="",$B12=""),0,SUMIF('DADOS BRUTOS'!$A$3:$A$500,$B12,'DADOS BRUTOS'!DM$3:DM$500)+IF($C12="",0,SUMIF('DADOS BRUTOS'!$A$3:$A$500,$C12,'DADOS BRUTOS'!DM$3:DM$500)))</f>
        <v/>
      </c>
      <c r="GN12" s="132">
        <f>IF(OR(GN$4="",$B12=""),0,SUMIF('DADOS BRUTOS'!$A$3:$A$500,$B12,'DADOS BRUTOS'!DN$3:DN$500)+IF($C12="",0,SUMIF('DADOS BRUTOS'!$A$3:$A$500,$C12,'DADOS BRUTOS'!DN$3:DN$500)))</f>
        <v/>
      </c>
      <c r="GO12" s="132">
        <f>IF(OR(GO$4="",$B12=""),0,SUMIF('DADOS BRUTOS'!$A$3:$A$500,$B12,'DADOS BRUTOS'!DO$3:DO$500)+IF($C12="",0,SUMIF('DADOS BRUTOS'!$A$3:$A$500,$C12,'DADOS BRUTOS'!DO$3:DO$500)))</f>
        <v/>
      </c>
      <c r="GP12" s="132">
        <f>IF(OR(GP$4="",$B12=""),0,SUMIF('DADOS BRUTOS'!$A$3:$A$500,$B12,'DADOS BRUTOS'!DP$3:DP$500)+IF($C12="",0,SUMIF('DADOS BRUTOS'!$A$3:$A$500,$C12,'DADOS BRUTOS'!DP$3:DP$500)))</f>
        <v/>
      </c>
      <c r="GQ12" s="132">
        <f>IF(OR(GQ$4="",$B12=""),0,SUMIF('DADOS BRUTOS'!$A$3:$A$500,$B12,'DADOS BRUTOS'!DQ$3:DQ$500)+IF($C12="",0,SUMIF('DADOS BRUTOS'!$A$3:$A$500,$C12,'DADOS BRUTOS'!DQ$3:DQ$500)))</f>
        <v/>
      </c>
      <c r="GR12" s="132">
        <f>IF(OR(GR$4="",$B12=""),0,SUMIF('DADOS BRUTOS'!$A$3:$A$500,$B12,'DADOS BRUTOS'!DR$3:DR$500)+IF($C12="",0,SUMIF('DADOS BRUTOS'!$A$3:$A$500,$C12,'DADOS BRUTOS'!DR$3:DR$500)))</f>
        <v/>
      </c>
      <c r="GS12" s="132">
        <f>IF(OR(GS$4="",$B12=""),0,SUMIF('DADOS BRUTOS'!$A$3:$A$500,$B12,'DADOS BRUTOS'!DS$3:DS$500)+IF($C12="",0,SUMIF('DADOS BRUTOS'!$A$3:$A$500,$C12,'DADOS BRUTOS'!DS$3:DS$500)))</f>
        <v/>
      </c>
      <c r="GT12" s="132">
        <f>IF(OR(GT$4="",$B12=""),0,SUMIF('DADOS BRUTOS'!$A$3:$A$500,$B12,'DADOS BRUTOS'!DT$3:DT$500)+IF($C12="",0,SUMIF('DADOS BRUTOS'!$A$3:$A$500,$C12,'DADOS BRUTOS'!DT$3:DT$500)))</f>
        <v/>
      </c>
      <c r="GU12" s="132">
        <f>IF(OR(GU$4="",$B12=""),0,SUMIF('DADOS BRUTOS'!$A$3:$A$500,$B12,'DADOS BRUTOS'!DU$3:DU$500)+IF($C12="",0,SUMIF('DADOS BRUTOS'!$A$3:$A$500,$C12,'DADOS BRUTOS'!DU$3:DU$500)))</f>
        <v/>
      </c>
      <c r="GV12" s="132">
        <f>IF(OR(GV$4="",$B12=""),0,SUMIF('DADOS BRUTOS'!$A$3:$A$500,$B12,'DADOS BRUTOS'!DV$3:DV$500)+IF($C12="",0,SUMIF('DADOS BRUTOS'!$A$3:$A$500,$C12,'DADOS BRUTOS'!DV$3:DV$500)))</f>
        <v/>
      </c>
      <c r="GW12" s="132">
        <f>IF(OR(GW$4="",$B12=""),0,SUMIF('DADOS BRUTOS'!$A$3:$A$500,$B12,'DADOS BRUTOS'!DW$3:DW$500)+IF($C12="",0,SUMIF('DADOS BRUTOS'!$A$3:$A$500,$C12,'DADOS BRUTOS'!DW$3:DW$500)))</f>
        <v/>
      </c>
      <c r="GX12" s="132">
        <f>IF(OR(GX$4="",$B12=""),0,SUMIF('DADOS BRUTOS'!$A$3:$A$500,$B12,'DADOS BRUTOS'!DX$3:DX$500)+IF($C12="",0,SUMIF('DADOS BRUTOS'!$A$3:$A$500,$C12,'DADOS BRUTOS'!DX$3:DX$500)))</f>
        <v/>
      </c>
      <c r="GY12" s="132">
        <f>IF(OR(GY$4="",$B12=""),0,SUMIF('DADOS BRUTOS'!$A$3:$A$500,$B12,'DADOS BRUTOS'!DY$3:DY$500)+IF($C12="",0,SUMIF('DADOS BRUTOS'!$A$3:$A$500,$C12,'DADOS BRUTOS'!DY$3:DY$500)))</f>
        <v/>
      </c>
      <c r="GZ12" s="132">
        <f>IF(OR(GZ$4="",$B12=""),0,SUMIF('DADOS BRUTOS'!$A$3:$A$500,$B12,'DADOS BRUTOS'!DZ$3:DZ$500)+IF($C12="",0,SUMIF('DADOS BRUTOS'!$A$3:$A$500,$C12,'DADOS BRUTOS'!DZ$3:DZ$500)))</f>
        <v/>
      </c>
      <c r="HA12" s="132">
        <f>IF(OR(HA$4="",$B12=""),0,SUMIF('DADOS BRUTOS'!$A$3:$A$500,$B12,'DADOS BRUTOS'!EA$3:EA$500)+IF($C12="",0,SUMIF('DADOS BRUTOS'!$A$3:$A$500,$C12,'DADOS BRUTOS'!EA$3:EA$500)))</f>
        <v/>
      </c>
      <c r="HB12" s="132">
        <f>IF(OR(HB$4="",$B12=""),0,SUMIF('DADOS BRUTOS'!$A$3:$A$500,$B12,'DADOS BRUTOS'!EB$3:EB$500)+IF($C12="",0,SUMIF('DADOS BRUTOS'!$A$3:$A$500,$C12,'DADOS BRUTOS'!EB$3:EB$500)))</f>
        <v/>
      </c>
      <c r="HC12" s="132">
        <f>IF(OR(HC$4="",$B12=""),0,SUMIF('DADOS BRUTOS'!$A$3:$A$500,$B12,'DADOS BRUTOS'!EC$3:EC$500)+IF($C12="",0,SUMIF('DADOS BRUTOS'!$A$3:$A$500,$C12,'DADOS BRUTOS'!EC$3:EC$500)))</f>
        <v/>
      </c>
      <c r="HD12" s="132">
        <f>IF(OR(HD$4="",$B12=""),0,SUMIF('DADOS BRUTOS'!$A$3:$A$500,$B12,'DADOS BRUTOS'!ED$3:ED$500)+IF($C12="",0,SUMIF('DADOS BRUTOS'!$A$3:$A$500,$C12,'DADOS BRUTOS'!ED$3:ED$500)))</f>
        <v/>
      </c>
      <c r="HE12" s="132">
        <f>IF(OR(HE$4="",$B12=""),0,SUMIF('DADOS BRUTOS'!$A$3:$A$500,$B12,'DADOS BRUTOS'!EE$3:EE$500)+IF($C12="",0,SUMIF('DADOS BRUTOS'!$A$3:$A$500,$C12,'DADOS BRUTOS'!EE$3:EE$500)))</f>
        <v/>
      </c>
      <c r="HF12" s="132">
        <f>IF(OR(HF$4="",$B12=""),0,SUMIF('DADOS BRUTOS'!$A$3:$A$500,$B12,'DADOS BRUTOS'!EF$3:EF$500)+IF($C12="",0,SUMIF('DADOS BRUTOS'!$A$3:$A$500,$C12,'DADOS BRUTOS'!EF$3:EF$500)))</f>
        <v/>
      </c>
      <c r="HG12" s="132">
        <f>IF(OR(HG$4="",$B12=""),0,SUMIF('DADOS BRUTOS'!$A$3:$A$500,$B12,'DADOS BRUTOS'!EG$3:EG$500)+IF($C12="",0,SUMIF('DADOS BRUTOS'!$A$3:$A$500,$C12,'DADOS BRUTOS'!EG$3:EG$500)))</f>
        <v/>
      </c>
      <c r="HH12" s="132">
        <f>IF(OR(HH$4="",$B12=""),0,SUMIF('DADOS BRUTOS'!$A$3:$A$500,$B12,'DADOS BRUTOS'!EH$3:EH$500)+IF($C12="",0,SUMIF('DADOS BRUTOS'!$A$3:$A$500,$C12,'DADOS BRUTOS'!EH$3:EH$500)))</f>
        <v/>
      </c>
      <c r="HI12" s="132">
        <f>IF(OR(HI$4="",$B12=""),0,SUMIF('DADOS BRUTOS'!$A$3:$A$500,$B12,'DADOS BRUTOS'!EI$3:EI$500)+IF($C12="",0,SUMIF('DADOS BRUTOS'!$A$3:$A$500,$C12,'DADOS BRUTOS'!EI$3:EI$500)))</f>
        <v/>
      </c>
      <c r="HJ12" s="132">
        <f>IF(OR(HJ$4="",$B12=""),0,SUMIF('DADOS BRUTOS'!$A$3:$A$500,$B12,'DADOS BRUTOS'!EJ$3:EJ$500)+IF($C12="",0,SUMIF('DADOS BRUTOS'!$A$3:$A$500,$C12,'DADOS BRUTOS'!EJ$3:EJ$500)))</f>
        <v/>
      </c>
      <c r="HK12" s="132">
        <f>IF(OR(HK$4="",$B12=""),0,SUMIF('DADOS BRUTOS'!$A$3:$A$500,$B12,'DADOS BRUTOS'!EK$3:EK$500)+IF($C12="",0,SUMIF('DADOS BRUTOS'!$A$3:$A$500,$C12,'DADOS BRUTOS'!EK$3:EK$500)))</f>
        <v/>
      </c>
      <c r="HL12" s="132">
        <f>IF(OR(HL$4="",$B12=""),0,SUMIF('DADOS BRUTOS'!$A$3:$A$500,$B12,'DADOS BRUTOS'!EL$3:EL$500)+IF($C12="",0,SUMIF('DADOS BRUTOS'!$A$3:$A$500,$C12,'DADOS BRUTOS'!EL$3:EL$500)))</f>
        <v/>
      </c>
      <c r="HM12" s="132">
        <f>IF(OR(HM$4="",$B12=""),0,SUMIF('DADOS BRUTOS'!$A$3:$A$500,$B12,'DADOS BRUTOS'!EM$3:EM$500)+IF($C12="",0,SUMIF('DADOS BRUTOS'!$A$3:$A$500,$C12,'DADOS BRUTOS'!EM$3:EM$500)))</f>
        <v/>
      </c>
      <c r="HN12" s="132">
        <f>IF(OR(HN$4="",$B12=""),0,SUMIF('DADOS BRUTOS'!$A$3:$A$500,$B12,'DADOS BRUTOS'!EN$3:EN$500)+IF($C12="",0,SUMIF('DADOS BRUTOS'!$A$3:$A$500,$C12,'DADOS BRUTOS'!EN$3:EN$500)))</f>
        <v/>
      </c>
      <c r="HO12" s="132">
        <f>IF(OR(HO$4="",$B12=""),0,SUMIF('DADOS BRUTOS'!$A$3:$A$500,$B12,'DADOS BRUTOS'!EO$3:EO$500)+IF($C12="",0,SUMIF('DADOS BRUTOS'!$A$3:$A$500,$C12,'DADOS BRUTOS'!EO$3:EO$500)))</f>
        <v/>
      </c>
      <c r="HP12" s="132">
        <f>IF(OR(HP$4="",$B12=""),0,SUMIF('DADOS BRUTOS'!$A$3:$A$500,$B12,'DADOS BRUTOS'!EP$3:EP$500)+IF($C12="",0,SUMIF('DADOS BRUTOS'!$A$3:$A$500,$C12,'DADOS BRUTOS'!EP$3:EP$500)))</f>
        <v/>
      </c>
      <c r="HQ12" s="132">
        <f>IF(OR(HQ$4="",$B12=""),0,SUMIF('DADOS BRUTOS'!$A$3:$A$500,$B12,'DADOS BRUTOS'!EQ$3:EQ$500)+IF($C12="",0,SUMIF('DADOS BRUTOS'!$A$3:$A$500,$C12,'DADOS BRUTOS'!EQ$3:EQ$500)))</f>
        <v/>
      </c>
      <c r="HR12" s="132">
        <f>IF(OR(HR$4="",$B12=""),0,SUMIF('DADOS BRUTOS'!$A$3:$A$500,$B12,'DADOS BRUTOS'!ER$3:ER$500)+IF($C12="",0,SUMIF('DADOS BRUTOS'!$A$3:$A$500,$C12,'DADOS BRUTOS'!ER$3:ER$500)))</f>
        <v/>
      </c>
      <c r="HS12" s="132">
        <f>IF(OR(HS$4="",$B12=""),0,SUMIF('DADOS BRUTOS'!$A$3:$A$500,$B12,'DADOS BRUTOS'!ES$3:ES$500)+IF($C12="",0,SUMIF('DADOS BRUTOS'!$A$3:$A$500,$C12,'DADOS BRUTOS'!ES$3:ES$500)))</f>
        <v/>
      </c>
      <c r="HT12" s="132">
        <f>IF(OR(HT$4="",$B12=""),0,SUMIF('DADOS BRUTOS'!$A$3:$A$500,$B12,'DADOS BRUTOS'!ET$3:ET$500)+IF($C12="",0,SUMIF('DADOS BRUTOS'!$A$3:$A$500,$C12,'DADOS BRUTOS'!ET$3:ET$500)))</f>
        <v/>
      </c>
      <c r="HU12" s="132">
        <f>IF(OR(HU$4="",$B12=""),0,SUMIF('DADOS BRUTOS'!$A$3:$A$500,$B12,'DADOS BRUTOS'!EU$3:EU$500)+IF($C12="",0,SUMIF('DADOS BRUTOS'!$A$3:$A$500,$C12,'DADOS BRUTOS'!EU$3:EU$500)))</f>
        <v/>
      </c>
      <c r="HV12" s="132">
        <f>IF(OR(HV$4="",$B12=""),0,SUMIF('DADOS BRUTOS'!$A$3:$A$500,$B12,'DADOS BRUTOS'!EV$3:EV$500)+IF($C12="",0,SUMIF('DADOS BRUTOS'!$A$3:$A$500,$C12,'DADOS BRUTOS'!EV$3:EV$500)))</f>
        <v/>
      </c>
      <c r="HW12" s="132">
        <f>IF(OR(HW$4="",$B12=""),0,SUMIF('DADOS BRUTOS'!$A$3:$A$500,$B12,'DADOS BRUTOS'!EW$3:EW$500)+IF($C12="",0,SUMIF('DADOS BRUTOS'!$A$3:$A$500,$C12,'DADOS BRUTOS'!EW$3:EW$500)))</f>
        <v/>
      </c>
      <c r="HX12" s="132">
        <f>IF(OR(HX$4="",$B12=""),0,SUMIF('DADOS BRUTOS'!$A$3:$A$500,$B12,'DADOS BRUTOS'!EX$3:EX$500)+IF($C12="",0,SUMIF('DADOS BRUTOS'!$A$3:$A$500,$C12,'DADOS BRUTOS'!EX$3:EX$500)))</f>
        <v/>
      </c>
      <c r="HY12" s="132">
        <f>IF(OR(HY$4="",$B12=""),0,SUMIF('DADOS BRUTOS'!$A$3:$A$500,$B12,'DADOS BRUTOS'!EY$3:EY$500)+IF($C12="",0,SUMIF('DADOS BRUTOS'!$A$3:$A$500,$C12,'DADOS BRUTOS'!EY$3:EY$500)))</f>
        <v/>
      </c>
      <c r="HZ12" s="132">
        <f>IF(OR(HZ$4="",$B12=""),0,SUMIF('DADOS BRUTOS'!$A$3:$A$500,$B12,'DADOS BRUTOS'!EZ$3:EZ$500)+IF($C12="",0,SUMIF('DADOS BRUTOS'!$A$3:$A$500,$C12,'DADOS BRUTOS'!EZ$3:EZ$500)))</f>
        <v/>
      </c>
      <c r="IA12" s="132">
        <f>IF(OR(IA$4="",$B12=""),0,SUMIF('DADOS BRUTOS'!$A$3:$A$500,$B12,'DADOS BRUTOS'!FA$3:FA$500)+IF($C12="",0,SUMIF('DADOS BRUTOS'!$A$3:$A$500,$C12,'DADOS BRUTOS'!FA$3:FA$500)))</f>
        <v/>
      </c>
      <c r="IB12" s="132">
        <f>IF(OR(IB$4="",$B12=""),0,SUMIF('DADOS BRUTOS'!$A$3:$A$500,$B12,'DADOS BRUTOS'!FB$3:FB$500)+IF($C12="",0,SUMIF('DADOS BRUTOS'!$A$3:$A$500,$C12,'DADOS BRUTOS'!FB$3:FB$500)))</f>
        <v/>
      </c>
      <c r="IC12" s="132">
        <f>IF(OR(IC$4="",$B12=""),0,SUMIF('DADOS BRUTOS'!$A$3:$A$500,$B12,'DADOS BRUTOS'!FC$3:FC$500)+IF($C12="",0,SUMIF('DADOS BRUTOS'!$A$3:$A$500,$C12,'DADOS BRUTOS'!FC$3:FC$500)))</f>
        <v/>
      </c>
      <c r="ID12" s="132">
        <f>IF(OR(ID$4="",$B12=""),0,SUMIF('DADOS BRUTOS'!$A$3:$A$500,$B12,'DADOS BRUTOS'!FD$3:FD$500)+IF($C12="",0,SUMIF('DADOS BRUTOS'!$A$3:$A$500,$C12,'DADOS BRUTOS'!FD$3:FD$500)))</f>
        <v/>
      </c>
      <c r="IE12" s="132">
        <f>IF(OR(IE$4="",$B12=""),0,SUMIF('DADOS BRUTOS'!$A$3:$A$500,$B12,'DADOS BRUTOS'!FE$3:FE$500)+IF($C12="",0,SUMIF('DADOS BRUTOS'!$A$3:$A$500,$C12,'DADOS BRUTOS'!FE$3:FE$500)))</f>
        <v/>
      </c>
      <c r="IF12" s="132">
        <f>IF(OR(IF$4="",$B12=""),0,SUMIF('DADOS BRUTOS'!$A$3:$A$500,$B12,'DADOS BRUTOS'!FF$3:FF$500)+IF($C12="",0,SUMIF('DADOS BRUTOS'!$A$3:$A$500,$C12,'DADOS BRUTOS'!FF$3:FF$500)))</f>
        <v/>
      </c>
      <c r="IG12" s="132">
        <f>IF(OR(IG$4="",$B12=""),0,SUMIF('DADOS BRUTOS'!$A$3:$A$500,$B12,'DADOS BRUTOS'!FG$3:FG$500)+IF($C12="",0,SUMIF('DADOS BRUTOS'!$A$3:$A$500,$C12,'DADOS BRUTOS'!FG$3:FG$500)))</f>
        <v/>
      </c>
      <c r="IH12" s="132">
        <f>IF(OR(IH$4="",$B12=""),0,SUMIF('DADOS BRUTOS'!$A$3:$A$500,$B12,'DADOS BRUTOS'!FH$3:FH$500)+IF($C12="",0,SUMIF('DADOS BRUTOS'!$A$3:$A$500,$C12,'DADOS BRUTOS'!FH$3:FH$500)))</f>
        <v/>
      </c>
      <c r="II12" s="132">
        <f>IF(OR(II$4="",$B12=""),0,SUMIF('DADOS BRUTOS'!$A$3:$A$500,$B12,'DADOS BRUTOS'!FI$3:FI$500)+IF($C12="",0,SUMIF('DADOS BRUTOS'!$A$3:$A$500,$C12,'DADOS BRUTOS'!FI$3:FI$500)))</f>
        <v/>
      </c>
      <c r="IJ12" s="132">
        <f>IF(OR(IJ$4="",$B12=""),0,SUMIF('DADOS BRUTOS'!$A$3:$A$500,$B12,'DADOS BRUTOS'!FJ$3:FJ$500)+IF($C12="",0,SUMIF('DADOS BRUTOS'!$A$3:$A$500,$C12,'DADOS BRUTOS'!FJ$3:FJ$500)))</f>
        <v/>
      </c>
      <c r="IK12" s="132">
        <f>IF(OR(IK$4="",$B12=""),0,SUMIF('DADOS BRUTOS'!$A$3:$A$500,$B12,'DADOS BRUTOS'!FK$3:FK$500)+IF($C12="",0,SUMIF('DADOS BRUTOS'!$A$3:$A$500,$C12,'DADOS BRUTOS'!FK$3:FK$500)))</f>
        <v/>
      </c>
      <c r="IL12" s="132">
        <f>IF(OR(IL$4="",$B12=""),0,SUMIF('DADOS BRUTOS'!$A$3:$A$500,$B12,'DADOS BRUTOS'!FL$3:FL$500)+IF($C12="",0,SUMIF('DADOS BRUTOS'!$A$3:$A$500,$C12,'DADOS BRUTOS'!FL$3:FL$500)))</f>
        <v/>
      </c>
      <c r="IM12" s="132">
        <f>IF(OR(IM$4="",$B12=""),0,SUMIF('DADOS BRUTOS'!$A$3:$A$500,$B12,'DADOS BRUTOS'!FM$3:FM$500)+IF($C12="",0,SUMIF('DADOS BRUTOS'!$A$3:$A$500,$C12,'DADOS BRUTOS'!FM$3:FM$500)))</f>
        <v/>
      </c>
      <c r="IN12" s="132">
        <f>IF(OR(IN$4="",$B12=""),0,SUMIF('DADOS BRUTOS'!$A$3:$A$500,$B12,'DADOS BRUTOS'!FN$3:FN$500)+IF($C12="",0,SUMIF('DADOS BRUTOS'!$A$3:$A$500,$C12,'DADOS BRUTOS'!FN$3:FN$500)))</f>
        <v/>
      </c>
      <c r="IO12" s="132">
        <f>IF(OR(IO$4="",$B12=""),0,SUMIF('DADOS BRUTOS'!$A$3:$A$500,$B12,'DADOS BRUTOS'!FO$3:FO$500)+IF($C12="",0,SUMIF('DADOS BRUTOS'!$A$3:$A$500,$C12,'DADOS BRUTOS'!FO$3:FO$500)))</f>
        <v/>
      </c>
      <c r="IP12" s="132">
        <f>IF(OR(IP$4="",$B12=""),0,SUMIF('DADOS BRUTOS'!$A$3:$A$500,$B12,'DADOS BRUTOS'!FP$3:FP$500)+IF($C12="",0,SUMIF('DADOS BRUTOS'!$A$3:$A$500,$C12,'DADOS BRUTOS'!FP$3:FP$500)))</f>
        <v/>
      </c>
      <c r="IQ12" s="132">
        <f>IF(OR(IQ$4="",$B12=""),0,SUMIF('DADOS BRUTOS'!$A$3:$A$500,$B12,'DADOS BRUTOS'!FQ$3:FQ$500)+IF($C12="",0,SUMIF('DADOS BRUTOS'!$A$3:$A$500,$C12,'DADOS BRUTOS'!FQ$3:FQ$500)))</f>
        <v/>
      </c>
      <c r="IR12" s="132">
        <f>IF(OR(IR$4="",$B12=""),0,SUMIF('DADOS BRUTOS'!$A$3:$A$500,$B12,'DADOS BRUTOS'!FR$3:FR$500)+IF($C12="",0,SUMIF('DADOS BRUTOS'!$A$3:$A$500,$C12,'DADOS BRUTOS'!FR$3:FR$500)))</f>
        <v/>
      </c>
      <c r="IS12" s="132">
        <f>IF(OR(IS$4="",$B12=""),0,SUMIF('DADOS BRUTOS'!$A$3:$A$500,$B12,'DADOS BRUTOS'!FS$3:FS$500)+IF($C12="",0,SUMIF('DADOS BRUTOS'!$A$3:$A$500,$C12,'DADOS BRUTOS'!FS$3:FS$500)))</f>
        <v/>
      </c>
      <c r="IT12" s="132">
        <f>IF(OR(IT$4="",$B12=""),0,SUMIF('DADOS BRUTOS'!$A$3:$A$500,$B12,'DADOS BRUTOS'!FT$3:FT$500)+IF($C12="",0,SUMIF('DADOS BRUTOS'!$A$3:$A$500,$C12,'DADOS BRUTOS'!FT$3:FT$500)))</f>
        <v/>
      </c>
      <c r="IU12" s="132">
        <f>IF(OR(IU$4="",$B12=""),0,SUMIF('DADOS BRUTOS'!$A$3:$A$500,$B12,'DADOS BRUTOS'!FU$3:FU$500)+IF($C12="",0,SUMIF('DADOS BRUTOS'!$A$3:$A$500,$C12,'DADOS BRUTOS'!FU$3:FU$500)))</f>
        <v/>
      </c>
      <c r="IV12" s="132">
        <f>IF(OR(IV$4="",$B12=""),0,SUMIF('DADOS BRUTOS'!$A$3:$A$500,$B12,'DADOS BRUTOS'!FV$3:FV$500)+IF($C12="",0,SUMIF('DADOS BRUTOS'!$A$3:$A$500,$C12,'DADOS BRUTOS'!FV$3:FV$500)))</f>
        <v/>
      </c>
      <c r="IW12" s="132">
        <f>IF(OR(IW$4="",$B12=""),0,SUMIF('DADOS BRUTOS'!$A$3:$A$500,$B12,'DADOS BRUTOS'!FW$3:FW$500)+IF($C12="",0,SUMIF('DADOS BRUTOS'!$A$3:$A$500,$C12,'DADOS BRUTOS'!FW$3:FW$500)))</f>
        <v/>
      </c>
      <c r="IX12" s="132">
        <f>IF(OR(IX$4="",$B12=""),0,SUMIF('DADOS BRUTOS'!$A$3:$A$500,$B12,'DADOS BRUTOS'!FX$3:FX$500)+IF($C12="",0,SUMIF('DADOS BRUTOS'!$A$3:$A$500,$C12,'DADOS BRUTOS'!FX$3:FX$500)))</f>
        <v/>
      </c>
      <c r="IY12" s="132">
        <f>IF(OR(IY$4="",$B12=""),0,SUMIF('DADOS BRUTOS'!$A$3:$A$500,$B12,'DADOS BRUTOS'!FY$3:FY$500)+IF($C12="",0,SUMIF('DADOS BRUTOS'!$A$3:$A$500,$C12,'DADOS BRUTOS'!FY$3:FY$500)))</f>
        <v/>
      </c>
      <c r="IZ12" s="132">
        <f>IF(OR(IZ$4="",$B12=""),0,SUMIF('DADOS BRUTOS'!$A$3:$A$500,$B12,'DADOS BRUTOS'!FZ$3:FZ$500)+IF($C12="",0,SUMIF('DADOS BRUTOS'!$A$3:$A$500,$C12,'DADOS BRUTOS'!FZ$3:FZ$500)))</f>
        <v/>
      </c>
      <c r="JA12" s="132">
        <f>IF(OR(JA$4="",$B12=""),0,SUMIF('DADOS BRUTOS'!$A$3:$A$500,$B12,'DADOS BRUTOS'!GA$3:GA$500)+IF($C12="",0,SUMIF('DADOS BRUTOS'!$A$3:$A$500,$C12,'DADOS BRUTOS'!GA$3:GA$500)))</f>
        <v/>
      </c>
      <c r="JB12" s="132">
        <f>IF(OR(JB$4="",$B12=""),0,SUMIF('DADOS BRUTOS'!$A$3:$A$500,$B12,'DADOS BRUTOS'!GB$3:GB$500)+IF($C12="",0,SUMIF('DADOS BRUTOS'!$A$3:$A$500,$C12,'DADOS BRUTOS'!GB$3:GB$500)))</f>
        <v/>
      </c>
      <c r="JC12" s="132">
        <f>IF(OR(JC$4="",$B12=""),0,SUMIF('DADOS BRUTOS'!$A$3:$A$500,$B12,'DADOS BRUTOS'!GC$3:GC$500)+IF($C12="",0,SUMIF('DADOS BRUTOS'!$A$3:$A$500,$C12,'DADOS BRUTOS'!GC$3:GC$500)))</f>
        <v/>
      </c>
      <c r="JD12" s="132">
        <f>IF(OR(JD$4="",$B12=""),0,SUMIF('DADOS BRUTOS'!$A$3:$A$500,$B12,'DADOS BRUTOS'!GD$3:GD$500)+IF($C12="",0,SUMIF('DADOS BRUTOS'!$A$3:$A$500,$C12,'DADOS BRUTOS'!GD$3:GD$500)))</f>
        <v/>
      </c>
      <c r="JE12" s="132">
        <f>IF(OR(JE$4="",$B12=""),0,SUMIF('DADOS BRUTOS'!$A$3:$A$500,$B12,'DADOS BRUTOS'!GE$3:GE$500)+IF($C12="",0,SUMIF('DADOS BRUTOS'!$A$3:$A$500,$C12,'DADOS BRUTOS'!GE$3:GE$500)))</f>
        <v/>
      </c>
      <c r="JF12" s="132">
        <f>IF(OR(JF$4="",$B12=""),0,SUMIF('DADOS BRUTOS'!$A$3:$A$500,$B12,'DADOS BRUTOS'!GF$3:GF$500)+IF($C12="",0,SUMIF('DADOS BRUTOS'!$A$3:$A$500,$C12,'DADOS BRUTOS'!GF$3:GF$500)))</f>
        <v/>
      </c>
      <c r="JG12" s="132">
        <f>IF(OR(JG$4="",$B12=""),0,SUMIF('DADOS BRUTOS'!$A$3:$A$500,$B12,'DADOS BRUTOS'!GG$3:GG$500)+IF($C12="",0,SUMIF('DADOS BRUTOS'!$A$3:$A$500,$C12,'DADOS BRUTOS'!GG$3:GG$500)))</f>
        <v/>
      </c>
      <c r="JH12" s="132">
        <f>IF(OR(JH$4="",$B12=""),0,SUMIF('DADOS BRUTOS'!$A$3:$A$500,$B12,'DADOS BRUTOS'!GH$3:GH$500)+IF($C12="",0,SUMIF('DADOS BRUTOS'!$A$3:$A$500,$C12,'DADOS BRUTOS'!GH$3:GH$500)))</f>
        <v/>
      </c>
      <c r="JI12" s="132">
        <f>IF(OR(JI$4="",$B12=""),0,SUMIF('DADOS BRUTOS'!$A$3:$A$500,$B12,'DADOS BRUTOS'!GI$3:GI$500)+IF($C12="",0,SUMIF('DADOS BRUTOS'!$A$3:$A$500,$C12,'DADOS BRUTOS'!GI$3:GI$500)))</f>
        <v/>
      </c>
      <c r="JJ12" s="132">
        <f>IF(OR(JJ$4="",$B12=""),0,SUMIF('DADOS BRUTOS'!$A$3:$A$500,$B12,'DADOS BRUTOS'!GJ$3:GJ$500)+IF($C12="",0,SUMIF('DADOS BRUTOS'!$A$3:$A$500,$C12,'DADOS BRUTOS'!GJ$3:GJ$500)))</f>
        <v/>
      </c>
      <c r="JK12" s="132">
        <f>IF(OR(JK$4="",$B12=""),0,SUMIF('DADOS BRUTOS'!$A$3:$A$500,$B12,'DADOS BRUTOS'!GK$3:GK$500)+IF($C12="",0,SUMIF('DADOS BRUTOS'!$A$3:$A$500,$C12,'DADOS BRUTOS'!GK$3:GK$500)))</f>
        <v/>
      </c>
      <c r="JL12" s="132">
        <f>IF(OR(JL$4="",$B12=""),0,SUMIF('DADOS BRUTOS'!$A$3:$A$500,$B12,'DADOS BRUTOS'!GL$3:GL$500)+IF($C12="",0,SUMIF('DADOS BRUTOS'!$A$3:$A$500,$C12,'DADOS BRUTOS'!GL$3:GL$500)))</f>
        <v/>
      </c>
      <c r="JM12" s="132">
        <f>IF(OR(JM$4="",$B12=""),0,SUMIF('DADOS BRUTOS'!$A$3:$A$500,$B12,'DADOS BRUTOS'!GM$3:GM$500)+IF($C12="",0,SUMIF('DADOS BRUTOS'!$A$3:$A$500,$C12,'DADOS BRUTOS'!GM$3:GM$500)))</f>
        <v/>
      </c>
      <c r="JN12" s="132">
        <f>IF(OR(JN$4="",$B12=""),0,SUMIF('DADOS BRUTOS'!$A$3:$A$500,$B12,'DADOS BRUTOS'!GN$3:GN$500)+IF($C12="",0,SUMIF('DADOS BRUTOS'!$A$3:$A$500,$C12,'DADOS BRUTOS'!GN$3:GN$500)))</f>
        <v/>
      </c>
      <c r="JO12" s="132">
        <f>IF(OR(JO$4="",$B12=""),0,SUMIF('DADOS BRUTOS'!$A$3:$A$500,$B12,'DADOS BRUTOS'!GO$3:GO$500)+IF($C12="",0,SUMIF('DADOS BRUTOS'!$A$3:$A$500,$C12,'DADOS BRUTOS'!GO$3:GO$500)))</f>
        <v/>
      </c>
      <c r="JP12" s="132">
        <f>IF(OR(JP$4="",$B12=""),0,SUMIF('DADOS BRUTOS'!$A$3:$A$500,$B12,'DADOS BRUTOS'!GP$3:GP$500)+IF($C12="",0,SUMIF('DADOS BRUTOS'!$A$3:$A$500,$C12,'DADOS BRUTOS'!GP$3:GP$500)))</f>
        <v/>
      </c>
      <c r="JQ12" s="132">
        <f>IF(OR(JQ$4="",$B12=""),0,SUMIF('DADOS BRUTOS'!$A$3:$A$500,$B12,'DADOS BRUTOS'!GQ$3:GQ$500)+IF($C12="",0,SUMIF('DADOS BRUTOS'!$A$3:$A$500,$C12,'DADOS BRUTOS'!GQ$3:GQ$500)))</f>
        <v/>
      </c>
      <c r="JR12" s="132">
        <f>IF(OR(JR$4="",$B12=""),0,SUMIF('DADOS BRUTOS'!$A$3:$A$500,$B12,'DADOS BRUTOS'!GR$3:GR$500)+IF($C12="",0,SUMIF('DADOS BRUTOS'!$A$3:$A$500,$C12,'DADOS BRUTOS'!GR$3:GR$500)))</f>
        <v/>
      </c>
      <c r="JS12" s="132">
        <f>IF(OR(JS$4="",$B12=""),0,SUMIF('DADOS BRUTOS'!$A$3:$A$500,$B12,'DADOS BRUTOS'!GS$3:GS$500)+IF($C12="",0,SUMIF('DADOS BRUTOS'!$A$3:$A$500,$C12,'DADOS BRUTOS'!GS$3:GS$500)))</f>
        <v/>
      </c>
    </row>
    <row r="13">
      <c r="A13" s="61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BZ13" s="49">
        <f>SUMPRODUCT(($CB$4:$JS$4&lt;&gt;"")*($CB$4:$JS$4&lt;=$D$4),$CB13:$JS13,$CB$1:$JS$1)</f>
        <v/>
      </c>
      <c r="CB13" s="132">
        <f>IF(OR(CB$4="",$B13=""),0,SUMIF('DADOS BRUTOS'!$A$3:$A$500,$B13,'DADOS BRUTOS'!B$3:B$500)+IF($C13="",0,SUMIF('DADOS BRUTOS'!$A$3:$A$500,$C13,'DADOS BRUTOS'!B$3:B$500)))</f>
        <v/>
      </c>
      <c r="CC13" s="132">
        <f>IF(OR(CC$4="",$B13=""),0,SUMIF('DADOS BRUTOS'!$A$3:$A$500,$B13,'DADOS BRUTOS'!C$3:C$500)+IF($C13="",0,SUMIF('DADOS BRUTOS'!$A$3:$A$500,$C13,'DADOS BRUTOS'!C$3:C$500)))</f>
        <v/>
      </c>
      <c r="CD13" s="132">
        <f>IF(OR(CD$4="",$B13=""),0,SUMIF('DADOS BRUTOS'!$A$3:$A$500,$B13,'DADOS BRUTOS'!D$3:D$500)+IF($C13="",0,SUMIF('DADOS BRUTOS'!$A$3:$A$500,$C13,'DADOS BRUTOS'!D$3:D$500)))</f>
        <v/>
      </c>
      <c r="CE13" s="132">
        <f>IF(OR(CE$4="",$B13=""),0,SUMIF('DADOS BRUTOS'!$A$3:$A$500,$B13,'DADOS BRUTOS'!E$3:E$500)+IF($C13="",0,SUMIF('DADOS BRUTOS'!$A$3:$A$500,$C13,'DADOS BRUTOS'!E$3:E$500)))</f>
        <v/>
      </c>
      <c r="CF13" s="132">
        <f>IF(OR(CF$4="",$B13=""),0,SUMIF('DADOS BRUTOS'!$A$3:$A$500,$B13,'DADOS BRUTOS'!F$3:F$500)+IF($C13="",0,SUMIF('DADOS BRUTOS'!$A$3:$A$500,$C13,'DADOS BRUTOS'!F$3:F$500)))</f>
        <v/>
      </c>
      <c r="CG13" s="132">
        <f>IF(OR(CG$4="",$B13=""),0,SUMIF('DADOS BRUTOS'!$A$3:$A$500,$B13,'DADOS BRUTOS'!G$3:G$500)+IF($C13="",0,SUMIF('DADOS BRUTOS'!$A$3:$A$500,$C13,'DADOS BRUTOS'!G$3:G$500)))</f>
        <v/>
      </c>
      <c r="CH13" s="132">
        <f>IF(OR(CH$4="",$B13=""),0,SUMIF('DADOS BRUTOS'!$A$3:$A$500,$B13,'DADOS BRUTOS'!H$3:H$500)+IF($C13="",0,SUMIF('DADOS BRUTOS'!$A$3:$A$500,$C13,'DADOS BRUTOS'!H$3:H$500)))</f>
        <v/>
      </c>
      <c r="CI13" s="132">
        <f>IF(OR(CI$4="",$B13=""),0,SUMIF('DADOS BRUTOS'!$A$3:$A$500,$B13,'DADOS BRUTOS'!I$3:I$500)+IF($C13="",0,SUMIF('DADOS BRUTOS'!$A$3:$A$500,$C13,'DADOS BRUTOS'!I$3:I$500)))</f>
        <v/>
      </c>
      <c r="CJ13" s="132">
        <f>IF(OR(CJ$4="",$B13=""),0,SUMIF('DADOS BRUTOS'!$A$3:$A$500,$B13,'DADOS BRUTOS'!J$3:J$500)+IF($C13="",0,SUMIF('DADOS BRUTOS'!$A$3:$A$500,$C13,'DADOS BRUTOS'!J$3:J$500)))</f>
        <v/>
      </c>
      <c r="CK13" s="132">
        <f>IF(OR(CK$4="",$B13=""),0,SUMIF('DADOS BRUTOS'!$A$3:$A$500,$B13,'DADOS BRUTOS'!K$3:K$500)+IF($C13="",0,SUMIF('DADOS BRUTOS'!$A$3:$A$500,$C13,'DADOS BRUTOS'!K$3:K$500)))</f>
        <v/>
      </c>
      <c r="CL13" s="132">
        <f>IF(OR(CL$4="",$B13=""),0,SUMIF('DADOS BRUTOS'!$A$3:$A$500,$B13,'DADOS BRUTOS'!L$3:L$500)+IF($C13="",0,SUMIF('DADOS BRUTOS'!$A$3:$A$500,$C13,'DADOS BRUTOS'!L$3:L$500)))</f>
        <v/>
      </c>
      <c r="CM13" s="132">
        <f>IF(OR(CM$4="",$B13=""),0,SUMIF('DADOS BRUTOS'!$A$3:$A$500,$B13,'DADOS BRUTOS'!M$3:M$500)+IF($C13="",0,SUMIF('DADOS BRUTOS'!$A$3:$A$500,$C13,'DADOS BRUTOS'!M$3:M$500)))</f>
        <v/>
      </c>
      <c r="CN13" s="132">
        <f>IF(OR(CN$4="",$B13=""),0,SUMIF('DADOS BRUTOS'!$A$3:$A$500,$B13,'DADOS BRUTOS'!N$3:N$500)+IF($C13="",0,SUMIF('DADOS BRUTOS'!$A$3:$A$500,$C13,'DADOS BRUTOS'!N$3:N$500)))</f>
        <v/>
      </c>
      <c r="CO13" s="132">
        <f>IF(OR(CO$4="",$B13=""),0,SUMIF('DADOS BRUTOS'!$A$3:$A$500,$B13,'DADOS BRUTOS'!O$3:O$500)+IF($C13="",0,SUMIF('DADOS BRUTOS'!$A$3:$A$500,$C13,'DADOS BRUTOS'!O$3:O$500)))</f>
        <v/>
      </c>
      <c r="CP13" s="132">
        <f>IF(OR(CP$4="",$B13=""),0,SUMIF('DADOS BRUTOS'!$A$3:$A$500,$B13,'DADOS BRUTOS'!P$3:P$500)+IF($C13="",0,SUMIF('DADOS BRUTOS'!$A$3:$A$500,$C13,'DADOS BRUTOS'!P$3:P$500)))</f>
        <v/>
      </c>
      <c r="CQ13" s="132">
        <f>IF(OR(CQ$4="",$B13=""),0,SUMIF('DADOS BRUTOS'!$A$3:$A$500,$B13,'DADOS BRUTOS'!Q$3:Q$500)+IF($C13="",0,SUMIF('DADOS BRUTOS'!$A$3:$A$500,$C13,'DADOS BRUTOS'!Q$3:Q$500)))</f>
        <v/>
      </c>
      <c r="CR13" s="132">
        <f>IF(OR(CR$4="",$B13=""),0,SUMIF('DADOS BRUTOS'!$A$3:$A$500,$B13,'DADOS BRUTOS'!R$3:R$500)+IF($C13="",0,SUMIF('DADOS BRUTOS'!$A$3:$A$500,$C13,'DADOS BRUTOS'!R$3:R$500)))</f>
        <v/>
      </c>
      <c r="CS13" s="132">
        <f>IF(OR(CS$4="",$B13=""),0,SUMIF('DADOS BRUTOS'!$A$3:$A$500,$B13,'DADOS BRUTOS'!S$3:S$500)+IF($C13="",0,SUMIF('DADOS BRUTOS'!$A$3:$A$500,$C13,'DADOS BRUTOS'!S$3:S$500)))</f>
        <v/>
      </c>
      <c r="CT13" s="132">
        <f>IF(OR(CT$4="",$B13=""),0,SUMIF('DADOS BRUTOS'!$A$3:$A$500,$B13,'DADOS BRUTOS'!T$3:T$500)+IF($C13="",0,SUMIF('DADOS BRUTOS'!$A$3:$A$500,$C13,'DADOS BRUTOS'!T$3:T$500)))</f>
        <v/>
      </c>
      <c r="CU13" s="132">
        <f>IF(OR(CU$4="",$B13=""),0,SUMIF('DADOS BRUTOS'!$A$3:$A$500,$B13,'DADOS BRUTOS'!U$3:U$500)+IF($C13="",0,SUMIF('DADOS BRUTOS'!$A$3:$A$500,$C13,'DADOS BRUTOS'!U$3:U$500)))</f>
        <v/>
      </c>
      <c r="CV13" s="132">
        <f>IF(OR(CV$4="",$B13=""),0,SUMIF('DADOS BRUTOS'!$A$3:$A$500,$B13,'DADOS BRUTOS'!V$3:V$500)+IF($C13="",0,SUMIF('DADOS BRUTOS'!$A$3:$A$500,$C13,'DADOS BRUTOS'!V$3:V$500)))</f>
        <v/>
      </c>
      <c r="CW13" s="132">
        <f>IF(OR(CW$4="",$B13=""),0,SUMIF('DADOS BRUTOS'!$A$3:$A$500,$B13,'DADOS BRUTOS'!W$3:W$500)+IF($C13="",0,SUMIF('DADOS BRUTOS'!$A$3:$A$500,$C13,'DADOS BRUTOS'!W$3:W$500)))</f>
        <v/>
      </c>
      <c r="CX13" s="132">
        <f>IF(OR(CX$4="",$B13=""),0,SUMIF('DADOS BRUTOS'!$A$3:$A$500,$B13,'DADOS BRUTOS'!X$3:X$500)+IF($C13="",0,SUMIF('DADOS BRUTOS'!$A$3:$A$500,$C13,'DADOS BRUTOS'!X$3:X$500)))</f>
        <v/>
      </c>
      <c r="CY13" s="132">
        <f>IF(OR(CY$4="",$B13=""),0,SUMIF('DADOS BRUTOS'!$A$3:$A$500,$B13,'DADOS BRUTOS'!Y$3:Y$500)+IF($C13="",0,SUMIF('DADOS BRUTOS'!$A$3:$A$500,$C13,'DADOS BRUTOS'!Y$3:Y$500)))</f>
        <v/>
      </c>
      <c r="CZ13" s="132">
        <f>IF(OR(CZ$4="",$B13=""),0,SUMIF('DADOS BRUTOS'!$A$3:$A$500,$B13,'DADOS BRUTOS'!Z$3:Z$500)+IF($C13="",0,SUMIF('DADOS BRUTOS'!$A$3:$A$500,$C13,'DADOS BRUTOS'!Z$3:Z$500)))</f>
        <v/>
      </c>
      <c r="DA13" s="132">
        <f>IF(OR(DA$4="",$B13=""),0,SUMIF('DADOS BRUTOS'!$A$3:$A$500,$B13,'DADOS BRUTOS'!AA$3:AA$500)+IF($C13="",0,SUMIF('DADOS BRUTOS'!$A$3:$A$500,$C13,'DADOS BRUTOS'!AA$3:AA$500)))</f>
        <v/>
      </c>
      <c r="DB13" s="132">
        <f>IF(OR(DB$4="",$B13=""),0,SUMIF('DADOS BRUTOS'!$A$3:$A$500,$B13,'DADOS BRUTOS'!AB$3:AB$500)+IF($C13="",0,SUMIF('DADOS BRUTOS'!$A$3:$A$500,$C13,'DADOS BRUTOS'!AB$3:AB$500)))</f>
        <v/>
      </c>
      <c r="DC13" s="132">
        <f>IF(OR(DC$4="",$B13=""),0,SUMIF('DADOS BRUTOS'!$A$3:$A$500,$B13,'DADOS BRUTOS'!AC$3:AC$500)+IF($C13="",0,SUMIF('DADOS BRUTOS'!$A$3:$A$500,$C13,'DADOS BRUTOS'!AC$3:AC$500)))</f>
        <v/>
      </c>
      <c r="DD13" s="132">
        <f>IF(OR(DD$4="",$B13=""),0,SUMIF('DADOS BRUTOS'!$A$3:$A$500,$B13,'DADOS BRUTOS'!AD$3:AD$500)+IF($C13="",0,SUMIF('DADOS BRUTOS'!$A$3:$A$500,$C13,'DADOS BRUTOS'!AD$3:AD$500)))</f>
        <v/>
      </c>
      <c r="DE13" s="132">
        <f>IF(OR(DE$4="",$B13=""),0,SUMIF('DADOS BRUTOS'!$A$3:$A$500,$B13,'DADOS BRUTOS'!AE$3:AE$500)+IF($C13="",0,SUMIF('DADOS BRUTOS'!$A$3:$A$500,$C13,'DADOS BRUTOS'!AE$3:AE$500)))</f>
        <v/>
      </c>
      <c r="DF13" s="132">
        <f>IF(OR(DF$4="",$B13=""),0,SUMIF('DADOS BRUTOS'!$A$3:$A$500,$B13,'DADOS BRUTOS'!AF$3:AF$500)+IF($C13="",0,SUMIF('DADOS BRUTOS'!$A$3:$A$500,$C13,'DADOS BRUTOS'!AF$3:AF$500)))</f>
        <v/>
      </c>
      <c r="DG13" s="132">
        <f>IF(OR(DG$4="",$B13=""),0,SUMIF('DADOS BRUTOS'!$A$3:$A$500,$B13,'DADOS BRUTOS'!AG$3:AG$500)+IF($C13="",0,SUMIF('DADOS BRUTOS'!$A$3:$A$500,$C13,'DADOS BRUTOS'!AG$3:AG$500)))</f>
        <v/>
      </c>
      <c r="DH13" s="132">
        <f>IF(OR(DH$4="",$B13=""),0,SUMIF('DADOS BRUTOS'!$A$3:$A$500,$B13,'DADOS BRUTOS'!AH$3:AH$500)+IF($C13="",0,SUMIF('DADOS BRUTOS'!$A$3:$A$500,$C13,'DADOS BRUTOS'!AH$3:AH$500)))</f>
        <v/>
      </c>
      <c r="DI13" s="132">
        <f>IF(OR(DI$4="",$B13=""),0,SUMIF('DADOS BRUTOS'!$A$3:$A$500,$B13,'DADOS BRUTOS'!AI$3:AI$500)+IF($C13="",0,SUMIF('DADOS BRUTOS'!$A$3:$A$500,$C13,'DADOS BRUTOS'!AI$3:AI$500)))</f>
        <v/>
      </c>
      <c r="DJ13" s="132">
        <f>IF(OR(DJ$4="",$B13=""),0,SUMIF('DADOS BRUTOS'!$A$3:$A$500,$B13,'DADOS BRUTOS'!AJ$3:AJ$500)+IF($C13="",0,SUMIF('DADOS BRUTOS'!$A$3:$A$500,$C13,'DADOS BRUTOS'!AJ$3:AJ$500)))</f>
        <v/>
      </c>
      <c r="DK13" s="132">
        <f>IF(OR(DK$4="",$B13=""),0,SUMIF('DADOS BRUTOS'!$A$3:$A$500,$B13,'DADOS BRUTOS'!AK$3:AK$500)+IF($C13="",0,SUMIF('DADOS BRUTOS'!$A$3:$A$500,$C13,'DADOS BRUTOS'!AK$3:AK$500)))</f>
        <v/>
      </c>
      <c r="DL13" s="132">
        <f>IF(OR(DL$4="",$B13=""),0,SUMIF('DADOS BRUTOS'!$A$3:$A$500,$B13,'DADOS BRUTOS'!AL$3:AL$500)+IF($C13="",0,SUMIF('DADOS BRUTOS'!$A$3:$A$500,$C13,'DADOS BRUTOS'!AL$3:AL$500)))</f>
        <v/>
      </c>
      <c r="DM13" s="132">
        <f>IF(OR(DM$4="",$B13=""),0,SUMIF('DADOS BRUTOS'!$A$3:$A$500,$B13,'DADOS BRUTOS'!AM$3:AM$500)+IF($C13="",0,SUMIF('DADOS BRUTOS'!$A$3:$A$500,$C13,'DADOS BRUTOS'!AM$3:AM$500)))</f>
        <v/>
      </c>
      <c r="DN13" s="132">
        <f>IF(OR(DN$4="",$B13=""),0,SUMIF('DADOS BRUTOS'!$A$3:$A$500,$B13,'DADOS BRUTOS'!AN$3:AN$500)+IF($C13="",0,SUMIF('DADOS BRUTOS'!$A$3:$A$500,$C13,'DADOS BRUTOS'!AN$3:AN$500)))</f>
        <v/>
      </c>
      <c r="DO13" s="132">
        <f>IF(OR(DO$4="",$B13=""),0,SUMIF('DADOS BRUTOS'!$A$3:$A$500,$B13,'DADOS BRUTOS'!AO$3:AO$500)+IF($C13="",0,SUMIF('DADOS BRUTOS'!$A$3:$A$500,$C13,'DADOS BRUTOS'!AO$3:AO$500)))</f>
        <v/>
      </c>
      <c r="DP13" s="132">
        <f>IF(OR(DP$4="",$B13=""),0,SUMIF('DADOS BRUTOS'!$A$3:$A$500,$B13,'DADOS BRUTOS'!AP$3:AP$500)+IF($C13="",0,SUMIF('DADOS BRUTOS'!$A$3:$A$500,$C13,'DADOS BRUTOS'!AP$3:AP$500)))</f>
        <v/>
      </c>
      <c r="DQ13" s="132">
        <f>IF(OR(DQ$4="",$B13=""),0,SUMIF('DADOS BRUTOS'!$A$3:$A$500,$B13,'DADOS BRUTOS'!AQ$3:AQ$500)+IF($C13="",0,SUMIF('DADOS BRUTOS'!$A$3:$A$500,$C13,'DADOS BRUTOS'!AQ$3:AQ$500)))</f>
        <v/>
      </c>
      <c r="DR13" s="132">
        <f>IF(OR(DR$4="",$B13=""),0,SUMIF('DADOS BRUTOS'!$A$3:$A$500,$B13,'DADOS BRUTOS'!AR$3:AR$500)+IF($C13="",0,SUMIF('DADOS BRUTOS'!$A$3:$A$500,$C13,'DADOS BRUTOS'!AR$3:AR$500)))</f>
        <v/>
      </c>
      <c r="DS13" s="132">
        <f>IF(OR(DS$4="",$B13=""),0,SUMIF('DADOS BRUTOS'!$A$3:$A$500,$B13,'DADOS BRUTOS'!AS$3:AS$500)+IF($C13="",0,SUMIF('DADOS BRUTOS'!$A$3:$A$500,$C13,'DADOS BRUTOS'!AS$3:AS$500)))</f>
        <v/>
      </c>
      <c r="DT13" s="132">
        <f>IF(OR(DT$4="",$B13=""),0,SUMIF('DADOS BRUTOS'!$A$3:$A$500,$B13,'DADOS BRUTOS'!AT$3:AT$500)+IF($C13="",0,SUMIF('DADOS BRUTOS'!$A$3:$A$500,$C13,'DADOS BRUTOS'!AT$3:AT$500)))</f>
        <v/>
      </c>
      <c r="DU13" s="132">
        <f>IF(OR(DU$4="",$B13=""),0,SUMIF('DADOS BRUTOS'!$A$3:$A$500,$B13,'DADOS BRUTOS'!AU$3:AU$500)+IF($C13="",0,SUMIF('DADOS BRUTOS'!$A$3:$A$500,$C13,'DADOS BRUTOS'!AU$3:AU$500)))</f>
        <v/>
      </c>
      <c r="DV13" s="132">
        <f>IF(OR(DV$4="",$B13=""),0,SUMIF('DADOS BRUTOS'!$A$3:$A$500,$B13,'DADOS BRUTOS'!AV$3:AV$500)+IF($C13="",0,SUMIF('DADOS BRUTOS'!$A$3:$A$500,$C13,'DADOS BRUTOS'!AV$3:AV$500)))</f>
        <v/>
      </c>
      <c r="DW13" s="132">
        <f>IF(OR(DW$4="",$B13=""),0,SUMIF('DADOS BRUTOS'!$A$3:$A$500,$B13,'DADOS BRUTOS'!AW$3:AW$500)+IF($C13="",0,SUMIF('DADOS BRUTOS'!$A$3:$A$500,$C13,'DADOS BRUTOS'!AW$3:AW$500)))</f>
        <v/>
      </c>
      <c r="DX13" s="132">
        <f>IF(OR(DX$4="",$B13=""),0,SUMIF('DADOS BRUTOS'!$A$3:$A$500,$B13,'DADOS BRUTOS'!AX$3:AX$500)+IF($C13="",0,SUMIF('DADOS BRUTOS'!$A$3:$A$500,$C13,'DADOS BRUTOS'!AX$3:AX$500)))</f>
        <v/>
      </c>
      <c r="DY13" s="132">
        <f>IF(OR(DY$4="",$B13=""),0,SUMIF('DADOS BRUTOS'!$A$3:$A$500,$B13,'DADOS BRUTOS'!AY$3:AY$500)+IF($C13="",0,SUMIF('DADOS BRUTOS'!$A$3:$A$500,$C13,'DADOS BRUTOS'!AY$3:AY$500)))</f>
        <v/>
      </c>
      <c r="DZ13" s="132">
        <f>IF(OR(DZ$4="",$B13=""),0,SUMIF('DADOS BRUTOS'!$A$3:$A$500,$B13,'DADOS BRUTOS'!AZ$3:AZ$500)+IF($C13="",0,SUMIF('DADOS BRUTOS'!$A$3:$A$500,$C13,'DADOS BRUTOS'!AZ$3:AZ$500)))</f>
        <v/>
      </c>
      <c r="EA13" s="132">
        <f>IF(OR(EA$4="",$B13=""),0,SUMIF('DADOS BRUTOS'!$A$3:$A$500,$B13,'DADOS BRUTOS'!BA$3:BA$500)+IF($C13="",0,SUMIF('DADOS BRUTOS'!$A$3:$A$500,$C13,'DADOS BRUTOS'!BA$3:BA$500)))</f>
        <v/>
      </c>
      <c r="EB13" s="132">
        <f>IF(OR(EB$4="",$B13=""),0,SUMIF('DADOS BRUTOS'!$A$3:$A$500,$B13,'DADOS BRUTOS'!BB$3:BB$500)+IF($C13="",0,SUMIF('DADOS BRUTOS'!$A$3:$A$500,$C13,'DADOS BRUTOS'!BB$3:BB$500)))</f>
        <v/>
      </c>
      <c r="EC13" s="132">
        <f>IF(OR(EC$4="",$B13=""),0,SUMIF('DADOS BRUTOS'!$A$3:$A$500,$B13,'DADOS BRUTOS'!BC$3:BC$500)+IF($C13="",0,SUMIF('DADOS BRUTOS'!$A$3:$A$500,$C13,'DADOS BRUTOS'!BC$3:BC$500)))</f>
        <v/>
      </c>
      <c r="ED13" s="132">
        <f>IF(OR(ED$4="",$B13=""),0,SUMIF('DADOS BRUTOS'!$A$3:$A$500,$B13,'DADOS BRUTOS'!BD$3:BD$500)+IF($C13="",0,SUMIF('DADOS BRUTOS'!$A$3:$A$500,$C13,'DADOS BRUTOS'!BD$3:BD$500)))</f>
        <v/>
      </c>
      <c r="EE13" s="132">
        <f>IF(OR(EE$4="",$B13=""),0,SUMIF('DADOS BRUTOS'!$A$3:$A$500,$B13,'DADOS BRUTOS'!BE$3:BE$500)+IF($C13="",0,SUMIF('DADOS BRUTOS'!$A$3:$A$500,$C13,'DADOS BRUTOS'!BE$3:BE$500)))</f>
        <v/>
      </c>
      <c r="EF13" s="132">
        <f>IF(OR(EF$4="",$B13=""),0,SUMIF('DADOS BRUTOS'!$A$3:$A$500,$B13,'DADOS BRUTOS'!BF$3:BF$500)+IF($C13="",0,SUMIF('DADOS BRUTOS'!$A$3:$A$500,$C13,'DADOS BRUTOS'!BF$3:BF$500)))</f>
        <v/>
      </c>
      <c r="EG13" s="132">
        <f>IF(OR(EG$4="",$B13=""),0,SUMIF('DADOS BRUTOS'!$A$3:$A$500,$B13,'DADOS BRUTOS'!BG$3:BG$500)+IF($C13="",0,SUMIF('DADOS BRUTOS'!$A$3:$A$500,$C13,'DADOS BRUTOS'!BG$3:BG$500)))</f>
        <v/>
      </c>
      <c r="EH13" s="132">
        <f>IF(OR(EH$4="",$B13=""),0,SUMIF('DADOS BRUTOS'!$A$3:$A$500,$B13,'DADOS BRUTOS'!BH$3:BH$500)+IF($C13="",0,SUMIF('DADOS BRUTOS'!$A$3:$A$500,$C13,'DADOS BRUTOS'!BH$3:BH$500)))</f>
        <v/>
      </c>
      <c r="EI13" s="132">
        <f>IF(OR(EI$4="",$B13=""),0,SUMIF('DADOS BRUTOS'!$A$3:$A$500,$B13,'DADOS BRUTOS'!BI$3:BI$500)+IF($C13="",0,SUMIF('DADOS BRUTOS'!$A$3:$A$500,$C13,'DADOS BRUTOS'!BI$3:BI$500)))</f>
        <v/>
      </c>
      <c r="EJ13" s="132">
        <f>IF(OR(EJ$4="",$B13=""),0,SUMIF('DADOS BRUTOS'!$A$3:$A$500,$B13,'DADOS BRUTOS'!BJ$3:BJ$500)+IF($C13="",0,SUMIF('DADOS BRUTOS'!$A$3:$A$500,$C13,'DADOS BRUTOS'!BJ$3:BJ$500)))</f>
        <v/>
      </c>
      <c r="EK13" s="132">
        <f>IF(OR(EK$4="",$B13=""),0,SUMIF('DADOS BRUTOS'!$A$3:$A$500,$B13,'DADOS BRUTOS'!BK$3:BK$500)+IF($C13="",0,SUMIF('DADOS BRUTOS'!$A$3:$A$500,$C13,'DADOS BRUTOS'!BK$3:BK$500)))</f>
        <v/>
      </c>
      <c r="EL13" s="132">
        <f>IF(OR(EL$4="",$B13=""),0,SUMIF('DADOS BRUTOS'!$A$3:$A$500,$B13,'DADOS BRUTOS'!BL$3:BL$500)+IF($C13="",0,SUMIF('DADOS BRUTOS'!$A$3:$A$500,$C13,'DADOS BRUTOS'!BL$3:BL$500)))</f>
        <v/>
      </c>
      <c r="EM13" s="132">
        <f>IF(OR(EM$4="",$B13=""),0,SUMIF('DADOS BRUTOS'!$A$3:$A$500,$B13,'DADOS BRUTOS'!BM$3:BM$500)+IF($C13="",0,SUMIF('DADOS BRUTOS'!$A$3:$A$500,$C13,'DADOS BRUTOS'!BM$3:BM$500)))</f>
        <v/>
      </c>
      <c r="EN13" s="132">
        <f>IF(OR(EN$4="",$B13=""),0,SUMIF('DADOS BRUTOS'!$A$3:$A$500,$B13,'DADOS BRUTOS'!BN$3:BN$500)+IF($C13="",0,SUMIF('DADOS BRUTOS'!$A$3:$A$500,$C13,'DADOS BRUTOS'!BN$3:BN$500)))</f>
        <v/>
      </c>
      <c r="EO13" s="132">
        <f>IF(OR(EO$4="",$B13=""),0,SUMIF('DADOS BRUTOS'!$A$3:$A$500,$B13,'DADOS BRUTOS'!BO$3:BO$500)+IF($C13="",0,SUMIF('DADOS BRUTOS'!$A$3:$A$500,$C13,'DADOS BRUTOS'!BO$3:BO$500)))</f>
        <v/>
      </c>
      <c r="EP13" s="132">
        <f>IF(OR(EP$4="",$B13=""),0,SUMIF('DADOS BRUTOS'!$A$3:$A$500,$B13,'DADOS BRUTOS'!BP$3:BP$500)+IF($C13="",0,SUMIF('DADOS BRUTOS'!$A$3:$A$500,$C13,'DADOS BRUTOS'!BP$3:BP$500)))</f>
        <v/>
      </c>
      <c r="EQ13" s="132">
        <f>IF(OR(EQ$4="",$B13=""),0,SUMIF('DADOS BRUTOS'!$A$3:$A$500,$B13,'DADOS BRUTOS'!BQ$3:BQ$500)+IF($C13="",0,SUMIF('DADOS BRUTOS'!$A$3:$A$500,$C13,'DADOS BRUTOS'!BQ$3:BQ$500)))</f>
        <v/>
      </c>
      <c r="ER13" s="132">
        <f>IF(OR(ER$4="",$B13=""),0,SUMIF('DADOS BRUTOS'!$A$3:$A$500,$B13,'DADOS BRUTOS'!BR$3:BR$500)+IF($C13="",0,SUMIF('DADOS BRUTOS'!$A$3:$A$500,$C13,'DADOS BRUTOS'!BR$3:BR$500)))</f>
        <v/>
      </c>
      <c r="ES13" s="132">
        <f>IF(OR(ES$4="",$B13=""),0,SUMIF('DADOS BRUTOS'!$A$3:$A$500,$B13,'DADOS BRUTOS'!BS$3:BS$500)+IF($C13="",0,SUMIF('DADOS BRUTOS'!$A$3:$A$500,$C13,'DADOS BRUTOS'!BS$3:BS$500)))</f>
        <v/>
      </c>
      <c r="ET13" s="132">
        <f>IF(OR(ET$4="",$B13=""),0,SUMIF('DADOS BRUTOS'!$A$3:$A$500,$B13,'DADOS BRUTOS'!BT$3:BT$500)+IF($C13="",0,SUMIF('DADOS BRUTOS'!$A$3:$A$500,$C13,'DADOS BRUTOS'!BT$3:BT$500)))</f>
        <v/>
      </c>
      <c r="EU13" s="132">
        <f>IF(OR(EU$4="",$B13=""),0,SUMIF('DADOS BRUTOS'!$A$3:$A$500,$B13,'DADOS BRUTOS'!BU$3:BU$500)+IF($C13="",0,SUMIF('DADOS BRUTOS'!$A$3:$A$500,$C13,'DADOS BRUTOS'!BU$3:BU$500)))</f>
        <v/>
      </c>
      <c r="EV13" s="132">
        <f>IF(OR(EV$4="",$B13=""),0,SUMIF('DADOS BRUTOS'!$A$3:$A$500,$B13,'DADOS BRUTOS'!BV$3:BV$500)+IF($C13="",0,SUMIF('DADOS BRUTOS'!$A$3:$A$500,$C13,'DADOS BRUTOS'!BV$3:BV$500)))</f>
        <v/>
      </c>
      <c r="EW13" s="132">
        <f>IF(OR(EW$4="",$B13=""),0,SUMIF('DADOS BRUTOS'!$A$3:$A$500,$B13,'DADOS BRUTOS'!BW$3:BW$500)+IF($C13="",0,SUMIF('DADOS BRUTOS'!$A$3:$A$500,$C13,'DADOS BRUTOS'!BW$3:BW$500)))</f>
        <v/>
      </c>
      <c r="EX13" s="132">
        <f>IF(OR(EX$4="",$B13=""),0,SUMIF('DADOS BRUTOS'!$A$3:$A$500,$B13,'DADOS BRUTOS'!BX$3:BX$500)+IF($C13="",0,SUMIF('DADOS BRUTOS'!$A$3:$A$500,$C13,'DADOS BRUTOS'!BX$3:BX$500)))</f>
        <v/>
      </c>
      <c r="EY13" s="132">
        <f>IF(OR(EY$4="",$B13=""),0,SUMIF('DADOS BRUTOS'!$A$3:$A$500,$B13,'DADOS BRUTOS'!BY$3:BY$500)+IF($C13="",0,SUMIF('DADOS BRUTOS'!$A$3:$A$500,$C13,'DADOS BRUTOS'!BY$3:BY$500)))</f>
        <v/>
      </c>
      <c r="EZ13" s="132">
        <f>IF(OR(EZ$4="",$B13=""),0,SUMIF('DADOS BRUTOS'!$A$3:$A$500,$B13,'DADOS BRUTOS'!BZ$3:BZ$500)+IF($C13="",0,SUMIF('DADOS BRUTOS'!$A$3:$A$500,$C13,'DADOS BRUTOS'!BZ$3:BZ$500)))</f>
        <v/>
      </c>
      <c r="FA13" s="132">
        <f>IF(OR(FA$4="",$B13=""),0,SUMIF('DADOS BRUTOS'!$A$3:$A$500,$B13,'DADOS BRUTOS'!CA$3:CA$500)+IF($C13="",0,SUMIF('DADOS BRUTOS'!$A$3:$A$500,$C13,'DADOS BRUTOS'!CA$3:CA$500)))</f>
        <v/>
      </c>
      <c r="FB13" s="132">
        <f>IF(OR(FB$4="",$B13=""),0,SUMIF('DADOS BRUTOS'!$A$3:$A$500,$B13,'DADOS BRUTOS'!CB$3:CB$500)+IF($C13="",0,SUMIF('DADOS BRUTOS'!$A$3:$A$500,$C13,'DADOS BRUTOS'!CB$3:CB$500)))</f>
        <v/>
      </c>
      <c r="FC13" s="132">
        <f>IF(OR(FC$4="",$B13=""),0,SUMIF('DADOS BRUTOS'!$A$3:$A$500,$B13,'DADOS BRUTOS'!CC$3:CC$500)+IF($C13="",0,SUMIF('DADOS BRUTOS'!$A$3:$A$500,$C13,'DADOS BRUTOS'!CC$3:CC$500)))</f>
        <v/>
      </c>
      <c r="FD13" s="132">
        <f>IF(OR(FD$4="",$B13=""),0,SUMIF('DADOS BRUTOS'!$A$3:$A$500,$B13,'DADOS BRUTOS'!CD$3:CD$500)+IF($C13="",0,SUMIF('DADOS BRUTOS'!$A$3:$A$500,$C13,'DADOS BRUTOS'!CD$3:CD$500)))</f>
        <v/>
      </c>
      <c r="FE13" s="132">
        <f>IF(OR(FE$4="",$B13=""),0,SUMIF('DADOS BRUTOS'!$A$3:$A$500,$B13,'DADOS BRUTOS'!CE$3:CE$500)+IF($C13="",0,SUMIF('DADOS BRUTOS'!$A$3:$A$500,$C13,'DADOS BRUTOS'!CE$3:CE$500)))</f>
        <v/>
      </c>
      <c r="FF13" s="132">
        <f>IF(OR(FF$4="",$B13=""),0,SUMIF('DADOS BRUTOS'!$A$3:$A$500,$B13,'DADOS BRUTOS'!CF$3:CF$500)+IF($C13="",0,SUMIF('DADOS BRUTOS'!$A$3:$A$500,$C13,'DADOS BRUTOS'!CF$3:CF$500)))</f>
        <v/>
      </c>
      <c r="FG13" s="132">
        <f>IF(OR(FG$4="",$B13=""),0,SUMIF('DADOS BRUTOS'!$A$3:$A$500,$B13,'DADOS BRUTOS'!CG$3:CG$500)+IF($C13="",0,SUMIF('DADOS BRUTOS'!$A$3:$A$500,$C13,'DADOS BRUTOS'!CG$3:CG$500)))</f>
        <v/>
      </c>
      <c r="FH13" s="132">
        <f>IF(OR(FH$4="",$B13=""),0,SUMIF('DADOS BRUTOS'!$A$3:$A$500,$B13,'DADOS BRUTOS'!CH$3:CH$500)+IF($C13="",0,SUMIF('DADOS BRUTOS'!$A$3:$A$500,$C13,'DADOS BRUTOS'!CH$3:CH$500)))</f>
        <v/>
      </c>
      <c r="FI13" s="132">
        <f>IF(OR(FI$4="",$B13=""),0,SUMIF('DADOS BRUTOS'!$A$3:$A$500,$B13,'DADOS BRUTOS'!CI$3:CI$500)+IF($C13="",0,SUMIF('DADOS BRUTOS'!$A$3:$A$500,$C13,'DADOS BRUTOS'!CI$3:CI$500)))</f>
        <v/>
      </c>
      <c r="FJ13" s="132">
        <f>IF(OR(FJ$4="",$B13=""),0,SUMIF('DADOS BRUTOS'!$A$3:$A$500,$B13,'DADOS BRUTOS'!CJ$3:CJ$500)+IF($C13="",0,SUMIF('DADOS BRUTOS'!$A$3:$A$500,$C13,'DADOS BRUTOS'!CJ$3:CJ$500)))</f>
        <v/>
      </c>
      <c r="FK13" s="132">
        <f>IF(OR(FK$4="",$B13=""),0,SUMIF('DADOS BRUTOS'!$A$3:$A$500,$B13,'DADOS BRUTOS'!CK$3:CK$500)+IF($C13="",0,SUMIF('DADOS BRUTOS'!$A$3:$A$500,$C13,'DADOS BRUTOS'!CK$3:CK$500)))</f>
        <v/>
      </c>
      <c r="FL13" s="132">
        <f>IF(OR(FL$4="",$B13=""),0,SUMIF('DADOS BRUTOS'!$A$3:$A$500,$B13,'DADOS BRUTOS'!CL$3:CL$500)+IF($C13="",0,SUMIF('DADOS BRUTOS'!$A$3:$A$500,$C13,'DADOS BRUTOS'!CL$3:CL$500)))</f>
        <v/>
      </c>
      <c r="FM13" s="132">
        <f>IF(OR(FM$4="",$B13=""),0,SUMIF('DADOS BRUTOS'!$A$3:$A$500,$B13,'DADOS BRUTOS'!CM$3:CM$500)+IF($C13="",0,SUMIF('DADOS BRUTOS'!$A$3:$A$500,$C13,'DADOS BRUTOS'!CM$3:CM$500)))</f>
        <v/>
      </c>
      <c r="FN13" s="132">
        <f>IF(OR(FN$4="",$B13=""),0,SUMIF('DADOS BRUTOS'!$A$3:$A$500,$B13,'DADOS BRUTOS'!CN$3:CN$500)+IF($C13="",0,SUMIF('DADOS BRUTOS'!$A$3:$A$500,$C13,'DADOS BRUTOS'!CN$3:CN$500)))</f>
        <v/>
      </c>
      <c r="FO13" s="132">
        <f>IF(OR(FO$4="",$B13=""),0,SUMIF('DADOS BRUTOS'!$A$3:$A$500,$B13,'DADOS BRUTOS'!CO$3:CO$500)+IF($C13="",0,SUMIF('DADOS BRUTOS'!$A$3:$A$500,$C13,'DADOS BRUTOS'!CO$3:CO$500)))</f>
        <v/>
      </c>
      <c r="FP13" s="132">
        <f>IF(OR(FP$4="",$B13=""),0,SUMIF('DADOS BRUTOS'!$A$3:$A$500,$B13,'DADOS BRUTOS'!CP$3:CP$500)+IF($C13="",0,SUMIF('DADOS BRUTOS'!$A$3:$A$500,$C13,'DADOS BRUTOS'!CP$3:CP$500)))</f>
        <v/>
      </c>
      <c r="FQ13" s="132">
        <f>IF(OR(FQ$4="",$B13=""),0,SUMIF('DADOS BRUTOS'!$A$3:$A$500,$B13,'DADOS BRUTOS'!CQ$3:CQ$500)+IF($C13="",0,SUMIF('DADOS BRUTOS'!$A$3:$A$500,$C13,'DADOS BRUTOS'!CQ$3:CQ$500)))</f>
        <v/>
      </c>
      <c r="FR13" s="132">
        <f>IF(OR(FR$4="",$B13=""),0,SUMIF('DADOS BRUTOS'!$A$3:$A$500,$B13,'DADOS BRUTOS'!CR$3:CR$500)+IF($C13="",0,SUMIF('DADOS BRUTOS'!$A$3:$A$500,$C13,'DADOS BRUTOS'!CR$3:CR$500)))</f>
        <v/>
      </c>
      <c r="FS13" s="132">
        <f>IF(OR(FS$4="",$B13=""),0,SUMIF('DADOS BRUTOS'!$A$3:$A$500,$B13,'DADOS BRUTOS'!CS$3:CS$500)+IF($C13="",0,SUMIF('DADOS BRUTOS'!$A$3:$A$500,$C13,'DADOS BRUTOS'!CS$3:CS$500)))</f>
        <v/>
      </c>
      <c r="FT13" s="132">
        <f>IF(OR(FT$4="",$B13=""),0,SUMIF('DADOS BRUTOS'!$A$3:$A$500,$B13,'DADOS BRUTOS'!CT$3:CT$500)+IF($C13="",0,SUMIF('DADOS BRUTOS'!$A$3:$A$500,$C13,'DADOS BRUTOS'!CT$3:CT$500)))</f>
        <v/>
      </c>
      <c r="FU13" s="132">
        <f>IF(OR(FU$4="",$B13=""),0,SUMIF('DADOS BRUTOS'!$A$3:$A$500,$B13,'DADOS BRUTOS'!CU$3:CU$500)+IF($C13="",0,SUMIF('DADOS BRUTOS'!$A$3:$A$500,$C13,'DADOS BRUTOS'!CU$3:CU$500)))</f>
        <v/>
      </c>
      <c r="FV13" s="132">
        <f>IF(OR(FV$4="",$B13=""),0,SUMIF('DADOS BRUTOS'!$A$3:$A$500,$B13,'DADOS BRUTOS'!CV$3:CV$500)+IF($C13="",0,SUMIF('DADOS BRUTOS'!$A$3:$A$500,$C13,'DADOS BRUTOS'!CV$3:CV$500)))</f>
        <v/>
      </c>
      <c r="FW13" s="132">
        <f>IF(OR(FW$4="",$B13=""),0,SUMIF('DADOS BRUTOS'!$A$3:$A$500,$B13,'DADOS BRUTOS'!CW$3:CW$500)+IF($C13="",0,SUMIF('DADOS BRUTOS'!$A$3:$A$500,$C13,'DADOS BRUTOS'!CW$3:CW$500)))</f>
        <v/>
      </c>
      <c r="FX13" s="132">
        <f>IF(OR(FX$4="",$B13=""),0,SUMIF('DADOS BRUTOS'!$A$3:$A$500,$B13,'DADOS BRUTOS'!CX$3:CX$500)+IF($C13="",0,SUMIF('DADOS BRUTOS'!$A$3:$A$500,$C13,'DADOS BRUTOS'!CX$3:CX$500)))</f>
        <v/>
      </c>
      <c r="FY13" s="132">
        <f>IF(OR(FY$4="",$B13=""),0,SUMIF('DADOS BRUTOS'!$A$3:$A$500,$B13,'DADOS BRUTOS'!CY$3:CY$500)+IF($C13="",0,SUMIF('DADOS BRUTOS'!$A$3:$A$500,$C13,'DADOS BRUTOS'!CY$3:CY$500)))</f>
        <v/>
      </c>
      <c r="FZ13" s="132">
        <f>IF(OR(FZ$4="",$B13=""),0,SUMIF('DADOS BRUTOS'!$A$3:$A$500,$B13,'DADOS BRUTOS'!CZ$3:CZ$500)+IF($C13="",0,SUMIF('DADOS BRUTOS'!$A$3:$A$500,$C13,'DADOS BRUTOS'!CZ$3:CZ$500)))</f>
        <v/>
      </c>
      <c r="GA13" s="132">
        <f>IF(OR(GA$4="",$B13=""),0,SUMIF('DADOS BRUTOS'!$A$3:$A$500,$B13,'DADOS BRUTOS'!DA$3:DA$500)+IF($C13="",0,SUMIF('DADOS BRUTOS'!$A$3:$A$500,$C13,'DADOS BRUTOS'!DA$3:DA$500)))</f>
        <v/>
      </c>
      <c r="GB13" s="132">
        <f>IF(OR(GB$4="",$B13=""),0,SUMIF('DADOS BRUTOS'!$A$3:$A$500,$B13,'DADOS BRUTOS'!DB$3:DB$500)+IF($C13="",0,SUMIF('DADOS BRUTOS'!$A$3:$A$500,$C13,'DADOS BRUTOS'!DB$3:DB$500)))</f>
        <v/>
      </c>
      <c r="GC13" s="132">
        <f>IF(OR(GC$4="",$B13=""),0,SUMIF('DADOS BRUTOS'!$A$3:$A$500,$B13,'DADOS BRUTOS'!DC$3:DC$500)+IF($C13="",0,SUMIF('DADOS BRUTOS'!$A$3:$A$500,$C13,'DADOS BRUTOS'!DC$3:DC$500)))</f>
        <v/>
      </c>
      <c r="GD13" s="132">
        <f>IF(OR(GD$4="",$B13=""),0,SUMIF('DADOS BRUTOS'!$A$3:$A$500,$B13,'DADOS BRUTOS'!DD$3:DD$500)+IF($C13="",0,SUMIF('DADOS BRUTOS'!$A$3:$A$500,$C13,'DADOS BRUTOS'!DD$3:DD$500)))</f>
        <v/>
      </c>
      <c r="GE13" s="132">
        <f>IF(OR(GE$4="",$B13=""),0,SUMIF('DADOS BRUTOS'!$A$3:$A$500,$B13,'DADOS BRUTOS'!DE$3:DE$500)+IF($C13="",0,SUMIF('DADOS BRUTOS'!$A$3:$A$500,$C13,'DADOS BRUTOS'!DE$3:DE$500)))</f>
        <v/>
      </c>
      <c r="GF13" s="132">
        <f>IF(OR(GF$4="",$B13=""),0,SUMIF('DADOS BRUTOS'!$A$3:$A$500,$B13,'DADOS BRUTOS'!DF$3:DF$500)+IF($C13="",0,SUMIF('DADOS BRUTOS'!$A$3:$A$500,$C13,'DADOS BRUTOS'!DF$3:DF$500)))</f>
        <v/>
      </c>
      <c r="GG13" s="132">
        <f>IF(OR(GG$4="",$B13=""),0,SUMIF('DADOS BRUTOS'!$A$3:$A$500,$B13,'DADOS BRUTOS'!DG$3:DG$500)+IF($C13="",0,SUMIF('DADOS BRUTOS'!$A$3:$A$500,$C13,'DADOS BRUTOS'!DG$3:DG$500)))</f>
        <v/>
      </c>
      <c r="GH13" s="132">
        <f>IF(OR(GH$4="",$B13=""),0,SUMIF('DADOS BRUTOS'!$A$3:$A$500,$B13,'DADOS BRUTOS'!DH$3:DH$500)+IF($C13="",0,SUMIF('DADOS BRUTOS'!$A$3:$A$500,$C13,'DADOS BRUTOS'!DH$3:DH$500)))</f>
        <v/>
      </c>
      <c r="GI13" s="132">
        <f>IF(OR(GI$4="",$B13=""),0,SUMIF('DADOS BRUTOS'!$A$3:$A$500,$B13,'DADOS BRUTOS'!DI$3:DI$500)+IF($C13="",0,SUMIF('DADOS BRUTOS'!$A$3:$A$500,$C13,'DADOS BRUTOS'!DI$3:DI$500)))</f>
        <v/>
      </c>
      <c r="GJ13" s="132">
        <f>IF(OR(GJ$4="",$B13=""),0,SUMIF('DADOS BRUTOS'!$A$3:$A$500,$B13,'DADOS BRUTOS'!DJ$3:DJ$500)+IF($C13="",0,SUMIF('DADOS BRUTOS'!$A$3:$A$500,$C13,'DADOS BRUTOS'!DJ$3:DJ$500)))</f>
        <v/>
      </c>
      <c r="GK13" s="132">
        <f>IF(OR(GK$4="",$B13=""),0,SUMIF('DADOS BRUTOS'!$A$3:$A$500,$B13,'DADOS BRUTOS'!DK$3:DK$500)+IF($C13="",0,SUMIF('DADOS BRUTOS'!$A$3:$A$500,$C13,'DADOS BRUTOS'!DK$3:DK$500)))</f>
        <v/>
      </c>
      <c r="GL13" s="132">
        <f>IF(OR(GL$4="",$B13=""),0,SUMIF('DADOS BRUTOS'!$A$3:$A$500,$B13,'DADOS BRUTOS'!DL$3:DL$500)+IF($C13="",0,SUMIF('DADOS BRUTOS'!$A$3:$A$500,$C13,'DADOS BRUTOS'!DL$3:DL$500)))</f>
        <v/>
      </c>
      <c r="GM13" s="132">
        <f>IF(OR(GM$4="",$B13=""),0,SUMIF('DADOS BRUTOS'!$A$3:$A$500,$B13,'DADOS BRUTOS'!DM$3:DM$500)+IF($C13="",0,SUMIF('DADOS BRUTOS'!$A$3:$A$500,$C13,'DADOS BRUTOS'!DM$3:DM$500)))</f>
        <v/>
      </c>
      <c r="GN13" s="132">
        <f>IF(OR(GN$4="",$B13=""),0,SUMIF('DADOS BRUTOS'!$A$3:$A$500,$B13,'DADOS BRUTOS'!DN$3:DN$500)+IF($C13="",0,SUMIF('DADOS BRUTOS'!$A$3:$A$500,$C13,'DADOS BRUTOS'!DN$3:DN$500)))</f>
        <v/>
      </c>
      <c r="GO13" s="132">
        <f>IF(OR(GO$4="",$B13=""),0,SUMIF('DADOS BRUTOS'!$A$3:$A$500,$B13,'DADOS BRUTOS'!DO$3:DO$500)+IF($C13="",0,SUMIF('DADOS BRUTOS'!$A$3:$A$500,$C13,'DADOS BRUTOS'!DO$3:DO$500)))</f>
        <v/>
      </c>
      <c r="GP13" s="132">
        <f>IF(OR(GP$4="",$B13=""),0,SUMIF('DADOS BRUTOS'!$A$3:$A$500,$B13,'DADOS BRUTOS'!DP$3:DP$500)+IF($C13="",0,SUMIF('DADOS BRUTOS'!$A$3:$A$500,$C13,'DADOS BRUTOS'!DP$3:DP$500)))</f>
        <v/>
      </c>
      <c r="GQ13" s="132">
        <f>IF(OR(GQ$4="",$B13=""),0,SUMIF('DADOS BRUTOS'!$A$3:$A$500,$B13,'DADOS BRUTOS'!DQ$3:DQ$500)+IF($C13="",0,SUMIF('DADOS BRUTOS'!$A$3:$A$500,$C13,'DADOS BRUTOS'!DQ$3:DQ$500)))</f>
        <v/>
      </c>
      <c r="GR13" s="132">
        <f>IF(OR(GR$4="",$B13=""),0,SUMIF('DADOS BRUTOS'!$A$3:$A$500,$B13,'DADOS BRUTOS'!DR$3:DR$500)+IF($C13="",0,SUMIF('DADOS BRUTOS'!$A$3:$A$500,$C13,'DADOS BRUTOS'!DR$3:DR$500)))</f>
        <v/>
      </c>
      <c r="GS13" s="132">
        <f>IF(OR(GS$4="",$B13=""),0,SUMIF('DADOS BRUTOS'!$A$3:$A$500,$B13,'DADOS BRUTOS'!DS$3:DS$500)+IF($C13="",0,SUMIF('DADOS BRUTOS'!$A$3:$A$500,$C13,'DADOS BRUTOS'!DS$3:DS$500)))</f>
        <v/>
      </c>
      <c r="GT13" s="132">
        <f>IF(OR(GT$4="",$B13=""),0,SUMIF('DADOS BRUTOS'!$A$3:$A$500,$B13,'DADOS BRUTOS'!DT$3:DT$500)+IF($C13="",0,SUMIF('DADOS BRUTOS'!$A$3:$A$500,$C13,'DADOS BRUTOS'!DT$3:DT$500)))</f>
        <v/>
      </c>
      <c r="GU13" s="132">
        <f>IF(OR(GU$4="",$B13=""),0,SUMIF('DADOS BRUTOS'!$A$3:$A$500,$B13,'DADOS BRUTOS'!DU$3:DU$500)+IF($C13="",0,SUMIF('DADOS BRUTOS'!$A$3:$A$500,$C13,'DADOS BRUTOS'!DU$3:DU$500)))</f>
        <v/>
      </c>
      <c r="GV13" s="132">
        <f>IF(OR(GV$4="",$B13=""),0,SUMIF('DADOS BRUTOS'!$A$3:$A$500,$B13,'DADOS BRUTOS'!DV$3:DV$500)+IF($C13="",0,SUMIF('DADOS BRUTOS'!$A$3:$A$500,$C13,'DADOS BRUTOS'!DV$3:DV$500)))</f>
        <v/>
      </c>
      <c r="GW13" s="132">
        <f>IF(OR(GW$4="",$B13=""),0,SUMIF('DADOS BRUTOS'!$A$3:$A$500,$B13,'DADOS BRUTOS'!DW$3:DW$500)+IF($C13="",0,SUMIF('DADOS BRUTOS'!$A$3:$A$500,$C13,'DADOS BRUTOS'!DW$3:DW$500)))</f>
        <v/>
      </c>
      <c r="GX13" s="132">
        <f>IF(OR(GX$4="",$B13=""),0,SUMIF('DADOS BRUTOS'!$A$3:$A$500,$B13,'DADOS BRUTOS'!DX$3:DX$500)+IF($C13="",0,SUMIF('DADOS BRUTOS'!$A$3:$A$500,$C13,'DADOS BRUTOS'!DX$3:DX$500)))</f>
        <v/>
      </c>
      <c r="GY13" s="132">
        <f>IF(OR(GY$4="",$B13=""),0,SUMIF('DADOS BRUTOS'!$A$3:$A$500,$B13,'DADOS BRUTOS'!DY$3:DY$500)+IF($C13="",0,SUMIF('DADOS BRUTOS'!$A$3:$A$500,$C13,'DADOS BRUTOS'!DY$3:DY$500)))</f>
        <v/>
      </c>
      <c r="GZ13" s="132">
        <f>IF(OR(GZ$4="",$B13=""),0,SUMIF('DADOS BRUTOS'!$A$3:$A$500,$B13,'DADOS BRUTOS'!DZ$3:DZ$500)+IF($C13="",0,SUMIF('DADOS BRUTOS'!$A$3:$A$500,$C13,'DADOS BRUTOS'!DZ$3:DZ$500)))</f>
        <v/>
      </c>
      <c r="HA13" s="132">
        <f>IF(OR(HA$4="",$B13=""),0,SUMIF('DADOS BRUTOS'!$A$3:$A$500,$B13,'DADOS BRUTOS'!EA$3:EA$500)+IF($C13="",0,SUMIF('DADOS BRUTOS'!$A$3:$A$500,$C13,'DADOS BRUTOS'!EA$3:EA$500)))</f>
        <v/>
      </c>
      <c r="HB13" s="132">
        <f>IF(OR(HB$4="",$B13=""),0,SUMIF('DADOS BRUTOS'!$A$3:$A$500,$B13,'DADOS BRUTOS'!EB$3:EB$500)+IF($C13="",0,SUMIF('DADOS BRUTOS'!$A$3:$A$500,$C13,'DADOS BRUTOS'!EB$3:EB$500)))</f>
        <v/>
      </c>
      <c r="HC13" s="132">
        <f>IF(OR(HC$4="",$B13=""),0,SUMIF('DADOS BRUTOS'!$A$3:$A$500,$B13,'DADOS BRUTOS'!EC$3:EC$500)+IF($C13="",0,SUMIF('DADOS BRUTOS'!$A$3:$A$500,$C13,'DADOS BRUTOS'!EC$3:EC$500)))</f>
        <v/>
      </c>
      <c r="HD13" s="132">
        <f>IF(OR(HD$4="",$B13=""),0,SUMIF('DADOS BRUTOS'!$A$3:$A$500,$B13,'DADOS BRUTOS'!ED$3:ED$500)+IF($C13="",0,SUMIF('DADOS BRUTOS'!$A$3:$A$500,$C13,'DADOS BRUTOS'!ED$3:ED$500)))</f>
        <v/>
      </c>
      <c r="HE13" s="132">
        <f>IF(OR(HE$4="",$B13=""),0,SUMIF('DADOS BRUTOS'!$A$3:$A$500,$B13,'DADOS BRUTOS'!EE$3:EE$500)+IF($C13="",0,SUMIF('DADOS BRUTOS'!$A$3:$A$500,$C13,'DADOS BRUTOS'!EE$3:EE$500)))</f>
        <v/>
      </c>
      <c r="HF13" s="132">
        <f>IF(OR(HF$4="",$B13=""),0,SUMIF('DADOS BRUTOS'!$A$3:$A$500,$B13,'DADOS BRUTOS'!EF$3:EF$500)+IF($C13="",0,SUMIF('DADOS BRUTOS'!$A$3:$A$500,$C13,'DADOS BRUTOS'!EF$3:EF$500)))</f>
        <v/>
      </c>
      <c r="HG13" s="132">
        <f>IF(OR(HG$4="",$B13=""),0,SUMIF('DADOS BRUTOS'!$A$3:$A$500,$B13,'DADOS BRUTOS'!EG$3:EG$500)+IF($C13="",0,SUMIF('DADOS BRUTOS'!$A$3:$A$500,$C13,'DADOS BRUTOS'!EG$3:EG$500)))</f>
        <v/>
      </c>
      <c r="HH13" s="132">
        <f>IF(OR(HH$4="",$B13=""),0,SUMIF('DADOS BRUTOS'!$A$3:$A$500,$B13,'DADOS BRUTOS'!EH$3:EH$500)+IF($C13="",0,SUMIF('DADOS BRUTOS'!$A$3:$A$500,$C13,'DADOS BRUTOS'!EH$3:EH$500)))</f>
        <v/>
      </c>
      <c r="HI13" s="132">
        <f>IF(OR(HI$4="",$B13=""),0,SUMIF('DADOS BRUTOS'!$A$3:$A$500,$B13,'DADOS BRUTOS'!EI$3:EI$500)+IF($C13="",0,SUMIF('DADOS BRUTOS'!$A$3:$A$500,$C13,'DADOS BRUTOS'!EI$3:EI$500)))</f>
        <v/>
      </c>
      <c r="HJ13" s="132">
        <f>IF(OR(HJ$4="",$B13=""),0,SUMIF('DADOS BRUTOS'!$A$3:$A$500,$B13,'DADOS BRUTOS'!EJ$3:EJ$500)+IF($C13="",0,SUMIF('DADOS BRUTOS'!$A$3:$A$500,$C13,'DADOS BRUTOS'!EJ$3:EJ$500)))</f>
        <v/>
      </c>
      <c r="HK13" s="132">
        <f>IF(OR(HK$4="",$B13=""),0,SUMIF('DADOS BRUTOS'!$A$3:$A$500,$B13,'DADOS BRUTOS'!EK$3:EK$500)+IF($C13="",0,SUMIF('DADOS BRUTOS'!$A$3:$A$500,$C13,'DADOS BRUTOS'!EK$3:EK$500)))</f>
        <v/>
      </c>
      <c r="HL13" s="132">
        <f>IF(OR(HL$4="",$B13=""),0,SUMIF('DADOS BRUTOS'!$A$3:$A$500,$B13,'DADOS BRUTOS'!EL$3:EL$500)+IF($C13="",0,SUMIF('DADOS BRUTOS'!$A$3:$A$500,$C13,'DADOS BRUTOS'!EL$3:EL$500)))</f>
        <v/>
      </c>
      <c r="HM13" s="132">
        <f>IF(OR(HM$4="",$B13=""),0,SUMIF('DADOS BRUTOS'!$A$3:$A$500,$B13,'DADOS BRUTOS'!EM$3:EM$500)+IF($C13="",0,SUMIF('DADOS BRUTOS'!$A$3:$A$500,$C13,'DADOS BRUTOS'!EM$3:EM$500)))</f>
        <v/>
      </c>
      <c r="HN13" s="132">
        <f>IF(OR(HN$4="",$B13=""),0,SUMIF('DADOS BRUTOS'!$A$3:$A$500,$B13,'DADOS BRUTOS'!EN$3:EN$500)+IF($C13="",0,SUMIF('DADOS BRUTOS'!$A$3:$A$500,$C13,'DADOS BRUTOS'!EN$3:EN$500)))</f>
        <v/>
      </c>
      <c r="HO13" s="132">
        <f>IF(OR(HO$4="",$B13=""),0,SUMIF('DADOS BRUTOS'!$A$3:$A$500,$B13,'DADOS BRUTOS'!EO$3:EO$500)+IF($C13="",0,SUMIF('DADOS BRUTOS'!$A$3:$A$500,$C13,'DADOS BRUTOS'!EO$3:EO$500)))</f>
        <v/>
      </c>
      <c r="HP13" s="132">
        <f>IF(OR(HP$4="",$B13=""),0,SUMIF('DADOS BRUTOS'!$A$3:$A$500,$B13,'DADOS BRUTOS'!EP$3:EP$500)+IF($C13="",0,SUMIF('DADOS BRUTOS'!$A$3:$A$500,$C13,'DADOS BRUTOS'!EP$3:EP$500)))</f>
        <v/>
      </c>
      <c r="HQ13" s="132">
        <f>IF(OR(HQ$4="",$B13=""),0,SUMIF('DADOS BRUTOS'!$A$3:$A$500,$B13,'DADOS BRUTOS'!EQ$3:EQ$500)+IF($C13="",0,SUMIF('DADOS BRUTOS'!$A$3:$A$500,$C13,'DADOS BRUTOS'!EQ$3:EQ$500)))</f>
        <v/>
      </c>
      <c r="HR13" s="132">
        <f>IF(OR(HR$4="",$B13=""),0,SUMIF('DADOS BRUTOS'!$A$3:$A$500,$B13,'DADOS BRUTOS'!ER$3:ER$500)+IF($C13="",0,SUMIF('DADOS BRUTOS'!$A$3:$A$500,$C13,'DADOS BRUTOS'!ER$3:ER$500)))</f>
        <v/>
      </c>
      <c r="HS13" s="132">
        <f>IF(OR(HS$4="",$B13=""),0,SUMIF('DADOS BRUTOS'!$A$3:$A$500,$B13,'DADOS BRUTOS'!ES$3:ES$500)+IF($C13="",0,SUMIF('DADOS BRUTOS'!$A$3:$A$500,$C13,'DADOS BRUTOS'!ES$3:ES$500)))</f>
        <v/>
      </c>
      <c r="HT13" s="132">
        <f>IF(OR(HT$4="",$B13=""),0,SUMIF('DADOS BRUTOS'!$A$3:$A$500,$B13,'DADOS BRUTOS'!ET$3:ET$500)+IF($C13="",0,SUMIF('DADOS BRUTOS'!$A$3:$A$500,$C13,'DADOS BRUTOS'!ET$3:ET$500)))</f>
        <v/>
      </c>
      <c r="HU13" s="132">
        <f>IF(OR(HU$4="",$B13=""),0,SUMIF('DADOS BRUTOS'!$A$3:$A$500,$B13,'DADOS BRUTOS'!EU$3:EU$500)+IF($C13="",0,SUMIF('DADOS BRUTOS'!$A$3:$A$500,$C13,'DADOS BRUTOS'!EU$3:EU$500)))</f>
        <v/>
      </c>
      <c r="HV13" s="132">
        <f>IF(OR(HV$4="",$B13=""),0,SUMIF('DADOS BRUTOS'!$A$3:$A$500,$B13,'DADOS BRUTOS'!EV$3:EV$500)+IF($C13="",0,SUMIF('DADOS BRUTOS'!$A$3:$A$500,$C13,'DADOS BRUTOS'!EV$3:EV$500)))</f>
        <v/>
      </c>
      <c r="HW13" s="132">
        <f>IF(OR(HW$4="",$B13=""),0,SUMIF('DADOS BRUTOS'!$A$3:$A$500,$B13,'DADOS BRUTOS'!EW$3:EW$500)+IF($C13="",0,SUMIF('DADOS BRUTOS'!$A$3:$A$500,$C13,'DADOS BRUTOS'!EW$3:EW$500)))</f>
        <v/>
      </c>
      <c r="HX13" s="132">
        <f>IF(OR(HX$4="",$B13=""),0,SUMIF('DADOS BRUTOS'!$A$3:$A$500,$B13,'DADOS BRUTOS'!EX$3:EX$500)+IF($C13="",0,SUMIF('DADOS BRUTOS'!$A$3:$A$500,$C13,'DADOS BRUTOS'!EX$3:EX$500)))</f>
        <v/>
      </c>
      <c r="HY13" s="132">
        <f>IF(OR(HY$4="",$B13=""),0,SUMIF('DADOS BRUTOS'!$A$3:$A$500,$B13,'DADOS BRUTOS'!EY$3:EY$500)+IF($C13="",0,SUMIF('DADOS BRUTOS'!$A$3:$A$500,$C13,'DADOS BRUTOS'!EY$3:EY$500)))</f>
        <v/>
      </c>
      <c r="HZ13" s="132">
        <f>IF(OR(HZ$4="",$B13=""),0,SUMIF('DADOS BRUTOS'!$A$3:$A$500,$B13,'DADOS BRUTOS'!EZ$3:EZ$500)+IF($C13="",0,SUMIF('DADOS BRUTOS'!$A$3:$A$500,$C13,'DADOS BRUTOS'!EZ$3:EZ$500)))</f>
        <v/>
      </c>
      <c r="IA13" s="132">
        <f>IF(OR(IA$4="",$B13=""),0,SUMIF('DADOS BRUTOS'!$A$3:$A$500,$B13,'DADOS BRUTOS'!FA$3:FA$500)+IF($C13="",0,SUMIF('DADOS BRUTOS'!$A$3:$A$500,$C13,'DADOS BRUTOS'!FA$3:FA$500)))</f>
        <v/>
      </c>
      <c r="IB13" s="132">
        <f>IF(OR(IB$4="",$B13=""),0,SUMIF('DADOS BRUTOS'!$A$3:$A$500,$B13,'DADOS BRUTOS'!FB$3:FB$500)+IF($C13="",0,SUMIF('DADOS BRUTOS'!$A$3:$A$500,$C13,'DADOS BRUTOS'!FB$3:FB$500)))</f>
        <v/>
      </c>
      <c r="IC13" s="132">
        <f>IF(OR(IC$4="",$B13=""),0,SUMIF('DADOS BRUTOS'!$A$3:$A$500,$B13,'DADOS BRUTOS'!FC$3:FC$500)+IF($C13="",0,SUMIF('DADOS BRUTOS'!$A$3:$A$500,$C13,'DADOS BRUTOS'!FC$3:FC$500)))</f>
        <v/>
      </c>
      <c r="ID13" s="132">
        <f>IF(OR(ID$4="",$B13=""),0,SUMIF('DADOS BRUTOS'!$A$3:$A$500,$B13,'DADOS BRUTOS'!FD$3:FD$500)+IF($C13="",0,SUMIF('DADOS BRUTOS'!$A$3:$A$500,$C13,'DADOS BRUTOS'!FD$3:FD$500)))</f>
        <v/>
      </c>
      <c r="IE13" s="132">
        <f>IF(OR(IE$4="",$B13=""),0,SUMIF('DADOS BRUTOS'!$A$3:$A$500,$B13,'DADOS BRUTOS'!FE$3:FE$500)+IF($C13="",0,SUMIF('DADOS BRUTOS'!$A$3:$A$500,$C13,'DADOS BRUTOS'!FE$3:FE$500)))</f>
        <v/>
      </c>
      <c r="IF13" s="132">
        <f>IF(OR(IF$4="",$B13=""),0,SUMIF('DADOS BRUTOS'!$A$3:$A$500,$B13,'DADOS BRUTOS'!FF$3:FF$500)+IF($C13="",0,SUMIF('DADOS BRUTOS'!$A$3:$A$500,$C13,'DADOS BRUTOS'!FF$3:FF$500)))</f>
        <v/>
      </c>
      <c r="IG13" s="132">
        <f>IF(OR(IG$4="",$B13=""),0,SUMIF('DADOS BRUTOS'!$A$3:$A$500,$B13,'DADOS BRUTOS'!FG$3:FG$500)+IF($C13="",0,SUMIF('DADOS BRUTOS'!$A$3:$A$500,$C13,'DADOS BRUTOS'!FG$3:FG$500)))</f>
        <v/>
      </c>
      <c r="IH13" s="132">
        <f>IF(OR(IH$4="",$B13=""),0,SUMIF('DADOS BRUTOS'!$A$3:$A$500,$B13,'DADOS BRUTOS'!FH$3:FH$500)+IF($C13="",0,SUMIF('DADOS BRUTOS'!$A$3:$A$500,$C13,'DADOS BRUTOS'!FH$3:FH$500)))</f>
        <v/>
      </c>
      <c r="II13" s="132">
        <f>IF(OR(II$4="",$B13=""),0,SUMIF('DADOS BRUTOS'!$A$3:$A$500,$B13,'DADOS BRUTOS'!FI$3:FI$500)+IF($C13="",0,SUMIF('DADOS BRUTOS'!$A$3:$A$500,$C13,'DADOS BRUTOS'!FI$3:FI$500)))</f>
        <v/>
      </c>
      <c r="IJ13" s="132">
        <f>IF(OR(IJ$4="",$B13=""),0,SUMIF('DADOS BRUTOS'!$A$3:$A$500,$B13,'DADOS BRUTOS'!FJ$3:FJ$500)+IF($C13="",0,SUMIF('DADOS BRUTOS'!$A$3:$A$500,$C13,'DADOS BRUTOS'!FJ$3:FJ$500)))</f>
        <v/>
      </c>
      <c r="IK13" s="132">
        <f>IF(OR(IK$4="",$B13=""),0,SUMIF('DADOS BRUTOS'!$A$3:$A$500,$B13,'DADOS BRUTOS'!FK$3:FK$500)+IF($C13="",0,SUMIF('DADOS BRUTOS'!$A$3:$A$500,$C13,'DADOS BRUTOS'!FK$3:FK$500)))</f>
        <v/>
      </c>
      <c r="IL13" s="132">
        <f>IF(OR(IL$4="",$B13=""),0,SUMIF('DADOS BRUTOS'!$A$3:$A$500,$B13,'DADOS BRUTOS'!FL$3:FL$500)+IF($C13="",0,SUMIF('DADOS BRUTOS'!$A$3:$A$500,$C13,'DADOS BRUTOS'!FL$3:FL$500)))</f>
        <v/>
      </c>
      <c r="IM13" s="132">
        <f>IF(OR(IM$4="",$B13=""),0,SUMIF('DADOS BRUTOS'!$A$3:$A$500,$B13,'DADOS BRUTOS'!FM$3:FM$500)+IF($C13="",0,SUMIF('DADOS BRUTOS'!$A$3:$A$500,$C13,'DADOS BRUTOS'!FM$3:FM$500)))</f>
        <v/>
      </c>
      <c r="IN13" s="132">
        <f>IF(OR(IN$4="",$B13=""),0,SUMIF('DADOS BRUTOS'!$A$3:$A$500,$B13,'DADOS BRUTOS'!FN$3:FN$500)+IF($C13="",0,SUMIF('DADOS BRUTOS'!$A$3:$A$500,$C13,'DADOS BRUTOS'!FN$3:FN$500)))</f>
        <v/>
      </c>
      <c r="IO13" s="132">
        <f>IF(OR(IO$4="",$B13=""),0,SUMIF('DADOS BRUTOS'!$A$3:$A$500,$B13,'DADOS BRUTOS'!FO$3:FO$500)+IF($C13="",0,SUMIF('DADOS BRUTOS'!$A$3:$A$500,$C13,'DADOS BRUTOS'!FO$3:FO$500)))</f>
        <v/>
      </c>
      <c r="IP13" s="132">
        <f>IF(OR(IP$4="",$B13=""),0,SUMIF('DADOS BRUTOS'!$A$3:$A$500,$B13,'DADOS BRUTOS'!FP$3:FP$500)+IF($C13="",0,SUMIF('DADOS BRUTOS'!$A$3:$A$500,$C13,'DADOS BRUTOS'!FP$3:FP$500)))</f>
        <v/>
      </c>
      <c r="IQ13" s="132">
        <f>IF(OR(IQ$4="",$B13=""),0,SUMIF('DADOS BRUTOS'!$A$3:$A$500,$B13,'DADOS BRUTOS'!FQ$3:FQ$500)+IF($C13="",0,SUMIF('DADOS BRUTOS'!$A$3:$A$500,$C13,'DADOS BRUTOS'!FQ$3:FQ$500)))</f>
        <v/>
      </c>
      <c r="IR13" s="132">
        <f>IF(OR(IR$4="",$B13=""),0,SUMIF('DADOS BRUTOS'!$A$3:$A$500,$B13,'DADOS BRUTOS'!FR$3:FR$500)+IF($C13="",0,SUMIF('DADOS BRUTOS'!$A$3:$A$500,$C13,'DADOS BRUTOS'!FR$3:FR$500)))</f>
        <v/>
      </c>
      <c r="IS13" s="132">
        <f>IF(OR(IS$4="",$B13=""),0,SUMIF('DADOS BRUTOS'!$A$3:$A$500,$B13,'DADOS BRUTOS'!FS$3:FS$500)+IF($C13="",0,SUMIF('DADOS BRUTOS'!$A$3:$A$500,$C13,'DADOS BRUTOS'!FS$3:FS$500)))</f>
        <v/>
      </c>
      <c r="IT13" s="132">
        <f>IF(OR(IT$4="",$B13=""),0,SUMIF('DADOS BRUTOS'!$A$3:$A$500,$B13,'DADOS BRUTOS'!FT$3:FT$500)+IF($C13="",0,SUMIF('DADOS BRUTOS'!$A$3:$A$500,$C13,'DADOS BRUTOS'!FT$3:FT$500)))</f>
        <v/>
      </c>
      <c r="IU13" s="132">
        <f>IF(OR(IU$4="",$B13=""),0,SUMIF('DADOS BRUTOS'!$A$3:$A$500,$B13,'DADOS BRUTOS'!FU$3:FU$500)+IF($C13="",0,SUMIF('DADOS BRUTOS'!$A$3:$A$500,$C13,'DADOS BRUTOS'!FU$3:FU$500)))</f>
        <v/>
      </c>
      <c r="IV13" s="132">
        <f>IF(OR(IV$4="",$B13=""),0,SUMIF('DADOS BRUTOS'!$A$3:$A$500,$B13,'DADOS BRUTOS'!FV$3:FV$500)+IF($C13="",0,SUMIF('DADOS BRUTOS'!$A$3:$A$500,$C13,'DADOS BRUTOS'!FV$3:FV$500)))</f>
        <v/>
      </c>
      <c r="IW13" s="132">
        <f>IF(OR(IW$4="",$B13=""),0,SUMIF('DADOS BRUTOS'!$A$3:$A$500,$B13,'DADOS BRUTOS'!FW$3:FW$500)+IF($C13="",0,SUMIF('DADOS BRUTOS'!$A$3:$A$500,$C13,'DADOS BRUTOS'!FW$3:FW$500)))</f>
        <v/>
      </c>
      <c r="IX13" s="132">
        <f>IF(OR(IX$4="",$B13=""),0,SUMIF('DADOS BRUTOS'!$A$3:$A$500,$B13,'DADOS BRUTOS'!FX$3:FX$500)+IF($C13="",0,SUMIF('DADOS BRUTOS'!$A$3:$A$500,$C13,'DADOS BRUTOS'!FX$3:FX$500)))</f>
        <v/>
      </c>
      <c r="IY13" s="132">
        <f>IF(OR(IY$4="",$B13=""),0,SUMIF('DADOS BRUTOS'!$A$3:$A$500,$B13,'DADOS BRUTOS'!FY$3:FY$500)+IF($C13="",0,SUMIF('DADOS BRUTOS'!$A$3:$A$500,$C13,'DADOS BRUTOS'!FY$3:FY$500)))</f>
        <v/>
      </c>
      <c r="IZ13" s="132">
        <f>IF(OR(IZ$4="",$B13=""),0,SUMIF('DADOS BRUTOS'!$A$3:$A$500,$B13,'DADOS BRUTOS'!FZ$3:FZ$500)+IF($C13="",0,SUMIF('DADOS BRUTOS'!$A$3:$A$500,$C13,'DADOS BRUTOS'!FZ$3:FZ$500)))</f>
        <v/>
      </c>
      <c r="JA13" s="132">
        <f>IF(OR(JA$4="",$B13=""),0,SUMIF('DADOS BRUTOS'!$A$3:$A$500,$B13,'DADOS BRUTOS'!GA$3:GA$500)+IF($C13="",0,SUMIF('DADOS BRUTOS'!$A$3:$A$500,$C13,'DADOS BRUTOS'!GA$3:GA$500)))</f>
        <v/>
      </c>
      <c r="JB13" s="132">
        <f>IF(OR(JB$4="",$B13=""),0,SUMIF('DADOS BRUTOS'!$A$3:$A$500,$B13,'DADOS BRUTOS'!GB$3:GB$500)+IF($C13="",0,SUMIF('DADOS BRUTOS'!$A$3:$A$500,$C13,'DADOS BRUTOS'!GB$3:GB$500)))</f>
        <v/>
      </c>
      <c r="JC13" s="132">
        <f>IF(OR(JC$4="",$B13=""),0,SUMIF('DADOS BRUTOS'!$A$3:$A$500,$B13,'DADOS BRUTOS'!GC$3:GC$500)+IF($C13="",0,SUMIF('DADOS BRUTOS'!$A$3:$A$500,$C13,'DADOS BRUTOS'!GC$3:GC$500)))</f>
        <v/>
      </c>
      <c r="JD13" s="132">
        <f>IF(OR(JD$4="",$B13=""),0,SUMIF('DADOS BRUTOS'!$A$3:$A$500,$B13,'DADOS BRUTOS'!GD$3:GD$500)+IF($C13="",0,SUMIF('DADOS BRUTOS'!$A$3:$A$500,$C13,'DADOS BRUTOS'!GD$3:GD$500)))</f>
        <v/>
      </c>
      <c r="JE13" s="132">
        <f>IF(OR(JE$4="",$B13=""),0,SUMIF('DADOS BRUTOS'!$A$3:$A$500,$B13,'DADOS BRUTOS'!GE$3:GE$500)+IF($C13="",0,SUMIF('DADOS BRUTOS'!$A$3:$A$500,$C13,'DADOS BRUTOS'!GE$3:GE$500)))</f>
        <v/>
      </c>
      <c r="JF13" s="132">
        <f>IF(OR(JF$4="",$B13=""),0,SUMIF('DADOS BRUTOS'!$A$3:$A$500,$B13,'DADOS BRUTOS'!GF$3:GF$500)+IF($C13="",0,SUMIF('DADOS BRUTOS'!$A$3:$A$500,$C13,'DADOS BRUTOS'!GF$3:GF$500)))</f>
        <v/>
      </c>
      <c r="JG13" s="132">
        <f>IF(OR(JG$4="",$B13=""),0,SUMIF('DADOS BRUTOS'!$A$3:$A$500,$B13,'DADOS BRUTOS'!GG$3:GG$500)+IF($C13="",0,SUMIF('DADOS BRUTOS'!$A$3:$A$500,$C13,'DADOS BRUTOS'!GG$3:GG$500)))</f>
        <v/>
      </c>
      <c r="JH13" s="132">
        <f>IF(OR(JH$4="",$B13=""),0,SUMIF('DADOS BRUTOS'!$A$3:$A$500,$B13,'DADOS BRUTOS'!GH$3:GH$500)+IF($C13="",0,SUMIF('DADOS BRUTOS'!$A$3:$A$500,$C13,'DADOS BRUTOS'!GH$3:GH$500)))</f>
        <v/>
      </c>
      <c r="JI13" s="132">
        <f>IF(OR(JI$4="",$B13=""),0,SUMIF('DADOS BRUTOS'!$A$3:$A$500,$B13,'DADOS BRUTOS'!GI$3:GI$500)+IF($C13="",0,SUMIF('DADOS BRUTOS'!$A$3:$A$500,$C13,'DADOS BRUTOS'!GI$3:GI$500)))</f>
        <v/>
      </c>
      <c r="JJ13" s="132">
        <f>IF(OR(JJ$4="",$B13=""),0,SUMIF('DADOS BRUTOS'!$A$3:$A$500,$B13,'DADOS BRUTOS'!GJ$3:GJ$500)+IF($C13="",0,SUMIF('DADOS BRUTOS'!$A$3:$A$500,$C13,'DADOS BRUTOS'!GJ$3:GJ$500)))</f>
        <v/>
      </c>
      <c r="JK13" s="132">
        <f>IF(OR(JK$4="",$B13=""),0,SUMIF('DADOS BRUTOS'!$A$3:$A$500,$B13,'DADOS BRUTOS'!GK$3:GK$500)+IF($C13="",0,SUMIF('DADOS BRUTOS'!$A$3:$A$500,$C13,'DADOS BRUTOS'!GK$3:GK$500)))</f>
        <v/>
      </c>
      <c r="JL13" s="132">
        <f>IF(OR(JL$4="",$B13=""),0,SUMIF('DADOS BRUTOS'!$A$3:$A$500,$B13,'DADOS BRUTOS'!GL$3:GL$500)+IF($C13="",0,SUMIF('DADOS BRUTOS'!$A$3:$A$500,$C13,'DADOS BRUTOS'!GL$3:GL$500)))</f>
        <v/>
      </c>
      <c r="JM13" s="132">
        <f>IF(OR(JM$4="",$B13=""),0,SUMIF('DADOS BRUTOS'!$A$3:$A$500,$B13,'DADOS BRUTOS'!GM$3:GM$500)+IF($C13="",0,SUMIF('DADOS BRUTOS'!$A$3:$A$500,$C13,'DADOS BRUTOS'!GM$3:GM$500)))</f>
        <v/>
      </c>
      <c r="JN13" s="132">
        <f>IF(OR(JN$4="",$B13=""),0,SUMIF('DADOS BRUTOS'!$A$3:$A$500,$B13,'DADOS BRUTOS'!GN$3:GN$500)+IF($C13="",0,SUMIF('DADOS BRUTOS'!$A$3:$A$500,$C13,'DADOS BRUTOS'!GN$3:GN$500)))</f>
        <v/>
      </c>
      <c r="JO13" s="132">
        <f>IF(OR(JO$4="",$B13=""),0,SUMIF('DADOS BRUTOS'!$A$3:$A$500,$B13,'DADOS BRUTOS'!GO$3:GO$500)+IF($C13="",0,SUMIF('DADOS BRUTOS'!$A$3:$A$500,$C13,'DADOS BRUTOS'!GO$3:GO$500)))</f>
        <v/>
      </c>
      <c r="JP13" s="132">
        <f>IF(OR(JP$4="",$B13=""),0,SUMIF('DADOS BRUTOS'!$A$3:$A$500,$B13,'DADOS BRUTOS'!GP$3:GP$500)+IF($C13="",0,SUMIF('DADOS BRUTOS'!$A$3:$A$500,$C13,'DADOS BRUTOS'!GP$3:GP$500)))</f>
        <v/>
      </c>
      <c r="JQ13" s="132">
        <f>IF(OR(JQ$4="",$B13=""),0,SUMIF('DADOS BRUTOS'!$A$3:$A$500,$B13,'DADOS BRUTOS'!GQ$3:GQ$500)+IF($C13="",0,SUMIF('DADOS BRUTOS'!$A$3:$A$500,$C13,'DADOS BRUTOS'!GQ$3:GQ$500)))</f>
        <v/>
      </c>
      <c r="JR13" s="132">
        <f>IF(OR(JR$4="",$B13=""),0,SUMIF('DADOS BRUTOS'!$A$3:$A$500,$B13,'DADOS BRUTOS'!GR$3:GR$500)+IF($C13="",0,SUMIF('DADOS BRUTOS'!$A$3:$A$500,$C13,'DADOS BRUTOS'!GR$3:GR$500)))</f>
        <v/>
      </c>
      <c r="JS13" s="132">
        <f>IF(OR(JS$4="",$B13=""),0,SUMIF('DADOS BRUTOS'!$A$3:$A$500,$B13,'DADOS BRUTOS'!GS$3:GS$500)+IF($C13="",0,SUMIF('DADOS BRUTOS'!$A$3:$A$500,$C13,'DADOS BRUTOS'!GS$3:GS$500)))</f>
        <v/>
      </c>
    </row>
    <row r="14">
      <c r="A14" s="61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BZ14" s="49">
        <f>SUMPRODUCT(($CB$4:$JS$4&lt;&gt;"")*($CB$4:$JS$4&lt;=$D$4),$CB14:$JS14,$CB$1:$JS$1)</f>
        <v/>
      </c>
      <c r="CB14" s="132">
        <f>IF(OR(CB$4="",$B14=""),0,SUMIF('DADOS BRUTOS'!$A$3:$A$500,$B14,'DADOS BRUTOS'!B$3:B$500)+IF($C14="",0,SUMIF('DADOS BRUTOS'!$A$3:$A$500,$C14,'DADOS BRUTOS'!B$3:B$500)))</f>
        <v/>
      </c>
      <c r="CC14" s="132">
        <f>IF(OR(CC$4="",$B14=""),0,SUMIF('DADOS BRUTOS'!$A$3:$A$500,$B14,'DADOS BRUTOS'!C$3:C$500)+IF($C14="",0,SUMIF('DADOS BRUTOS'!$A$3:$A$500,$C14,'DADOS BRUTOS'!C$3:C$500)))</f>
        <v/>
      </c>
      <c r="CD14" s="132">
        <f>IF(OR(CD$4="",$B14=""),0,SUMIF('DADOS BRUTOS'!$A$3:$A$500,$B14,'DADOS BRUTOS'!D$3:D$500)+IF($C14="",0,SUMIF('DADOS BRUTOS'!$A$3:$A$500,$C14,'DADOS BRUTOS'!D$3:D$500)))</f>
        <v/>
      </c>
      <c r="CE14" s="132">
        <f>IF(OR(CE$4="",$B14=""),0,SUMIF('DADOS BRUTOS'!$A$3:$A$500,$B14,'DADOS BRUTOS'!E$3:E$500)+IF($C14="",0,SUMIF('DADOS BRUTOS'!$A$3:$A$500,$C14,'DADOS BRUTOS'!E$3:E$500)))</f>
        <v/>
      </c>
      <c r="CF14" s="132">
        <f>IF(OR(CF$4="",$B14=""),0,SUMIF('DADOS BRUTOS'!$A$3:$A$500,$B14,'DADOS BRUTOS'!F$3:F$500)+IF($C14="",0,SUMIF('DADOS BRUTOS'!$A$3:$A$500,$C14,'DADOS BRUTOS'!F$3:F$500)))</f>
        <v/>
      </c>
      <c r="CG14" s="132">
        <f>IF(OR(CG$4="",$B14=""),0,SUMIF('DADOS BRUTOS'!$A$3:$A$500,$B14,'DADOS BRUTOS'!G$3:G$500)+IF($C14="",0,SUMIF('DADOS BRUTOS'!$A$3:$A$500,$C14,'DADOS BRUTOS'!G$3:G$500)))</f>
        <v/>
      </c>
      <c r="CH14" s="132">
        <f>IF(OR(CH$4="",$B14=""),0,SUMIF('DADOS BRUTOS'!$A$3:$A$500,$B14,'DADOS BRUTOS'!H$3:H$500)+IF($C14="",0,SUMIF('DADOS BRUTOS'!$A$3:$A$500,$C14,'DADOS BRUTOS'!H$3:H$500)))</f>
        <v/>
      </c>
      <c r="CI14" s="132">
        <f>IF(OR(CI$4="",$B14=""),0,SUMIF('DADOS BRUTOS'!$A$3:$A$500,$B14,'DADOS BRUTOS'!I$3:I$500)+IF($C14="",0,SUMIF('DADOS BRUTOS'!$A$3:$A$500,$C14,'DADOS BRUTOS'!I$3:I$500)))</f>
        <v/>
      </c>
      <c r="CJ14" s="132">
        <f>IF(OR(CJ$4="",$B14=""),0,SUMIF('DADOS BRUTOS'!$A$3:$A$500,$B14,'DADOS BRUTOS'!J$3:J$500)+IF($C14="",0,SUMIF('DADOS BRUTOS'!$A$3:$A$500,$C14,'DADOS BRUTOS'!J$3:J$500)))</f>
        <v/>
      </c>
      <c r="CK14" s="132">
        <f>IF(OR(CK$4="",$B14=""),0,SUMIF('DADOS BRUTOS'!$A$3:$A$500,$B14,'DADOS BRUTOS'!K$3:K$500)+IF($C14="",0,SUMIF('DADOS BRUTOS'!$A$3:$A$500,$C14,'DADOS BRUTOS'!K$3:K$500)))</f>
        <v/>
      </c>
      <c r="CL14" s="132">
        <f>IF(OR(CL$4="",$B14=""),0,SUMIF('DADOS BRUTOS'!$A$3:$A$500,$B14,'DADOS BRUTOS'!L$3:L$500)+IF($C14="",0,SUMIF('DADOS BRUTOS'!$A$3:$A$500,$C14,'DADOS BRUTOS'!L$3:L$500)))</f>
        <v/>
      </c>
      <c r="CM14" s="132">
        <f>IF(OR(CM$4="",$B14=""),0,SUMIF('DADOS BRUTOS'!$A$3:$A$500,$B14,'DADOS BRUTOS'!M$3:M$500)+IF($C14="",0,SUMIF('DADOS BRUTOS'!$A$3:$A$500,$C14,'DADOS BRUTOS'!M$3:M$500)))</f>
        <v/>
      </c>
      <c r="CN14" s="132">
        <f>IF(OR(CN$4="",$B14=""),0,SUMIF('DADOS BRUTOS'!$A$3:$A$500,$B14,'DADOS BRUTOS'!N$3:N$500)+IF($C14="",0,SUMIF('DADOS BRUTOS'!$A$3:$A$500,$C14,'DADOS BRUTOS'!N$3:N$500)))</f>
        <v/>
      </c>
      <c r="CO14" s="132">
        <f>IF(OR(CO$4="",$B14=""),0,SUMIF('DADOS BRUTOS'!$A$3:$A$500,$B14,'DADOS BRUTOS'!O$3:O$500)+IF($C14="",0,SUMIF('DADOS BRUTOS'!$A$3:$A$500,$C14,'DADOS BRUTOS'!O$3:O$500)))</f>
        <v/>
      </c>
      <c r="CP14" s="132">
        <f>IF(OR(CP$4="",$B14=""),0,SUMIF('DADOS BRUTOS'!$A$3:$A$500,$B14,'DADOS BRUTOS'!P$3:P$500)+IF($C14="",0,SUMIF('DADOS BRUTOS'!$A$3:$A$500,$C14,'DADOS BRUTOS'!P$3:P$500)))</f>
        <v/>
      </c>
      <c r="CQ14" s="132">
        <f>IF(OR(CQ$4="",$B14=""),0,SUMIF('DADOS BRUTOS'!$A$3:$A$500,$B14,'DADOS BRUTOS'!Q$3:Q$500)+IF($C14="",0,SUMIF('DADOS BRUTOS'!$A$3:$A$500,$C14,'DADOS BRUTOS'!Q$3:Q$500)))</f>
        <v/>
      </c>
      <c r="CR14" s="132">
        <f>IF(OR(CR$4="",$B14=""),0,SUMIF('DADOS BRUTOS'!$A$3:$A$500,$B14,'DADOS BRUTOS'!R$3:R$500)+IF($C14="",0,SUMIF('DADOS BRUTOS'!$A$3:$A$500,$C14,'DADOS BRUTOS'!R$3:R$500)))</f>
        <v/>
      </c>
      <c r="CS14" s="132">
        <f>IF(OR(CS$4="",$B14=""),0,SUMIF('DADOS BRUTOS'!$A$3:$A$500,$B14,'DADOS BRUTOS'!S$3:S$500)+IF($C14="",0,SUMIF('DADOS BRUTOS'!$A$3:$A$500,$C14,'DADOS BRUTOS'!S$3:S$500)))</f>
        <v/>
      </c>
      <c r="CT14" s="132">
        <f>IF(OR(CT$4="",$B14=""),0,SUMIF('DADOS BRUTOS'!$A$3:$A$500,$B14,'DADOS BRUTOS'!T$3:T$500)+IF($C14="",0,SUMIF('DADOS BRUTOS'!$A$3:$A$500,$C14,'DADOS BRUTOS'!T$3:T$500)))</f>
        <v/>
      </c>
      <c r="CU14" s="132">
        <f>IF(OR(CU$4="",$B14=""),0,SUMIF('DADOS BRUTOS'!$A$3:$A$500,$B14,'DADOS BRUTOS'!U$3:U$500)+IF($C14="",0,SUMIF('DADOS BRUTOS'!$A$3:$A$500,$C14,'DADOS BRUTOS'!U$3:U$500)))</f>
        <v/>
      </c>
      <c r="CV14" s="132">
        <f>IF(OR(CV$4="",$B14=""),0,SUMIF('DADOS BRUTOS'!$A$3:$A$500,$B14,'DADOS BRUTOS'!V$3:V$500)+IF($C14="",0,SUMIF('DADOS BRUTOS'!$A$3:$A$500,$C14,'DADOS BRUTOS'!V$3:V$500)))</f>
        <v/>
      </c>
      <c r="CW14" s="132">
        <f>IF(OR(CW$4="",$B14=""),0,SUMIF('DADOS BRUTOS'!$A$3:$A$500,$B14,'DADOS BRUTOS'!W$3:W$500)+IF($C14="",0,SUMIF('DADOS BRUTOS'!$A$3:$A$500,$C14,'DADOS BRUTOS'!W$3:W$500)))</f>
        <v/>
      </c>
      <c r="CX14" s="132">
        <f>IF(OR(CX$4="",$B14=""),0,SUMIF('DADOS BRUTOS'!$A$3:$A$500,$B14,'DADOS BRUTOS'!X$3:X$500)+IF($C14="",0,SUMIF('DADOS BRUTOS'!$A$3:$A$500,$C14,'DADOS BRUTOS'!X$3:X$500)))</f>
        <v/>
      </c>
      <c r="CY14" s="132">
        <f>IF(OR(CY$4="",$B14=""),0,SUMIF('DADOS BRUTOS'!$A$3:$A$500,$B14,'DADOS BRUTOS'!Y$3:Y$500)+IF($C14="",0,SUMIF('DADOS BRUTOS'!$A$3:$A$500,$C14,'DADOS BRUTOS'!Y$3:Y$500)))</f>
        <v/>
      </c>
      <c r="CZ14" s="132">
        <f>IF(OR(CZ$4="",$B14=""),0,SUMIF('DADOS BRUTOS'!$A$3:$A$500,$B14,'DADOS BRUTOS'!Z$3:Z$500)+IF($C14="",0,SUMIF('DADOS BRUTOS'!$A$3:$A$500,$C14,'DADOS BRUTOS'!Z$3:Z$500)))</f>
        <v/>
      </c>
      <c r="DA14" s="132">
        <f>IF(OR(DA$4="",$B14=""),0,SUMIF('DADOS BRUTOS'!$A$3:$A$500,$B14,'DADOS BRUTOS'!AA$3:AA$500)+IF($C14="",0,SUMIF('DADOS BRUTOS'!$A$3:$A$500,$C14,'DADOS BRUTOS'!AA$3:AA$500)))</f>
        <v/>
      </c>
      <c r="DB14" s="132">
        <f>IF(OR(DB$4="",$B14=""),0,SUMIF('DADOS BRUTOS'!$A$3:$A$500,$B14,'DADOS BRUTOS'!AB$3:AB$500)+IF($C14="",0,SUMIF('DADOS BRUTOS'!$A$3:$A$500,$C14,'DADOS BRUTOS'!AB$3:AB$500)))</f>
        <v/>
      </c>
      <c r="DC14" s="132">
        <f>IF(OR(DC$4="",$B14=""),0,SUMIF('DADOS BRUTOS'!$A$3:$A$500,$B14,'DADOS BRUTOS'!AC$3:AC$500)+IF($C14="",0,SUMIF('DADOS BRUTOS'!$A$3:$A$500,$C14,'DADOS BRUTOS'!AC$3:AC$500)))</f>
        <v/>
      </c>
      <c r="DD14" s="132">
        <f>IF(OR(DD$4="",$B14=""),0,SUMIF('DADOS BRUTOS'!$A$3:$A$500,$B14,'DADOS BRUTOS'!AD$3:AD$500)+IF($C14="",0,SUMIF('DADOS BRUTOS'!$A$3:$A$500,$C14,'DADOS BRUTOS'!AD$3:AD$500)))</f>
        <v/>
      </c>
      <c r="DE14" s="132">
        <f>IF(OR(DE$4="",$B14=""),0,SUMIF('DADOS BRUTOS'!$A$3:$A$500,$B14,'DADOS BRUTOS'!AE$3:AE$500)+IF($C14="",0,SUMIF('DADOS BRUTOS'!$A$3:$A$500,$C14,'DADOS BRUTOS'!AE$3:AE$500)))</f>
        <v/>
      </c>
      <c r="DF14" s="132">
        <f>IF(OR(DF$4="",$B14=""),0,SUMIF('DADOS BRUTOS'!$A$3:$A$500,$B14,'DADOS BRUTOS'!AF$3:AF$500)+IF($C14="",0,SUMIF('DADOS BRUTOS'!$A$3:$A$500,$C14,'DADOS BRUTOS'!AF$3:AF$500)))</f>
        <v/>
      </c>
      <c r="DG14" s="132">
        <f>IF(OR(DG$4="",$B14=""),0,SUMIF('DADOS BRUTOS'!$A$3:$A$500,$B14,'DADOS BRUTOS'!AG$3:AG$500)+IF($C14="",0,SUMIF('DADOS BRUTOS'!$A$3:$A$500,$C14,'DADOS BRUTOS'!AG$3:AG$500)))</f>
        <v/>
      </c>
      <c r="DH14" s="132">
        <f>IF(OR(DH$4="",$B14=""),0,SUMIF('DADOS BRUTOS'!$A$3:$A$500,$B14,'DADOS BRUTOS'!AH$3:AH$500)+IF($C14="",0,SUMIF('DADOS BRUTOS'!$A$3:$A$500,$C14,'DADOS BRUTOS'!AH$3:AH$500)))</f>
        <v/>
      </c>
      <c r="DI14" s="132">
        <f>IF(OR(DI$4="",$B14=""),0,SUMIF('DADOS BRUTOS'!$A$3:$A$500,$B14,'DADOS BRUTOS'!AI$3:AI$500)+IF($C14="",0,SUMIF('DADOS BRUTOS'!$A$3:$A$500,$C14,'DADOS BRUTOS'!AI$3:AI$500)))</f>
        <v/>
      </c>
      <c r="DJ14" s="132">
        <f>IF(OR(DJ$4="",$B14=""),0,SUMIF('DADOS BRUTOS'!$A$3:$A$500,$B14,'DADOS BRUTOS'!AJ$3:AJ$500)+IF($C14="",0,SUMIF('DADOS BRUTOS'!$A$3:$A$500,$C14,'DADOS BRUTOS'!AJ$3:AJ$500)))</f>
        <v/>
      </c>
      <c r="DK14" s="132">
        <f>IF(OR(DK$4="",$B14=""),0,SUMIF('DADOS BRUTOS'!$A$3:$A$500,$B14,'DADOS BRUTOS'!AK$3:AK$500)+IF($C14="",0,SUMIF('DADOS BRUTOS'!$A$3:$A$500,$C14,'DADOS BRUTOS'!AK$3:AK$500)))</f>
        <v/>
      </c>
      <c r="DL14" s="132">
        <f>IF(OR(DL$4="",$B14=""),0,SUMIF('DADOS BRUTOS'!$A$3:$A$500,$B14,'DADOS BRUTOS'!AL$3:AL$500)+IF($C14="",0,SUMIF('DADOS BRUTOS'!$A$3:$A$500,$C14,'DADOS BRUTOS'!AL$3:AL$500)))</f>
        <v/>
      </c>
      <c r="DM14" s="132">
        <f>IF(OR(DM$4="",$B14=""),0,SUMIF('DADOS BRUTOS'!$A$3:$A$500,$B14,'DADOS BRUTOS'!AM$3:AM$500)+IF($C14="",0,SUMIF('DADOS BRUTOS'!$A$3:$A$500,$C14,'DADOS BRUTOS'!AM$3:AM$500)))</f>
        <v/>
      </c>
      <c r="DN14" s="132">
        <f>IF(OR(DN$4="",$B14=""),0,SUMIF('DADOS BRUTOS'!$A$3:$A$500,$B14,'DADOS BRUTOS'!AN$3:AN$500)+IF($C14="",0,SUMIF('DADOS BRUTOS'!$A$3:$A$500,$C14,'DADOS BRUTOS'!AN$3:AN$500)))</f>
        <v/>
      </c>
      <c r="DO14" s="132">
        <f>IF(OR(DO$4="",$B14=""),0,SUMIF('DADOS BRUTOS'!$A$3:$A$500,$B14,'DADOS BRUTOS'!AO$3:AO$500)+IF($C14="",0,SUMIF('DADOS BRUTOS'!$A$3:$A$500,$C14,'DADOS BRUTOS'!AO$3:AO$500)))</f>
        <v/>
      </c>
      <c r="DP14" s="132">
        <f>IF(OR(DP$4="",$B14=""),0,SUMIF('DADOS BRUTOS'!$A$3:$A$500,$B14,'DADOS BRUTOS'!AP$3:AP$500)+IF($C14="",0,SUMIF('DADOS BRUTOS'!$A$3:$A$500,$C14,'DADOS BRUTOS'!AP$3:AP$500)))</f>
        <v/>
      </c>
      <c r="DQ14" s="132">
        <f>IF(OR(DQ$4="",$B14=""),0,SUMIF('DADOS BRUTOS'!$A$3:$A$500,$B14,'DADOS BRUTOS'!AQ$3:AQ$500)+IF($C14="",0,SUMIF('DADOS BRUTOS'!$A$3:$A$500,$C14,'DADOS BRUTOS'!AQ$3:AQ$500)))</f>
        <v/>
      </c>
      <c r="DR14" s="132">
        <f>IF(OR(DR$4="",$B14=""),0,SUMIF('DADOS BRUTOS'!$A$3:$A$500,$B14,'DADOS BRUTOS'!AR$3:AR$500)+IF($C14="",0,SUMIF('DADOS BRUTOS'!$A$3:$A$500,$C14,'DADOS BRUTOS'!AR$3:AR$500)))</f>
        <v/>
      </c>
      <c r="DS14" s="132">
        <f>IF(OR(DS$4="",$B14=""),0,SUMIF('DADOS BRUTOS'!$A$3:$A$500,$B14,'DADOS BRUTOS'!AS$3:AS$500)+IF($C14="",0,SUMIF('DADOS BRUTOS'!$A$3:$A$500,$C14,'DADOS BRUTOS'!AS$3:AS$500)))</f>
        <v/>
      </c>
      <c r="DT14" s="132">
        <f>IF(OR(DT$4="",$B14=""),0,SUMIF('DADOS BRUTOS'!$A$3:$A$500,$B14,'DADOS BRUTOS'!AT$3:AT$500)+IF($C14="",0,SUMIF('DADOS BRUTOS'!$A$3:$A$500,$C14,'DADOS BRUTOS'!AT$3:AT$500)))</f>
        <v/>
      </c>
      <c r="DU14" s="132">
        <f>IF(OR(DU$4="",$B14=""),0,SUMIF('DADOS BRUTOS'!$A$3:$A$500,$B14,'DADOS BRUTOS'!AU$3:AU$500)+IF($C14="",0,SUMIF('DADOS BRUTOS'!$A$3:$A$500,$C14,'DADOS BRUTOS'!AU$3:AU$500)))</f>
        <v/>
      </c>
      <c r="DV14" s="132">
        <f>IF(OR(DV$4="",$B14=""),0,SUMIF('DADOS BRUTOS'!$A$3:$A$500,$B14,'DADOS BRUTOS'!AV$3:AV$500)+IF($C14="",0,SUMIF('DADOS BRUTOS'!$A$3:$A$500,$C14,'DADOS BRUTOS'!AV$3:AV$500)))</f>
        <v/>
      </c>
      <c r="DW14" s="132">
        <f>IF(OR(DW$4="",$B14=""),0,SUMIF('DADOS BRUTOS'!$A$3:$A$500,$B14,'DADOS BRUTOS'!AW$3:AW$500)+IF($C14="",0,SUMIF('DADOS BRUTOS'!$A$3:$A$500,$C14,'DADOS BRUTOS'!AW$3:AW$500)))</f>
        <v/>
      </c>
      <c r="DX14" s="132">
        <f>IF(OR(DX$4="",$B14=""),0,SUMIF('DADOS BRUTOS'!$A$3:$A$500,$B14,'DADOS BRUTOS'!AX$3:AX$500)+IF($C14="",0,SUMIF('DADOS BRUTOS'!$A$3:$A$500,$C14,'DADOS BRUTOS'!AX$3:AX$500)))</f>
        <v/>
      </c>
      <c r="DY14" s="132">
        <f>IF(OR(DY$4="",$B14=""),0,SUMIF('DADOS BRUTOS'!$A$3:$A$500,$B14,'DADOS BRUTOS'!AY$3:AY$500)+IF($C14="",0,SUMIF('DADOS BRUTOS'!$A$3:$A$500,$C14,'DADOS BRUTOS'!AY$3:AY$500)))</f>
        <v/>
      </c>
      <c r="DZ14" s="132">
        <f>IF(OR(DZ$4="",$B14=""),0,SUMIF('DADOS BRUTOS'!$A$3:$A$500,$B14,'DADOS BRUTOS'!AZ$3:AZ$500)+IF($C14="",0,SUMIF('DADOS BRUTOS'!$A$3:$A$500,$C14,'DADOS BRUTOS'!AZ$3:AZ$500)))</f>
        <v/>
      </c>
      <c r="EA14" s="132">
        <f>IF(OR(EA$4="",$B14=""),0,SUMIF('DADOS BRUTOS'!$A$3:$A$500,$B14,'DADOS BRUTOS'!BA$3:BA$500)+IF($C14="",0,SUMIF('DADOS BRUTOS'!$A$3:$A$500,$C14,'DADOS BRUTOS'!BA$3:BA$500)))</f>
        <v/>
      </c>
      <c r="EB14" s="132">
        <f>IF(OR(EB$4="",$B14=""),0,SUMIF('DADOS BRUTOS'!$A$3:$A$500,$B14,'DADOS BRUTOS'!BB$3:BB$500)+IF($C14="",0,SUMIF('DADOS BRUTOS'!$A$3:$A$500,$C14,'DADOS BRUTOS'!BB$3:BB$500)))</f>
        <v/>
      </c>
      <c r="EC14" s="132">
        <f>IF(OR(EC$4="",$B14=""),0,SUMIF('DADOS BRUTOS'!$A$3:$A$500,$B14,'DADOS BRUTOS'!BC$3:BC$500)+IF($C14="",0,SUMIF('DADOS BRUTOS'!$A$3:$A$500,$C14,'DADOS BRUTOS'!BC$3:BC$500)))</f>
        <v/>
      </c>
      <c r="ED14" s="132">
        <f>IF(OR(ED$4="",$B14=""),0,SUMIF('DADOS BRUTOS'!$A$3:$A$500,$B14,'DADOS BRUTOS'!BD$3:BD$500)+IF($C14="",0,SUMIF('DADOS BRUTOS'!$A$3:$A$500,$C14,'DADOS BRUTOS'!BD$3:BD$500)))</f>
        <v/>
      </c>
      <c r="EE14" s="132">
        <f>IF(OR(EE$4="",$B14=""),0,SUMIF('DADOS BRUTOS'!$A$3:$A$500,$B14,'DADOS BRUTOS'!BE$3:BE$500)+IF($C14="",0,SUMIF('DADOS BRUTOS'!$A$3:$A$500,$C14,'DADOS BRUTOS'!BE$3:BE$500)))</f>
        <v/>
      </c>
      <c r="EF14" s="132">
        <f>IF(OR(EF$4="",$B14=""),0,SUMIF('DADOS BRUTOS'!$A$3:$A$500,$B14,'DADOS BRUTOS'!BF$3:BF$500)+IF($C14="",0,SUMIF('DADOS BRUTOS'!$A$3:$A$500,$C14,'DADOS BRUTOS'!BF$3:BF$500)))</f>
        <v/>
      </c>
      <c r="EG14" s="132">
        <f>IF(OR(EG$4="",$B14=""),0,SUMIF('DADOS BRUTOS'!$A$3:$A$500,$B14,'DADOS BRUTOS'!BG$3:BG$500)+IF($C14="",0,SUMIF('DADOS BRUTOS'!$A$3:$A$500,$C14,'DADOS BRUTOS'!BG$3:BG$500)))</f>
        <v/>
      </c>
      <c r="EH14" s="132">
        <f>IF(OR(EH$4="",$B14=""),0,SUMIF('DADOS BRUTOS'!$A$3:$A$500,$B14,'DADOS BRUTOS'!BH$3:BH$500)+IF($C14="",0,SUMIF('DADOS BRUTOS'!$A$3:$A$500,$C14,'DADOS BRUTOS'!BH$3:BH$500)))</f>
        <v/>
      </c>
      <c r="EI14" s="132">
        <f>IF(OR(EI$4="",$B14=""),0,SUMIF('DADOS BRUTOS'!$A$3:$A$500,$B14,'DADOS BRUTOS'!BI$3:BI$500)+IF($C14="",0,SUMIF('DADOS BRUTOS'!$A$3:$A$500,$C14,'DADOS BRUTOS'!BI$3:BI$500)))</f>
        <v/>
      </c>
      <c r="EJ14" s="132">
        <f>IF(OR(EJ$4="",$B14=""),0,SUMIF('DADOS BRUTOS'!$A$3:$A$500,$B14,'DADOS BRUTOS'!BJ$3:BJ$500)+IF($C14="",0,SUMIF('DADOS BRUTOS'!$A$3:$A$500,$C14,'DADOS BRUTOS'!BJ$3:BJ$500)))</f>
        <v/>
      </c>
      <c r="EK14" s="132">
        <f>IF(OR(EK$4="",$B14=""),0,SUMIF('DADOS BRUTOS'!$A$3:$A$500,$B14,'DADOS BRUTOS'!BK$3:BK$500)+IF($C14="",0,SUMIF('DADOS BRUTOS'!$A$3:$A$500,$C14,'DADOS BRUTOS'!BK$3:BK$500)))</f>
        <v/>
      </c>
      <c r="EL14" s="132">
        <f>IF(OR(EL$4="",$B14=""),0,SUMIF('DADOS BRUTOS'!$A$3:$A$500,$B14,'DADOS BRUTOS'!BL$3:BL$500)+IF($C14="",0,SUMIF('DADOS BRUTOS'!$A$3:$A$500,$C14,'DADOS BRUTOS'!BL$3:BL$500)))</f>
        <v/>
      </c>
      <c r="EM14" s="132">
        <f>IF(OR(EM$4="",$B14=""),0,SUMIF('DADOS BRUTOS'!$A$3:$A$500,$B14,'DADOS BRUTOS'!BM$3:BM$500)+IF($C14="",0,SUMIF('DADOS BRUTOS'!$A$3:$A$500,$C14,'DADOS BRUTOS'!BM$3:BM$500)))</f>
        <v/>
      </c>
      <c r="EN14" s="132">
        <f>IF(OR(EN$4="",$B14=""),0,SUMIF('DADOS BRUTOS'!$A$3:$A$500,$B14,'DADOS BRUTOS'!BN$3:BN$500)+IF($C14="",0,SUMIF('DADOS BRUTOS'!$A$3:$A$500,$C14,'DADOS BRUTOS'!BN$3:BN$500)))</f>
        <v/>
      </c>
      <c r="EO14" s="132">
        <f>IF(OR(EO$4="",$B14=""),0,SUMIF('DADOS BRUTOS'!$A$3:$A$500,$B14,'DADOS BRUTOS'!BO$3:BO$500)+IF($C14="",0,SUMIF('DADOS BRUTOS'!$A$3:$A$500,$C14,'DADOS BRUTOS'!BO$3:BO$500)))</f>
        <v/>
      </c>
      <c r="EP14" s="132">
        <f>IF(OR(EP$4="",$B14=""),0,SUMIF('DADOS BRUTOS'!$A$3:$A$500,$B14,'DADOS BRUTOS'!BP$3:BP$500)+IF($C14="",0,SUMIF('DADOS BRUTOS'!$A$3:$A$500,$C14,'DADOS BRUTOS'!BP$3:BP$500)))</f>
        <v/>
      </c>
      <c r="EQ14" s="132">
        <f>IF(OR(EQ$4="",$B14=""),0,SUMIF('DADOS BRUTOS'!$A$3:$A$500,$B14,'DADOS BRUTOS'!BQ$3:BQ$500)+IF($C14="",0,SUMIF('DADOS BRUTOS'!$A$3:$A$500,$C14,'DADOS BRUTOS'!BQ$3:BQ$500)))</f>
        <v/>
      </c>
      <c r="ER14" s="132">
        <f>IF(OR(ER$4="",$B14=""),0,SUMIF('DADOS BRUTOS'!$A$3:$A$500,$B14,'DADOS BRUTOS'!BR$3:BR$500)+IF($C14="",0,SUMIF('DADOS BRUTOS'!$A$3:$A$500,$C14,'DADOS BRUTOS'!BR$3:BR$500)))</f>
        <v/>
      </c>
      <c r="ES14" s="132">
        <f>IF(OR(ES$4="",$B14=""),0,SUMIF('DADOS BRUTOS'!$A$3:$A$500,$B14,'DADOS BRUTOS'!BS$3:BS$500)+IF($C14="",0,SUMIF('DADOS BRUTOS'!$A$3:$A$500,$C14,'DADOS BRUTOS'!BS$3:BS$500)))</f>
        <v/>
      </c>
      <c r="ET14" s="132">
        <f>IF(OR(ET$4="",$B14=""),0,SUMIF('DADOS BRUTOS'!$A$3:$A$500,$B14,'DADOS BRUTOS'!BT$3:BT$500)+IF($C14="",0,SUMIF('DADOS BRUTOS'!$A$3:$A$500,$C14,'DADOS BRUTOS'!BT$3:BT$500)))</f>
        <v/>
      </c>
      <c r="EU14" s="132">
        <f>IF(OR(EU$4="",$B14=""),0,SUMIF('DADOS BRUTOS'!$A$3:$A$500,$B14,'DADOS BRUTOS'!BU$3:BU$500)+IF($C14="",0,SUMIF('DADOS BRUTOS'!$A$3:$A$500,$C14,'DADOS BRUTOS'!BU$3:BU$500)))</f>
        <v/>
      </c>
      <c r="EV14" s="132">
        <f>IF(OR(EV$4="",$B14=""),0,SUMIF('DADOS BRUTOS'!$A$3:$A$500,$B14,'DADOS BRUTOS'!BV$3:BV$500)+IF($C14="",0,SUMIF('DADOS BRUTOS'!$A$3:$A$500,$C14,'DADOS BRUTOS'!BV$3:BV$500)))</f>
        <v/>
      </c>
      <c r="EW14" s="132">
        <f>IF(OR(EW$4="",$B14=""),0,SUMIF('DADOS BRUTOS'!$A$3:$A$500,$B14,'DADOS BRUTOS'!BW$3:BW$500)+IF($C14="",0,SUMIF('DADOS BRUTOS'!$A$3:$A$500,$C14,'DADOS BRUTOS'!BW$3:BW$500)))</f>
        <v/>
      </c>
      <c r="EX14" s="132">
        <f>IF(OR(EX$4="",$B14=""),0,SUMIF('DADOS BRUTOS'!$A$3:$A$500,$B14,'DADOS BRUTOS'!BX$3:BX$500)+IF($C14="",0,SUMIF('DADOS BRUTOS'!$A$3:$A$500,$C14,'DADOS BRUTOS'!BX$3:BX$500)))</f>
        <v/>
      </c>
      <c r="EY14" s="132">
        <f>IF(OR(EY$4="",$B14=""),0,SUMIF('DADOS BRUTOS'!$A$3:$A$500,$B14,'DADOS BRUTOS'!BY$3:BY$500)+IF($C14="",0,SUMIF('DADOS BRUTOS'!$A$3:$A$500,$C14,'DADOS BRUTOS'!BY$3:BY$500)))</f>
        <v/>
      </c>
      <c r="EZ14" s="132">
        <f>IF(OR(EZ$4="",$B14=""),0,SUMIF('DADOS BRUTOS'!$A$3:$A$500,$B14,'DADOS BRUTOS'!BZ$3:BZ$500)+IF($C14="",0,SUMIF('DADOS BRUTOS'!$A$3:$A$500,$C14,'DADOS BRUTOS'!BZ$3:BZ$500)))</f>
        <v/>
      </c>
      <c r="FA14" s="132">
        <f>IF(OR(FA$4="",$B14=""),0,SUMIF('DADOS BRUTOS'!$A$3:$A$500,$B14,'DADOS BRUTOS'!CA$3:CA$500)+IF($C14="",0,SUMIF('DADOS BRUTOS'!$A$3:$A$500,$C14,'DADOS BRUTOS'!CA$3:CA$500)))</f>
        <v/>
      </c>
      <c r="FB14" s="132">
        <f>IF(OR(FB$4="",$B14=""),0,SUMIF('DADOS BRUTOS'!$A$3:$A$500,$B14,'DADOS BRUTOS'!CB$3:CB$500)+IF($C14="",0,SUMIF('DADOS BRUTOS'!$A$3:$A$500,$C14,'DADOS BRUTOS'!CB$3:CB$500)))</f>
        <v/>
      </c>
      <c r="FC14" s="132">
        <f>IF(OR(FC$4="",$B14=""),0,SUMIF('DADOS BRUTOS'!$A$3:$A$500,$B14,'DADOS BRUTOS'!CC$3:CC$500)+IF($C14="",0,SUMIF('DADOS BRUTOS'!$A$3:$A$500,$C14,'DADOS BRUTOS'!CC$3:CC$500)))</f>
        <v/>
      </c>
      <c r="FD14" s="132">
        <f>IF(OR(FD$4="",$B14=""),0,SUMIF('DADOS BRUTOS'!$A$3:$A$500,$B14,'DADOS BRUTOS'!CD$3:CD$500)+IF($C14="",0,SUMIF('DADOS BRUTOS'!$A$3:$A$500,$C14,'DADOS BRUTOS'!CD$3:CD$500)))</f>
        <v/>
      </c>
      <c r="FE14" s="132">
        <f>IF(OR(FE$4="",$B14=""),0,SUMIF('DADOS BRUTOS'!$A$3:$A$500,$B14,'DADOS BRUTOS'!CE$3:CE$500)+IF($C14="",0,SUMIF('DADOS BRUTOS'!$A$3:$A$500,$C14,'DADOS BRUTOS'!CE$3:CE$500)))</f>
        <v/>
      </c>
      <c r="FF14" s="132">
        <f>IF(OR(FF$4="",$B14=""),0,SUMIF('DADOS BRUTOS'!$A$3:$A$500,$B14,'DADOS BRUTOS'!CF$3:CF$500)+IF($C14="",0,SUMIF('DADOS BRUTOS'!$A$3:$A$500,$C14,'DADOS BRUTOS'!CF$3:CF$500)))</f>
        <v/>
      </c>
      <c r="FG14" s="132">
        <f>IF(OR(FG$4="",$B14=""),0,SUMIF('DADOS BRUTOS'!$A$3:$A$500,$B14,'DADOS BRUTOS'!CG$3:CG$500)+IF($C14="",0,SUMIF('DADOS BRUTOS'!$A$3:$A$500,$C14,'DADOS BRUTOS'!CG$3:CG$500)))</f>
        <v/>
      </c>
      <c r="FH14" s="132">
        <f>IF(OR(FH$4="",$B14=""),0,SUMIF('DADOS BRUTOS'!$A$3:$A$500,$B14,'DADOS BRUTOS'!CH$3:CH$500)+IF($C14="",0,SUMIF('DADOS BRUTOS'!$A$3:$A$500,$C14,'DADOS BRUTOS'!CH$3:CH$500)))</f>
        <v/>
      </c>
      <c r="FI14" s="132">
        <f>IF(OR(FI$4="",$B14=""),0,SUMIF('DADOS BRUTOS'!$A$3:$A$500,$B14,'DADOS BRUTOS'!CI$3:CI$500)+IF($C14="",0,SUMIF('DADOS BRUTOS'!$A$3:$A$500,$C14,'DADOS BRUTOS'!CI$3:CI$500)))</f>
        <v/>
      </c>
      <c r="FJ14" s="132">
        <f>IF(OR(FJ$4="",$B14=""),0,SUMIF('DADOS BRUTOS'!$A$3:$A$500,$B14,'DADOS BRUTOS'!CJ$3:CJ$500)+IF($C14="",0,SUMIF('DADOS BRUTOS'!$A$3:$A$500,$C14,'DADOS BRUTOS'!CJ$3:CJ$500)))</f>
        <v/>
      </c>
      <c r="FK14" s="132">
        <f>IF(OR(FK$4="",$B14=""),0,SUMIF('DADOS BRUTOS'!$A$3:$A$500,$B14,'DADOS BRUTOS'!CK$3:CK$500)+IF($C14="",0,SUMIF('DADOS BRUTOS'!$A$3:$A$500,$C14,'DADOS BRUTOS'!CK$3:CK$500)))</f>
        <v/>
      </c>
      <c r="FL14" s="132">
        <f>IF(OR(FL$4="",$B14=""),0,SUMIF('DADOS BRUTOS'!$A$3:$A$500,$B14,'DADOS BRUTOS'!CL$3:CL$500)+IF($C14="",0,SUMIF('DADOS BRUTOS'!$A$3:$A$500,$C14,'DADOS BRUTOS'!CL$3:CL$500)))</f>
        <v/>
      </c>
      <c r="FM14" s="132">
        <f>IF(OR(FM$4="",$B14=""),0,SUMIF('DADOS BRUTOS'!$A$3:$A$500,$B14,'DADOS BRUTOS'!CM$3:CM$500)+IF($C14="",0,SUMIF('DADOS BRUTOS'!$A$3:$A$500,$C14,'DADOS BRUTOS'!CM$3:CM$500)))</f>
        <v/>
      </c>
      <c r="FN14" s="132">
        <f>IF(OR(FN$4="",$B14=""),0,SUMIF('DADOS BRUTOS'!$A$3:$A$500,$B14,'DADOS BRUTOS'!CN$3:CN$500)+IF($C14="",0,SUMIF('DADOS BRUTOS'!$A$3:$A$500,$C14,'DADOS BRUTOS'!CN$3:CN$500)))</f>
        <v/>
      </c>
      <c r="FO14" s="132">
        <f>IF(OR(FO$4="",$B14=""),0,SUMIF('DADOS BRUTOS'!$A$3:$A$500,$B14,'DADOS BRUTOS'!CO$3:CO$500)+IF($C14="",0,SUMIF('DADOS BRUTOS'!$A$3:$A$500,$C14,'DADOS BRUTOS'!CO$3:CO$500)))</f>
        <v/>
      </c>
      <c r="FP14" s="132">
        <f>IF(OR(FP$4="",$B14=""),0,SUMIF('DADOS BRUTOS'!$A$3:$A$500,$B14,'DADOS BRUTOS'!CP$3:CP$500)+IF($C14="",0,SUMIF('DADOS BRUTOS'!$A$3:$A$500,$C14,'DADOS BRUTOS'!CP$3:CP$500)))</f>
        <v/>
      </c>
      <c r="FQ14" s="132">
        <f>IF(OR(FQ$4="",$B14=""),0,SUMIF('DADOS BRUTOS'!$A$3:$A$500,$B14,'DADOS BRUTOS'!CQ$3:CQ$500)+IF($C14="",0,SUMIF('DADOS BRUTOS'!$A$3:$A$500,$C14,'DADOS BRUTOS'!CQ$3:CQ$500)))</f>
        <v/>
      </c>
      <c r="FR14" s="132">
        <f>IF(OR(FR$4="",$B14=""),0,SUMIF('DADOS BRUTOS'!$A$3:$A$500,$B14,'DADOS BRUTOS'!CR$3:CR$500)+IF($C14="",0,SUMIF('DADOS BRUTOS'!$A$3:$A$500,$C14,'DADOS BRUTOS'!CR$3:CR$500)))</f>
        <v/>
      </c>
      <c r="FS14" s="132">
        <f>IF(OR(FS$4="",$B14=""),0,SUMIF('DADOS BRUTOS'!$A$3:$A$500,$B14,'DADOS BRUTOS'!CS$3:CS$500)+IF($C14="",0,SUMIF('DADOS BRUTOS'!$A$3:$A$500,$C14,'DADOS BRUTOS'!CS$3:CS$500)))</f>
        <v/>
      </c>
      <c r="FT14" s="132">
        <f>IF(OR(FT$4="",$B14=""),0,SUMIF('DADOS BRUTOS'!$A$3:$A$500,$B14,'DADOS BRUTOS'!CT$3:CT$500)+IF($C14="",0,SUMIF('DADOS BRUTOS'!$A$3:$A$500,$C14,'DADOS BRUTOS'!CT$3:CT$500)))</f>
        <v/>
      </c>
      <c r="FU14" s="132">
        <f>IF(OR(FU$4="",$B14=""),0,SUMIF('DADOS BRUTOS'!$A$3:$A$500,$B14,'DADOS BRUTOS'!CU$3:CU$500)+IF($C14="",0,SUMIF('DADOS BRUTOS'!$A$3:$A$500,$C14,'DADOS BRUTOS'!CU$3:CU$500)))</f>
        <v/>
      </c>
      <c r="FV14" s="132">
        <f>IF(OR(FV$4="",$B14=""),0,SUMIF('DADOS BRUTOS'!$A$3:$A$500,$B14,'DADOS BRUTOS'!CV$3:CV$500)+IF($C14="",0,SUMIF('DADOS BRUTOS'!$A$3:$A$500,$C14,'DADOS BRUTOS'!CV$3:CV$500)))</f>
        <v/>
      </c>
      <c r="FW14" s="132">
        <f>IF(OR(FW$4="",$B14=""),0,SUMIF('DADOS BRUTOS'!$A$3:$A$500,$B14,'DADOS BRUTOS'!CW$3:CW$500)+IF($C14="",0,SUMIF('DADOS BRUTOS'!$A$3:$A$500,$C14,'DADOS BRUTOS'!CW$3:CW$500)))</f>
        <v/>
      </c>
      <c r="FX14" s="132">
        <f>IF(OR(FX$4="",$B14=""),0,SUMIF('DADOS BRUTOS'!$A$3:$A$500,$B14,'DADOS BRUTOS'!CX$3:CX$500)+IF($C14="",0,SUMIF('DADOS BRUTOS'!$A$3:$A$500,$C14,'DADOS BRUTOS'!CX$3:CX$500)))</f>
        <v/>
      </c>
      <c r="FY14" s="132">
        <f>IF(OR(FY$4="",$B14=""),0,SUMIF('DADOS BRUTOS'!$A$3:$A$500,$B14,'DADOS BRUTOS'!CY$3:CY$500)+IF($C14="",0,SUMIF('DADOS BRUTOS'!$A$3:$A$500,$C14,'DADOS BRUTOS'!CY$3:CY$500)))</f>
        <v/>
      </c>
      <c r="FZ14" s="132">
        <f>IF(OR(FZ$4="",$B14=""),0,SUMIF('DADOS BRUTOS'!$A$3:$A$500,$B14,'DADOS BRUTOS'!CZ$3:CZ$500)+IF($C14="",0,SUMIF('DADOS BRUTOS'!$A$3:$A$500,$C14,'DADOS BRUTOS'!CZ$3:CZ$500)))</f>
        <v/>
      </c>
      <c r="GA14" s="132">
        <f>IF(OR(GA$4="",$B14=""),0,SUMIF('DADOS BRUTOS'!$A$3:$A$500,$B14,'DADOS BRUTOS'!DA$3:DA$500)+IF($C14="",0,SUMIF('DADOS BRUTOS'!$A$3:$A$500,$C14,'DADOS BRUTOS'!DA$3:DA$500)))</f>
        <v/>
      </c>
      <c r="GB14" s="132">
        <f>IF(OR(GB$4="",$B14=""),0,SUMIF('DADOS BRUTOS'!$A$3:$A$500,$B14,'DADOS BRUTOS'!DB$3:DB$500)+IF($C14="",0,SUMIF('DADOS BRUTOS'!$A$3:$A$500,$C14,'DADOS BRUTOS'!DB$3:DB$500)))</f>
        <v/>
      </c>
      <c r="GC14" s="132">
        <f>IF(OR(GC$4="",$B14=""),0,SUMIF('DADOS BRUTOS'!$A$3:$A$500,$B14,'DADOS BRUTOS'!DC$3:DC$500)+IF($C14="",0,SUMIF('DADOS BRUTOS'!$A$3:$A$500,$C14,'DADOS BRUTOS'!DC$3:DC$500)))</f>
        <v/>
      </c>
      <c r="GD14" s="132">
        <f>IF(OR(GD$4="",$B14=""),0,SUMIF('DADOS BRUTOS'!$A$3:$A$500,$B14,'DADOS BRUTOS'!DD$3:DD$500)+IF($C14="",0,SUMIF('DADOS BRUTOS'!$A$3:$A$500,$C14,'DADOS BRUTOS'!DD$3:DD$500)))</f>
        <v/>
      </c>
      <c r="GE14" s="132">
        <f>IF(OR(GE$4="",$B14=""),0,SUMIF('DADOS BRUTOS'!$A$3:$A$500,$B14,'DADOS BRUTOS'!DE$3:DE$500)+IF($C14="",0,SUMIF('DADOS BRUTOS'!$A$3:$A$500,$C14,'DADOS BRUTOS'!DE$3:DE$500)))</f>
        <v/>
      </c>
      <c r="GF14" s="132">
        <f>IF(OR(GF$4="",$B14=""),0,SUMIF('DADOS BRUTOS'!$A$3:$A$500,$B14,'DADOS BRUTOS'!DF$3:DF$500)+IF($C14="",0,SUMIF('DADOS BRUTOS'!$A$3:$A$500,$C14,'DADOS BRUTOS'!DF$3:DF$500)))</f>
        <v/>
      </c>
      <c r="GG14" s="132">
        <f>IF(OR(GG$4="",$B14=""),0,SUMIF('DADOS BRUTOS'!$A$3:$A$500,$B14,'DADOS BRUTOS'!DG$3:DG$500)+IF($C14="",0,SUMIF('DADOS BRUTOS'!$A$3:$A$500,$C14,'DADOS BRUTOS'!DG$3:DG$500)))</f>
        <v/>
      </c>
      <c r="GH14" s="132">
        <f>IF(OR(GH$4="",$B14=""),0,SUMIF('DADOS BRUTOS'!$A$3:$A$500,$B14,'DADOS BRUTOS'!DH$3:DH$500)+IF($C14="",0,SUMIF('DADOS BRUTOS'!$A$3:$A$500,$C14,'DADOS BRUTOS'!DH$3:DH$500)))</f>
        <v/>
      </c>
      <c r="GI14" s="132">
        <f>IF(OR(GI$4="",$B14=""),0,SUMIF('DADOS BRUTOS'!$A$3:$A$500,$B14,'DADOS BRUTOS'!DI$3:DI$500)+IF($C14="",0,SUMIF('DADOS BRUTOS'!$A$3:$A$500,$C14,'DADOS BRUTOS'!DI$3:DI$500)))</f>
        <v/>
      </c>
      <c r="GJ14" s="132">
        <f>IF(OR(GJ$4="",$B14=""),0,SUMIF('DADOS BRUTOS'!$A$3:$A$500,$B14,'DADOS BRUTOS'!DJ$3:DJ$500)+IF($C14="",0,SUMIF('DADOS BRUTOS'!$A$3:$A$500,$C14,'DADOS BRUTOS'!DJ$3:DJ$500)))</f>
        <v/>
      </c>
      <c r="GK14" s="132">
        <f>IF(OR(GK$4="",$B14=""),0,SUMIF('DADOS BRUTOS'!$A$3:$A$500,$B14,'DADOS BRUTOS'!DK$3:DK$500)+IF($C14="",0,SUMIF('DADOS BRUTOS'!$A$3:$A$500,$C14,'DADOS BRUTOS'!DK$3:DK$500)))</f>
        <v/>
      </c>
      <c r="GL14" s="132">
        <f>IF(OR(GL$4="",$B14=""),0,SUMIF('DADOS BRUTOS'!$A$3:$A$500,$B14,'DADOS BRUTOS'!DL$3:DL$500)+IF($C14="",0,SUMIF('DADOS BRUTOS'!$A$3:$A$500,$C14,'DADOS BRUTOS'!DL$3:DL$500)))</f>
        <v/>
      </c>
      <c r="GM14" s="132">
        <f>IF(OR(GM$4="",$B14=""),0,SUMIF('DADOS BRUTOS'!$A$3:$A$500,$B14,'DADOS BRUTOS'!DM$3:DM$500)+IF($C14="",0,SUMIF('DADOS BRUTOS'!$A$3:$A$500,$C14,'DADOS BRUTOS'!DM$3:DM$500)))</f>
        <v/>
      </c>
      <c r="GN14" s="132">
        <f>IF(OR(GN$4="",$B14=""),0,SUMIF('DADOS BRUTOS'!$A$3:$A$500,$B14,'DADOS BRUTOS'!DN$3:DN$500)+IF($C14="",0,SUMIF('DADOS BRUTOS'!$A$3:$A$500,$C14,'DADOS BRUTOS'!DN$3:DN$500)))</f>
        <v/>
      </c>
      <c r="GO14" s="132">
        <f>IF(OR(GO$4="",$B14=""),0,SUMIF('DADOS BRUTOS'!$A$3:$A$500,$B14,'DADOS BRUTOS'!DO$3:DO$500)+IF($C14="",0,SUMIF('DADOS BRUTOS'!$A$3:$A$500,$C14,'DADOS BRUTOS'!DO$3:DO$500)))</f>
        <v/>
      </c>
      <c r="GP14" s="132">
        <f>IF(OR(GP$4="",$B14=""),0,SUMIF('DADOS BRUTOS'!$A$3:$A$500,$B14,'DADOS BRUTOS'!DP$3:DP$500)+IF($C14="",0,SUMIF('DADOS BRUTOS'!$A$3:$A$500,$C14,'DADOS BRUTOS'!DP$3:DP$500)))</f>
        <v/>
      </c>
      <c r="GQ14" s="132">
        <f>IF(OR(GQ$4="",$B14=""),0,SUMIF('DADOS BRUTOS'!$A$3:$A$500,$B14,'DADOS BRUTOS'!DQ$3:DQ$500)+IF($C14="",0,SUMIF('DADOS BRUTOS'!$A$3:$A$500,$C14,'DADOS BRUTOS'!DQ$3:DQ$500)))</f>
        <v/>
      </c>
      <c r="GR14" s="132">
        <f>IF(OR(GR$4="",$B14=""),0,SUMIF('DADOS BRUTOS'!$A$3:$A$500,$B14,'DADOS BRUTOS'!DR$3:DR$500)+IF($C14="",0,SUMIF('DADOS BRUTOS'!$A$3:$A$500,$C14,'DADOS BRUTOS'!DR$3:DR$500)))</f>
        <v/>
      </c>
      <c r="GS14" s="132">
        <f>IF(OR(GS$4="",$B14=""),0,SUMIF('DADOS BRUTOS'!$A$3:$A$500,$B14,'DADOS BRUTOS'!DS$3:DS$500)+IF($C14="",0,SUMIF('DADOS BRUTOS'!$A$3:$A$500,$C14,'DADOS BRUTOS'!DS$3:DS$500)))</f>
        <v/>
      </c>
      <c r="GT14" s="132">
        <f>IF(OR(GT$4="",$B14=""),0,SUMIF('DADOS BRUTOS'!$A$3:$A$500,$B14,'DADOS BRUTOS'!DT$3:DT$500)+IF($C14="",0,SUMIF('DADOS BRUTOS'!$A$3:$A$500,$C14,'DADOS BRUTOS'!DT$3:DT$500)))</f>
        <v/>
      </c>
      <c r="GU14" s="132">
        <f>IF(OR(GU$4="",$B14=""),0,SUMIF('DADOS BRUTOS'!$A$3:$A$500,$B14,'DADOS BRUTOS'!DU$3:DU$500)+IF($C14="",0,SUMIF('DADOS BRUTOS'!$A$3:$A$500,$C14,'DADOS BRUTOS'!DU$3:DU$500)))</f>
        <v/>
      </c>
      <c r="GV14" s="132">
        <f>IF(OR(GV$4="",$B14=""),0,SUMIF('DADOS BRUTOS'!$A$3:$A$500,$B14,'DADOS BRUTOS'!DV$3:DV$500)+IF($C14="",0,SUMIF('DADOS BRUTOS'!$A$3:$A$500,$C14,'DADOS BRUTOS'!DV$3:DV$500)))</f>
        <v/>
      </c>
      <c r="GW14" s="132">
        <f>IF(OR(GW$4="",$B14=""),0,SUMIF('DADOS BRUTOS'!$A$3:$A$500,$B14,'DADOS BRUTOS'!DW$3:DW$500)+IF($C14="",0,SUMIF('DADOS BRUTOS'!$A$3:$A$500,$C14,'DADOS BRUTOS'!DW$3:DW$500)))</f>
        <v/>
      </c>
      <c r="GX14" s="132">
        <f>IF(OR(GX$4="",$B14=""),0,SUMIF('DADOS BRUTOS'!$A$3:$A$500,$B14,'DADOS BRUTOS'!DX$3:DX$500)+IF($C14="",0,SUMIF('DADOS BRUTOS'!$A$3:$A$500,$C14,'DADOS BRUTOS'!DX$3:DX$500)))</f>
        <v/>
      </c>
      <c r="GY14" s="132">
        <f>IF(OR(GY$4="",$B14=""),0,SUMIF('DADOS BRUTOS'!$A$3:$A$500,$B14,'DADOS BRUTOS'!DY$3:DY$500)+IF($C14="",0,SUMIF('DADOS BRUTOS'!$A$3:$A$500,$C14,'DADOS BRUTOS'!DY$3:DY$500)))</f>
        <v/>
      </c>
      <c r="GZ14" s="132">
        <f>IF(OR(GZ$4="",$B14=""),0,SUMIF('DADOS BRUTOS'!$A$3:$A$500,$B14,'DADOS BRUTOS'!DZ$3:DZ$500)+IF($C14="",0,SUMIF('DADOS BRUTOS'!$A$3:$A$500,$C14,'DADOS BRUTOS'!DZ$3:DZ$500)))</f>
        <v/>
      </c>
      <c r="HA14" s="132">
        <f>IF(OR(HA$4="",$B14=""),0,SUMIF('DADOS BRUTOS'!$A$3:$A$500,$B14,'DADOS BRUTOS'!EA$3:EA$500)+IF($C14="",0,SUMIF('DADOS BRUTOS'!$A$3:$A$500,$C14,'DADOS BRUTOS'!EA$3:EA$500)))</f>
        <v/>
      </c>
      <c r="HB14" s="132">
        <f>IF(OR(HB$4="",$B14=""),0,SUMIF('DADOS BRUTOS'!$A$3:$A$500,$B14,'DADOS BRUTOS'!EB$3:EB$500)+IF($C14="",0,SUMIF('DADOS BRUTOS'!$A$3:$A$500,$C14,'DADOS BRUTOS'!EB$3:EB$500)))</f>
        <v/>
      </c>
      <c r="HC14" s="132">
        <f>IF(OR(HC$4="",$B14=""),0,SUMIF('DADOS BRUTOS'!$A$3:$A$500,$B14,'DADOS BRUTOS'!EC$3:EC$500)+IF($C14="",0,SUMIF('DADOS BRUTOS'!$A$3:$A$500,$C14,'DADOS BRUTOS'!EC$3:EC$500)))</f>
        <v/>
      </c>
      <c r="HD14" s="132">
        <f>IF(OR(HD$4="",$B14=""),0,SUMIF('DADOS BRUTOS'!$A$3:$A$500,$B14,'DADOS BRUTOS'!ED$3:ED$500)+IF($C14="",0,SUMIF('DADOS BRUTOS'!$A$3:$A$500,$C14,'DADOS BRUTOS'!ED$3:ED$500)))</f>
        <v/>
      </c>
      <c r="HE14" s="132">
        <f>IF(OR(HE$4="",$B14=""),0,SUMIF('DADOS BRUTOS'!$A$3:$A$500,$B14,'DADOS BRUTOS'!EE$3:EE$500)+IF($C14="",0,SUMIF('DADOS BRUTOS'!$A$3:$A$500,$C14,'DADOS BRUTOS'!EE$3:EE$500)))</f>
        <v/>
      </c>
      <c r="HF14" s="132">
        <f>IF(OR(HF$4="",$B14=""),0,SUMIF('DADOS BRUTOS'!$A$3:$A$500,$B14,'DADOS BRUTOS'!EF$3:EF$500)+IF($C14="",0,SUMIF('DADOS BRUTOS'!$A$3:$A$500,$C14,'DADOS BRUTOS'!EF$3:EF$500)))</f>
        <v/>
      </c>
      <c r="HG14" s="132">
        <f>IF(OR(HG$4="",$B14=""),0,SUMIF('DADOS BRUTOS'!$A$3:$A$500,$B14,'DADOS BRUTOS'!EG$3:EG$500)+IF($C14="",0,SUMIF('DADOS BRUTOS'!$A$3:$A$500,$C14,'DADOS BRUTOS'!EG$3:EG$500)))</f>
        <v/>
      </c>
      <c r="HH14" s="132">
        <f>IF(OR(HH$4="",$B14=""),0,SUMIF('DADOS BRUTOS'!$A$3:$A$500,$B14,'DADOS BRUTOS'!EH$3:EH$500)+IF($C14="",0,SUMIF('DADOS BRUTOS'!$A$3:$A$500,$C14,'DADOS BRUTOS'!EH$3:EH$500)))</f>
        <v/>
      </c>
      <c r="HI14" s="132">
        <f>IF(OR(HI$4="",$B14=""),0,SUMIF('DADOS BRUTOS'!$A$3:$A$500,$B14,'DADOS BRUTOS'!EI$3:EI$500)+IF($C14="",0,SUMIF('DADOS BRUTOS'!$A$3:$A$500,$C14,'DADOS BRUTOS'!EI$3:EI$500)))</f>
        <v/>
      </c>
      <c r="HJ14" s="132">
        <f>IF(OR(HJ$4="",$B14=""),0,SUMIF('DADOS BRUTOS'!$A$3:$A$500,$B14,'DADOS BRUTOS'!EJ$3:EJ$500)+IF($C14="",0,SUMIF('DADOS BRUTOS'!$A$3:$A$500,$C14,'DADOS BRUTOS'!EJ$3:EJ$500)))</f>
        <v/>
      </c>
      <c r="HK14" s="132">
        <f>IF(OR(HK$4="",$B14=""),0,SUMIF('DADOS BRUTOS'!$A$3:$A$500,$B14,'DADOS BRUTOS'!EK$3:EK$500)+IF($C14="",0,SUMIF('DADOS BRUTOS'!$A$3:$A$500,$C14,'DADOS BRUTOS'!EK$3:EK$500)))</f>
        <v/>
      </c>
      <c r="HL14" s="132">
        <f>IF(OR(HL$4="",$B14=""),0,SUMIF('DADOS BRUTOS'!$A$3:$A$500,$B14,'DADOS BRUTOS'!EL$3:EL$500)+IF($C14="",0,SUMIF('DADOS BRUTOS'!$A$3:$A$500,$C14,'DADOS BRUTOS'!EL$3:EL$500)))</f>
        <v/>
      </c>
      <c r="HM14" s="132">
        <f>IF(OR(HM$4="",$B14=""),0,SUMIF('DADOS BRUTOS'!$A$3:$A$500,$B14,'DADOS BRUTOS'!EM$3:EM$500)+IF($C14="",0,SUMIF('DADOS BRUTOS'!$A$3:$A$500,$C14,'DADOS BRUTOS'!EM$3:EM$500)))</f>
        <v/>
      </c>
      <c r="HN14" s="132">
        <f>IF(OR(HN$4="",$B14=""),0,SUMIF('DADOS BRUTOS'!$A$3:$A$500,$B14,'DADOS BRUTOS'!EN$3:EN$500)+IF($C14="",0,SUMIF('DADOS BRUTOS'!$A$3:$A$500,$C14,'DADOS BRUTOS'!EN$3:EN$500)))</f>
        <v/>
      </c>
      <c r="HO14" s="132">
        <f>IF(OR(HO$4="",$B14=""),0,SUMIF('DADOS BRUTOS'!$A$3:$A$500,$B14,'DADOS BRUTOS'!EO$3:EO$500)+IF($C14="",0,SUMIF('DADOS BRUTOS'!$A$3:$A$500,$C14,'DADOS BRUTOS'!EO$3:EO$500)))</f>
        <v/>
      </c>
      <c r="HP14" s="132">
        <f>IF(OR(HP$4="",$B14=""),0,SUMIF('DADOS BRUTOS'!$A$3:$A$500,$B14,'DADOS BRUTOS'!EP$3:EP$500)+IF($C14="",0,SUMIF('DADOS BRUTOS'!$A$3:$A$500,$C14,'DADOS BRUTOS'!EP$3:EP$500)))</f>
        <v/>
      </c>
      <c r="HQ14" s="132">
        <f>IF(OR(HQ$4="",$B14=""),0,SUMIF('DADOS BRUTOS'!$A$3:$A$500,$B14,'DADOS BRUTOS'!EQ$3:EQ$500)+IF($C14="",0,SUMIF('DADOS BRUTOS'!$A$3:$A$500,$C14,'DADOS BRUTOS'!EQ$3:EQ$500)))</f>
        <v/>
      </c>
      <c r="HR14" s="132">
        <f>IF(OR(HR$4="",$B14=""),0,SUMIF('DADOS BRUTOS'!$A$3:$A$500,$B14,'DADOS BRUTOS'!ER$3:ER$500)+IF($C14="",0,SUMIF('DADOS BRUTOS'!$A$3:$A$500,$C14,'DADOS BRUTOS'!ER$3:ER$500)))</f>
        <v/>
      </c>
      <c r="HS14" s="132">
        <f>IF(OR(HS$4="",$B14=""),0,SUMIF('DADOS BRUTOS'!$A$3:$A$500,$B14,'DADOS BRUTOS'!ES$3:ES$500)+IF($C14="",0,SUMIF('DADOS BRUTOS'!$A$3:$A$500,$C14,'DADOS BRUTOS'!ES$3:ES$500)))</f>
        <v/>
      </c>
      <c r="HT14" s="132">
        <f>IF(OR(HT$4="",$B14=""),0,SUMIF('DADOS BRUTOS'!$A$3:$A$500,$B14,'DADOS BRUTOS'!ET$3:ET$500)+IF($C14="",0,SUMIF('DADOS BRUTOS'!$A$3:$A$500,$C14,'DADOS BRUTOS'!ET$3:ET$500)))</f>
        <v/>
      </c>
      <c r="HU14" s="132">
        <f>IF(OR(HU$4="",$B14=""),0,SUMIF('DADOS BRUTOS'!$A$3:$A$500,$B14,'DADOS BRUTOS'!EU$3:EU$500)+IF($C14="",0,SUMIF('DADOS BRUTOS'!$A$3:$A$500,$C14,'DADOS BRUTOS'!EU$3:EU$500)))</f>
        <v/>
      </c>
      <c r="HV14" s="132">
        <f>IF(OR(HV$4="",$B14=""),0,SUMIF('DADOS BRUTOS'!$A$3:$A$500,$B14,'DADOS BRUTOS'!EV$3:EV$500)+IF($C14="",0,SUMIF('DADOS BRUTOS'!$A$3:$A$500,$C14,'DADOS BRUTOS'!EV$3:EV$500)))</f>
        <v/>
      </c>
      <c r="HW14" s="132">
        <f>IF(OR(HW$4="",$B14=""),0,SUMIF('DADOS BRUTOS'!$A$3:$A$500,$B14,'DADOS BRUTOS'!EW$3:EW$500)+IF($C14="",0,SUMIF('DADOS BRUTOS'!$A$3:$A$500,$C14,'DADOS BRUTOS'!EW$3:EW$500)))</f>
        <v/>
      </c>
      <c r="HX14" s="132">
        <f>IF(OR(HX$4="",$B14=""),0,SUMIF('DADOS BRUTOS'!$A$3:$A$500,$B14,'DADOS BRUTOS'!EX$3:EX$500)+IF($C14="",0,SUMIF('DADOS BRUTOS'!$A$3:$A$500,$C14,'DADOS BRUTOS'!EX$3:EX$500)))</f>
        <v/>
      </c>
      <c r="HY14" s="132">
        <f>IF(OR(HY$4="",$B14=""),0,SUMIF('DADOS BRUTOS'!$A$3:$A$500,$B14,'DADOS BRUTOS'!EY$3:EY$500)+IF($C14="",0,SUMIF('DADOS BRUTOS'!$A$3:$A$500,$C14,'DADOS BRUTOS'!EY$3:EY$500)))</f>
        <v/>
      </c>
      <c r="HZ14" s="132">
        <f>IF(OR(HZ$4="",$B14=""),0,SUMIF('DADOS BRUTOS'!$A$3:$A$500,$B14,'DADOS BRUTOS'!EZ$3:EZ$500)+IF($C14="",0,SUMIF('DADOS BRUTOS'!$A$3:$A$500,$C14,'DADOS BRUTOS'!EZ$3:EZ$500)))</f>
        <v/>
      </c>
      <c r="IA14" s="132">
        <f>IF(OR(IA$4="",$B14=""),0,SUMIF('DADOS BRUTOS'!$A$3:$A$500,$B14,'DADOS BRUTOS'!FA$3:FA$500)+IF($C14="",0,SUMIF('DADOS BRUTOS'!$A$3:$A$500,$C14,'DADOS BRUTOS'!FA$3:FA$500)))</f>
        <v/>
      </c>
      <c r="IB14" s="132">
        <f>IF(OR(IB$4="",$B14=""),0,SUMIF('DADOS BRUTOS'!$A$3:$A$500,$B14,'DADOS BRUTOS'!FB$3:FB$500)+IF($C14="",0,SUMIF('DADOS BRUTOS'!$A$3:$A$500,$C14,'DADOS BRUTOS'!FB$3:FB$500)))</f>
        <v/>
      </c>
      <c r="IC14" s="132">
        <f>IF(OR(IC$4="",$B14=""),0,SUMIF('DADOS BRUTOS'!$A$3:$A$500,$B14,'DADOS BRUTOS'!FC$3:FC$500)+IF($C14="",0,SUMIF('DADOS BRUTOS'!$A$3:$A$500,$C14,'DADOS BRUTOS'!FC$3:FC$500)))</f>
        <v/>
      </c>
      <c r="ID14" s="132">
        <f>IF(OR(ID$4="",$B14=""),0,SUMIF('DADOS BRUTOS'!$A$3:$A$500,$B14,'DADOS BRUTOS'!FD$3:FD$500)+IF($C14="",0,SUMIF('DADOS BRUTOS'!$A$3:$A$500,$C14,'DADOS BRUTOS'!FD$3:FD$500)))</f>
        <v/>
      </c>
      <c r="IE14" s="132">
        <f>IF(OR(IE$4="",$B14=""),0,SUMIF('DADOS BRUTOS'!$A$3:$A$500,$B14,'DADOS BRUTOS'!FE$3:FE$500)+IF($C14="",0,SUMIF('DADOS BRUTOS'!$A$3:$A$500,$C14,'DADOS BRUTOS'!FE$3:FE$500)))</f>
        <v/>
      </c>
      <c r="IF14" s="132">
        <f>IF(OR(IF$4="",$B14=""),0,SUMIF('DADOS BRUTOS'!$A$3:$A$500,$B14,'DADOS BRUTOS'!FF$3:FF$500)+IF($C14="",0,SUMIF('DADOS BRUTOS'!$A$3:$A$500,$C14,'DADOS BRUTOS'!FF$3:FF$500)))</f>
        <v/>
      </c>
      <c r="IG14" s="132">
        <f>IF(OR(IG$4="",$B14=""),0,SUMIF('DADOS BRUTOS'!$A$3:$A$500,$B14,'DADOS BRUTOS'!FG$3:FG$500)+IF($C14="",0,SUMIF('DADOS BRUTOS'!$A$3:$A$500,$C14,'DADOS BRUTOS'!FG$3:FG$500)))</f>
        <v/>
      </c>
      <c r="IH14" s="132">
        <f>IF(OR(IH$4="",$B14=""),0,SUMIF('DADOS BRUTOS'!$A$3:$A$500,$B14,'DADOS BRUTOS'!FH$3:FH$500)+IF($C14="",0,SUMIF('DADOS BRUTOS'!$A$3:$A$500,$C14,'DADOS BRUTOS'!FH$3:FH$500)))</f>
        <v/>
      </c>
      <c r="II14" s="132">
        <f>IF(OR(II$4="",$B14=""),0,SUMIF('DADOS BRUTOS'!$A$3:$A$500,$B14,'DADOS BRUTOS'!FI$3:FI$500)+IF($C14="",0,SUMIF('DADOS BRUTOS'!$A$3:$A$500,$C14,'DADOS BRUTOS'!FI$3:FI$500)))</f>
        <v/>
      </c>
      <c r="IJ14" s="132">
        <f>IF(OR(IJ$4="",$B14=""),0,SUMIF('DADOS BRUTOS'!$A$3:$A$500,$B14,'DADOS BRUTOS'!FJ$3:FJ$500)+IF($C14="",0,SUMIF('DADOS BRUTOS'!$A$3:$A$500,$C14,'DADOS BRUTOS'!FJ$3:FJ$500)))</f>
        <v/>
      </c>
      <c r="IK14" s="132">
        <f>IF(OR(IK$4="",$B14=""),0,SUMIF('DADOS BRUTOS'!$A$3:$A$500,$B14,'DADOS BRUTOS'!FK$3:FK$500)+IF($C14="",0,SUMIF('DADOS BRUTOS'!$A$3:$A$500,$C14,'DADOS BRUTOS'!FK$3:FK$500)))</f>
        <v/>
      </c>
      <c r="IL14" s="132">
        <f>IF(OR(IL$4="",$B14=""),0,SUMIF('DADOS BRUTOS'!$A$3:$A$500,$B14,'DADOS BRUTOS'!FL$3:FL$500)+IF($C14="",0,SUMIF('DADOS BRUTOS'!$A$3:$A$500,$C14,'DADOS BRUTOS'!FL$3:FL$500)))</f>
        <v/>
      </c>
      <c r="IM14" s="132">
        <f>IF(OR(IM$4="",$B14=""),0,SUMIF('DADOS BRUTOS'!$A$3:$A$500,$B14,'DADOS BRUTOS'!FM$3:FM$500)+IF($C14="",0,SUMIF('DADOS BRUTOS'!$A$3:$A$500,$C14,'DADOS BRUTOS'!FM$3:FM$500)))</f>
        <v/>
      </c>
      <c r="IN14" s="132">
        <f>IF(OR(IN$4="",$B14=""),0,SUMIF('DADOS BRUTOS'!$A$3:$A$500,$B14,'DADOS BRUTOS'!FN$3:FN$500)+IF($C14="",0,SUMIF('DADOS BRUTOS'!$A$3:$A$500,$C14,'DADOS BRUTOS'!FN$3:FN$500)))</f>
        <v/>
      </c>
      <c r="IO14" s="132">
        <f>IF(OR(IO$4="",$B14=""),0,SUMIF('DADOS BRUTOS'!$A$3:$A$500,$B14,'DADOS BRUTOS'!FO$3:FO$500)+IF($C14="",0,SUMIF('DADOS BRUTOS'!$A$3:$A$500,$C14,'DADOS BRUTOS'!FO$3:FO$500)))</f>
        <v/>
      </c>
      <c r="IP14" s="132">
        <f>IF(OR(IP$4="",$B14=""),0,SUMIF('DADOS BRUTOS'!$A$3:$A$500,$B14,'DADOS BRUTOS'!FP$3:FP$500)+IF($C14="",0,SUMIF('DADOS BRUTOS'!$A$3:$A$500,$C14,'DADOS BRUTOS'!FP$3:FP$500)))</f>
        <v/>
      </c>
      <c r="IQ14" s="132">
        <f>IF(OR(IQ$4="",$B14=""),0,SUMIF('DADOS BRUTOS'!$A$3:$A$500,$B14,'DADOS BRUTOS'!FQ$3:FQ$500)+IF($C14="",0,SUMIF('DADOS BRUTOS'!$A$3:$A$500,$C14,'DADOS BRUTOS'!FQ$3:FQ$500)))</f>
        <v/>
      </c>
      <c r="IR14" s="132">
        <f>IF(OR(IR$4="",$B14=""),0,SUMIF('DADOS BRUTOS'!$A$3:$A$500,$B14,'DADOS BRUTOS'!FR$3:FR$500)+IF($C14="",0,SUMIF('DADOS BRUTOS'!$A$3:$A$500,$C14,'DADOS BRUTOS'!FR$3:FR$500)))</f>
        <v/>
      </c>
      <c r="IS14" s="132">
        <f>IF(OR(IS$4="",$B14=""),0,SUMIF('DADOS BRUTOS'!$A$3:$A$500,$B14,'DADOS BRUTOS'!FS$3:FS$500)+IF($C14="",0,SUMIF('DADOS BRUTOS'!$A$3:$A$500,$C14,'DADOS BRUTOS'!FS$3:FS$500)))</f>
        <v/>
      </c>
      <c r="IT14" s="132">
        <f>IF(OR(IT$4="",$B14=""),0,SUMIF('DADOS BRUTOS'!$A$3:$A$500,$B14,'DADOS BRUTOS'!FT$3:FT$500)+IF($C14="",0,SUMIF('DADOS BRUTOS'!$A$3:$A$500,$C14,'DADOS BRUTOS'!FT$3:FT$500)))</f>
        <v/>
      </c>
      <c r="IU14" s="132">
        <f>IF(OR(IU$4="",$B14=""),0,SUMIF('DADOS BRUTOS'!$A$3:$A$500,$B14,'DADOS BRUTOS'!FU$3:FU$500)+IF($C14="",0,SUMIF('DADOS BRUTOS'!$A$3:$A$500,$C14,'DADOS BRUTOS'!FU$3:FU$500)))</f>
        <v/>
      </c>
      <c r="IV14" s="132">
        <f>IF(OR(IV$4="",$B14=""),0,SUMIF('DADOS BRUTOS'!$A$3:$A$500,$B14,'DADOS BRUTOS'!FV$3:FV$500)+IF($C14="",0,SUMIF('DADOS BRUTOS'!$A$3:$A$500,$C14,'DADOS BRUTOS'!FV$3:FV$500)))</f>
        <v/>
      </c>
      <c r="IW14" s="132">
        <f>IF(OR(IW$4="",$B14=""),0,SUMIF('DADOS BRUTOS'!$A$3:$A$500,$B14,'DADOS BRUTOS'!FW$3:FW$500)+IF($C14="",0,SUMIF('DADOS BRUTOS'!$A$3:$A$500,$C14,'DADOS BRUTOS'!FW$3:FW$500)))</f>
        <v/>
      </c>
      <c r="IX14" s="132">
        <f>IF(OR(IX$4="",$B14=""),0,SUMIF('DADOS BRUTOS'!$A$3:$A$500,$B14,'DADOS BRUTOS'!FX$3:FX$500)+IF($C14="",0,SUMIF('DADOS BRUTOS'!$A$3:$A$500,$C14,'DADOS BRUTOS'!FX$3:FX$500)))</f>
        <v/>
      </c>
      <c r="IY14" s="132">
        <f>IF(OR(IY$4="",$B14=""),0,SUMIF('DADOS BRUTOS'!$A$3:$A$500,$B14,'DADOS BRUTOS'!FY$3:FY$500)+IF($C14="",0,SUMIF('DADOS BRUTOS'!$A$3:$A$500,$C14,'DADOS BRUTOS'!FY$3:FY$500)))</f>
        <v/>
      </c>
      <c r="IZ14" s="132">
        <f>IF(OR(IZ$4="",$B14=""),0,SUMIF('DADOS BRUTOS'!$A$3:$A$500,$B14,'DADOS BRUTOS'!FZ$3:FZ$500)+IF($C14="",0,SUMIF('DADOS BRUTOS'!$A$3:$A$500,$C14,'DADOS BRUTOS'!FZ$3:FZ$500)))</f>
        <v/>
      </c>
      <c r="JA14" s="132">
        <f>IF(OR(JA$4="",$B14=""),0,SUMIF('DADOS BRUTOS'!$A$3:$A$500,$B14,'DADOS BRUTOS'!GA$3:GA$500)+IF($C14="",0,SUMIF('DADOS BRUTOS'!$A$3:$A$500,$C14,'DADOS BRUTOS'!GA$3:GA$500)))</f>
        <v/>
      </c>
      <c r="JB14" s="132">
        <f>IF(OR(JB$4="",$B14=""),0,SUMIF('DADOS BRUTOS'!$A$3:$A$500,$B14,'DADOS BRUTOS'!GB$3:GB$500)+IF($C14="",0,SUMIF('DADOS BRUTOS'!$A$3:$A$500,$C14,'DADOS BRUTOS'!GB$3:GB$500)))</f>
        <v/>
      </c>
      <c r="JC14" s="132">
        <f>IF(OR(JC$4="",$B14=""),0,SUMIF('DADOS BRUTOS'!$A$3:$A$500,$B14,'DADOS BRUTOS'!GC$3:GC$500)+IF($C14="",0,SUMIF('DADOS BRUTOS'!$A$3:$A$500,$C14,'DADOS BRUTOS'!GC$3:GC$500)))</f>
        <v/>
      </c>
      <c r="JD14" s="132">
        <f>IF(OR(JD$4="",$B14=""),0,SUMIF('DADOS BRUTOS'!$A$3:$A$500,$B14,'DADOS BRUTOS'!GD$3:GD$500)+IF($C14="",0,SUMIF('DADOS BRUTOS'!$A$3:$A$500,$C14,'DADOS BRUTOS'!GD$3:GD$500)))</f>
        <v/>
      </c>
      <c r="JE14" s="132">
        <f>IF(OR(JE$4="",$B14=""),0,SUMIF('DADOS BRUTOS'!$A$3:$A$500,$B14,'DADOS BRUTOS'!GE$3:GE$500)+IF($C14="",0,SUMIF('DADOS BRUTOS'!$A$3:$A$500,$C14,'DADOS BRUTOS'!GE$3:GE$500)))</f>
        <v/>
      </c>
      <c r="JF14" s="132">
        <f>IF(OR(JF$4="",$B14=""),0,SUMIF('DADOS BRUTOS'!$A$3:$A$500,$B14,'DADOS BRUTOS'!GF$3:GF$500)+IF($C14="",0,SUMIF('DADOS BRUTOS'!$A$3:$A$500,$C14,'DADOS BRUTOS'!GF$3:GF$500)))</f>
        <v/>
      </c>
      <c r="JG14" s="132">
        <f>IF(OR(JG$4="",$B14=""),0,SUMIF('DADOS BRUTOS'!$A$3:$A$500,$B14,'DADOS BRUTOS'!GG$3:GG$500)+IF($C14="",0,SUMIF('DADOS BRUTOS'!$A$3:$A$500,$C14,'DADOS BRUTOS'!GG$3:GG$500)))</f>
        <v/>
      </c>
      <c r="JH14" s="132">
        <f>IF(OR(JH$4="",$B14=""),0,SUMIF('DADOS BRUTOS'!$A$3:$A$500,$B14,'DADOS BRUTOS'!GH$3:GH$500)+IF($C14="",0,SUMIF('DADOS BRUTOS'!$A$3:$A$500,$C14,'DADOS BRUTOS'!GH$3:GH$500)))</f>
        <v/>
      </c>
      <c r="JI14" s="132">
        <f>IF(OR(JI$4="",$B14=""),0,SUMIF('DADOS BRUTOS'!$A$3:$A$500,$B14,'DADOS BRUTOS'!GI$3:GI$500)+IF($C14="",0,SUMIF('DADOS BRUTOS'!$A$3:$A$500,$C14,'DADOS BRUTOS'!GI$3:GI$500)))</f>
        <v/>
      </c>
      <c r="JJ14" s="132">
        <f>IF(OR(JJ$4="",$B14=""),0,SUMIF('DADOS BRUTOS'!$A$3:$A$500,$B14,'DADOS BRUTOS'!GJ$3:GJ$500)+IF($C14="",0,SUMIF('DADOS BRUTOS'!$A$3:$A$500,$C14,'DADOS BRUTOS'!GJ$3:GJ$500)))</f>
        <v/>
      </c>
      <c r="JK14" s="132">
        <f>IF(OR(JK$4="",$B14=""),0,SUMIF('DADOS BRUTOS'!$A$3:$A$500,$B14,'DADOS BRUTOS'!GK$3:GK$500)+IF($C14="",0,SUMIF('DADOS BRUTOS'!$A$3:$A$500,$C14,'DADOS BRUTOS'!GK$3:GK$500)))</f>
        <v/>
      </c>
      <c r="JL14" s="132">
        <f>IF(OR(JL$4="",$B14=""),0,SUMIF('DADOS BRUTOS'!$A$3:$A$500,$B14,'DADOS BRUTOS'!GL$3:GL$500)+IF($C14="",0,SUMIF('DADOS BRUTOS'!$A$3:$A$500,$C14,'DADOS BRUTOS'!GL$3:GL$500)))</f>
        <v/>
      </c>
      <c r="JM14" s="132">
        <f>IF(OR(JM$4="",$B14=""),0,SUMIF('DADOS BRUTOS'!$A$3:$A$500,$B14,'DADOS BRUTOS'!GM$3:GM$500)+IF($C14="",0,SUMIF('DADOS BRUTOS'!$A$3:$A$500,$C14,'DADOS BRUTOS'!GM$3:GM$500)))</f>
        <v/>
      </c>
      <c r="JN14" s="132">
        <f>IF(OR(JN$4="",$B14=""),0,SUMIF('DADOS BRUTOS'!$A$3:$A$500,$B14,'DADOS BRUTOS'!GN$3:GN$500)+IF($C14="",0,SUMIF('DADOS BRUTOS'!$A$3:$A$500,$C14,'DADOS BRUTOS'!GN$3:GN$500)))</f>
        <v/>
      </c>
      <c r="JO14" s="132">
        <f>IF(OR(JO$4="",$B14=""),0,SUMIF('DADOS BRUTOS'!$A$3:$A$500,$B14,'DADOS BRUTOS'!GO$3:GO$500)+IF($C14="",0,SUMIF('DADOS BRUTOS'!$A$3:$A$500,$C14,'DADOS BRUTOS'!GO$3:GO$500)))</f>
        <v/>
      </c>
      <c r="JP14" s="132">
        <f>IF(OR(JP$4="",$B14=""),0,SUMIF('DADOS BRUTOS'!$A$3:$A$500,$B14,'DADOS BRUTOS'!GP$3:GP$500)+IF($C14="",0,SUMIF('DADOS BRUTOS'!$A$3:$A$500,$C14,'DADOS BRUTOS'!GP$3:GP$500)))</f>
        <v/>
      </c>
      <c r="JQ14" s="132">
        <f>IF(OR(JQ$4="",$B14=""),0,SUMIF('DADOS BRUTOS'!$A$3:$A$500,$B14,'DADOS BRUTOS'!GQ$3:GQ$500)+IF($C14="",0,SUMIF('DADOS BRUTOS'!$A$3:$A$500,$C14,'DADOS BRUTOS'!GQ$3:GQ$500)))</f>
        <v/>
      </c>
      <c r="JR14" s="132">
        <f>IF(OR(JR$4="",$B14=""),0,SUMIF('DADOS BRUTOS'!$A$3:$A$500,$B14,'DADOS BRUTOS'!GR$3:GR$500)+IF($C14="",0,SUMIF('DADOS BRUTOS'!$A$3:$A$500,$C14,'DADOS BRUTOS'!GR$3:GR$500)))</f>
        <v/>
      </c>
      <c r="JS14" s="132">
        <f>IF(OR(JS$4="",$B14=""),0,SUMIF('DADOS BRUTOS'!$A$3:$A$500,$B14,'DADOS BRUTOS'!GS$3:GS$500)+IF($C14="",0,SUMIF('DADOS BRUTOS'!$A$3:$A$500,$C14,'DADOS BRUTOS'!GS$3:GS$500)))</f>
        <v/>
      </c>
    </row>
    <row r="15">
      <c r="A15" s="61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BZ15" s="49">
        <f>SUMPRODUCT(($CB$4:$JS$4&lt;&gt;"")*($CB$4:$JS$4&lt;=$D$4),$CB15:$JS15,$CB$1:$JS$1)</f>
        <v/>
      </c>
      <c r="CB15" s="132">
        <f>IF(OR(CB$4="",$B15=""),0,SUMIF('DADOS BRUTOS'!$A$3:$A$500,$B15,'DADOS BRUTOS'!B$3:B$500)+IF($C15="",0,SUMIF('DADOS BRUTOS'!$A$3:$A$500,$C15,'DADOS BRUTOS'!B$3:B$500)))</f>
        <v/>
      </c>
      <c r="CC15" s="132">
        <f>IF(OR(CC$4="",$B15=""),0,SUMIF('DADOS BRUTOS'!$A$3:$A$500,$B15,'DADOS BRUTOS'!C$3:C$500)+IF($C15="",0,SUMIF('DADOS BRUTOS'!$A$3:$A$500,$C15,'DADOS BRUTOS'!C$3:C$500)))</f>
        <v/>
      </c>
      <c r="CD15" s="132">
        <f>IF(OR(CD$4="",$B15=""),0,SUMIF('DADOS BRUTOS'!$A$3:$A$500,$B15,'DADOS BRUTOS'!D$3:D$500)+IF($C15="",0,SUMIF('DADOS BRUTOS'!$A$3:$A$500,$C15,'DADOS BRUTOS'!D$3:D$500)))</f>
        <v/>
      </c>
      <c r="CE15" s="132">
        <f>IF(OR(CE$4="",$B15=""),0,SUMIF('DADOS BRUTOS'!$A$3:$A$500,$B15,'DADOS BRUTOS'!E$3:E$500)+IF($C15="",0,SUMIF('DADOS BRUTOS'!$A$3:$A$500,$C15,'DADOS BRUTOS'!E$3:E$500)))</f>
        <v/>
      </c>
      <c r="CF15" s="132">
        <f>IF(OR(CF$4="",$B15=""),0,SUMIF('DADOS BRUTOS'!$A$3:$A$500,$B15,'DADOS BRUTOS'!F$3:F$500)+IF($C15="",0,SUMIF('DADOS BRUTOS'!$A$3:$A$500,$C15,'DADOS BRUTOS'!F$3:F$500)))</f>
        <v/>
      </c>
      <c r="CG15" s="132">
        <f>IF(OR(CG$4="",$B15=""),0,SUMIF('DADOS BRUTOS'!$A$3:$A$500,$B15,'DADOS BRUTOS'!G$3:G$500)+IF($C15="",0,SUMIF('DADOS BRUTOS'!$A$3:$A$500,$C15,'DADOS BRUTOS'!G$3:G$500)))</f>
        <v/>
      </c>
      <c r="CH15" s="132">
        <f>IF(OR(CH$4="",$B15=""),0,SUMIF('DADOS BRUTOS'!$A$3:$A$500,$B15,'DADOS BRUTOS'!H$3:H$500)+IF($C15="",0,SUMIF('DADOS BRUTOS'!$A$3:$A$500,$C15,'DADOS BRUTOS'!H$3:H$500)))</f>
        <v/>
      </c>
      <c r="CI15" s="132">
        <f>IF(OR(CI$4="",$B15=""),0,SUMIF('DADOS BRUTOS'!$A$3:$A$500,$B15,'DADOS BRUTOS'!I$3:I$500)+IF($C15="",0,SUMIF('DADOS BRUTOS'!$A$3:$A$500,$C15,'DADOS BRUTOS'!I$3:I$500)))</f>
        <v/>
      </c>
      <c r="CJ15" s="132">
        <f>IF(OR(CJ$4="",$B15=""),0,SUMIF('DADOS BRUTOS'!$A$3:$A$500,$B15,'DADOS BRUTOS'!J$3:J$500)+IF($C15="",0,SUMIF('DADOS BRUTOS'!$A$3:$A$500,$C15,'DADOS BRUTOS'!J$3:J$500)))</f>
        <v/>
      </c>
      <c r="CK15" s="132">
        <f>IF(OR(CK$4="",$B15=""),0,SUMIF('DADOS BRUTOS'!$A$3:$A$500,$B15,'DADOS BRUTOS'!K$3:K$500)+IF($C15="",0,SUMIF('DADOS BRUTOS'!$A$3:$A$500,$C15,'DADOS BRUTOS'!K$3:K$500)))</f>
        <v/>
      </c>
      <c r="CL15" s="132">
        <f>IF(OR(CL$4="",$B15=""),0,SUMIF('DADOS BRUTOS'!$A$3:$A$500,$B15,'DADOS BRUTOS'!L$3:L$500)+IF($C15="",0,SUMIF('DADOS BRUTOS'!$A$3:$A$500,$C15,'DADOS BRUTOS'!L$3:L$500)))</f>
        <v/>
      </c>
      <c r="CM15" s="132">
        <f>IF(OR(CM$4="",$B15=""),0,SUMIF('DADOS BRUTOS'!$A$3:$A$500,$B15,'DADOS BRUTOS'!M$3:M$500)+IF($C15="",0,SUMIF('DADOS BRUTOS'!$A$3:$A$500,$C15,'DADOS BRUTOS'!M$3:M$500)))</f>
        <v/>
      </c>
      <c r="CN15" s="132">
        <f>IF(OR(CN$4="",$B15=""),0,SUMIF('DADOS BRUTOS'!$A$3:$A$500,$B15,'DADOS BRUTOS'!N$3:N$500)+IF($C15="",0,SUMIF('DADOS BRUTOS'!$A$3:$A$500,$C15,'DADOS BRUTOS'!N$3:N$500)))</f>
        <v/>
      </c>
      <c r="CO15" s="132">
        <f>IF(OR(CO$4="",$B15=""),0,SUMIF('DADOS BRUTOS'!$A$3:$A$500,$B15,'DADOS BRUTOS'!O$3:O$500)+IF($C15="",0,SUMIF('DADOS BRUTOS'!$A$3:$A$500,$C15,'DADOS BRUTOS'!O$3:O$500)))</f>
        <v/>
      </c>
      <c r="CP15" s="132">
        <f>IF(OR(CP$4="",$B15=""),0,SUMIF('DADOS BRUTOS'!$A$3:$A$500,$B15,'DADOS BRUTOS'!P$3:P$500)+IF($C15="",0,SUMIF('DADOS BRUTOS'!$A$3:$A$500,$C15,'DADOS BRUTOS'!P$3:P$500)))</f>
        <v/>
      </c>
      <c r="CQ15" s="132">
        <f>IF(OR(CQ$4="",$B15=""),0,SUMIF('DADOS BRUTOS'!$A$3:$A$500,$B15,'DADOS BRUTOS'!Q$3:Q$500)+IF($C15="",0,SUMIF('DADOS BRUTOS'!$A$3:$A$500,$C15,'DADOS BRUTOS'!Q$3:Q$500)))</f>
        <v/>
      </c>
      <c r="CR15" s="132">
        <f>IF(OR(CR$4="",$B15=""),0,SUMIF('DADOS BRUTOS'!$A$3:$A$500,$B15,'DADOS BRUTOS'!R$3:R$500)+IF($C15="",0,SUMIF('DADOS BRUTOS'!$A$3:$A$500,$C15,'DADOS BRUTOS'!R$3:R$500)))</f>
        <v/>
      </c>
      <c r="CS15" s="132">
        <f>IF(OR(CS$4="",$B15=""),0,SUMIF('DADOS BRUTOS'!$A$3:$A$500,$B15,'DADOS BRUTOS'!S$3:S$500)+IF($C15="",0,SUMIF('DADOS BRUTOS'!$A$3:$A$500,$C15,'DADOS BRUTOS'!S$3:S$500)))</f>
        <v/>
      </c>
      <c r="CT15" s="132">
        <f>IF(OR(CT$4="",$B15=""),0,SUMIF('DADOS BRUTOS'!$A$3:$A$500,$B15,'DADOS BRUTOS'!T$3:T$500)+IF($C15="",0,SUMIF('DADOS BRUTOS'!$A$3:$A$500,$C15,'DADOS BRUTOS'!T$3:T$500)))</f>
        <v/>
      </c>
      <c r="CU15" s="132">
        <f>IF(OR(CU$4="",$B15=""),0,SUMIF('DADOS BRUTOS'!$A$3:$A$500,$B15,'DADOS BRUTOS'!U$3:U$500)+IF($C15="",0,SUMIF('DADOS BRUTOS'!$A$3:$A$500,$C15,'DADOS BRUTOS'!U$3:U$500)))</f>
        <v/>
      </c>
      <c r="CV15" s="132">
        <f>IF(OR(CV$4="",$B15=""),0,SUMIF('DADOS BRUTOS'!$A$3:$A$500,$B15,'DADOS BRUTOS'!V$3:V$500)+IF($C15="",0,SUMIF('DADOS BRUTOS'!$A$3:$A$500,$C15,'DADOS BRUTOS'!V$3:V$500)))</f>
        <v/>
      </c>
      <c r="CW15" s="132">
        <f>IF(OR(CW$4="",$B15=""),0,SUMIF('DADOS BRUTOS'!$A$3:$A$500,$B15,'DADOS BRUTOS'!W$3:W$500)+IF($C15="",0,SUMIF('DADOS BRUTOS'!$A$3:$A$500,$C15,'DADOS BRUTOS'!W$3:W$500)))</f>
        <v/>
      </c>
      <c r="CX15" s="132">
        <f>IF(OR(CX$4="",$B15=""),0,SUMIF('DADOS BRUTOS'!$A$3:$A$500,$B15,'DADOS BRUTOS'!X$3:X$500)+IF($C15="",0,SUMIF('DADOS BRUTOS'!$A$3:$A$500,$C15,'DADOS BRUTOS'!X$3:X$500)))</f>
        <v/>
      </c>
      <c r="CY15" s="132">
        <f>IF(OR(CY$4="",$B15=""),0,SUMIF('DADOS BRUTOS'!$A$3:$A$500,$B15,'DADOS BRUTOS'!Y$3:Y$500)+IF($C15="",0,SUMIF('DADOS BRUTOS'!$A$3:$A$500,$C15,'DADOS BRUTOS'!Y$3:Y$500)))</f>
        <v/>
      </c>
      <c r="CZ15" s="132">
        <f>IF(OR(CZ$4="",$B15=""),0,SUMIF('DADOS BRUTOS'!$A$3:$A$500,$B15,'DADOS BRUTOS'!Z$3:Z$500)+IF($C15="",0,SUMIF('DADOS BRUTOS'!$A$3:$A$500,$C15,'DADOS BRUTOS'!Z$3:Z$500)))</f>
        <v/>
      </c>
      <c r="DA15" s="132">
        <f>IF(OR(DA$4="",$B15=""),0,SUMIF('DADOS BRUTOS'!$A$3:$A$500,$B15,'DADOS BRUTOS'!AA$3:AA$500)+IF($C15="",0,SUMIF('DADOS BRUTOS'!$A$3:$A$500,$C15,'DADOS BRUTOS'!AA$3:AA$500)))</f>
        <v/>
      </c>
      <c r="DB15" s="132">
        <f>IF(OR(DB$4="",$B15=""),0,SUMIF('DADOS BRUTOS'!$A$3:$A$500,$B15,'DADOS BRUTOS'!AB$3:AB$500)+IF($C15="",0,SUMIF('DADOS BRUTOS'!$A$3:$A$500,$C15,'DADOS BRUTOS'!AB$3:AB$500)))</f>
        <v/>
      </c>
      <c r="DC15" s="132">
        <f>IF(OR(DC$4="",$B15=""),0,SUMIF('DADOS BRUTOS'!$A$3:$A$500,$B15,'DADOS BRUTOS'!AC$3:AC$500)+IF($C15="",0,SUMIF('DADOS BRUTOS'!$A$3:$A$500,$C15,'DADOS BRUTOS'!AC$3:AC$500)))</f>
        <v/>
      </c>
      <c r="DD15" s="132">
        <f>IF(OR(DD$4="",$B15=""),0,SUMIF('DADOS BRUTOS'!$A$3:$A$500,$B15,'DADOS BRUTOS'!AD$3:AD$500)+IF($C15="",0,SUMIF('DADOS BRUTOS'!$A$3:$A$500,$C15,'DADOS BRUTOS'!AD$3:AD$500)))</f>
        <v/>
      </c>
      <c r="DE15" s="132">
        <f>IF(OR(DE$4="",$B15=""),0,SUMIF('DADOS BRUTOS'!$A$3:$A$500,$B15,'DADOS BRUTOS'!AE$3:AE$500)+IF($C15="",0,SUMIF('DADOS BRUTOS'!$A$3:$A$500,$C15,'DADOS BRUTOS'!AE$3:AE$500)))</f>
        <v/>
      </c>
      <c r="DF15" s="132">
        <f>IF(OR(DF$4="",$B15=""),0,SUMIF('DADOS BRUTOS'!$A$3:$A$500,$B15,'DADOS BRUTOS'!AF$3:AF$500)+IF($C15="",0,SUMIF('DADOS BRUTOS'!$A$3:$A$500,$C15,'DADOS BRUTOS'!AF$3:AF$500)))</f>
        <v/>
      </c>
      <c r="DG15" s="132">
        <f>IF(OR(DG$4="",$B15=""),0,SUMIF('DADOS BRUTOS'!$A$3:$A$500,$B15,'DADOS BRUTOS'!AG$3:AG$500)+IF($C15="",0,SUMIF('DADOS BRUTOS'!$A$3:$A$500,$C15,'DADOS BRUTOS'!AG$3:AG$500)))</f>
        <v/>
      </c>
      <c r="DH15" s="132">
        <f>IF(OR(DH$4="",$B15=""),0,SUMIF('DADOS BRUTOS'!$A$3:$A$500,$B15,'DADOS BRUTOS'!AH$3:AH$500)+IF($C15="",0,SUMIF('DADOS BRUTOS'!$A$3:$A$500,$C15,'DADOS BRUTOS'!AH$3:AH$500)))</f>
        <v/>
      </c>
      <c r="DI15" s="132">
        <f>IF(OR(DI$4="",$B15=""),0,SUMIF('DADOS BRUTOS'!$A$3:$A$500,$B15,'DADOS BRUTOS'!AI$3:AI$500)+IF($C15="",0,SUMIF('DADOS BRUTOS'!$A$3:$A$500,$C15,'DADOS BRUTOS'!AI$3:AI$500)))</f>
        <v/>
      </c>
      <c r="DJ15" s="132">
        <f>IF(OR(DJ$4="",$B15=""),0,SUMIF('DADOS BRUTOS'!$A$3:$A$500,$B15,'DADOS BRUTOS'!AJ$3:AJ$500)+IF($C15="",0,SUMIF('DADOS BRUTOS'!$A$3:$A$500,$C15,'DADOS BRUTOS'!AJ$3:AJ$500)))</f>
        <v/>
      </c>
      <c r="DK15" s="132">
        <f>IF(OR(DK$4="",$B15=""),0,SUMIF('DADOS BRUTOS'!$A$3:$A$500,$B15,'DADOS BRUTOS'!AK$3:AK$500)+IF($C15="",0,SUMIF('DADOS BRUTOS'!$A$3:$A$500,$C15,'DADOS BRUTOS'!AK$3:AK$500)))</f>
        <v/>
      </c>
      <c r="DL15" s="132">
        <f>IF(OR(DL$4="",$B15=""),0,SUMIF('DADOS BRUTOS'!$A$3:$A$500,$B15,'DADOS BRUTOS'!AL$3:AL$500)+IF($C15="",0,SUMIF('DADOS BRUTOS'!$A$3:$A$500,$C15,'DADOS BRUTOS'!AL$3:AL$500)))</f>
        <v/>
      </c>
      <c r="DM15" s="132">
        <f>IF(OR(DM$4="",$B15=""),0,SUMIF('DADOS BRUTOS'!$A$3:$A$500,$B15,'DADOS BRUTOS'!AM$3:AM$500)+IF($C15="",0,SUMIF('DADOS BRUTOS'!$A$3:$A$500,$C15,'DADOS BRUTOS'!AM$3:AM$500)))</f>
        <v/>
      </c>
      <c r="DN15" s="132">
        <f>IF(OR(DN$4="",$B15=""),0,SUMIF('DADOS BRUTOS'!$A$3:$A$500,$B15,'DADOS BRUTOS'!AN$3:AN$500)+IF($C15="",0,SUMIF('DADOS BRUTOS'!$A$3:$A$500,$C15,'DADOS BRUTOS'!AN$3:AN$500)))</f>
        <v/>
      </c>
      <c r="DO15" s="132">
        <f>IF(OR(DO$4="",$B15=""),0,SUMIF('DADOS BRUTOS'!$A$3:$A$500,$B15,'DADOS BRUTOS'!AO$3:AO$500)+IF($C15="",0,SUMIF('DADOS BRUTOS'!$A$3:$A$500,$C15,'DADOS BRUTOS'!AO$3:AO$500)))</f>
        <v/>
      </c>
      <c r="DP15" s="132">
        <f>IF(OR(DP$4="",$B15=""),0,SUMIF('DADOS BRUTOS'!$A$3:$A$500,$B15,'DADOS BRUTOS'!AP$3:AP$500)+IF($C15="",0,SUMIF('DADOS BRUTOS'!$A$3:$A$500,$C15,'DADOS BRUTOS'!AP$3:AP$500)))</f>
        <v/>
      </c>
      <c r="DQ15" s="132">
        <f>IF(OR(DQ$4="",$B15=""),0,SUMIF('DADOS BRUTOS'!$A$3:$A$500,$B15,'DADOS BRUTOS'!AQ$3:AQ$500)+IF($C15="",0,SUMIF('DADOS BRUTOS'!$A$3:$A$500,$C15,'DADOS BRUTOS'!AQ$3:AQ$500)))</f>
        <v/>
      </c>
      <c r="DR15" s="132">
        <f>IF(OR(DR$4="",$B15=""),0,SUMIF('DADOS BRUTOS'!$A$3:$A$500,$B15,'DADOS BRUTOS'!AR$3:AR$500)+IF($C15="",0,SUMIF('DADOS BRUTOS'!$A$3:$A$500,$C15,'DADOS BRUTOS'!AR$3:AR$500)))</f>
        <v/>
      </c>
      <c r="DS15" s="132">
        <f>IF(OR(DS$4="",$B15=""),0,SUMIF('DADOS BRUTOS'!$A$3:$A$500,$B15,'DADOS BRUTOS'!AS$3:AS$500)+IF($C15="",0,SUMIF('DADOS BRUTOS'!$A$3:$A$500,$C15,'DADOS BRUTOS'!AS$3:AS$500)))</f>
        <v/>
      </c>
      <c r="DT15" s="132">
        <f>IF(OR(DT$4="",$B15=""),0,SUMIF('DADOS BRUTOS'!$A$3:$A$500,$B15,'DADOS BRUTOS'!AT$3:AT$500)+IF($C15="",0,SUMIF('DADOS BRUTOS'!$A$3:$A$500,$C15,'DADOS BRUTOS'!AT$3:AT$500)))</f>
        <v/>
      </c>
      <c r="DU15" s="132">
        <f>IF(OR(DU$4="",$B15=""),0,SUMIF('DADOS BRUTOS'!$A$3:$A$500,$B15,'DADOS BRUTOS'!AU$3:AU$500)+IF($C15="",0,SUMIF('DADOS BRUTOS'!$A$3:$A$500,$C15,'DADOS BRUTOS'!AU$3:AU$500)))</f>
        <v/>
      </c>
      <c r="DV15" s="132">
        <f>IF(OR(DV$4="",$B15=""),0,SUMIF('DADOS BRUTOS'!$A$3:$A$500,$B15,'DADOS BRUTOS'!AV$3:AV$500)+IF($C15="",0,SUMIF('DADOS BRUTOS'!$A$3:$A$500,$C15,'DADOS BRUTOS'!AV$3:AV$500)))</f>
        <v/>
      </c>
      <c r="DW15" s="132">
        <f>IF(OR(DW$4="",$B15=""),0,SUMIF('DADOS BRUTOS'!$A$3:$A$500,$B15,'DADOS BRUTOS'!AW$3:AW$500)+IF($C15="",0,SUMIF('DADOS BRUTOS'!$A$3:$A$500,$C15,'DADOS BRUTOS'!AW$3:AW$500)))</f>
        <v/>
      </c>
      <c r="DX15" s="132">
        <f>IF(OR(DX$4="",$B15=""),0,SUMIF('DADOS BRUTOS'!$A$3:$A$500,$B15,'DADOS BRUTOS'!AX$3:AX$500)+IF($C15="",0,SUMIF('DADOS BRUTOS'!$A$3:$A$500,$C15,'DADOS BRUTOS'!AX$3:AX$500)))</f>
        <v/>
      </c>
      <c r="DY15" s="132">
        <f>IF(OR(DY$4="",$B15=""),0,SUMIF('DADOS BRUTOS'!$A$3:$A$500,$B15,'DADOS BRUTOS'!AY$3:AY$500)+IF($C15="",0,SUMIF('DADOS BRUTOS'!$A$3:$A$500,$C15,'DADOS BRUTOS'!AY$3:AY$500)))</f>
        <v/>
      </c>
      <c r="DZ15" s="132">
        <f>IF(OR(DZ$4="",$B15=""),0,SUMIF('DADOS BRUTOS'!$A$3:$A$500,$B15,'DADOS BRUTOS'!AZ$3:AZ$500)+IF($C15="",0,SUMIF('DADOS BRUTOS'!$A$3:$A$500,$C15,'DADOS BRUTOS'!AZ$3:AZ$500)))</f>
        <v/>
      </c>
      <c r="EA15" s="132">
        <f>IF(OR(EA$4="",$B15=""),0,SUMIF('DADOS BRUTOS'!$A$3:$A$500,$B15,'DADOS BRUTOS'!BA$3:BA$500)+IF($C15="",0,SUMIF('DADOS BRUTOS'!$A$3:$A$500,$C15,'DADOS BRUTOS'!BA$3:BA$500)))</f>
        <v/>
      </c>
      <c r="EB15" s="132">
        <f>IF(OR(EB$4="",$B15=""),0,SUMIF('DADOS BRUTOS'!$A$3:$A$500,$B15,'DADOS BRUTOS'!BB$3:BB$500)+IF($C15="",0,SUMIF('DADOS BRUTOS'!$A$3:$A$500,$C15,'DADOS BRUTOS'!BB$3:BB$500)))</f>
        <v/>
      </c>
      <c r="EC15" s="132">
        <f>IF(OR(EC$4="",$B15=""),0,SUMIF('DADOS BRUTOS'!$A$3:$A$500,$B15,'DADOS BRUTOS'!BC$3:BC$500)+IF($C15="",0,SUMIF('DADOS BRUTOS'!$A$3:$A$500,$C15,'DADOS BRUTOS'!BC$3:BC$500)))</f>
        <v/>
      </c>
      <c r="ED15" s="132">
        <f>IF(OR(ED$4="",$B15=""),0,SUMIF('DADOS BRUTOS'!$A$3:$A$500,$B15,'DADOS BRUTOS'!BD$3:BD$500)+IF($C15="",0,SUMIF('DADOS BRUTOS'!$A$3:$A$500,$C15,'DADOS BRUTOS'!BD$3:BD$500)))</f>
        <v/>
      </c>
      <c r="EE15" s="132">
        <f>IF(OR(EE$4="",$B15=""),0,SUMIF('DADOS BRUTOS'!$A$3:$A$500,$B15,'DADOS BRUTOS'!BE$3:BE$500)+IF($C15="",0,SUMIF('DADOS BRUTOS'!$A$3:$A$500,$C15,'DADOS BRUTOS'!BE$3:BE$500)))</f>
        <v/>
      </c>
      <c r="EF15" s="132">
        <f>IF(OR(EF$4="",$B15=""),0,SUMIF('DADOS BRUTOS'!$A$3:$A$500,$B15,'DADOS BRUTOS'!BF$3:BF$500)+IF($C15="",0,SUMIF('DADOS BRUTOS'!$A$3:$A$500,$C15,'DADOS BRUTOS'!BF$3:BF$500)))</f>
        <v/>
      </c>
      <c r="EG15" s="132">
        <f>IF(OR(EG$4="",$B15=""),0,SUMIF('DADOS BRUTOS'!$A$3:$A$500,$B15,'DADOS BRUTOS'!BG$3:BG$500)+IF($C15="",0,SUMIF('DADOS BRUTOS'!$A$3:$A$500,$C15,'DADOS BRUTOS'!BG$3:BG$500)))</f>
        <v/>
      </c>
      <c r="EH15" s="132">
        <f>IF(OR(EH$4="",$B15=""),0,SUMIF('DADOS BRUTOS'!$A$3:$A$500,$B15,'DADOS BRUTOS'!BH$3:BH$500)+IF($C15="",0,SUMIF('DADOS BRUTOS'!$A$3:$A$500,$C15,'DADOS BRUTOS'!BH$3:BH$500)))</f>
        <v/>
      </c>
      <c r="EI15" s="132">
        <f>IF(OR(EI$4="",$B15=""),0,SUMIF('DADOS BRUTOS'!$A$3:$A$500,$B15,'DADOS BRUTOS'!BI$3:BI$500)+IF($C15="",0,SUMIF('DADOS BRUTOS'!$A$3:$A$500,$C15,'DADOS BRUTOS'!BI$3:BI$500)))</f>
        <v/>
      </c>
      <c r="EJ15" s="132">
        <f>IF(OR(EJ$4="",$B15=""),0,SUMIF('DADOS BRUTOS'!$A$3:$A$500,$B15,'DADOS BRUTOS'!BJ$3:BJ$500)+IF($C15="",0,SUMIF('DADOS BRUTOS'!$A$3:$A$500,$C15,'DADOS BRUTOS'!BJ$3:BJ$500)))</f>
        <v/>
      </c>
      <c r="EK15" s="132">
        <f>IF(OR(EK$4="",$B15=""),0,SUMIF('DADOS BRUTOS'!$A$3:$A$500,$B15,'DADOS BRUTOS'!BK$3:BK$500)+IF($C15="",0,SUMIF('DADOS BRUTOS'!$A$3:$A$500,$C15,'DADOS BRUTOS'!BK$3:BK$500)))</f>
        <v/>
      </c>
      <c r="EL15" s="132">
        <f>IF(OR(EL$4="",$B15=""),0,SUMIF('DADOS BRUTOS'!$A$3:$A$500,$B15,'DADOS BRUTOS'!BL$3:BL$500)+IF($C15="",0,SUMIF('DADOS BRUTOS'!$A$3:$A$500,$C15,'DADOS BRUTOS'!BL$3:BL$500)))</f>
        <v/>
      </c>
      <c r="EM15" s="132">
        <f>IF(OR(EM$4="",$B15=""),0,SUMIF('DADOS BRUTOS'!$A$3:$A$500,$B15,'DADOS BRUTOS'!BM$3:BM$500)+IF($C15="",0,SUMIF('DADOS BRUTOS'!$A$3:$A$500,$C15,'DADOS BRUTOS'!BM$3:BM$500)))</f>
        <v/>
      </c>
      <c r="EN15" s="132">
        <f>IF(OR(EN$4="",$B15=""),0,SUMIF('DADOS BRUTOS'!$A$3:$A$500,$B15,'DADOS BRUTOS'!BN$3:BN$500)+IF($C15="",0,SUMIF('DADOS BRUTOS'!$A$3:$A$500,$C15,'DADOS BRUTOS'!BN$3:BN$500)))</f>
        <v/>
      </c>
      <c r="EO15" s="132">
        <f>IF(OR(EO$4="",$B15=""),0,SUMIF('DADOS BRUTOS'!$A$3:$A$500,$B15,'DADOS BRUTOS'!BO$3:BO$500)+IF($C15="",0,SUMIF('DADOS BRUTOS'!$A$3:$A$500,$C15,'DADOS BRUTOS'!BO$3:BO$500)))</f>
        <v/>
      </c>
      <c r="EP15" s="132">
        <f>IF(OR(EP$4="",$B15=""),0,SUMIF('DADOS BRUTOS'!$A$3:$A$500,$B15,'DADOS BRUTOS'!BP$3:BP$500)+IF($C15="",0,SUMIF('DADOS BRUTOS'!$A$3:$A$500,$C15,'DADOS BRUTOS'!BP$3:BP$500)))</f>
        <v/>
      </c>
      <c r="EQ15" s="132">
        <f>IF(OR(EQ$4="",$B15=""),0,SUMIF('DADOS BRUTOS'!$A$3:$A$500,$B15,'DADOS BRUTOS'!BQ$3:BQ$500)+IF($C15="",0,SUMIF('DADOS BRUTOS'!$A$3:$A$500,$C15,'DADOS BRUTOS'!BQ$3:BQ$500)))</f>
        <v/>
      </c>
      <c r="ER15" s="132">
        <f>IF(OR(ER$4="",$B15=""),0,SUMIF('DADOS BRUTOS'!$A$3:$A$500,$B15,'DADOS BRUTOS'!BR$3:BR$500)+IF($C15="",0,SUMIF('DADOS BRUTOS'!$A$3:$A$500,$C15,'DADOS BRUTOS'!BR$3:BR$500)))</f>
        <v/>
      </c>
      <c r="ES15" s="132">
        <f>IF(OR(ES$4="",$B15=""),0,SUMIF('DADOS BRUTOS'!$A$3:$A$500,$B15,'DADOS BRUTOS'!BS$3:BS$500)+IF($C15="",0,SUMIF('DADOS BRUTOS'!$A$3:$A$500,$C15,'DADOS BRUTOS'!BS$3:BS$500)))</f>
        <v/>
      </c>
      <c r="ET15" s="132">
        <f>IF(OR(ET$4="",$B15=""),0,SUMIF('DADOS BRUTOS'!$A$3:$A$500,$B15,'DADOS BRUTOS'!BT$3:BT$500)+IF($C15="",0,SUMIF('DADOS BRUTOS'!$A$3:$A$500,$C15,'DADOS BRUTOS'!BT$3:BT$500)))</f>
        <v/>
      </c>
      <c r="EU15" s="132">
        <f>IF(OR(EU$4="",$B15=""),0,SUMIF('DADOS BRUTOS'!$A$3:$A$500,$B15,'DADOS BRUTOS'!BU$3:BU$500)+IF($C15="",0,SUMIF('DADOS BRUTOS'!$A$3:$A$500,$C15,'DADOS BRUTOS'!BU$3:BU$500)))</f>
        <v/>
      </c>
      <c r="EV15" s="132">
        <f>IF(OR(EV$4="",$B15=""),0,SUMIF('DADOS BRUTOS'!$A$3:$A$500,$B15,'DADOS BRUTOS'!BV$3:BV$500)+IF($C15="",0,SUMIF('DADOS BRUTOS'!$A$3:$A$500,$C15,'DADOS BRUTOS'!BV$3:BV$500)))</f>
        <v/>
      </c>
      <c r="EW15" s="132">
        <f>IF(OR(EW$4="",$B15=""),0,SUMIF('DADOS BRUTOS'!$A$3:$A$500,$B15,'DADOS BRUTOS'!BW$3:BW$500)+IF($C15="",0,SUMIF('DADOS BRUTOS'!$A$3:$A$500,$C15,'DADOS BRUTOS'!BW$3:BW$500)))</f>
        <v/>
      </c>
      <c r="EX15" s="132">
        <f>IF(OR(EX$4="",$B15=""),0,SUMIF('DADOS BRUTOS'!$A$3:$A$500,$B15,'DADOS BRUTOS'!BX$3:BX$500)+IF($C15="",0,SUMIF('DADOS BRUTOS'!$A$3:$A$500,$C15,'DADOS BRUTOS'!BX$3:BX$500)))</f>
        <v/>
      </c>
      <c r="EY15" s="132">
        <f>IF(OR(EY$4="",$B15=""),0,SUMIF('DADOS BRUTOS'!$A$3:$A$500,$B15,'DADOS BRUTOS'!BY$3:BY$500)+IF($C15="",0,SUMIF('DADOS BRUTOS'!$A$3:$A$500,$C15,'DADOS BRUTOS'!BY$3:BY$500)))</f>
        <v/>
      </c>
      <c r="EZ15" s="132">
        <f>IF(OR(EZ$4="",$B15=""),0,SUMIF('DADOS BRUTOS'!$A$3:$A$500,$B15,'DADOS BRUTOS'!BZ$3:BZ$500)+IF($C15="",0,SUMIF('DADOS BRUTOS'!$A$3:$A$500,$C15,'DADOS BRUTOS'!BZ$3:BZ$500)))</f>
        <v/>
      </c>
      <c r="FA15" s="132">
        <f>IF(OR(FA$4="",$B15=""),0,SUMIF('DADOS BRUTOS'!$A$3:$A$500,$B15,'DADOS BRUTOS'!CA$3:CA$500)+IF($C15="",0,SUMIF('DADOS BRUTOS'!$A$3:$A$500,$C15,'DADOS BRUTOS'!CA$3:CA$500)))</f>
        <v/>
      </c>
      <c r="FB15" s="132">
        <f>IF(OR(FB$4="",$B15=""),0,SUMIF('DADOS BRUTOS'!$A$3:$A$500,$B15,'DADOS BRUTOS'!CB$3:CB$500)+IF($C15="",0,SUMIF('DADOS BRUTOS'!$A$3:$A$500,$C15,'DADOS BRUTOS'!CB$3:CB$500)))</f>
        <v/>
      </c>
      <c r="FC15" s="132">
        <f>IF(OR(FC$4="",$B15=""),0,SUMIF('DADOS BRUTOS'!$A$3:$A$500,$B15,'DADOS BRUTOS'!CC$3:CC$500)+IF($C15="",0,SUMIF('DADOS BRUTOS'!$A$3:$A$500,$C15,'DADOS BRUTOS'!CC$3:CC$500)))</f>
        <v/>
      </c>
      <c r="FD15" s="132">
        <f>IF(OR(FD$4="",$B15=""),0,SUMIF('DADOS BRUTOS'!$A$3:$A$500,$B15,'DADOS BRUTOS'!CD$3:CD$500)+IF($C15="",0,SUMIF('DADOS BRUTOS'!$A$3:$A$500,$C15,'DADOS BRUTOS'!CD$3:CD$500)))</f>
        <v/>
      </c>
      <c r="FE15" s="132">
        <f>IF(OR(FE$4="",$B15=""),0,SUMIF('DADOS BRUTOS'!$A$3:$A$500,$B15,'DADOS BRUTOS'!CE$3:CE$500)+IF($C15="",0,SUMIF('DADOS BRUTOS'!$A$3:$A$500,$C15,'DADOS BRUTOS'!CE$3:CE$500)))</f>
        <v/>
      </c>
      <c r="FF15" s="132">
        <f>IF(OR(FF$4="",$B15=""),0,SUMIF('DADOS BRUTOS'!$A$3:$A$500,$B15,'DADOS BRUTOS'!CF$3:CF$500)+IF($C15="",0,SUMIF('DADOS BRUTOS'!$A$3:$A$500,$C15,'DADOS BRUTOS'!CF$3:CF$500)))</f>
        <v/>
      </c>
      <c r="FG15" s="132">
        <f>IF(OR(FG$4="",$B15=""),0,SUMIF('DADOS BRUTOS'!$A$3:$A$500,$B15,'DADOS BRUTOS'!CG$3:CG$500)+IF($C15="",0,SUMIF('DADOS BRUTOS'!$A$3:$A$500,$C15,'DADOS BRUTOS'!CG$3:CG$500)))</f>
        <v/>
      </c>
      <c r="FH15" s="132">
        <f>IF(OR(FH$4="",$B15=""),0,SUMIF('DADOS BRUTOS'!$A$3:$A$500,$B15,'DADOS BRUTOS'!CH$3:CH$500)+IF($C15="",0,SUMIF('DADOS BRUTOS'!$A$3:$A$500,$C15,'DADOS BRUTOS'!CH$3:CH$500)))</f>
        <v/>
      </c>
      <c r="FI15" s="132">
        <f>IF(OR(FI$4="",$B15=""),0,SUMIF('DADOS BRUTOS'!$A$3:$A$500,$B15,'DADOS BRUTOS'!CI$3:CI$500)+IF($C15="",0,SUMIF('DADOS BRUTOS'!$A$3:$A$500,$C15,'DADOS BRUTOS'!CI$3:CI$500)))</f>
        <v/>
      </c>
      <c r="FJ15" s="132">
        <f>IF(OR(FJ$4="",$B15=""),0,SUMIF('DADOS BRUTOS'!$A$3:$A$500,$B15,'DADOS BRUTOS'!CJ$3:CJ$500)+IF($C15="",0,SUMIF('DADOS BRUTOS'!$A$3:$A$500,$C15,'DADOS BRUTOS'!CJ$3:CJ$500)))</f>
        <v/>
      </c>
      <c r="FK15" s="132">
        <f>IF(OR(FK$4="",$B15=""),0,SUMIF('DADOS BRUTOS'!$A$3:$A$500,$B15,'DADOS BRUTOS'!CK$3:CK$500)+IF($C15="",0,SUMIF('DADOS BRUTOS'!$A$3:$A$500,$C15,'DADOS BRUTOS'!CK$3:CK$500)))</f>
        <v/>
      </c>
      <c r="FL15" s="132">
        <f>IF(OR(FL$4="",$B15=""),0,SUMIF('DADOS BRUTOS'!$A$3:$A$500,$B15,'DADOS BRUTOS'!CL$3:CL$500)+IF($C15="",0,SUMIF('DADOS BRUTOS'!$A$3:$A$500,$C15,'DADOS BRUTOS'!CL$3:CL$500)))</f>
        <v/>
      </c>
      <c r="FM15" s="132">
        <f>IF(OR(FM$4="",$B15=""),0,SUMIF('DADOS BRUTOS'!$A$3:$A$500,$B15,'DADOS BRUTOS'!CM$3:CM$500)+IF($C15="",0,SUMIF('DADOS BRUTOS'!$A$3:$A$500,$C15,'DADOS BRUTOS'!CM$3:CM$500)))</f>
        <v/>
      </c>
      <c r="FN15" s="132">
        <f>IF(OR(FN$4="",$B15=""),0,SUMIF('DADOS BRUTOS'!$A$3:$A$500,$B15,'DADOS BRUTOS'!CN$3:CN$500)+IF($C15="",0,SUMIF('DADOS BRUTOS'!$A$3:$A$500,$C15,'DADOS BRUTOS'!CN$3:CN$500)))</f>
        <v/>
      </c>
      <c r="FO15" s="132">
        <f>IF(OR(FO$4="",$B15=""),0,SUMIF('DADOS BRUTOS'!$A$3:$A$500,$B15,'DADOS BRUTOS'!CO$3:CO$500)+IF($C15="",0,SUMIF('DADOS BRUTOS'!$A$3:$A$500,$C15,'DADOS BRUTOS'!CO$3:CO$500)))</f>
        <v/>
      </c>
      <c r="FP15" s="132">
        <f>IF(OR(FP$4="",$B15=""),0,SUMIF('DADOS BRUTOS'!$A$3:$A$500,$B15,'DADOS BRUTOS'!CP$3:CP$500)+IF($C15="",0,SUMIF('DADOS BRUTOS'!$A$3:$A$500,$C15,'DADOS BRUTOS'!CP$3:CP$500)))</f>
        <v/>
      </c>
      <c r="FQ15" s="132">
        <f>IF(OR(FQ$4="",$B15=""),0,SUMIF('DADOS BRUTOS'!$A$3:$A$500,$B15,'DADOS BRUTOS'!CQ$3:CQ$500)+IF($C15="",0,SUMIF('DADOS BRUTOS'!$A$3:$A$500,$C15,'DADOS BRUTOS'!CQ$3:CQ$500)))</f>
        <v/>
      </c>
      <c r="FR15" s="132">
        <f>IF(OR(FR$4="",$B15=""),0,SUMIF('DADOS BRUTOS'!$A$3:$A$500,$B15,'DADOS BRUTOS'!CR$3:CR$500)+IF($C15="",0,SUMIF('DADOS BRUTOS'!$A$3:$A$500,$C15,'DADOS BRUTOS'!CR$3:CR$500)))</f>
        <v/>
      </c>
      <c r="FS15" s="132">
        <f>IF(OR(FS$4="",$B15=""),0,SUMIF('DADOS BRUTOS'!$A$3:$A$500,$B15,'DADOS BRUTOS'!CS$3:CS$500)+IF($C15="",0,SUMIF('DADOS BRUTOS'!$A$3:$A$500,$C15,'DADOS BRUTOS'!CS$3:CS$500)))</f>
        <v/>
      </c>
      <c r="FT15" s="132">
        <f>IF(OR(FT$4="",$B15=""),0,SUMIF('DADOS BRUTOS'!$A$3:$A$500,$B15,'DADOS BRUTOS'!CT$3:CT$500)+IF($C15="",0,SUMIF('DADOS BRUTOS'!$A$3:$A$500,$C15,'DADOS BRUTOS'!CT$3:CT$500)))</f>
        <v/>
      </c>
      <c r="FU15" s="132">
        <f>IF(OR(FU$4="",$B15=""),0,SUMIF('DADOS BRUTOS'!$A$3:$A$500,$B15,'DADOS BRUTOS'!CU$3:CU$500)+IF($C15="",0,SUMIF('DADOS BRUTOS'!$A$3:$A$500,$C15,'DADOS BRUTOS'!CU$3:CU$500)))</f>
        <v/>
      </c>
      <c r="FV15" s="132">
        <f>IF(OR(FV$4="",$B15=""),0,SUMIF('DADOS BRUTOS'!$A$3:$A$500,$B15,'DADOS BRUTOS'!CV$3:CV$500)+IF($C15="",0,SUMIF('DADOS BRUTOS'!$A$3:$A$500,$C15,'DADOS BRUTOS'!CV$3:CV$500)))</f>
        <v/>
      </c>
      <c r="FW15" s="132">
        <f>IF(OR(FW$4="",$B15=""),0,SUMIF('DADOS BRUTOS'!$A$3:$A$500,$B15,'DADOS BRUTOS'!CW$3:CW$500)+IF($C15="",0,SUMIF('DADOS BRUTOS'!$A$3:$A$500,$C15,'DADOS BRUTOS'!CW$3:CW$500)))</f>
        <v/>
      </c>
      <c r="FX15" s="132">
        <f>IF(OR(FX$4="",$B15=""),0,SUMIF('DADOS BRUTOS'!$A$3:$A$500,$B15,'DADOS BRUTOS'!CX$3:CX$500)+IF($C15="",0,SUMIF('DADOS BRUTOS'!$A$3:$A$500,$C15,'DADOS BRUTOS'!CX$3:CX$500)))</f>
        <v/>
      </c>
      <c r="FY15" s="132">
        <f>IF(OR(FY$4="",$B15=""),0,SUMIF('DADOS BRUTOS'!$A$3:$A$500,$B15,'DADOS BRUTOS'!CY$3:CY$500)+IF($C15="",0,SUMIF('DADOS BRUTOS'!$A$3:$A$500,$C15,'DADOS BRUTOS'!CY$3:CY$500)))</f>
        <v/>
      </c>
      <c r="FZ15" s="132">
        <f>IF(OR(FZ$4="",$B15=""),0,SUMIF('DADOS BRUTOS'!$A$3:$A$500,$B15,'DADOS BRUTOS'!CZ$3:CZ$500)+IF($C15="",0,SUMIF('DADOS BRUTOS'!$A$3:$A$500,$C15,'DADOS BRUTOS'!CZ$3:CZ$500)))</f>
        <v/>
      </c>
      <c r="GA15" s="132">
        <f>IF(OR(GA$4="",$B15=""),0,SUMIF('DADOS BRUTOS'!$A$3:$A$500,$B15,'DADOS BRUTOS'!DA$3:DA$500)+IF($C15="",0,SUMIF('DADOS BRUTOS'!$A$3:$A$500,$C15,'DADOS BRUTOS'!DA$3:DA$500)))</f>
        <v/>
      </c>
      <c r="GB15" s="132">
        <f>IF(OR(GB$4="",$B15=""),0,SUMIF('DADOS BRUTOS'!$A$3:$A$500,$B15,'DADOS BRUTOS'!DB$3:DB$500)+IF($C15="",0,SUMIF('DADOS BRUTOS'!$A$3:$A$500,$C15,'DADOS BRUTOS'!DB$3:DB$500)))</f>
        <v/>
      </c>
      <c r="GC15" s="132">
        <f>IF(OR(GC$4="",$B15=""),0,SUMIF('DADOS BRUTOS'!$A$3:$A$500,$B15,'DADOS BRUTOS'!DC$3:DC$500)+IF($C15="",0,SUMIF('DADOS BRUTOS'!$A$3:$A$500,$C15,'DADOS BRUTOS'!DC$3:DC$500)))</f>
        <v/>
      </c>
      <c r="GD15" s="132">
        <f>IF(OR(GD$4="",$B15=""),0,SUMIF('DADOS BRUTOS'!$A$3:$A$500,$B15,'DADOS BRUTOS'!DD$3:DD$500)+IF($C15="",0,SUMIF('DADOS BRUTOS'!$A$3:$A$500,$C15,'DADOS BRUTOS'!DD$3:DD$500)))</f>
        <v/>
      </c>
      <c r="GE15" s="132">
        <f>IF(OR(GE$4="",$B15=""),0,SUMIF('DADOS BRUTOS'!$A$3:$A$500,$B15,'DADOS BRUTOS'!DE$3:DE$500)+IF($C15="",0,SUMIF('DADOS BRUTOS'!$A$3:$A$500,$C15,'DADOS BRUTOS'!DE$3:DE$500)))</f>
        <v/>
      </c>
      <c r="GF15" s="132">
        <f>IF(OR(GF$4="",$B15=""),0,SUMIF('DADOS BRUTOS'!$A$3:$A$500,$B15,'DADOS BRUTOS'!DF$3:DF$500)+IF($C15="",0,SUMIF('DADOS BRUTOS'!$A$3:$A$500,$C15,'DADOS BRUTOS'!DF$3:DF$500)))</f>
        <v/>
      </c>
      <c r="GG15" s="132">
        <f>IF(OR(GG$4="",$B15=""),0,SUMIF('DADOS BRUTOS'!$A$3:$A$500,$B15,'DADOS BRUTOS'!DG$3:DG$500)+IF($C15="",0,SUMIF('DADOS BRUTOS'!$A$3:$A$500,$C15,'DADOS BRUTOS'!DG$3:DG$500)))</f>
        <v/>
      </c>
      <c r="GH15" s="132">
        <f>IF(OR(GH$4="",$B15=""),0,SUMIF('DADOS BRUTOS'!$A$3:$A$500,$B15,'DADOS BRUTOS'!DH$3:DH$500)+IF($C15="",0,SUMIF('DADOS BRUTOS'!$A$3:$A$500,$C15,'DADOS BRUTOS'!DH$3:DH$500)))</f>
        <v/>
      </c>
      <c r="GI15" s="132">
        <f>IF(OR(GI$4="",$B15=""),0,SUMIF('DADOS BRUTOS'!$A$3:$A$500,$B15,'DADOS BRUTOS'!DI$3:DI$500)+IF($C15="",0,SUMIF('DADOS BRUTOS'!$A$3:$A$500,$C15,'DADOS BRUTOS'!DI$3:DI$500)))</f>
        <v/>
      </c>
      <c r="GJ15" s="132">
        <f>IF(OR(GJ$4="",$B15=""),0,SUMIF('DADOS BRUTOS'!$A$3:$A$500,$B15,'DADOS BRUTOS'!DJ$3:DJ$500)+IF($C15="",0,SUMIF('DADOS BRUTOS'!$A$3:$A$500,$C15,'DADOS BRUTOS'!DJ$3:DJ$500)))</f>
        <v/>
      </c>
      <c r="GK15" s="132">
        <f>IF(OR(GK$4="",$B15=""),0,SUMIF('DADOS BRUTOS'!$A$3:$A$500,$B15,'DADOS BRUTOS'!DK$3:DK$500)+IF($C15="",0,SUMIF('DADOS BRUTOS'!$A$3:$A$500,$C15,'DADOS BRUTOS'!DK$3:DK$500)))</f>
        <v/>
      </c>
      <c r="GL15" s="132">
        <f>IF(OR(GL$4="",$B15=""),0,SUMIF('DADOS BRUTOS'!$A$3:$A$500,$B15,'DADOS BRUTOS'!DL$3:DL$500)+IF($C15="",0,SUMIF('DADOS BRUTOS'!$A$3:$A$500,$C15,'DADOS BRUTOS'!DL$3:DL$500)))</f>
        <v/>
      </c>
      <c r="GM15" s="132">
        <f>IF(OR(GM$4="",$B15=""),0,SUMIF('DADOS BRUTOS'!$A$3:$A$500,$B15,'DADOS BRUTOS'!DM$3:DM$500)+IF($C15="",0,SUMIF('DADOS BRUTOS'!$A$3:$A$500,$C15,'DADOS BRUTOS'!DM$3:DM$500)))</f>
        <v/>
      </c>
      <c r="GN15" s="132">
        <f>IF(OR(GN$4="",$B15=""),0,SUMIF('DADOS BRUTOS'!$A$3:$A$500,$B15,'DADOS BRUTOS'!DN$3:DN$500)+IF($C15="",0,SUMIF('DADOS BRUTOS'!$A$3:$A$500,$C15,'DADOS BRUTOS'!DN$3:DN$500)))</f>
        <v/>
      </c>
      <c r="GO15" s="132">
        <f>IF(OR(GO$4="",$B15=""),0,SUMIF('DADOS BRUTOS'!$A$3:$A$500,$B15,'DADOS BRUTOS'!DO$3:DO$500)+IF($C15="",0,SUMIF('DADOS BRUTOS'!$A$3:$A$500,$C15,'DADOS BRUTOS'!DO$3:DO$500)))</f>
        <v/>
      </c>
      <c r="GP15" s="132">
        <f>IF(OR(GP$4="",$B15=""),0,SUMIF('DADOS BRUTOS'!$A$3:$A$500,$B15,'DADOS BRUTOS'!DP$3:DP$500)+IF($C15="",0,SUMIF('DADOS BRUTOS'!$A$3:$A$500,$C15,'DADOS BRUTOS'!DP$3:DP$500)))</f>
        <v/>
      </c>
      <c r="GQ15" s="132">
        <f>IF(OR(GQ$4="",$B15=""),0,SUMIF('DADOS BRUTOS'!$A$3:$A$500,$B15,'DADOS BRUTOS'!DQ$3:DQ$500)+IF($C15="",0,SUMIF('DADOS BRUTOS'!$A$3:$A$500,$C15,'DADOS BRUTOS'!DQ$3:DQ$500)))</f>
        <v/>
      </c>
      <c r="GR15" s="132">
        <f>IF(OR(GR$4="",$B15=""),0,SUMIF('DADOS BRUTOS'!$A$3:$A$500,$B15,'DADOS BRUTOS'!DR$3:DR$500)+IF($C15="",0,SUMIF('DADOS BRUTOS'!$A$3:$A$500,$C15,'DADOS BRUTOS'!DR$3:DR$500)))</f>
        <v/>
      </c>
      <c r="GS15" s="132">
        <f>IF(OR(GS$4="",$B15=""),0,SUMIF('DADOS BRUTOS'!$A$3:$A$500,$B15,'DADOS BRUTOS'!DS$3:DS$500)+IF($C15="",0,SUMIF('DADOS BRUTOS'!$A$3:$A$500,$C15,'DADOS BRUTOS'!DS$3:DS$500)))</f>
        <v/>
      </c>
      <c r="GT15" s="132">
        <f>IF(OR(GT$4="",$B15=""),0,SUMIF('DADOS BRUTOS'!$A$3:$A$500,$B15,'DADOS BRUTOS'!DT$3:DT$500)+IF($C15="",0,SUMIF('DADOS BRUTOS'!$A$3:$A$500,$C15,'DADOS BRUTOS'!DT$3:DT$500)))</f>
        <v/>
      </c>
      <c r="GU15" s="132">
        <f>IF(OR(GU$4="",$B15=""),0,SUMIF('DADOS BRUTOS'!$A$3:$A$500,$B15,'DADOS BRUTOS'!DU$3:DU$500)+IF($C15="",0,SUMIF('DADOS BRUTOS'!$A$3:$A$500,$C15,'DADOS BRUTOS'!DU$3:DU$500)))</f>
        <v/>
      </c>
      <c r="GV15" s="132">
        <f>IF(OR(GV$4="",$B15=""),0,SUMIF('DADOS BRUTOS'!$A$3:$A$500,$B15,'DADOS BRUTOS'!DV$3:DV$500)+IF($C15="",0,SUMIF('DADOS BRUTOS'!$A$3:$A$500,$C15,'DADOS BRUTOS'!DV$3:DV$500)))</f>
        <v/>
      </c>
      <c r="GW15" s="132">
        <f>IF(OR(GW$4="",$B15=""),0,SUMIF('DADOS BRUTOS'!$A$3:$A$500,$B15,'DADOS BRUTOS'!DW$3:DW$500)+IF($C15="",0,SUMIF('DADOS BRUTOS'!$A$3:$A$500,$C15,'DADOS BRUTOS'!DW$3:DW$500)))</f>
        <v/>
      </c>
      <c r="GX15" s="132">
        <f>IF(OR(GX$4="",$B15=""),0,SUMIF('DADOS BRUTOS'!$A$3:$A$500,$B15,'DADOS BRUTOS'!DX$3:DX$500)+IF($C15="",0,SUMIF('DADOS BRUTOS'!$A$3:$A$500,$C15,'DADOS BRUTOS'!DX$3:DX$500)))</f>
        <v/>
      </c>
      <c r="GY15" s="132">
        <f>IF(OR(GY$4="",$B15=""),0,SUMIF('DADOS BRUTOS'!$A$3:$A$500,$B15,'DADOS BRUTOS'!DY$3:DY$500)+IF($C15="",0,SUMIF('DADOS BRUTOS'!$A$3:$A$500,$C15,'DADOS BRUTOS'!DY$3:DY$500)))</f>
        <v/>
      </c>
      <c r="GZ15" s="132">
        <f>IF(OR(GZ$4="",$B15=""),0,SUMIF('DADOS BRUTOS'!$A$3:$A$500,$B15,'DADOS BRUTOS'!DZ$3:DZ$500)+IF($C15="",0,SUMIF('DADOS BRUTOS'!$A$3:$A$500,$C15,'DADOS BRUTOS'!DZ$3:DZ$500)))</f>
        <v/>
      </c>
      <c r="HA15" s="132">
        <f>IF(OR(HA$4="",$B15=""),0,SUMIF('DADOS BRUTOS'!$A$3:$A$500,$B15,'DADOS BRUTOS'!EA$3:EA$500)+IF($C15="",0,SUMIF('DADOS BRUTOS'!$A$3:$A$500,$C15,'DADOS BRUTOS'!EA$3:EA$500)))</f>
        <v/>
      </c>
      <c r="HB15" s="132">
        <f>IF(OR(HB$4="",$B15=""),0,SUMIF('DADOS BRUTOS'!$A$3:$A$500,$B15,'DADOS BRUTOS'!EB$3:EB$500)+IF($C15="",0,SUMIF('DADOS BRUTOS'!$A$3:$A$500,$C15,'DADOS BRUTOS'!EB$3:EB$500)))</f>
        <v/>
      </c>
      <c r="HC15" s="132">
        <f>IF(OR(HC$4="",$B15=""),0,SUMIF('DADOS BRUTOS'!$A$3:$A$500,$B15,'DADOS BRUTOS'!EC$3:EC$500)+IF($C15="",0,SUMIF('DADOS BRUTOS'!$A$3:$A$500,$C15,'DADOS BRUTOS'!EC$3:EC$500)))</f>
        <v/>
      </c>
      <c r="HD15" s="132">
        <f>IF(OR(HD$4="",$B15=""),0,SUMIF('DADOS BRUTOS'!$A$3:$A$500,$B15,'DADOS BRUTOS'!ED$3:ED$500)+IF($C15="",0,SUMIF('DADOS BRUTOS'!$A$3:$A$500,$C15,'DADOS BRUTOS'!ED$3:ED$500)))</f>
        <v/>
      </c>
      <c r="HE15" s="132">
        <f>IF(OR(HE$4="",$B15=""),0,SUMIF('DADOS BRUTOS'!$A$3:$A$500,$B15,'DADOS BRUTOS'!EE$3:EE$500)+IF($C15="",0,SUMIF('DADOS BRUTOS'!$A$3:$A$500,$C15,'DADOS BRUTOS'!EE$3:EE$500)))</f>
        <v/>
      </c>
      <c r="HF15" s="132">
        <f>IF(OR(HF$4="",$B15=""),0,SUMIF('DADOS BRUTOS'!$A$3:$A$500,$B15,'DADOS BRUTOS'!EF$3:EF$500)+IF($C15="",0,SUMIF('DADOS BRUTOS'!$A$3:$A$500,$C15,'DADOS BRUTOS'!EF$3:EF$500)))</f>
        <v/>
      </c>
      <c r="HG15" s="132">
        <f>IF(OR(HG$4="",$B15=""),0,SUMIF('DADOS BRUTOS'!$A$3:$A$500,$B15,'DADOS BRUTOS'!EG$3:EG$500)+IF($C15="",0,SUMIF('DADOS BRUTOS'!$A$3:$A$500,$C15,'DADOS BRUTOS'!EG$3:EG$500)))</f>
        <v/>
      </c>
      <c r="HH15" s="132">
        <f>IF(OR(HH$4="",$B15=""),0,SUMIF('DADOS BRUTOS'!$A$3:$A$500,$B15,'DADOS BRUTOS'!EH$3:EH$500)+IF($C15="",0,SUMIF('DADOS BRUTOS'!$A$3:$A$500,$C15,'DADOS BRUTOS'!EH$3:EH$500)))</f>
        <v/>
      </c>
      <c r="HI15" s="132">
        <f>IF(OR(HI$4="",$B15=""),0,SUMIF('DADOS BRUTOS'!$A$3:$A$500,$B15,'DADOS BRUTOS'!EI$3:EI$500)+IF($C15="",0,SUMIF('DADOS BRUTOS'!$A$3:$A$500,$C15,'DADOS BRUTOS'!EI$3:EI$500)))</f>
        <v/>
      </c>
      <c r="HJ15" s="132">
        <f>IF(OR(HJ$4="",$B15=""),0,SUMIF('DADOS BRUTOS'!$A$3:$A$500,$B15,'DADOS BRUTOS'!EJ$3:EJ$500)+IF($C15="",0,SUMIF('DADOS BRUTOS'!$A$3:$A$500,$C15,'DADOS BRUTOS'!EJ$3:EJ$500)))</f>
        <v/>
      </c>
      <c r="HK15" s="132">
        <f>IF(OR(HK$4="",$B15=""),0,SUMIF('DADOS BRUTOS'!$A$3:$A$500,$B15,'DADOS BRUTOS'!EK$3:EK$500)+IF($C15="",0,SUMIF('DADOS BRUTOS'!$A$3:$A$500,$C15,'DADOS BRUTOS'!EK$3:EK$500)))</f>
        <v/>
      </c>
      <c r="HL15" s="132">
        <f>IF(OR(HL$4="",$B15=""),0,SUMIF('DADOS BRUTOS'!$A$3:$A$500,$B15,'DADOS BRUTOS'!EL$3:EL$500)+IF($C15="",0,SUMIF('DADOS BRUTOS'!$A$3:$A$500,$C15,'DADOS BRUTOS'!EL$3:EL$500)))</f>
        <v/>
      </c>
      <c r="HM15" s="132">
        <f>IF(OR(HM$4="",$B15=""),0,SUMIF('DADOS BRUTOS'!$A$3:$A$500,$B15,'DADOS BRUTOS'!EM$3:EM$500)+IF($C15="",0,SUMIF('DADOS BRUTOS'!$A$3:$A$500,$C15,'DADOS BRUTOS'!EM$3:EM$500)))</f>
        <v/>
      </c>
      <c r="HN15" s="132">
        <f>IF(OR(HN$4="",$B15=""),0,SUMIF('DADOS BRUTOS'!$A$3:$A$500,$B15,'DADOS BRUTOS'!EN$3:EN$500)+IF($C15="",0,SUMIF('DADOS BRUTOS'!$A$3:$A$500,$C15,'DADOS BRUTOS'!EN$3:EN$500)))</f>
        <v/>
      </c>
      <c r="HO15" s="132">
        <f>IF(OR(HO$4="",$B15=""),0,SUMIF('DADOS BRUTOS'!$A$3:$A$500,$B15,'DADOS BRUTOS'!EO$3:EO$500)+IF($C15="",0,SUMIF('DADOS BRUTOS'!$A$3:$A$500,$C15,'DADOS BRUTOS'!EO$3:EO$500)))</f>
        <v/>
      </c>
      <c r="HP15" s="132">
        <f>IF(OR(HP$4="",$B15=""),0,SUMIF('DADOS BRUTOS'!$A$3:$A$500,$B15,'DADOS BRUTOS'!EP$3:EP$500)+IF($C15="",0,SUMIF('DADOS BRUTOS'!$A$3:$A$500,$C15,'DADOS BRUTOS'!EP$3:EP$500)))</f>
        <v/>
      </c>
      <c r="HQ15" s="132">
        <f>IF(OR(HQ$4="",$B15=""),0,SUMIF('DADOS BRUTOS'!$A$3:$A$500,$B15,'DADOS BRUTOS'!EQ$3:EQ$500)+IF($C15="",0,SUMIF('DADOS BRUTOS'!$A$3:$A$500,$C15,'DADOS BRUTOS'!EQ$3:EQ$500)))</f>
        <v/>
      </c>
      <c r="HR15" s="132">
        <f>IF(OR(HR$4="",$B15=""),0,SUMIF('DADOS BRUTOS'!$A$3:$A$500,$B15,'DADOS BRUTOS'!ER$3:ER$500)+IF($C15="",0,SUMIF('DADOS BRUTOS'!$A$3:$A$500,$C15,'DADOS BRUTOS'!ER$3:ER$500)))</f>
        <v/>
      </c>
      <c r="HS15" s="132">
        <f>IF(OR(HS$4="",$B15=""),0,SUMIF('DADOS BRUTOS'!$A$3:$A$500,$B15,'DADOS BRUTOS'!ES$3:ES$500)+IF($C15="",0,SUMIF('DADOS BRUTOS'!$A$3:$A$500,$C15,'DADOS BRUTOS'!ES$3:ES$500)))</f>
        <v/>
      </c>
      <c r="HT15" s="132">
        <f>IF(OR(HT$4="",$B15=""),0,SUMIF('DADOS BRUTOS'!$A$3:$A$500,$B15,'DADOS BRUTOS'!ET$3:ET$500)+IF($C15="",0,SUMIF('DADOS BRUTOS'!$A$3:$A$500,$C15,'DADOS BRUTOS'!ET$3:ET$500)))</f>
        <v/>
      </c>
      <c r="HU15" s="132">
        <f>IF(OR(HU$4="",$B15=""),0,SUMIF('DADOS BRUTOS'!$A$3:$A$500,$B15,'DADOS BRUTOS'!EU$3:EU$500)+IF($C15="",0,SUMIF('DADOS BRUTOS'!$A$3:$A$500,$C15,'DADOS BRUTOS'!EU$3:EU$500)))</f>
        <v/>
      </c>
      <c r="HV15" s="132">
        <f>IF(OR(HV$4="",$B15=""),0,SUMIF('DADOS BRUTOS'!$A$3:$A$500,$B15,'DADOS BRUTOS'!EV$3:EV$500)+IF($C15="",0,SUMIF('DADOS BRUTOS'!$A$3:$A$500,$C15,'DADOS BRUTOS'!EV$3:EV$500)))</f>
        <v/>
      </c>
      <c r="HW15" s="132">
        <f>IF(OR(HW$4="",$B15=""),0,SUMIF('DADOS BRUTOS'!$A$3:$A$500,$B15,'DADOS BRUTOS'!EW$3:EW$500)+IF($C15="",0,SUMIF('DADOS BRUTOS'!$A$3:$A$500,$C15,'DADOS BRUTOS'!EW$3:EW$500)))</f>
        <v/>
      </c>
      <c r="HX15" s="132">
        <f>IF(OR(HX$4="",$B15=""),0,SUMIF('DADOS BRUTOS'!$A$3:$A$500,$B15,'DADOS BRUTOS'!EX$3:EX$500)+IF($C15="",0,SUMIF('DADOS BRUTOS'!$A$3:$A$500,$C15,'DADOS BRUTOS'!EX$3:EX$500)))</f>
        <v/>
      </c>
      <c r="HY15" s="132">
        <f>IF(OR(HY$4="",$B15=""),0,SUMIF('DADOS BRUTOS'!$A$3:$A$500,$B15,'DADOS BRUTOS'!EY$3:EY$500)+IF($C15="",0,SUMIF('DADOS BRUTOS'!$A$3:$A$500,$C15,'DADOS BRUTOS'!EY$3:EY$500)))</f>
        <v/>
      </c>
      <c r="HZ15" s="132">
        <f>IF(OR(HZ$4="",$B15=""),0,SUMIF('DADOS BRUTOS'!$A$3:$A$500,$B15,'DADOS BRUTOS'!EZ$3:EZ$500)+IF($C15="",0,SUMIF('DADOS BRUTOS'!$A$3:$A$500,$C15,'DADOS BRUTOS'!EZ$3:EZ$500)))</f>
        <v/>
      </c>
      <c r="IA15" s="132">
        <f>IF(OR(IA$4="",$B15=""),0,SUMIF('DADOS BRUTOS'!$A$3:$A$500,$B15,'DADOS BRUTOS'!FA$3:FA$500)+IF($C15="",0,SUMIF('DADOS BRUTOS'!$A$3:$A$500,$C15,'DADOS BRUTOS'!FA$3:FA$500)))</f>
        <v/>
      </c>
      <c r="IB15" s="132">
        <f>IF(OR(IB$4="",$B15=""),0,SUMIF('DADOS BRUTOS'!$A$3:$A$500,$B15,'DADOS BRUTOS'!FB$3:FB$500)+IF($C15="",0,SUMIF('DADOS BRUTOS'!$A$3:$A$500,$C15,'DADOS BRUTOS'!FB$3:FB$500)))</f>
        <v/>
      </c>
      <c r="IC15" s="132">
        <f>IF(OR(IC$4="",$B15=""),0,SUMIF('DADOS BRUTOS'!$A$3:$A$500,$B15,'DADOS BRUTOS'!FC$3:FC$500)+IF($C15="",0,SUMIF('DADOS BRUTOS'!$A$3:$A$500,$C15,'DADOS BRUTOS'!FC$3:FC$500)))</f>
        <v/>
      </c>
      <c r="ID15" s="132">
        <f>IF(OR(ID$4="",$B15=""),0,SUMIF('DADOS BRUTOS'!$A$3:$A$500,$B15,'DADOS BRUTOS'!FD$3:FD$500)+IF($C15="",0,SUMIF('DADOS BRUTOS'!$A$3:$A$500,$C15,'DADOS BRUTOS'!FD$3:FD$500)))</f>
        <v/>
      </c>
      <c r="IE15" s="132">
        <f>IF(OR(IE$4="",$B15=""),0,SUMIF('DADOS BRUTOS'!$A$3:$A$500,$B15,'DADOS BRUTOS'!FE$3:FE$500)+IF($C15="",0,SUMIF('DADOS BRUTOS'!$A$3:$A$500,$C15,'DADOS BRUTOS'!FE$3:FE$500)))</f>
        <v/>
      </c>
      <c r="IF15" s="132">
        <f>IF(OR(IF$4="",$B15=""),0,SUMIF('DADOS BRUTOS'!$A$3:$A$500,$B15,'DADOS BRUTOS'!FF$3:FF$500)+IF($C15="",0,SUMIF('DADOS BRUTOS'!$A$3:$A$500,$C15,'DADOS BRUTOS'!FF$3:FF$500)))</f>
        <v/>
      </c>
      <c r="IG15" s="132">
        <f>IF(OR(IG$4="",$B15=""),0,SUMIF('DADOS BRUTOS'!$A$3:$A$500,$B15,'DADOS BRUTOS'!FG$3:FG$500)+IF($C15="",0,SUMIF('DADOS BRUTOS'!$A$3:$A$500,$C15,'DADOS BRUTOS'!FG$3:FG$500)))</f>
        <v/>
      </c>
      <c r="IH15" s="132">
        <f>IF(OR(IH$4="",$B15=""),0,SUMIF('DADOS BRUTOS'!$A$3:$A$500,$B15,'DADOS BRUTOS'!FH$3:FH$500)+IF($C15="",0,SUMIF('DADOS BRUTOS'!$A$3:$A$500,$C15,'DADOS BRUTOS'!FH$3:FH$500)))</f>
        <v/>
      </c>
      <c r="II15" s="132">
        <f>IF(OR(II$4="",$B15=""),0,SUMIF('DADOS BRUTOS'!$A$3:$A$500,$B15,'DADOS BRUTOS'!FI$3:FI$500)+IF($C15="",0,SUMIF('DADOS BRUTOS'!$A$3:$A$500,$C15,'DADOS BRUTOS'!FI$3:FI$500)))</f>
        <v/>
      </c>
      <c r="IJ15" s="132">
        <f>IF(OR(IJ$4="",$B15=""),0,SUMIF('DADOS BRUTOS'!$A$3:$A$500,$B15,'DADOS BRUTOS'!FJ$3:FJ$500)+IF($C15="",0,SUMIF('DADOS BRUTOS'!$A$3:$A$500,$C15,'DADOS BRUTOS'!FJ$3:FJ$500)))</f>
        <v/>
      </c>
      <c r="IK15" s="132">
        <f>IF(OR(IK$4="",$B15=""),0,SUMIF('DADOS BRUTOS'!$A$3:$A$500,$B15,'DADOS BRUTOS'!FK$3:FK$500)+IF($C15="",0,SUMIF('DADOS BRUTOS'!$A$3:$A$500,$C15,'DADOS BRUTOS'!FK$3:FK$500)))</f>
        <v/>
      </c>
      <c r="IL15" s="132">
        <f>IF(OR(IL$4="",$B15=""),0,SUMIF('DADOS BRUTOS'!$A$3:$A$500,$B15,'DADOS BRUTOS'!FL$3:FL$500)+IF($C15="",0,SUMIF('DADOS BRUTOS'!$A$3:$A$500,$C15,'DADOS BRUTOS'!FL$3:FL$500)))</f>
        <v/>
      </c>
      <c r="IM15" s="132">
        <f>IF(OR(IM$4="",$B15=""),0,SUMIF('DADOS BRUTOS'!$A$3:$A$500,$B15,'DADOS BRUTOS'!FM$3:FM$500)+IF($C15="",0,SUMIF('DADOS BRUTOS'!$A$3:$A$500,$C15,'DADOS BRUTOS'!FM$3:FM$500)))</f>
        <v/>
      </c>
      <c r="IN15" s="132">
        <f>IF(OR(IN$4="",$B15=""),0,SUMIF('DADOS BRUTOS'!$A$3:$A$500,$B15,'DADOS BRUTOS'!FN$3:FN$500)+IF($C15="",0,SUMIF('DADOS BRUTOS'!$A$3:$A$500,$C15,'DADOS BRUTOS'!FN$3:FN$500)))</f>
        <v/>
      </c>
      <c r="IO15" s="132">
        <f>IF(OR(IO$4="",$B15=""),0,SUMIF('DADOS BRUTOS'!$A$3:$A$500,$B15,'DADOS BRUTOS'!FO$3:FO$500)+IF($C15="",0,SUMIF('DADOS BRUTOS'!$A$3:$A$500,$C15,'DADOS BRUTOS'!FO$3:FO$500)))</f>
        <v/>
      </c>
      <c r="IP15" s="132">
        <f>IF(OR(IP$4="",$B15=""),0,SUMIF('DADOS BRUTOS'!$A$3:$A$500,$B15,'DADOS BRUTOS'!FP$3:FP$500)+IF($C15="",0,SUMIF('DADOS BRUTOS'!$A$3:$A$500,$C15,'DADOS BRUTOS'!FP$3:FP$500)))</f>
        <v/>
      </c>
      <c r="IQ15" s="132">
        <f>IF(OR(IQ$4="",$B15=""),0,SUMIF('DADOS BRUTOS'!$A$3:$A$500,$B15,'DADOS BRUTOS'!FQ$3:FQ$500)+IF($C15="",0,SUMIF('DADOS BRUTOS'!$A$3:$A$500,$C15,'DADOS BRUTOS'!FQ$3:FQ$500)))</f>
        <v/>
      </c>
      <c r="IR15" s="132">
        <f>IF(OR(IR$4="",$B15=""),0,SUMIF('DADOS BRUTOS'!$A$3:$A$500,$B15,'DADOS BRUTOS'!FR$3:FR$500)+IF($C15="",0,SUMIF('DADOS BRUTOS'!$A$3:$A$500,$C15,'DADOS BRUTOS'!FR$3:FR$500)))</f>
        <v/>
      </c>
      <c r="IS15" s="132">
        <f>IF(OR(IS$4="",$B15=""),0,SUMIF('DADOS BRUTOS'!$A$3:$A$500,$B15,'DADOS BRUTOS'!FS$3:FS$500)+IF($C15="",0,SUMIF('DADOS BRUTOS'!$A$3:$A$500,$C15,'DADOS BRUTOS'!FS$3:FS$500)))</f>
        <v/>
      </c>
      <c r="IT15" s="132">
        <f>IF(OR(IT$4="",$B15=""),0,SUMIF('DADOS BRUTOS'!$A$3:$A$500,$B15,'DADOS BRUTOS'!FT$3:FT$500)+IF($C15="",0,SUMIF('DADOS BRUTOS'!$A$3:$A$500,$C15,'DADOS BRUTOS'!FT$3:FT$500)))</f>
        <v/>
      </c>
      <c r="IU15" s="132">
        <f>IF(OR(IU$4="",$B15=""),0,SUMIF('DADOS BRUTOS'!$A$3:$A$500,$B15,'DADOS BRUTOS'!FU$3:FU$500)+IF($C15="",0,SUMIF('DADOS BRUTOS'!$A$3:$A$500,$C15,'DADOS BRUTOS'!FU$3:FU$500)))</f>
        <v/>
      </c>
      <c r="IV15" s="132">
        <f>IF(OR(IV$4="",$B15=""),0,SUMIF('DADOS BRUTOS'!$A$3:$A$500,$B15,'DADOS BRUTOS'!FV$3:FV$500)+IF($C15="",0,SUMIF('DADOS BRUTOS'!$A$3:$A$500,$C15,'DADOS BRUTOS'!FV$3:FV$500)))</f>
        <v/>
      </c>
      <c r="IW15" s="132">
        <f>IF(OR(IW$4="",$B15=""),0,SUMIF('DADOS BRUTOS'!$A$3:$A$500,$B15,'DADOS BRUTOS'!FW$3:FW$500)+IF($C15="",0,SUMIF('DADOS BRUTOS'!$A$3:$A$500,$C15,'DADOS BRUTOS'!FW$3:FW$500)))</f>
        <v/>
      </c>
      <c r="IX15" s="132">
        <f>IF(OR(IX$4="",$B15=""),0,SUMIF('DADOS BRUTOS'!$A$3:$A$500,$B15,'DADOS BRUTOS'!FX$3:FX$500)+IF($C15="",0,SUMIF('DADOS BRUTOS'!$A$3:$A$500,$C15,'DADOS BRUTOS'!FX$3:FX$500)))</f>
        <v/>
      </c>
      <c r="IY15" s="132">
        <f>IF(OR(IY$4="",$B15=""),0,SUMIF('DADOS BRUTOS'!$A$3:$A$500,$B15,'DADOS BRUTOS'!FY$3:FY$500)+IF($C15="",0,SUMIF('DADOS BRUTOS'!$A$3:$A$500,$C15,'DADOS BRUTOS'!FY$3:FY$500)))</f>
        <v/>
      </c>
      <c r="IZ15" s="132">
        <f>IF(OR(IZ$4="",$B15=""),0,SUMIF('DADOS BRUTOS'!$A$3:$A$500,$B15,'DADOS BRUTOS'!FZ$3:FZ$500)+IF($C15="",0,SUMIF('DADOS BRUTOS'!$A$3:$A$500,$C15,'DADOS BRUTOS'!FZ$3:FZ$500)))</f>
        <v/>
      </c>
      <c r="JA15" s="132">
        <f>IF(OR(JA$4="",$B15=""),0,SUMIF('DADOS BRUTOS'!$A$3:$A$500,$B15,'DADOS BRUTOS'!GA$3:GA$500)+IF($C15="",0,SUMIF('DADOS BRUTOS'!$A$3:$A$500,$C15,'DADOS BRUTOS'!GA$3:GA$500)))</f>
        <v/>
      </c>
      <c r="JB15" s="132">
        <f>IF(OR(JB$4="",$B15=""),0,SUMIF('DADOS BRUTOS'!$A$3:$A$500,$B15,'DADOS BRUTOS'!GB$3:GB$500)+IF($C15="",0,SUMIF('DADOS BRUTOS'!$A$3:$A$500,$C15,'DADOS BRUTOS'!GB$3:GB$500)))</f>
        <v/>
      </c>
      <c r="JC15" s="132">
        <f>IF(OR(JC$4="",$B15=""),0,SUMIF('DADOS BRUTOS'!$A$3:$A$500,$B15,'DADOS BRUTOS'!GC$3:GC$500)+IF($C15="",0,SUMIF('DADOS BRUTOS'!$A$3:$A$500,$C15,'DADOS BRUTOS'!GC$3:GC$500)))</f>
        <v/>
      </c>
      <c r="JD15" s="132">
        <f>IF(OR(JD$4="",$B15=""),0,SUMIF('DADOS BRUTOS'!$A$3:$A$500,$B15,'DADOS BRUTOS'!GD$3:GD$500)+IF($C15="",0,SUMIF('DADOS BRUTOS'!$A$3:$A$500,$C15,'DADOS BRUTOS'!GD$3:GD$500)))</f>
        <v/>
      </c>
      <c r="JE15" s="132">
        <f>IF(OR(JE$4="",$B15=""),0,SUMIF('DADOS BRUTOS'!$A$3:$A$500,$B15,'DADOS BRUTOS'!GE$3:GE$500)+IF($C15="",0,SUMIF('DADOS BRUTOS'!$A$3:$A$500,$C15,'DADOS BRUTOS'!GE$3:GE$500)))</f>
        <v/>
      </c>
      <c r="JF15" s="132">
        <f>IF(OR(JF$4="",$B15=""),0,SUMIF('DADOS BRUTOS'!$A$3:$A$500,$B15,'DADOS BRUTOS'!GF$3:GF$500)+IF($C15="",0,SUMIF('DADOS BRUTOS'!$A$3:$A$500,$C15,'DADOS BRUTOS'!GF$3:GF$500)))</f>
        <v/>
      </c>
      <c r="JG15" s="132">
        <f>IF(OR(JG$4="",$B15=""),0,SUMIF('DADOS BRUTOS'!$A$3:$A$500,$B15,'DADOS BRUTOS'!GG$3:GG$500)+IF($C15="",0,SUMIF('DADOS BRUTOS'!$A$3:$A$500,$C15,'DADOS BRUTOS'!GG$3:GG$500)))</f>
        <v/>
      </c>
      <c r="JH15" s="132">
        <f>IF(OR(JH$4="",$B15=""),0,SUMIF('DADOS BRUTOS'!$A$3:$A$500,$B15,'DADOS BRUTOS'!GH$3:GH$500)+IF($C15="",0,SUMIF('DADOS BRUTOS'!$A$3:$A$500,$C15,'DADOS BRUTOS'!GH$3:GH$500)))</f>
        <v/>
      </c>
      <c r="JI15" s="132">
        <f>IF(OR(JI$4="",$B15=""),0,SUMIF('DADOS BRUTOS'!$A$3:$A$500,$B15,'DADOS BRUTOS'!GI$3:GI$500)+IF($C15="",0,SUMIF('DADOS BRUTOS'!$A$3:$A$500,$C15,'DADOS BRUTOS'!GI$3:GI$500)))</f>
        <v/>
      </c>
      <c r="JJ15" s="132">
        <f>IF(OR(JJ$4="",$B15=""),0,SUMIF('DADOS BRUTOS'!$A$3:$A$500,$B15,'DADOS BRUTOS'!GJ$3:GJ$500)+IF($C15="",0,SUMIF('DADOS BRUTOS'!$A$3:$A$500,$C15,'DADOS BRUTOS'!GJ$3:GJ$500)))</f>
        <v/>
      </c>
      <c r="JK15" s="132">
        <f>IF(OR(JK$4="",$B15=""),0,SUMIF('DADOS BRUTOS'!$A$3:$A$500,$B15,'DADOS BRUTOS'!GK$3:GK$500)+IF($C15="",0,SUMIF('DADOS BRUTOS'!$A$3:$A$500,$C15,'DADOS BRUTOS'!GK$3:GK$500)))</f>
        <v/>
      </c>
      <c r="JL15" s="132">
        <f>IF(OR(JL$4="",$B15=""),0,SUMIF('DADOS BRUTOS'!$A$3:$A$500,$B15,'DADOS BRUTOS'!GL$3:GL$500)+IF($C15="",0,SUMIF('DADOS BRUTOS'!$A$3:$A$500,$C15,'DADOS BRUTOS'!GL$3:GL$500)))</f>
        <v/>
      </c>
      <c r="JM15" s="132">
        <f>IF(OR(JM$4="",$B15=""),0,SUMIF('DADOS BRUTOS'!$A$3:$A$500,$B15,'DADOS BRUTOS'!GM$3:GM$500)+IF($C15="",0,SUMIF('DADOS BRUTOS'!$A$3:$A$500,$C15,'DADOS BRUTOS'!GM$3:GM$500)))</f>
        <v/>
      </c>
      <c r="JN15" s="132">
        <f>IF(OR(JN$4="",$B15=""),0,SUMIF('DADOS BRUTOS'!$A$3:$A$500,$B15,'DADOS BRUTOS'!GN$3:GN$500)+IF($C15="",0,SUMIF('DADOS BRUTOS'!$A$3:$A$500,$C15,'DADOS BRUTOS'!GN$3:GN$500)))</f>
        <v/>
      </c>
      <c r="JO15" s="132">
        <f>IF(OR(JO$4="",$B15=""),0,SUMIF('DADOS BRUTOS'!$A$3:$A$500,$B15,'DADOS BRUTOS'!GO$3:GO$500)+IF($C15="",0,SUMIF('DADOS BRUTOS'!$A$3:$A$500,$C15,'DADOS BRUTOS'!GO$3:GO$500)))</f>
        <v/>
      </c>
      <c r="JP15" s="132">
        <f>IF(OR(JP$4="",$B15=""),0,SUMIF('DADOS BRUTOS'!$A$3:$A$500,$B15,'DADOS BRUTOS'!GP$3:GP$500)+IF($C15="",0,SUMIF('DADOS BRUTOS'!$A$3:$A$500,$C15,'DADOS BRUTOS'!GP$3:GP$500)))</f>
        <v/>
      </c>
      <c r="JQ15" s="132">
        <f>IF(OR(JQ$4="",$B15=""),0,SUMIF('DADOS BRUTOS'!$A$3:$A$500,$B15,'DADOS BRUTOS'!GQ$3:GQ$500)+IF($C15="",0,SUMIF('DADOS BRUTOS'!$A$3:$A$500,$C15,'DADOS BRUTOS'!GQ$3:GQ$500)))</f>
        <v/>
      </c>
      <c r="JR15" s="132">
        <f>IF(OR(JR$4="",$B15=""),0,SUMIF('DADOS BRUTOS'!$A$3:$A$500,$B15,'DADOS BRUTOS'!GR$3:GR$500)+IF($C15="",0,SUMIF('DADOS BRUTOS'!$A$3:$A$500,$C15,'DADOS BRUTOS'!GR$3:GR$500)))</f>
        <v/>
      </c>
      <c r="JS15" s="132">
        <f>IF(OR(JS$4="",$B15=""),0,SUMIF('DADOS BRUTOS'!$A$3:$A$500,$B15,'DADOS BRUTOS'!GS$3:GS$500)+IF($C15="",0,SUMIF('DADOS BRUTOS'!$A$3:$A$500,$C15,'DADOS BRUTOS'!GS$3:GS$500)))</f>
        <v/>
      </c>
    </row>
    <row r="16">
      <c r="A16" s="61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BZ16" s="49">
        <f>SUMPRODUCT(($CB$4:$JS$4&lt;&gt;"")*($CB$4:$JS$4&lt;=$D$4),$CB16:$JS16,$CB$1:$JS$1)</f>
        <v/>
      </c>
      <c r="CB16" s="132">
        <f>IF(OR(CB$4="",$B16=""),0,SUMIF('DADOS BRUTOS'!$A$3:$A$500,$B16,'DADOS BRUTOS'!B$3:B$500)+IF($C16="",0,SUMIF('DADOS BRUTOS'!$A$3:$A$500,$C16,'DADOS BRUTOS'!B$3:B$500)))</f>
        <v/>
      </c>
      <c r="CC16" s="132">
        <f>IF(OR(CC$4="",$B16=""),0,SUMIF('DADOS BRUTOS'!$A$3:$A$500,$B16,'DADOS BRUTOS'!C$3:C$500)+IF($C16="",0,SUMIF('DADOS BRUTOS'!$A$3:$A$500,$C16,'DADOS BRUTOS'!C$3:C$500)))</f>
        <v/>
      </c>
      <c r="CD16" s="132">
        <f>IF(OR(CD$4="",$B16=""),0,SUMIF('DADOS BRUTOS'!$A$3:$A$500,$B16,'DADOS BRUTOS'!D$3:D$500)+IF($C16="",0,SUMIF('DADOS BRUTOS'!$A$3:$A$500,$C16,'DADOS BRUTOS'!D$3:D$500)))</f>
        <v/>
      </c>
      <c r="CE16" s="132">
        <f>IF(OR(CE$4="",$B16=""),0,SUMIF('DADOS BRUTOS'!$A$3:$A$500,$B16,'DADOS BRUTOS'!E$3:E$500)+IF($C16="",0,SUMIF('DADOS BRUTOS'!$A$3:$A$500,$C16,'DADOS BRUTOS'!E$3:E$500)))</f>
        <v/>
      </c>
      <c r="CF16" s="132">
        <f>IF(OR(CF$4="",$B16=""),0,SUMIF('DADOS BRUTOS'!$A$3:$A$500,$B16,'DADOS BRUTOS'!F$3:F$500)+IF($C16="",0,SUMIF('DADOS BRUTOS'!$A$3:$A$500,$C16,'DADOS BRUTOS'!F$3:F$500)))</f>
        <v/>
      </c>
      <c r="CG16" s="132">
        <f>IF(OR(CG$4="",$B16=""),0,SUMIF('DADOS BRUTOS'!$A$3:$A$500,$B16,'DADOS BRUTOS'!G$3:G$500)+IF($C16="",0,SUMIF('DADOS BRUTOS'!$A$3:$A$500,$C16,'DADOS BRUTOS'!G$3:G$500)))</f>
        <v/>
      </c>
      <c r="CH16" s="132">
        <f>IF(OR(CH$4="",$B16=""),0,SUMIF('DADOS BRUTOS'!$A$3:$A$500,$B16,'DADOS BRUTOS'!H$3:H$500)+IF($C16="",0,SUMIF('DADOS BRUTOS'!$A$3:$A$500,$C16,'DADOS BRUTOS'!H$3:H$500)))</f>
        <v/>
      </c>
      <c r="CI16" s="132">
        <f>IF(OR(CI$4="",$B16=""),0,SUMIF('DADOS BRUTOS'!$A$3:$A$500,$B16,'DADOS BRUTOS'!I$3:I$500)+IF($C16="",0,SUMIF('DADOS BRUTOS'!$A$3:$A$500,$C16,'DADOS BRUTOS'!I$3:I$500)))</f>
        <v/>
      </c>
      <c r="CJ16" s="132">
        <f>IF(OR(CJ$4="",$B16=""),0,SUMIF('DADOS BRUTOS'!$A$3:$A$500,$B16,'DADOS BRUTOS'!J$3:J$500)+IF($C16="",0,SUMIF('DADOS BRUTOS'!$A$3:$A$500,$C16,'DADOS BRUTOS'!J$3:J$500)))</f>
        <v/>
      </c>
      <c r="CK16" s="132">
        <f>IF(OR(CK$4="",$B16=""),0,SUMIF('DADOS BRUTOS'!$A$3:$A$500,$B16,'DADOS BRUTOS'!K$3:K$500)+IF($C16="",0,SUMIF('DADOS BRUTOS'!$A$3:$A$500,$C16,'DADOS BRUTOS'!K$3:K$500)))</f>
        <v/>
      </c>
      <c r="CL16" s="132">
        <f>IF(OR(CL$4="",$B16=""),0,SUMIF('DADOS BRUTOS'!$A$3:$A$500,$B16,'DADOS BRUTOS'!L$3:L$500)+IF($C16="",0,SUMIF('DADOS BRUTOS'!$A$3:$A$500,$C16,'DADOS BRUTOS'!L$3:L$500)))</f>
        <v/>
      </c>
      <c r="CM16" s="132">
        <f>IF(OR(CM$4="",$B16=""),0,SUMIF('DADOS BRUTOS'!$A$3:$A$500,$B16,'DADOS BRUTOS'!M$3:M$500)+IF($C16="",0,SUMIF('DADOS BRUTOS'!$A$3:$A$500,$C16,'DADOS BRUTOS'!M$3:M$500)))</f>
        <v/>
      </c>
      <c r="CN16" s="132">
        <f>IF(OR(CN$4="",$B16=""),0,SUMIF('DADOS BRUTOS'!$A$3:$A$500,$B16,'DADOS BRUTOS'!N$3:N$500)+IF($C16="",0,SUMIF('DADOS BRUTOS'!$A$3:$A$500,$C16,'DADOS BRUTOS'!N$3:N$500)))</f>
        <v/>
      </c>
      <c r="CO16" s="132">
        <f>IF(OR(CO$4="",$B16=""),0,SUMIF('DADOS BRUTOS'!$A$3:$A$500,$B16,'DADOS BRUTOS'!O$3:O$500)+IF($C16="",0,SUMIF('DADOS BRUTOS'!$A$3:$A$500,$C16,'DADOS BRUTOS'!O$3:O$500)))</f>
        <v/>
      </c>
      <c r="CP16" s="132">
        <f>IF(OR(CP$4="",$B16=""),0,SUMIF('DADOS BRUTOS'!$A$3:$A$500,$B16,'DADOS BRUTOS'!P$3:P$500)+IF($C16="",0,SUMIF('DADOS BRUTOS'!$A$3:$A$500,$C16,'DADOS BRUTOS'!P$3:P$500)))</f>
        <v/>
      </c>
      <c r="CQ16" s="132">
        <f>IF(OR(CQ$4="",$B16=""),0,SUMIF('DADOS BRUTOS'!$A$3:$A$500,$B16,'DADOS BRUTOS'!Q$3:Q$500)+IF($C16="",0,SUMIF('DADOS BRUTOS'!$A$3:$A$500,$C16,'DADOS BRUTOS'!Q$3:Q$500)))</f>
        <v/>
      </c>
      <c r="CR16" s="132">
        <f>IF(OR(CR$4="",$B16=""),0,SUMIF('DADOS BRUTOS'!$A$3:$A$500,$B16,'DADOS BRUTOS'!R$3:R$500)+IF($C16="",0,SUMIF('DADOS BRUTOS'!$A$3:$A$500,$C16,'DADOS BRUTOS'!R$3:R$500)))</f>
        <v/>
      </c>
      <c r="CS16" s="132">
        <f>IF(OR(CS$4="",$B16=""),0,SUMIF('DADOS BRUTOS'!$A$3:$A$500,$B16,'DADOS BRUTOS'!S$3:S$500)+IF($C16="",0,SUMIF('DADOS BRUTOS'!$A$3:$A$500,$C16,'DADOS BRUTOS'!S$3:S$500)))</f>
        <v/>
      </c>
      <c r="CT16" s="132">
        <f>IF(OR(CT$4="",$B16=""),0,SUMIF('DADOS BRUTOS'!$A$3:$A$500,$B16,'DADOS BRUTOS'!T$3:T$500)+IF($C16="",0,SUMIF('DADOS BRUTOS'!$A$3:$A$500,$C16,'DADOS BRUTOS'!T$3:T$500)))</f>
        <v/>
      </c>
      <c r="CU16" s="132">
        <f>IF(OR(CU$4="",$B16=""),0,SUMIF('DADOS BRUTOS'!$A$3:$A$500,$B16,'DADOS BRUTOS'!U$3:U$500)+IF($C16="",0,SUMIF('DADOS BRUTOS'!$A$3:$A$500,$C16,'DADOS BRUTOS'!U$3:U$500)))</f>
        <v/>
      </c>
      <c r="CV16" s="132">
        <f>IF(OR(CV$4="",$B16=""),0,SUMIF('DADOS BRUTOS'!$A$3:$A$500,$B16,'DADOS BRUTOS'!V$3:V$500)+IF($C16="",0,SUMIF('DADOS BRUTOS'!$A$3:$A$500,$C16,'DADOS BRUTOS'!V$3:V$500)))</f>
        <v/>
      </c>
      <c r="CW16" s="132">
        <f>IF(OR(CW$4="",$B16=""),0,SUMIF('DADOS BRUTOS'!$A$3:$A$500,$B16,'DADOS BRUTOS'!W$3:W$500)+IF($C16="",0,SUMIF('DADOS BRUTOS'!$A$3:$A$500,$C16,'DADOS BRUTOS'!W$3:W$500)))</f>
        <v/>
      </c>
      <c r="CX16" s="132">
        <f>IF(OR(CX$4="",$B16=""),0,SUMIF('DADOS BRUTOS'!$A$3:$A$500,$B16,'DADOS BRUTOS'!X$3:X$500)+IF($C16="",0,SUMIF('DADOS BRUTOS'!$A$3:$A$500,$C16,'DADOS BRUTOS'!X$3:X$500)))</f>
        <v/>
      </c>
      <c r="CY16" s="132">
        <f>IF(OR(CY$4="",$B16=""),0,SUMIF('DADOS BRUTOS'!$A$3:$A$500,$B16,'DADOS BRUTOS'!Y$3:Y$500)+IF($C16="",0,SUMIF('DADOS BRUTOS'!$A$3:$A$500,$C16,'DADOS BRUTOS'!Y$3:Y$500)))</f>
        <v/>
      </c>
      <c r="CZ16" s="132">
        <f>IF(OR(CZ$4="",$B16=""),0,SUMIF('DADOS BRUTOS'!$A$3:$A$500,$B16,'DADOS BRUTOS'!Z$3:Z$500)+IF($C16="",0,SUMIF('DADOS BRUTOS'!$A$3:$A$500,$C16,'DADOS BRUTOS'!Z$3:Z$500)))</f>
        <v/>
      </c>
      <c r="DA16" s="132">
        <f>IF(OR(DA$4="",$B16=""),0,SUMIF('DADOS BRUTOS'!$A$3:$A$500,$B16,'DADOS BRUTOS'!AA$3:AA$500)+IF($C16="",0,SUMIF('DADOS BRUTOS'!$A$3:$A$500,$C16,'DADOS BRUTOS'!AA$3:AA$500)))</f>
        <v/>
      </c>
      <c r="DB16" s="132">
        <f>IF(OR(DB$4="",$B16=""),0,SUMIF('DADOS BRUTOS'!$A$3:$A$500,$B16,'DADOS BRUTOS'!AB$3:AB$500)+IF($C16="",0,SUMIF('DADOS BRUTOS'!$A$3:$A$500,$C16,'DADOS BRUTOS'!AB$3:AB$500)))</f>
        <v/>
      </c>
      <c r="DC16" s="132">
        <f>IF(OR(DC$4="",$B16=""),0,SUMIF('DADOS BRUTOS'!$A$3:$A$500,$B16,'DADOS BRUTOS'!AC$3:AC$500)+IF($C16="",0,SUMIF('DADOS BRUTOS'!$A$3:$A$500,$C16,'DADOS BRUTOS'!AC$3:AC$500)))</f>
        <v/>
      </c>
      <c r="DD16" s="132">
        <f>IF(OR(DD$4="",$B16=""),0,SUMIF('DADOS BRUTOS'!$A$3:$A$500,$B16,'DADOS BRUTOS'!AD$3:AD$500)+IF($C16="",0,SUMIF('DADOS BRUTOS'!$A$3:$A$500,$C16,'DADOS BRUTOS'!AD$3:AD$500)))</f>
        <v/>
      </c>
      <c r="DE16" s="132">
        <f>IF(OR(DE$4="",$B16=""),0,SUMIF('DADOS BRUTOS'!$A$3:$A$500,$B16,'DADOS BRUTOS'!AE$3:AE$500)+IF($C16="",0,SUMIF('DADOS BRUTOS'!$A$3:$A$500,$C16,'DADOS BRUTOS'!AE$3:AE$500)))</f>
        <v/>
      </c>
      <c r="DF16" s="132">
        <f>IF(OR(DF$4="",$B16=""),0,SUMIF('DADOS BRUTOS'!$A$3:$A$500,$B16,'DADOS BRUTOS'!AF$3:AF$500)+IF($C16="",0,SUMIF('DADOS BRUTOS'!$A$3:$A$500,$C16,'DADOS BRUTOS'!AF$3:AF$500)))</f>
        <v/>
      </c>
      <c r="DG16" s="132">
        <f>IF(OR(DG$4="",$B16=""),0,SUMIF('DADOS BRUTOS'!$A$3:$A$500,$B16,'DADOS BRUTOS'!AG$3:AG$500)+IF($C16="",0,SUMIF('DADOS BRUTOS'!$A$3:$A$500,$C16,'DADOS BRUTOS'!AG$3:AG$500)))</f>
        <v/>
      </c>
      <c r="DH16" s="132">
        <f>IF(OR(DH$4="",$B16=""),0,SUMIF('DADOS BRUTOS'!$A$3:$A$500,$B16,'DADOS BRUTOS'!AH$3:AH$500)+IF($C16="",0,SUMIF('DADOS BRUTOS'!$A$3:$A$500,$C16,'DADOS BRUTOS'!AH$3:AH$500)))</f>
        <v/>
      </c>
      <c r="DI16" s="132">
        <f>IF(OR(DI$4="",$B16=""),0,SUMIF('DADOS BRUTOS'!$A$3:$A$500,$B16,'DADOS BRUTOS'!AI$3:AI$500)+IF($C16="",0,SUMIF('DADOS BRUTOS'!$A$3:$A$500,$C16,'DADOS BRUTOS'!AI$3:AI$500)))</f>
        <v/>
      </c>
      <c r="DJ16" s="132">
        <f>IF(OR(DJ$4="",$B16=""),0,SUMIF('DADOS BRUTOS'!$A$3:$A$500,$B16,'DADOS BRUTOS'!AJ$3:AJ$500)+IF($C16="",0,SUMIF('DADOS BRUTOS'!$A$3:$A$500,$C16,'DADOS BRUTOS'!AJ$3:AJ$500)))</f>
        <v/>
      </c>
      <c r="DK16" s="132">
        <f>IF(OR(DK$4="",$B16=""),0,SUMIF('DADOS BRUTOS'!$A$3:$A$500,$B16,'DADOS BRUTOS'!AK$3:AK$500)+IF($C16="",0,SUMIF('DADOS BRUTOS'!$A$3:$A$500,$C16,'DADOS BRUTOS'!AK$3:AK$500)))</f>
        <v/>
      </c>
      <c r="DL16" s="132">
        <f>IF(OR(DL$4="",$B16=""),0,SUMIF('DADOS BRUTOS'!$A$3:$A$500,$B16,'DADOS BRUTOS'!AL$3:AL$500)+IF($C16="",0,SUMIF('DADOS BRUTOS'!$A$3:$A$500,$C16,'DADOS BRUTOS'!AL$3:AL$500)))</f>
        <v/>
      </c>
      <c r="DM16" s="132">
        <f>IF(OR(DM$4="",$B16=""),0,SUMIF('DADOS BRUTOS'!$A$3:$A$500,$B16,'DADOS BRUTOS'!AM$3:AM$500)+IF($C16="",0,SUMIF('DADOS BRUTOS'!$A$3:$A$500,$C16,'DADOS BRUTOS'!AM$3:AM$500)))</f>
        <v/>
      </c>
      <c r="DN16" s="132">
        <f>IF(OR(DN$4="",$B16=""),0,SUMIF('DADOS BRUTOS'!$A$3:$A$500,$B16,'DADOS BRUTOS'!AN$3:AN$500)+IF($C16="",0,SUMIF('DADOS BRUTOS'!$A$3:$A$500,$C16,'DADOS BRUTOS'!AN$3:AN$500)))</f>
        <v/>
      </c>
      <c r="DO16" s="132">
        <f>IF(OR(DO$4="",$B16=""),0,SUMIF('DADOS BRUTOS'!$A$3:$A$500,$B16,'DADOS BRUTOS'!AO$3:AO$500)+IF($C16="",0,SUMIF('DADOS BRUTOS'!$A$3:$A$500,$C16,'DADOS BRUTOS'!AO$3:AO$500)))</f>
        <v/>
      </c>
      <c r="DP16" s="132">
        <f>IF(OR(DP$4="",$B16=""),0,SUMIF('DADOS BRUTOS'!$A$3:$A$500,$B16,'DADOS BRUTOS'!AP$3:AP$500)+IF($C16="",0,SUMIF('DADOS BRUTOS'!$A$3:$A$500,$C16,'DADOS BRUTOS'!AP$3:AP$500)))</f>
        <v/>
      </c>
      <c r="DQ16" s="132">
        <f>IF(OR(DQ$4="",$B16=""),0,SUMIF('DADOS BRUTOS'!$A$3:$A$500,$B16,'DADOS BRUTOS'!AQ$3:AQ$500)+IF($C16="",0,SUMIF('DADOS BRUTOS'!$A$3:$A$500,$C16,'DADOS BRUTOS'!AQ$3:AQ$500)))</f>
        <v/>
      </c>
      <c r="DR16" s="132">
        <f>IF(OR(DR$4="",$B16=""),0,SUMIF('DADOS BRUTOS'!$A$3:$A$500,$B16,'DADOS BRUTOS'!AR$3:AR$500)+IF($C16="",0,SUMIF('DADOS BRUTOS'!$A$3:$A$500,$C16,'DADOS BRUTOS'!AR$3:AR$500)))</f>
        <v/>
      </c>
      <c r="DS16" s="132">
        <f>IF(OR(DS$4="",$B16=""),0,SUMIF('DADOS BRUTOS'!$A$3:$A$500,$B16,'DADOS BRUTOS'!AS$3:AS$500)+IF($C16="",0,SUMIF('DADOS BRUTOS'!$A$3:$A$500,$C16,'DADOS BRUTOS'!AS$3:AS$500)))</f>
        <v/>
      </c>
      <c r="DT16" s="132">
        <f>IF(OR(DT$4="",$B16=""),0,SUMIF('DADOS BRUTOS'!$A$3:$A$500,$B16,'DADOS BRUTOS'!AT$3:AT$500)+IF($C16="",0,SUMIF('DADOS BRUTOS'!$A$3:$A$500,$C16,'DADOS BRUTOS'!AT$3:AT$500)))</f>
        <v/>
      </c>
      <c r="DU16" s="132">
        <f>IF(OR(DU$4="",$B16=""),0,SUMIF('DADOS BRUTOS'!$A$3:$A$500,$B16,'DADOS BRUTOS'!AU$3:AU$500)+IF($C16="",0,SUMIF('DADOS BRUTOS'!$A$3:$A$500,$C16,'DADOS BRUTOS'!AU$3:AU$500)))</f>
        <v/>
      </c>
      <c r="DV16" s="132">
        <f>IF(OR(DV$4="",$B16=""),0,SUMIF('DADOS BRUTOS'!$A$3:$A$500,$B16,'DADOS BRUTOS'!AV$3:AV$500)+IF($C16="",0,SUMIF('DADOS BRUTOS'!$A$3:$A$500,$C16,'DADOS BRUTOS'!AV$3:AV$500)))</f>
        <v/>
      </c>
      <c r="DW16" s="132">
        <f>IF(OR(DW$4="",$B16=""),0,SUMIF('DADOS BRUTOS'!$A$3:$A$500,$B16,'DADOS BRUTOS'!AW$3:AW$500)+IF($C16="",0,SUMIF('DADOS BRUTOS'!$A$3:$A$500,$C16,'DADOS BRUTOS'!AW$3:AW$500)))</f>
        <v/>
      </c>
      <c r="DX16" s="132">
        <f>IF(OR(DX$4="",$B16=""),0,SUMIF('DADOS BRUTOS'!$A$3:$A$500,$B16,'DADOS BRUTOS'!AX$3:AX$500)+IF($C16="",0,SUMIF('DADOS BRUTOS'!$A$3:$A$500,$C16,'DADOS BRUTOS'!AX$3:AX$500)))</f>
        <v/>
      </c>
      <c r="DY16" s="132">
        <f>IF(OR(DY$4="",$B16=""),0,SUMIF('DADOS BRUTOS'!$A$3:$A$500,$B16,'DADOS BRUTOS'!AY$3:AY$500)+IF($C16="",0,SUMIF('DADOS BRUTOS'!$A$3:$A$500,$C16,'DADOS BRUTOS'!AY$3:AY$500)))</f>
        <v/>
      </c>
      <c r="DZ16" s="132">
        <f>IF(OR(DZ$4="",$B16=""),0,SUMIF('DADOS BRUTOS'!$A$3:$A$500,$B16,'DADOS BRUTOS'!AZ$3:AZ$500)+IF($C16="",0,SUMIF('DADOS BRUTOS'!$A$3:$A$500,$C16,'DADOS BRUTOS'!AZ$3:AZ$500)))</f>
        <v/>
      </c>
      <c r="EA16" s="132">
        <f>IF(OR(EA$4="",$B16=""),0,SUMIF('DADOS BRUTOS'!$A$3:$A$500,$B16,'DADOS BRUTOS'!BA$3:BA$500)+IF($C16="",0,SUMIF('DADOS BRUTOS'!$A$3:$A$500,$C16,'DADOS BRUTOS'!BA$3:BA$500)))</f>
        <v/>
      </c>
      <c r="EB16" s="132">
        <f>IF(OR(EB$4="",$B16=""),0,SUMIF('DADOS BRUTOS'!$A$3:$A$500,$B16,'DADOS BRUTOS'!BB$3:BB$500)+IF($C16="",0,SUMIF('DADOS BRUTOS'!$A$3:$A$500,$C16,'DADOS BRUTOS'!BB$3:BB$500)))</f>
        <v/>
      </c>
      <c r="EC16" s="132">
        <f>IF(OR(EC$4="",$B16=""),0,SUMIF('DADOS BRUTOS'!$A$3:$A$500,$B16,'DADOS BRUTOS'!BC$3:BC$500)+IF($C16="",0,SUMIF('DADOS BRUTOS'!$A$3:$A$500,$C16,'DADOS BRUTOS'!BC$3:BC$500)))</f>
        <v/>
      </c>
      <c r="ED16" s="132">
        <f>IF(OR(ED$4="",$B16=""),0,SUMIF('DADOS BRUTOS'!$A$3:$A$500,$B16,'DADOS BRUTOS'!BD$3:BD$500)+IF($C16="",0,SUMIF('DADOS BRUTOS'!$A$3:$A$500,$C16,'DADOS BRUTOS'!BD$3:BD$500)))</f>
        <v/>
      </c>
      <c r="EE16" s="132">
        <f>IF(OR(EE$4="",$B16=""),0,SUMIF('DADOS BRUTOS'!$A$3:$A$500,$B16,'DADOS BRUTOS'!BE$3:BE$500)+IF($C16="",0,SUMIF('DADOS BRUTOS'!$A$3:$A$500,$C16,'DADOS BRUTOS'!BE$3:BE$500)))</f>
        <v/>
      </c>
      <c r="EF16" s="132">
        <f>IF(OR(EF$4="",$B16=""),0,SUMIF('DADOS BRUTOS'!$A$3:$A$500,$B16,'DADOS BRUTOS'!BF$3:BF$500)+IF($C16="",0,SUMIF('DADOS BRUTOS'!$A$3:$A$500,$C16,'DADOS BRUTOS'!BF$3:BF$500)))</f>
        <v/>
      </c>
      <c r="EG16" s="132">
        <f>IF(OR(EG$4="",$B16=""),0,SUMIF('DADOS BRUTOS'!$A$3:$A$500,$B16,'DADOS BRUTOS'!BG$3:BG$500)+IF($C16="",0,SUMIF('DADOS BRUTOS'!$A$3:$A$500,$C16,'DADOS BRUTOS'!BG$3:BG$500)))</f>
        <v/>
      </c>
      <c r="EH16" s="132">
        <f>IF(OR(EH$4="",$B16=""),0,SUMIF('DADOS BRUTOS'!$A$3:$A$500,$B16,'DADOS BRUTOS'!BH$3:BH$500)+IF($C16="",0,SUMIF('DADOS BRUTOS'!$A$3:$A$500,$C16,'DADOS BRUTOS'!BH$3:BH$500)))</f>
        <v/>
      </c>
      <c r="EI16" s="132">
        <f>IF(OR(EI$4="",$B16=""),0,SUMIF('DADOS BRUTOS'!$A$3:$A$500,$B16,'DADOS BRUTOS'!BI$3:BI$500)+IF($C16="",0,SUMIF('DADOS BRUTOS'!$A$3:$A$500,$C16,'DADOS BRUTOS'!BI$3:BI$500)))</f>
        <v/>
      </c>
      <c r="EJ16" s="132">
        <f>IF(OR(EJ$4="",$B16=""),0,SUMIF('DADOS BRUTOS'!$A$3:$A$500,$B16,'DADOS BRUTOS'!BJ$3:BJ$500)+IF($C16="",0,SUMIF('DADOS BRUTOS'!$A$3:$A$500,$C16,'DADOS BRUTOS'!BJ$3:BJ$500)))</f>
        <v/>
      </c>
      <c r="EK16" s="132">
        <f>IF(OR(EK$4="",$B16=""),0,SUMIF('DADOS BRUTOS'!$A$3:$A$500,$B16,'DADOS BRUTOS'!BK$3:BK$500)+IF($C16="",0,SUMIF('DADOS BRUTOS'!$A$3:$A$500,$C16,'DADOS BRUTOS'!BK$3:BK$500)))</f>
        <v/>
      </c>
      <c r="EL16" s="132">
        <f>IF(OR(EL$4="",$B16=""),0,SUMIF('DADOS BRUTOS'!$A$3:$A$500,$B16,'DADOS BRUTOS'!BL$3:BL$500)+IF($C16="",0,SUMIF('DADOS BRUTOS'!$A$3:$A$500,$C16,'DADOS BRUTOS'!BL$3:BL$500)))</f>
        <v/>
      </c>
      <c r="EM16" s="132">
        <f>IF(OR(EM$4="",$B16=""),0,SUMIF('DADOS BRUTOS'!$A$3:$A$500,$B16,'DADOS BRUTOS'!BM$3:BM$500)+IF($C16="",0,SUMIF('DADOS BRUTOS'!$A$3:$A$500,$C16,'DADOS BRUTOS'!BM$3:BM$500)))</f>
        <v/>
      </c>
      <c r="EN16" s="132">
        <f>IF(OR(EN$4="",$B16=""),0,SUMIF('DADOS BRUTOS'!$A$3:$A$500,$B16,'DADOS BRUTOS'!BN$3:BN$500)+IF($C16="",0,SUMIF('DADOS BRUTOS'!$A$3:$A$500,$C16,'DADOS BRUTOS'!BN$3:BN$500)))</f>
        <v/>
      </c>
      <c r="EO16" s="132">
        <f>IF(OR(EO$4="",$B16=""),0,SUMIF('DADOS BRUTOS'!$A$3:$A$500,$B16,'DADOS BRUTOS'!BO$3:BO$500)+IF($C16="",0,SUMIF('DADOS BRUTOS'!$A$3:$A$500,$C16,'DADOS BRUTOS'!BO$3:BO$500)))</f>
        <v/>
      </c>
      <c r="EP16" s="132">
        <f>IF(OR(EP$4="",$B16=""),0,SUMIF('DADOS BRUTOS'!$A$3:$A$500,$B16,'DADOS BRUTOS'!BP$3:BP$500)+IF($C16="",0,SUMIF('DADOS BRUTOS'!$A$3:$A$500,$C16,'DADOS BRUTOS'!BP$3:BP$500)))</f>
        <v/>
      </c>
      <c r="EQ16" s="132">
        <f>IF(OR(EQ$4="",$B16=""),0,SUMIF('DADOS BRUTOS'!$A$3:$A$500,$B16,'DADOS BRUTOS'!BQ$3:BQ$500)+IF($C16="",0,SUMIF('DADOS BRUTOS'!$A$3:$A$500,$C16,'DADOS BRUTOS'!BQ$3:BQ$500)))</f>
        <v/>
      </c>
      <c r="ER16" s="132">
        <f>IF(OR(ER$4="",$B16=""),0,SUMIF('DADOS BRUTOS'!$A$3:$A$500,$B16,'DADOS BRUTOS'!BR$3:BR$500)+IF($C16="",0,SUMIF('DADOS BRUTOS'!$A$3:$A$500,$C16,'DADOS BRUTOS'!BR$3:BR$500)))</f>
        <v/>
      </c>
      <c r="ES16" s="132">
        <f>IF(OR(ES$4="",$B16=""),0,SUMIF('DADOS BRUTOS'!$A$3:$A$500,$B16,'DADOS BRUTOS'!BS$3:BS$500)+IF($C16="",0,SUMIF('DADOS BRUTOS'!$A$3:$A$500,$C16,'DADOS BRUTOS'!BS$3:BS$500)))</f>
        <v/>
      </c>
      <c r="ET16" s="132">
        <f>IF(OR(ET$4="",$B16=""),0,SUMIF('DADOS BRUTOS'!$A$3:$A$500,$B16,'DADOS BRUTOS'!BT$3:BT$500)+IF($C16="",0,SUMIF('DADOS BRUTOS'!$A$3:$A$500,$C16,'DADOS BRUTOS'!BT$3:BT$500)))</f>
        <v/>
      </c>
      <c r="EU16" s="132">
        <f>IF(OR(EU$4="",$B16=""),0,SUMIF('DADOS BRUTOS'!$A$3:$A$500,$B16,'DADOS BRUTOS'!BU$3:BU$500)+IF($C16="",0,SUMIF('DADOS BRUTOS'!$A$3:$A$500,$C16,'DADOS BRUTOS'!BU$3:BU$500)))</f>
        <v/>
      </c>
      <c r="EV16" s="132">
        <f>IF(OR(EV$4="",$B16=""),0,SUMIF('DADOS BRUTOS'!$A$3:$A$500,$B16,'DADOS BRUTOS'!BV$3:BV$500)+IF($C16="",0,SUMIF('DADOS BRUTOS'!$A$3:$A$500,$C16,'DADOS BRUTOS'!BV$3:BV$500)))</f>
        <v/>
      </c>
      <c r="EW16" s="132">
        <f>IF(OR(EW$4="",$B16=""),0,SUMIF('DADOS BRUTOS'!$A$3:$A$500,$B16,'DADOS BRUTOS'!BW$3:BW$500)+IF($C16="",0,SUMIF('DADOS BRUTOS'!$A$3:$A$500,$C16,'DADOS BRUTOS'!BW$3:BW$500)))</f>
        <v/>
      </c>
      <c r="EX16" s="132">
        <f>IF(OR(EX$4="",$B16=""),0,SUMIF('DADOS BRUTOS'!$A$3:$A$500,$B16,'DADOS BRUTOS'!BX$3:BX$500)+IF($C16="",0,SUMIF('DADOS BRUTOS'!$A$3:$A$500,$C16,'DADOS BRUTOS'!BX$3:BX$500)))</f>
        <v/>
      </c>
      <c r="EY16" s="132">
        <f>IF(OR(EY$4="",$B16=""),0,SUMIF('DADOS BRUTOS'!$A$3:$A$500,$B16,'DADOS BRUTOS'!BY$3:BY$500)+IF($C16="",0,SUMIF('DADOS BRUTOS'!$A$3:$A$500,$C16,'DADOS BRUTOS'!BY$3:BY$500)))</f>
        <v/>
      </c>
      <c r="EZ16" s="132">
        <f>IF(OR(EZ$4="",$B16=""),0,SUMIF('DADOS BRUTOS'!$A$3:$A$500,$B16,'DADOS BRUTOS'!BZ$3:BZ$500)+IF($C16="",0,SUMIF('DADOS BRUTOS'!$A$3:$A$500,$C16,'DADOS BRUTOS'!BZ$3:BZ$500)))</f>
        <v/>
      </c>
      <c r="FA16" s="132">
        <f>IF(OR(FA$4="",$B16=""),0,SUMIF('DADOS BRUTOS'!$A$3:$A$500,$B16,'DADOS BRUTOS'!CA$3:CA$500)+IF($C16="",0,SUMIF('DADOS BRUTOS'!$A$3:$A$500,$C16,'DADOS BRUTOS'!CA$3:CA$500)))</f>
        <v/>
      </c>
      <c r="FB16" s="132">
        <f>IF(OR(FB$4="",$B16=""),0,SUMIF('DADOS BRUTOS'!$A$3:$A$500,$B16,'DADOS BRUTOS'!CB$3:CB$500)+IF($C16="",0,SUMIF('DADOS BRUTOS'!$A$3:$A$500,$C16,'DADOS BRUTOS'!CB$3:CB$500)))</f>
        <v/>
      </c>
      <c r="FC16" s="132">
        <f>IF(OR(FC$4="",$B16=""),0,SUMIF('DADOS BRUTOS'!$A$3:$A$500,$B16,'DADOS BRUTOS'!CC$3:CC$500)+IF($C16="",0,SUMIF('DADOS BRUTOS'!$A$3:$A$500,$C16,'DADOS BRUTOS'!CC$3:CC$500)))</f>
        <v/>
      </c>
      <c r="FD16" s="132">
        <f>IF(OR(FD$4="",$B16=""),0,SUMIF('DADOS BRUTOS'!$A$3:$A$500,$B16,'DADOS BRUTOS'!CD$3:CD$500)+IF($C16="",0,SUMIF('DADOS BRUTOS'!$A$3:$A$500,$C16,'DADOS BRUTOS'!CD$3:CD$500)))</f>
        <v/>
      </c>
      <c r="FE16" s="132">
        <f>IF(OR(FE$4="",$B16=""),0,SUMIF('DADOS BRUTOS'!$A$3:$A$500,$B16,'DADOS BRUTOS'!CE$3:CE$500)+IF($C16="",0,SUMIF('DADOS BRUTOS'!$A$3:$A$500,$C16,'DADOS BRUTOS'!CE$3:CE$500)))</f>
        <v/>
      </c>
      <c r="FF16" s="132">
        <f>IF(OR(FF$4="",$B16=""),0,SUMIF('DADOS BRUTOS'!$A$3:$A$500,$B16,'DADOS BRUTOS'!CF$3:CF$500)+IF($C16="",0,SUMIF('DADOS BRUTOS'!$A$3:$A$500,$C16,'DADOS BRUTOS'!CF$3:CF$500)))</f>
        <v/>
      </c>
      <c r="FG16" s="132">
        <f>IF(OR(FG$4="",$B16=""),0,SUMIF('DADOS BRUTOS'!$A$3:$A$500,$B16,'DADOS BRUTOS'!CG$3:CG$500)+IF($C16="",0,SUMIF('DADOS BRUTOS'!$A$3:$A$500,$C16,'DADOS BRUTOS'!CG$3:CG$500)))</f>
        <v/>
      </c>
      <c r="FH16" s="132">
        <f>IF(OR(FH$4="",$B16=""),0,SUMIF('DADOS BRUTOS'!$A$3:$A$500,$B16,'DADOS BRUTOS'!CH$3:CH$500)+IF($C16="",0,SUMIF('DADOS BRUTOS'!$A$3:$A$500,$C16,'DADOS BRUTOS'!CH$3:CH$500)))</f>
        <v/>
      </c>
      <c r="FI16" s="132">
        <f>IF(OR(FI$4="",$B16=""),0,SUMIF('DADOS BRUTOS'!$A$3:$A$500,$B16,'DADOS BRUTOS'!CI$3:CI$500)+IF($C16="",0,SUMIF('DADOS BRUTOS'!$A$3:$A$500,$C16,'DADOS BRUTOS'!CI$3:CI$500)))</f>
        <v/>
      </c>
      <c r="FJ16" s="132">
        <f>IF(OR(FJ$4="",$B16=""),0,SUMIF('DADOS BRUTOS'!$A$3:$A$500,$B16,'DADOS BRUTOS'!CJ$3:CJ$500)+IF($C16="",0,SUMIF('DADOS BRUTOS'!$A$3:$A$500,$C16,'DADOS BRUTOS'!CJ$3:CJ$500)))</f>
        <v/>
      </c>
      <c r="FK16" s="132">
        <f>IF(OR(FK$4="",$B16=""),0,SUMIF('DADOS BRUTOS'!$A$3:$A$500,$B16,'DADOS BRUTOS'!CK$3:CK$500)+IF($C16="",0,SUMIF('DADOS BRUTOS'!$A$3:$A$500,$C16,'DADOS BRUTOS'!CK$3:CK$500)))</f>
        <v/>
      </c>
      <c r="FL16" s="132">
        <f>IF(OR(FL$4="",$B16=""),0,SUMIF('DADOS BRUTOS'!$A$3:$A$500,$B16,'DADOS BRUTOS'!CL$3:CL$500)+IF($C16="",0,SUMIF('DADOS BRUTOS'!$A$3:$A$500,$C16,'DADOS BRUTOS'!CL$3:CL$500)))</f>
        <v/>
      </c>
      <c r="FM16" s="132">
        <f>IF(OR(FM$4="",$B16=""),0,SUMIF('DADOS BRUTOS'!$A$3:$A$500,$B16,'DADOS BRUTOS'!CM$3:CM$500)+IF($C16="",0,SUMIF('DADOS BRUTOS'!$A$3:$A$500,$C16,'DADOS BRUTOS'!CM$3:CM$500)))</f>
        <v/>
      </c>
      <c r="FN16" s="132">
        <f>IF(OR(FN$4="",$B16=""),0,SUMIF('DADOS BRUTOS'!$A$3:$A$500,$B16,'DADOS BRUTOS'!CN$3:CN$500)+IF($C16="",0,SUMIF('DADOS BRUTOS'!$A$3:$A$500,$C16,'DADOS BRUTOS'!CN$3:CN$500)))</f>
        <v/>
      </c>
      <c r="FO16" s="132">
        <f>IF(OR(FO$4="",$B16=""),0,SUMIF('DADOS BRUTOS'!$A$3:$A$500,$B16,'DADOS BRUTOS'!CO$3:CO$500)+IF($C16="",0,SUMIF('DADOS BRUTOS'!$A$3:$A$500,$C16,'DADOS BRUTOS'!CO$3:CO$500)))</f>
        <v/>
      </c>
      <c r="FP16" s="132">
        <f>IF(OR(FP$4="",$B16=""),0,SUMIF('DADOS BRUTOS'!$A$3:$A$500,$B16,'DADOS BRUTOS'!CP$3:CP$500)+IF($C16="",0,SUMIF('DADOS BRUTOS'!$A$3:$A$500,$C16,'DADOS BRUTOS'!CP$3:CP$500)))</f>
        <v/>
      </c>
      <c r="FQ16" s="132">
        <f>IF(OR(FQ$4="",$B16=""),0,SUMIF('DADOS BRUTOS'!$A$3:$A$500,$B16,'DADOS BRUTOS'!CQ$3:CQ$500)+IF($C16="",0,SUMIF('DADOS BRUTOS'!$A$3:$A$500,$C16,'DADOS BRUTOS'!CQ$3:CQ$500)))</f>
        <v/>
      </c>
      <c r="FR16" s="132">
        <f>IF(OR(FR$4="",$B16=""),0,SUMIF('DADOS BRUTOS'!$A$3:$A$500,$B16,'DADOS BRUTOS'!CR$3:CR$500)+IF($C16="",0,SUMIF('DADOS BRUTOS'!$A$3:$A$500,$C16,'DADOS BRUTOS'!CR$3:CR$500)))</f>
        <v/>
      </c>
      <c r="FS16" s="132">
        <f>IF(OR(FS$4="",$B16=""),0,SUMIF('DADOS BRUTOS'!$A$3:$A$500,$B16,'DADOS BRUTOS'!CS$3:CS$500)+IF($C16="",0,SUMIF('DADOS BRUTOS'!$A$3:$A$500,$C16,'DADOS BRUTOS'!CS$3:CS$500)))</f>
        <v/>
      </c>
      <c r="FT16" s="132">
        <f>IF(OR(FT$4="",$B16=""),0,SUMIF('DADOS BRUTOS'!$A$3:$A$500,$B16,'DADOS BRUTOS'!CT$3:CT$500)+IF($C16="",0,SUMIF('DADOS BRUTOS'!$A$3:$A$500,$C16,'DADOS BRUTOS'!CT$3:CT$500)))</f>
        <v/>
      </c>
      <c r="FU16" s="132">
        <f>IF(OR(FU$4="",$B16=""),0,SUMIF('DADOS BRUTOS'!$A$3:$A$500,$B16,'DADOS BRUTOS'!CU$3:CU$500)+IF($C16="",0,SUMIF('DADOS BRUTOS'!$A$3:$A$500,$C16,'DADOS BRUTOS'!CU$3:CU$500)))</f>
        <v/>
      </c>
      <c r="FV16" s="132">
        <f>IF(OR(FV$4="",$B16=""),0,SUMIF('DADOS BRUTOS'!$A$3:$A$500,$B16,'DADOS BRUTOS'!CV$3:CV$500)+IF($C16="",0,SUMIF('DADOS BRUTOS'!$A$3:$A$500,$C16,'DADOS BRUTOS'!CV$3:CV$500)))</f>
        <v/>
      </c>
      <c r="FW16" s="132">
        <f>IF(OR(FW$4="",$B16=""),0,SUMIF('DADOS BRUTOS'!$A$3:$A$500,$B16,'DADOS BRUTOS'!CW$3:CW$500)+IF($C16="",0,SUMIF('DADOS BRUTOS'!$A$3:$A$500,$C16,'DADOS BRUTOS'!CW$3:CW$500)))</f>
        <v/>
      </c>
      <c r="FX16" s="132">
        <f>IF(OR(FX$4="",$B16=""),0,SUMIF('DADOS BRUTOS'!$A$3:$A$500,$B16,'DADOS BRUTOS'!CX$3:CX$500)+IF($C16="",0,SUMIF('DADOS BRUTOS'!$A$3:$A$500,$C16,'DADOS BRUTOS'!CX$3:CX$500)))</f>
        <v/>
      </c>
      <c r="FY16" s="132">
        <f>IF(OR(FY$4="",$B16=""),0,SUMIF('DADOS BRUTOS'!$A$3:$A$500,$B16,'DADOS BRUTOS'!CY$3:CY$500)+IF($C16="",0,SUMIF('DADOS BRUTOS'!$A$3:$A$500,$C16,'DADOS BRUTOS'!CY$3:CY$500)))</f>
        <v/>
      </c>
      <c r="FZ16" s="132">
        <f>IF(OR(FZ$4="",$B16=""),0,SUMIF('DADOS BRUTOS'!$A$3:$A$500,$B16,'DADOS BRUTOS'!CZ$3:CZ$500)+IF($C16="",0,SUMIF('DADOS BRUTOS'!$A$3:$A$500,$C16,'DADOS BRUTOS'!CZ$3:CZ$500)))</f>
        <v/>
      </c>
      <c r="GA16" s="132">
        <f>IF(OR(GA$4="",$B16=""),0,SUMIF('DADOS BRUTOS'!$A$3:$A$500,$B16,'DADOS BRUTOS'!DA$3:DA$500)+IF($C16="",0,SUMIF('DADOS BRUTOS'!$A$3:$A$500,$C16,'DADOS BRUTOS'!DA$3:DA$500)))</f>
        <v/>
      </c>
      <c r="GB16" s="132">
        <f>IF(OR(GB$4="",$B16=""),0,SUMIF('DADOS BRUTOS'!$A$3:$A$500,$B16,'DADOS BRUTOS'!DB$3:DB$500)+IF($C16="",0,SUMIF('DADOS BRUTOS'!$A$3:$A$500,$C16,'DADOS BRUTOS'!DB$3:DB$500)))</f>
        <v/>
      </c>
      <c r="GC16" s="132">
        <f>IF(OR(GC$4="",$B16=""),0,SUMIF('DADOS BRUTOS'!$A$3:$A$500,$B16,'DADOS BRUTOS'!DC$3:DC$500)+IF($C16="",0,SUMIF('DADOS BRUTOS'!$A$3:$A$500,$C16,'DADOS BRUTOS'!DC$3:DC$500)))</f>
        <v/>
      </c>
      <c r="GD16" s="132">
        <f>IF(OR(GD$4="",$B16=""),0,SUMIF('DADOS BRUTOS'!$A$3:$A$500,$B16,'DADOS BRUTOS'!DD$3:DD$500)+IF($C16="",0,SUMIF('DADOS BRUTOS'!$A$3:$A$500,$C16,'DADOS BRUTOS'!DD$3:DD$500)))</f>
        <v/>
      </c>
      <c r="GE16" s="132">
        <f>IF(OR(GE$4="",$B16=""),0,SUMIF('DADOS BRUTOS'!$A$3:$A$500,$B16,'DADOS BRUTOS'!DE$3:DE$500)+IF($C16="",0,SUMIF('DADOS BRUTOS'!$A$3:$A$500,$C16,'DADOS BRUTOS'!DE$3:DE$500)))</f>
        <v/>
      </c>
      <c r="GF16" s="132">
        <f>IF(OR(GF$4="",$B16=""),0,SUMIF('DADOS BRUTOS'!$A$3:$A$500,$B16,'DADOS BRUTOS'!DF$3:DF$500)+IF($C16="",0,SUMIF('DADOS BRUTOS'!$A$3:$A$500,$C16,'DADOS BRUTOS'!DF$3:DF$500)))</f>
        <v/>
      </c>
      <c r="GG16" s="132">
        <f>IF(OR(GG$4="",$B16=""),0,SUMIF('DADOS BRUTOS'!$A$3:$A$500,$B16,'DADOS BRUTOS'!DG$3:DG$500)+IF($C16="",0,SUMIF('DADOS BRUTOS'!$A$3:$A$500,$C16,'DADOS BRUTOS'!DG$3:DG$500)))</f>
        <v/>
      </c>
      <c r="GH16" s="132">
        <f>IF(OR(GH$4="",$B16=""),0,SUMIF('DADOS BRUTOS'!$A$3:$A$500,$B16,'DADOS BRUTOS'!DH$3:DH$500)+IF($C16="",0,SUMIF('DADOS BRUTOS'!$A$3:$A$500,$C16,'DADOS BRUTOS'!DH$3:DH$500)))</f>
        <v/>
      </c>
      <c r="GI16" s="132">
        <f>IF(OR(GI$4="",$B16=""),0,SUMIF('DADOS BRUTOS'!$A$3:$A$500,$B16,'DADOS BRUTOS'!DI$3:DI$500)+IF($C16="",0,SUMIF('DADOS BRUTOS'!$A$3:$A$500,$C16,'DADOS BRUTOS'!DI$3:DI$500)))</f>
        <v/>
      </c>
      <c r="GJ16" s="132">
        <f>IF(OR(GJ$4="",$B16=""),0,SUMIF('DADOS BRUTOS'!$A$3:$A$500,$B16,'DADOS BRUTOS'!DJ$3:DJ$500)+IF($C16="",0,SUMIF('DADOS BRUTOS'!$A$3:$A$500,$C16,'DADOS BRUTOS'!DJ$3:DJ$500)))</f>
        <v/>
      </c>
      <c r="GK16" s="132">
        <f>IF(OR(GK$4="",$B16=""),0,SUMIF('DADOS BRUTOS'!$A$3:$A$500,$B16,'DADOS BRUTOS'!DK$3:DK$500)+IF($C16="",0,SUMIF('DADOS BRUTOS'!$A$3:$A$500,$C16,'DADOS BRUTOS'!DK$3:DK$500)))</f>
        <v/>
      </c>
      <c r="GL16" s="132">
        <f>IF(OR(GL$4="",$B16=""),0,SUMIF('DADOS BRUTOS'!$A$3:$A$500,$B16,'DADOS BRUTOS'!DL$3:DL$500)+IF($C16="",0,SUMIF('DADOS BRUTOS'!$A$3:$A$500,$C16,'DADOS BRUTOS'!DL$3:DL$500)))</f>
        <v/>
      </c>
      <c r="GM16" s="132">
        <f>IF(OR(GM$4="",$B16=""),0,SUMIF('DADOS BRUTOS'!$A$3:$A$500,$B16,'DADOS BRUTOS'!DM$3:DM$500)+IF($C16="",0,SUMIF('DADOS BRUTOS'!$A$3:$A$500,$C16,'DADOS BRUTOS'!DM$3:DM$500)))</f>
        <v/>
      </c>
      <c r="GN16" s="132">
        <f>IF(OR(GN$4="",$B16=""),0,SUMIF('DADOS BRUTOS'!$A$3:$A$500,$B16,'DADOS BRUTOS'!DN$3:DN$500)+IF($C16="",0,SUMIF('DADOS BRUTOS'!$A$3:$A$500,$C16,'DADOS BRUTOS'!DN$3:DN$500)))</f>
        <v/>
      </c>
      <c r="GO16" s="132">
        <f>IF(OR(GO$4="",$B16=""),0,SUMIF('DADOS BRUTOS'!$A$3:$A$500,$B16,'DADOS BRUTOS'!DO$3:DO$500)+IF($C16="",0,SUMIF('DADOS BRUTOS'!$A$3:$A$500,$C16,'DADOS BRUTOS'!DO$3:DO$500)))</f>
        <v/>
      </c>
      <c r="GP16" s="132">
        <f>IF(OR(GP$4="",$B16=""),0,SUMIF('DADOS BRUTOS'!$A$3:$A$500,$B16,'DADOS BRUTOS'!DP$3:DP$500)+IF($C16="",0,SUMIF('DADOS BRUTOS'!$A$3:$A$500,$C16,'DADOS BRUTOS'!DP$3:DP$500)))</f>
        <v/>
      </c>
      <c r="GQ16" s="132">
        <f>IF(OR(GQ$4="",$B16=""),0,SUMIF('DADOS BRUTOS'!$A$3:$A$500,$B16,'DADOS BRUTOS'!DQ$3:DQ$500)+IF($C16="",0,SUMIF('DADOS BRUTOS'!$A$3:$A$500,$C16,'DADOS BRUTOS'!DQ$3:DQ$500)))</f>
        <v/>
      </c>
      <c r="GR16" s="132">
        <f>IF(OR(GR$4="",$B16=""),0,SUMIF('DADOS BRUTOS'!$A$3:$A$500,$B16,'DADOS BRUTOS'!DR$3:DR$500)+IF($C16="",0,SUMIF('DADOS BRUTOS'!$A$3:$A$500,$C16,'DADOS BRUTOS'!DR$3:DR$500)))</f>
        <v/>
      </c>
      <c r="GS16" s="132">
        <f>IF(OR(GS$4="",$B16=""),0,SUMIF('DADOS BRUTOS'!$A$3:$A$500,$B16,'DADOS BRUTOS'!DS$3:DS$500)+IF($C16="",0,SUMIF('DADOS BRUTOS'!$A$3:$A$500,$C16,'DADOS BRUTOS'!DS$3:DS$500)))</f>
        <v/>
      </c>
      <c r="GT16" s="132">
        <f>IF(OR(GT$4="",$B16=""),0,SUMIF('DADOS BRUTOS'!$A$3:$A$500,$B16,'DADOS BRUTOS'!DT$3:DT$500)+IF($C16="",0,SUMIF('DADOS BRUTOS'!$A$3:$A$500,$C16,'DADOS BRUTOS'!DT$3:DT$500)))</f>
        <v/>
      </c>
      <c r="GU16" s="132">
        <f>IF(OR(GU$4="",$B16=""),0,SUMIF('DADOS BRUTOS'!$A$3:$A$500,$B16,'DADOS BRUTOS'!DU$3:DU$500)+IF($C16="",0,SUMIF('DADOS BRUTOS'!$A$3:$A$500,$C16,'DADOS BRUTOS'!DU$3:DU$500)))</f>
        <v/>
      </c>
      <c r="GV16" s="132">
        <f>IF(OR(GV$4="",$B16=""),0,SUMIF('DADOS BRUTOS'!$A$3:$A$500,$B16,'DADOS BRUTOS'!DV$3:DV$500)+IF($C16="",0,SUMIF('DADOS BRUTOS'!$A$3:$A$500,$C16,'DADOS BRUTOS'!DV$3:DV$500)))</f>
        <v/>
      </c>
      <c r="GW16" s="132">
        <f>IF(OR(GW$4="",$B16=""),0,SUMIF('DADOS BRUTOS'!$A$3:$A$500,$B16,'DADOS BRUTOS'!DW$3:DW$500)+IF($C16="",0,SUMIF('DADOS BRUTOS'!$A$3:$A$500,$C16,'DADOS BRUTOS'!DW$3:DW$500)))</f>
        <v/>
      </c>
      <c r="GX16" s="132">
        <f>IF(OR(GX$4="",$B16=""),0,SUMIF('DADOS BRUTOS'!$A$3:$A$500,$B16,'DADOS BRUTOS'!DX$3:DX$500)+IF($C16="",0,SUMIF('DADOS BRUTOS'!$A$3:$A$500,$C16,'DADOS BRUTOS'!DX$3:DX$500)))</f>
        <v/>
      </c>
      <c r="GY16" s="132">
        <f>IF(OR(GY$4="",$B16=""),0,SUMIF('DADOS BRUTOS'!$A$3:$A$500,$B16,'DADOS BRUTOS'!DY$3:DY$500)+IF($C16="",0,SUMIF('DADOS BRUTOS'!$A$3:$A$500,$C16,'DADOS BRUTOS'!DY$3:DY$500)))</f>
        <v/>
      </c>
      <c r="GZ16" s="132">
        <f>IF(OR(GZ$4="",$B16=""),0,SUMIF('DADOS BRUTOS'!$A$3:$A$500,$B16,'DADOS BRUTOS'!DZ$3:DZ$500)+IF($C16="",0,SUMIF('DADOS BRUTOS'!$A$3:$A$500,$C16,'DADOS BRUTOS'!DZ$3:DZ$500)))</f>
        <v/>
      </c>
      <c r="HA16" s="132">
        <f>IF(OR(HA$4="",$B16=""),0,SUMIF('DADOS BRUTOS'!$A$3:$A$500,$B16,'DADOS BRUTOS'!EA$3:EA$500)+IF($C16="",0,SUMIF('DADOS BRUTOS'!$A$3:$A$500,$C16,'DADOS BRUTOS'!EA$3:EA$500)))</f>
        <v/>
      </c>
      <c r="HB16" s="132">
        <f>IF(OR(HB$4="",$B16=""),0,SUMIF('DADOS BRUTOS'!$A$3:$A$500,$B16,'DADOS BRUTOS'!EB$3:EB$500)+IF($C16="",0,SUMIF('DADOS BRUTOS'!$A$3:$A$500,$C16,'DADOS BRUTOS'!EB$3:EB$500)))</f>
        <v/>
      </c>
      <c r="HC16" s="132">
        <f>IF(OR(HC$4="",$B16=""),0,SUMIF('DADOS BRUTOS'!$A$3:$A$500,$B16,'DADOS BRUTOS'!EC$3:EC$500)+IF($C16="",0,SUMIF('DADOS BRUTOS'!$A$3:$A$500,$C16,'DADOS BRUTOS'!EC$3:EC$500)))</f>
        <v/>
      </c>
      <c r="HD16" s="132">
        <f>IF(OR(HD$4="",$B16=""),0,SUMIF('DADOS BRUTOS'!$A$3:$A$500,$B16,'DADOS BRUTOS'!ED$3:ED$500)+IF($C16="",0,SUMIF('DADOS BRUTOS'!$A$3:$A$500,$C16,'DADOS BRUTOS'!ED$3:ED$500)))</f>
        <v/>
      </c>
      <c r="HE16" s="132">
        <f>IF(OR(HE$4="",$B16=""),0,SUMIF('DADOS BRUTOS'!$A$3:$A$500,$B16,'DADOS BRUTOS'!EE$3:EE$500)+IF($C16="",0,SUMIF('DADOS BRUTOS'!$A$3:$A$500,$C16,'DADOS BRUTOS'!EE$3:EE$500)))</f>
        <v/>
      </c>
      <c r="HF16" s="132">
        <f>IF(OR(HF$4="",$B16=""),0,SUMIF('DADOS BRUTOS'!$A$3:$A$500,$B16,'DADOS BRUTOS'!EF$3:EF$500)+IF($C16="",0,SUMIF('DADOS BRUTOS'!$A$3:$A$500,$C16,'DADOS BRUTOS'!EF$3:EF$500)))</f>
        <v/>
      </c>
      <c r="HG16" s="132">
        <f>IF(OR(HG$4="",$B16=""),0,SUMIF('DADOS BRUTOS'!$A$3:$A$500,$B16,'DADOS BRUTOS'!EG$3:EG$500)+IF($C16="",0,SUMIF('DADOS BRUTOS'!$A$3:$A$500,$C16,'DADOS BRUTOS'!EG$3:EG$500)))</f>
        <v/>
      </c>
      <c r="HH16" s="132">
        <f>IF(OR(HH$4="",$B16=""),0,SUMIF('DADOS BRUTOS'!$A$3:$A$500,$B16,'DADOS BRUTOS'!EH$3:EH$500)+IF($C16="",0,SUMIF('DADOS BRUTOS'!$A$3:$A$500,$C16,'DADOS BRUTOS'!EH$3:EH$500)))</f>
        <v/>
      </c>
      <c r="HI16" s="132">
        <f>IF(OR(HI$4="",$B16=""),0,SUMIF('DADOS BRUTOS'!$A$3:$A$500,$B16,'DADOS BRUTOS'!EI$3:EI$500)+IF($C16="",0,SUMIF('DADOS BRUTOS'!$A$3:$A$500,$C16,'DADOS BRUTOS'!EI$3:EI$500)))</f>
        <v/>
      </c>
      <c r="HJ16" s="132">
        <f>IF(OR(HJ$4="",$B16=""),0,SUMIF('DADOS BRUTOS'!$A$3:$A$500,$B16,'DADOS BRUTOS'!EJ$3:EJ$500)+IF($C16="",0,SUMIF('DADOS BRUTOS'!$A$3:$A$500,$C16,'DADOS BRUTOS'!EJ$3:EJ$500)))</f>
        <v/>
      </c>
      <c r="HK16" s="132">
        <f>IF(OR(HK$4="",$B16=""),0,SUMIF('DADOS BRUTOS'!$A$3:$A$500,$B16,'DADOS BRUTOS'!EK$3:EK$500)+IF($C16="",0,SUMIF('DADOS BRUTOS'!$A$3:$A$500,$C16,'DADOS BRUTOS'!EK$3:EK$500)))</f>
        <v/>
      </c>
      <c r="HL16" s="132">
        <f>IF(OR(HL$4="",$B16=""),0,SUMIF('DADOS BRUTOS'!$A$3:$A$500,$B16,'DADOS BRUTOS'!EL$3:EL$500)+IF($C16="",0,SUMIF('DADOS BRUTOS'!$A$3:$A$500,$C16,'DADOS BRUTOS'!EL$3:EL$500)))</f>
        <v/>
      </c>
      <c r="HM16" s="132">
        <f>IF(OR(HM$4="",$B16=""),0,SUMIF('DADOS BRUTOS'!$A$3:$A$500,$B16,'DADOS BRUTOS'!EM$3:EM$500)+IF($C16="",0,SUMIF('DADOS BRUTOS'!$A$3:$A$500,$C16,'DADOS BRUTOS'!EM$3:EM$500)))</f>
        <v/>
      </c>
      <c r="HN16" s="132">
        <f>IF(OR(HN$4="",$B16=""),0,SUMIF('DADOS BRUTOS'!$A$3:$A$500,$B16,'DADOS BRUTOS'!EN$3:EN$500)+IF($C16="",0,SUMIF('DADOS BRUTOS'!$A$3:$A$500,$C16,'DADOS BRUTOS'!EN$3:EN$500)))</f>
        <v/>
      </c>
      <c r="HO16" s="132">
        <f>IF(OR(HO$4="",$B16=""),0,SUMIF('DADOS BRUTOS'!$A$3:$A$500,$B16,'DADOS BRUTOS'!EO$3:EO$500)+IF($C16="",0,SUMIF('DADOS BRUTOS'!$A$3:$A$500,$C16,'DADOS BRUTOS'!EO$3:EO$500)))</f>
        <v/>
      </c>
      <c r="HP16" s="132">
        <f>IF(OR(HP$4="",$B16=""),0,SUMIF('DADOS BRUTOS'!$A$3:$A$500,$B16,'DADOS BRUTOS'!EP$3:EP$500)+IF($C16="",0,SUMIF('DADOS BRUTOS'!$A$3:$A$500,$C16,'DADOS BRUTOS'!EP$3:EP$500)))</f>
        <v/>
      </c>
      <c r="HQ16" s="132">
        <f>IF(OR(HQ$4="",$B16=""),0,SUMIF('DADOS BRUTOS'!$A$3:$A$500,$B16,'DADOS BRUTOS'!EQ$3:EQ$500)+IF($C16="",0,SUMIF('DADOS BRUTOS'!$A$3:$A$500,$C16,'DADOS BRUTOS'!EQ$3:EQ$500)))</f>
        <v/>
      </c>
      <c r="HR16" s="132">
        <f>IF(OR(HR$4="",$B16=""),0,SUMIF('DADOS BRUTOS'!$A$3:$A$500,$B16,'DADOS BRUTOS'!ER$3:ER$500)+IF($C16="",0,SUMIF('DADOS BRUTOS'!$A$3:$A$500,$C16,'DADOS BRUTOS'!ER$3:ER$500)))</f>
        <v/>
      </c>
      <c r="HS16" s="132">
        <f>IF(OR(HS$4="",$B16=""),0,SUMIF('DADOS BRUTOS'!$A$3:$A$500,$B16,'DADOS BRUTOS'!ES$3:ES$500)+IF($C16="",0,SUMIF('DADOS BRUTOS'!$A$3:$A$500,$C16,'DADOS BRUTOS'!ES$3:ES$500)))</f>
        <v/>
      </c>
      <c r="HT16" s="132">
        <f>IF(OR(HT$4="",$B16=""),0,SUMIF('DADOS BRUTOS'!$A$3:$A$500,$B16,'DADOS BRUTOS'!ET$3:ET$500)+IF($C16="",0,SUMIF('DADOS BRUTOS'!$A$3:$A$500,$C16,'DADOS BRUTOS'!ET$3:ET$500)))</f>
        <v/>
      </c>
      <c r="HU16" s="132">
        <f>IF(OR(HU$4="",$B16=""),0,SUMIF('DADOS BRUTOS'!$A$3:$A$500,$B16,'DADOS BRUTOS'!EU$3:EU$500)+IF($C16="",0,SUMIF('DADOS BRUTOS'!$A$3:$A$500,$C16,'DADOS BRUTOS'!EU$3:EU$500)))</f>
        <v/>
      </c>
      <c r="HV16" s="132">
        <f>IF(OR(HV$4="",$B16=""),0,SUMIF('DADOS BRUTOS'!$A$3:$A$500,$B16,'DADOS BRUTOS'!EV$3:EV$500)+IF($C16="",0,SUMIF('DADOS BRUTOS'!$A$3:$A$500,$C16,'DADOS BRUTOS'!EV$3:EV$500)))</f>
        <v/>
      </c>
      <c r="HW16" s="132">
        <f>IF(OR(HW$4="",$B16=""),0,SUMIF('DADOS BRUTOS'!$A$3:$A$500,$B16,'DADOS BRUTOS'!EW$3:EW$500)+IF($C16="",0,SUMIF('DADOS BRUTOS'!$A$3:$A$500,$C16,'DADOS BRUTOS'!EW$3:EW$500)))</f>
        <v/>
      </c>
      <c r="HX16" s="132">
        <f>IF(OR(HX$4="",$B16=""),0,SUMIF('DADOS BRUTOS'!$A$3:$A$500,$B16,'DADOS BRUTOS'!EX$3:EX$500)+IF($C16="",0,SUMIF('DADOS BRUTOS'!$A$3:$A$500,$C16,'DADOS BRUTOS'!EX$3:EX$500)))</f>
        <v/>
      </c>
      <c r="HY16" s="132">
        <f>IF(OR(HY$4="",$B16=""),0,SUMIF('DADOS BRUTOS'!$A$3:$A$500,$B16,'DADOS BRUTOS'!EY$3:EY$500)+IF($C16="",0,SUMIF('DADOS BRUTOS'!$A$3:$A$500,$C16,'DADOS BRUTOS'!EY$3:EY$500)))</f>
        <v/>
      </c>
      <c r="HZ16" s="132">
        <f>IF(OR(HZ$4="",$B16=""),0,SUMIF('DADOS BRUTOS'!$A$3:$A$500,$B16,'DADOS BRUTOS'!EZ$3:EZ$500)+IF($C16="",0,SUMIF('DADOS BRUTOS'!$A$3:$A$500,$C16,'DADOS BRUTOS'!EZ$3:EZ$500)))</f>
        <v/>
      </c>
      <c r="IA16" s="132">
        <f>IF(OR(IA$4="",$B16=""),0,SUMIF('DADOS BRUTOS'!$A$3:$A$500,$B16,'DADOS BRUTOS'!FA$3:FA$500)+IF($C16="",0,SUMIF('DADOS BRUTOS'!$A$3:$A$500,$C16,'DADOS BRUTOS'!FA$3:FA$500)))</f>
        <v/>
      </c>
      <c r="IB16" s="132">
        <f>IF(OR(IB$4="",$B16=""),0,SUMIF('DADOS BRUTOS'!$A$3:$A$500,$B16,'DADOS BRUTOS'!FB$3:FB$500)+IF($C16="",0,SUMIF('DADOS BRUTOS'!$A$3:$A$500,$C16,'DADOS BRUTOS'!FB$3:FB$500)))</f>
        <v/>
      </c>
      <c r="IC16" s="132">
        <f>IF(OR(IC$4="",$B16=""),0,SUMIF('DADOS BRUTOS'!$A$3:$A$500,$B16,'DADOS BRUTOS'!FC$3:FC$500)+IF($C16="",0,SUMIF('DADOS BRUTOS'!$A$3:$A$500,$C16,'DADOS BRUTOS'!FC$3:FC$500)))</f>
        <v/>
      </c>
      <c r="ID16" s="132">
        <f>IF(OR(ID$4="",$B16=""),0,SUMIF('DADOS BRUTOS'!$A$3:$A$500,$B16,'DADOS BRUTOS'!FD$3:FD$500)+IF($C16="",0,SUMIF('DADOS BRUTOS'!$A$3:$A$500,$C16,'DADOS BRUTOS'!FD$3:FD$500)))</f>
        <v/>
      </c>
      <c r="IE16" s="132">
        <f>IF(OR(IE$4="",$B16=""),0,SUMIF('DADOS BRUTOS'!$A$3:$A$500,$B16,'DADOS BRUTOS'!FE$3:FE$500)+IF($C16="",0,SUMIF('DADOS BRUTOS'!$A$3:$A$500,$C16,'DADOS BRUTOS'!FE$3:FE$500)))</f>
        <v/>
      </c>
      <c r="IF16" s="132">
        <f>IF(OR(IF$4="",$B16=""),0,SUMIF('DADOS BRUTOS'!$A$3:$A$500,$B16,'DADOS BRUTOS'!FF$3:FF$500)+IF($C16="",0,SUMIF('DADOS BRUTOS'!$A$3:$A$500,$C16,'DADOS BRUTOS'!FF$3:FF$500)))</f>
        <v/>
      </c>
      <c r="IG16" s="132">
        <f>IF(OR(IG$4="",$B16=""),0,SUMIF('DADOS BRUTOS'!$A$3:$A$500,$B16,'DADOS BRUTOS'!FG$3:FG$500)+IF($C16="",0,SUMIF('DADOS BRUTOS'!$A$3:$A$500,$C16,'DADOS BRUTOS'!FG$3:FG$500)))</f>
        <v/>
      </c>
      <c r="IH16" s="132">
        <f>IF(OR(IH$4="",$B16=""),0,SUMIF('DADOS BRUTOS'!$A$3:$A$500,$B16,'DADOS BRUTOS'!FH$3:FH$500)+IF($C16="",0,SUMIF('DADOS BRUTOS'!$A$3:$A$500,$C16,'DADOS BRUTOS'!FH$3:FH$500)))</f>
        <v/>
      </c>
      <c r="II16" s="132">
        <f>IF(OR(II$4="",$B16=""),0,SUMIF('DADOS BRUTOS'!$A$3:$A$500,$B16,'DADOS BRUTOS'!FI$3:FI$500)+IF($C16="",0,SUMIF('DADOS BRUTOS'!$A$3:$A$500,$C16,'DADOS BRUTOS'!FI$3:FI$500)))</f>
        <v/>
      </c>
      <c r="IJ16" s="132">
        <f>IF(OR(IJ$4="",$B16=""),0,SUMIF('DADOS BRUTOS'!$A$3:$A$500,$B16,'DADOS BRUTOS'!FJ$3:FJ$500)+IF($C16="",0,SUMIF('DADOS BRUTOS'!$A$3:$A$500,$C16,'DADOS BRUTOS'!FJ$3:FJ$500)))</f>
        <v/>
      </c>
      <c r="IK16" s="132">
        <f>IF(OR(IK$4="",$B16=""),0,SUMIF('DADOS BRUTOS'!$A$3:$A$500,$B16,'DADOS BRUTOS'!FK$3:FK$500)+IF($C16="",0,SUMIF('DADOS BRUTOS'!$A$3:$A$500,$C16,'DADOS BRUTOS'!FK$3:FK$500)))</f>
        <v/>
      </c>
      <c r="IL16" s="132">
        <f>IF(OR(IL$4="",$B16=""),0,SUMIF('DADOS BRUTOS'!$A$3:$A$500,$B16,'DADOS BRUTOS'!FL$3:FL$500)+IF($C16="",0,SUMIF('DADOS BRUTOS'!$A$3:$A$500,$C16,'DADOS BRUTOS'!FL$3:FL$500)))</f>
        <v/>
      </c>
      <c r="IM16" s="132">
        <f>IF(OR(IM$4="",$B16=""),0,SUMIF('DADOS BRUTOS'!$A$3:$A$500,$B16,'DADOS BRUTOS'!FM$3:FM$500)+IF($C16="",0,SUMIF('DADOS BRUTOS'!$A$3:$A$500,$C16,'DADOS BRUTOS'!FM$3:FM$500)))</f>
        <v/>
      </c>
      <c r="IN16" s="132">
        <f>IF(OR(IN$4="",$B16=""),0,SUMIF('DADOS BRUTOS'!$A$3:$A$500,$B16,'DADOS BRUTOS'!FN$3:FN$500)+IF($C16="",0,SUMIF('DADOS BRUTOS'!$A$3:$A$500,$C16,'DADOS BRUTOS'!FN$3:FN$500)))</f>
        <v/>
      </c>
      <c r="IO16" s="132">
        <f>IF(OR(IO$4="",$B16=""),0,SUMIF('DADOS BRUTOS'!$A$3:$A$500,$B16,'DADOS BRUTOS'!FO$3:FO$500)+IF($C16="",0,SUMIF('DADOS BRUTOS'!$A$3:$A$500,$C16,'DADOS BRUTOS'!FO$3:FO$500)))</f>
        <v/>
      </c>
      <c r="IP16" s="132">
        <f>IF(OR(IP$4="",$B16=""),0,SUMIF('DADOS BRUTOS'!$A$3:$A$500,$B16,'DADOS BRUTOS'!FP$3:FP$500)+IF($C16="",0,SUMIF('DADOS BRUTOS'!$A$3:$A$500,$C16,'DADOS BRUTOS'!FP$3:FP$500)))</f>
        <v/>
      </c>
      <c r="IQ16" s="132">
        <f>IF(OR(IQ$4="",$B16=""),0,SUMIF('DADOS BRUTOS'!$A$3:$A$500,$B16,'DADOS BRUTOS'!FQ$3:FQ$500)+IF($C16="",0,SUMIF('DADOS BRUTOS'!$A$3:$A$500,$C16,'DADOS BRUTOS'!FQ$3:FQ$500)))</f>
        <v/>
      </c>
      <c r="IR16" s="132">
        <f>IF(OR(IR$4="",$B16=""),0,SUMIF('DADOS BRUTOS'!$A$3:$A$500,$B16,'DADOS BRUTOS'!FR$3:FR$500)+IF($C16="",0,SUMIF('DADOS BRUTOS'!$A$3:$A$500,$C16,'DADOS BRUTOS'!FR$3:FR$500)))</f>
        <v/>
      </c>
      <c r="IS16" s="132">
        <f>IF(OR(IS$4="",$B16=""),0,SUMIF('DADOS BRUTOS'!$A$3:$A$500,$B16,'DADOS BRUTOS'!FS$3:FS$500)+IF($C16="",0,SUMIF('DADOS BRUTOS'!$A$3:$A$500,$C16,'DADOS BRUTOS'!FS$3:FS$500)))</f>
        <v/>
      </c>
      <c r="IT16" s="132">
        <f>IF(OR(IT$4="",$B16=""),0,SUMIF('DADOS BRUTOS'!$A$3:$A$500,$B16,'DADOS BRUTOS'!FT$3:FT$500)+IF($C16="",0,SUMIF('DADOS BRUTOS'!$A$3:$A$500,$C16,'DADOS BRUTOS'!FT$3:FT$500)))</f>
        <v/>
      </c>
      <c r="IU16" s="132">
        <f>IF(OR(IU$4="",$B16=""),0,SUMIF('DADOS BRUTOS'!$A$3:$A$500,$B16,'DADOS BRUTOS'!FU$3:FU$500)+IF($C16="",0,SUMIF('DADOS BRUTOS'!$A$3:$A$500,$C16,'DADOS BRUTOS'!FU$3:FU$500)))</f>
        <v/>
      </c>
      <c r="IV16" s="132">
        <f>IF(OR(IV$4="",$B16=""),0,SUMIF('DADOS BRUTOS'!$A$3:$A$500,$B16,'DADOS BRUTOS'!FV$3:FV$500)+IF($C16="",0,SUMIF('DADOS BRUTOS'!$A$3:$A$500,$C16,'DADOS BRUTOS'!FV$3:FV$500)))</f>
        <v/>
      </c>
      <c r="IW16" s="132">
        <f>IF(OR(IW$4="",$B16=""),0,SUMIF('DADOS BRUTOS'!$A$3:$A$500,$B16,'DADOS BRUTOS'!FW$3:FW$500)+IF($C16="",0,SUMIF('DADOS BRUTOS'!$A$3:$A$500,$C16,'DADOS BRUTOS'!FW$3:FW$500)))</f>
        <v/>
      </c>
      <c r="IX16" s="132">
        <f>IF(OR(IX$4="",$B16=""),0,SUMIF('DADOS BRUTOS'!$A$3:$A$500,$B16,'DADOS BRUTOS'!FX$3:FX$500)+IF($C16="",0,SUMIF('DADOS BRUTOS'!$A$3:$A$500,$C16,'DADOS BRUTOS'!FX$3:FX$500)))</f>
        <v/>
      </c>
      <c r="IY16" s="132">
        <f>IF(OR(IY$4="",$B16=""),0,SUMIF('DADOS BRUTOS'!$A$3:$A$500,$B16,'DADOS BRUTOS'!FY$3:FY$500)+IF($C16="",0,SUMIF('DADOS BRUTOS'!$A$3:$A$500,$C16,'DADOS BRUTOS'!FY$3:FY$500)))</f>
        <v/>
      </c>
      <c r="IZ16" s="132">
        <f>IF(OR(IZ$4="",$B16=""),0,SUMIF('DADOS BRUTOS'!$A$3:$A$500,$B16,'DADOS BRUTOS'!FZ$3:FZ$500)+IF($C16="",0,SUMIF('DADOS BRUTOS'!$A$3:$A$500,$C16,'DADOS BRUTOS'!FZ$3:FZ$500)))</f>
        <v/>
      </c>
      <c r="JA16" s="132">
        <f>IF(OR(JA$4="",$B16=""),0,SUMIF('DADOS BRUTOS'!$A$3:$A$500,$B16,'DADOS BRUTOS'!GA$3:GA$500)+IF($C16="",0,SUMIF('DADOS BRUTOS'!$A$3:$A$500,$C16,'DADOS BRUTOS'!GA$3:GA$500)))</f>
        <v/>
      </c>
      <c r="JB16" s="132">
        <f>IF(OR(JB$4="",$B16=""),0,SUMIF('DADOS BRUTOS'!$A$3:$A$500,$B16,'DADOS BRUTOS'!GB$3:GB$500)+IF($C16="",0,SUMIF('DADOS BRUTOS'!$A$3:$A$500,$C16,'DADOS BRUTOS'!GB$3:GB$500)))</f>
        <v/>
      </c>
      <c r="JC16" s="132">
        <f>IF(OR(JC$4="",$B16=""),0,SUMIF('DADOS BRUTOS'!$A$3:$A$500,$B16,'DADOS BRUTOS'!GC$3:GC$500)+IF($C16="",0,SUMIF('DADOS BRUTOS'!$A$3:$A$500,$C16,'DADOS BRUTOS'!GC$3:GC$500)))</f>
        <v/>
      </c>
      <c r="JD16" s="132">
        <f>IF(OR(JD$4="",$B16=""),0,SUMIF('DADOS BRUTOS'!$A$3:$A$500,$B16,'DADOS BRUTOS'!GD$3:GD$500)+IF($C16="",0,SUMIF('DADOS BRUTOS'!$A$3:$A$500,$C16,'DADOS BRUTOS'!GD$3:GD$500)))</f>
        <v/>
      </c>
      <c r="JE16" s="132">
        <f>IF(OR(JE$4="",$B16=""),0,SUMIF('DADOS BRUTOS'!$A$3:$A$500,$B16,'DADOS BRUTOS'!GE$3:GE$500)+IF($C16="",0,SUMIF('DADOS BRUTOS'!$A$3:$A$500,$C16,'DADOS BRUTOS'!GE$3:GE$500)))</f>
        <v/>
      </c>
      <c r="JF16" s="132">
        <f>IF(OR(JF$4="",$B16=""),0,SUMIF('DADOS BRUTOS'!$A$3:$A$500,$B16,'DADOS BRUTOS'!GF$3:GF$500)+IF($C16="",0,SUMIF('DADOS BRUTOS'!$A$3:$A$500,$C16,'DADOS BRUTOS'!GF$3:GF$500)))</f>
        <v/>
      </c>
      <c r="JG16" s="132">
        <f>IF(OR(JG$4="",$B16=""),0,SUMIF('DADOS BRUTOS'!$A$3:$A$500,$B16,'DADOS BRUTOS'!GG$3:GG$500)+IF($C16="",0,SUMIF('DADOS BRUTOS'!$A$3:$A$500,$C16,'DADOS BRUTOS'!GG$3:GG$500)))</f>
        <v/>
      </c>
      <c r="JH16" s="132">
        <f>IF(OR(JH$4="",$B16=""),0,SUMIF('DADOS BRUTOS'!$A$3:$A$500,$B16,'DADOS BRUTOS'!GH$3:GH$500)+IF($C16="",0,SUMIF('DADOS BRUTOS'!$A$3:$A$500,$C16,'DADOS BRUTOS'!GH$3:GH$500)))</f>
        <v/>
      </c>
      <c r="JI16" s="132">
        <f>IF(OR(JI$4="",$B16=""),0,SUMIF('DADOS BRUTOS'!$A$3:$A$500,$B16,'DADOS BRUTOS'!GI$3:GI$500)+IF($C16="",0,SUMIF('DADOS BRUTOS'!$A$3:$A$500,$C16,'DADOS BRUTOS'!GI$3:GI$500)))</f>
        <v/>
      </c>
      <c r="JJ16" s="132">
        <f>IF(OR(JJ$4="",$B16=""),0,SUMIF('DADOS BRUTOS'!$A$3:$A$500,$B16,'DADOS BRUTOS'!GJ$3:GJ$500)+IF($C16="",0,SUMIF('DADOS BRUTOS'!$A$3:$A$500,$C16,'DADOS BRUTOS'!GJ$3:GJ$500)))</f>
        <v/>
      </c>
      <c r="JK16" s="132">
        <f>IF(OR(JK$4="",$B16=""),0,SUMIF('DADOS BRUTOS'!$A$3:$A$500,$B16,'DADOS BRUTOS'!GK$3:GK$500)+IF($C16="",0,SUMIF('DADOS BRUTOS'!$A$3:$A$500,$C16,'DADOS BRUTOS'!GK$3:GK$500)))</f>
        <v/>
      </c>
      <c r="JL16" s="132">
        <f>IF(OR(JL$4="",$B16=""),0,SUMIF('DADOS BRUTOS'!$A$3:$A$500,$B16,'DADOS BRUTOS'!GL$3:GL$500)+IF($C16="",0,SUMIF('DADOS BRUTOS'!$A$3:$A$500,$C16,'DADOS BRUTOS'!GL$3:GL$500)))</f>
        <v/>
      </c>
      <c r="JM16" s="132">
        <f>IF(OR(JM$4="",$B16=""),0,SUMIF('DADOS BRUTOS'!$A$3:$A$500,$B16,'DADOS BRUTOS'!GM$3:GM$500)+IF($C16="",0,SUMIF('DADOS BRUTOS'!$A$3:$A$500,$C16,'DADOS BRUTOS'!GM$3:GM$500)))</f>
        <v/>
      </c>
      <c r="JN16" s="132">
        <f>IF(OR(JN$4="",$B16=""),0,SUMIF('DADOS BRUTOS'!$A$3:$A$500,$B16,'DADOS BRUTOS'!GN$3:GN$500)+IF($C16="",0,SUMIF('DADOS BRUTOS'!$A$3:$A$500,$C16,'DADOS BRUTOS'!GN$3:GN$500)))</f>
        <v/>
      </c>
      <c r="JO16" s="132">
        <f>IF(OR(JO$4="",$B16=""),0,SUMIF('DADOS BRUTOS'!$A$3:$A$500,$B16,'DADOS BRUTOS'!GO$3:GO$500)+IF($C16="",0,SUMIF('DADOS BRUTOS'!$A$3:$A$500,$C16,'DADOS BRUTOS'!GO$3:GO$500)))</f>
        <v/>
      </c>
      <c r="JP16" s="132">
        <f>IF(OR(JP$4="",$B16=""),0,SUMIF('DADOS BRUTOS'!$A$3:$A$500,$B16,'DADOS BRUTOS'!GP$3:GP$500)+IF($C16="",0,SUMIF('DADOS BRUTOS'!$A$3:$A$500,$C16,'DADOS BRUTOS'!GP$3:GP$500)))</f>
        <v/>
      </c>
      <c r="JQ16" s="132">
        <f>IF(OR(JQ$4="",$B16=""),0,SUMIF('DADOS BRUTOS'!$A$3:$A$500,$B16,'DADOS BRUTOS'!GQ$3:GQ$500)+IF($C16="",0,SUMIF('DADOS BRUTOS'!$A$3:$A$500,$C16,'DADOS BRUTOS'!GQ$3:GQ$500)))</f>
        <v/>
      </c>
      <c r="JR16" s="132">
        <f>IF(OR(JR$4="",$B16=""),0,SUMIF('DADOS BRUTOS'!$A$3:$A$500,$B16,'DADOS BRUTOS'!GR$3:GR$500)+IF($C16="",0,SUMIF('DADOS BRUTOS'!$A$3:$A$500,$C16,'DADOS BRUTOS'!GR$3:GR$500)))</f>
        <v/>
      </c>
      <c r="JS16" s="132">
        <f>IF(OR(JS$4="",$B16=""),0,SUMIF('DADOS BRUTOS'!$A$3:$A$500,$B16,'DADOS BRUTOS'!GS$3:GS$500)+IF($C16="",0,SUMIF('DADOS BRUTOS'!$A$3:$A$500,$C16,'DADOS BRUTOS'!GS$3:GS$500)))</f>
        <v/>
      </c>
    </row>
    <row r="17">
      <c r="A17" s="61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BZ17" s="49">
        <f>SUMPRODUCT(($CB$4:$JS$4&lt;&gt;"")*($CB$4:$JS$4&lt;=$D$4),$CB17:$JS17,$CB$1:$JS$1)</f>
        <v/>
      </c>
      <c r="CB17" s="132">
        <f>IF(OR(CB$4="",$B17=""),0,SUMIF('DADOS BRUTOS'!$A$3:$A$500,$B17,'DADOS BRUTOS'!B$3:B$500)+IF($C17="",0,SUMIF('DADOS BRUTOS'!$A$3:$A$500,$C17,'DADOS BRUTOS'!B$3:B$500)))</f>
        <v/>
      </c>
      <c r="CC17" s="132">
        <f>IF(OR(CC$4="",$B17=""),0,SUMIF('DADOS BRUTOS'!$A$3:$A$500,$B17,'DADOS BRUTOS'!C$3:C$500)+IF($C17="",0,SUMIF('DADOS BRUTOS'!$A$3:$A$500,$C17,'DADOS BRUTOS'!C$3:C$500)))</f>
        <v/>
      </c>
      <c r="CD17" s="132">
        <f>IF(OR(CD$4="",$B17=""),0,SUMIF('DADOS BRUTOS'!$A$3:$A$500,$B17,'DADOS BRUTOS'!D$3:D$500)+IF($C17="",0,SUMIF('DADOS BRUTOS'!$A$3:$A$500,$C17,'DADOS BRUTOS'!D$3:D$500)))</f>
        <v/>
      </c>
      <c r="CE17" s="132">
        <f>IF(OR(CE$4="",$B17=""),0,SUMIF('DADOS BRUTOS'!$A$3:$A$500,$B17,'DADOS BRUTOS'!E$3:E$500)+IF($C17="",0,SUMIF('DADOS BRUTOS'!$A$3:$A$500,$C17,'DADOS BRUTOS'!E$3:E$500)))</f>
        <v/>
      </c>
      <c r="CF17" s="132">
        <f>IF(OR(CF$4="",$B17=""),0,SUMIF('DADOS BRUTOS'!$A$3:$A$500,$B17,'DADOS BRUTOS'!F$3:F$500)+IF($C17="",0,SUMIF('DADOS BRUTOS'!$A$3:$A$500,$C17,'DADOS BRUTOS'!F$3:F$500)))</f>
        <v/>
      </c>
      <c r="CG17" s="132">
        <f>IF(OR(CG$4="",$B17=""),0,SUMIF('DADOS BRUTOS'!$A$3:$A$500,$B17,'DADOS BRUTOS'!G$3:G$500)+IF($C17="",0,SUMIF('DADOS BRUTOS'!$A$3:$A$500,$C17,'DADOS BRUTOS'!G$3:G$500)))</f>
        <v/>
      </c>
      <c r="CH17" s="132">
        <f>IF(OR(CH$4="",$B17=""),0,SUMIF('DADOS BRUTOS'!$A$3:$A$500,$B17,'DADOS BRUTOS'!H$3:H$500)+IF($C17="",0,SUMIF('DADOS BRUTOS'!$A$3:$A$500,$C17,'DADOS BRUTOS'!H$3:H$500)))</f>
        <v/>
      </c>
      <c r="CI17" s="132">
        <f>IF(OR(CI$4="",$B17=""),0,SUMIF('DADOS BRUTOS'!$A$3:$A$500,$B17,'DADOS BRUTOS'!I$3:I$500)+IF($C17="",0,SUMIF('DADOS BRUTOS'!$A$3:$A$500,$C17,'DADOS BRUTOS'!I$3:I$500)))</f>
        <v/>
      </c>
      <c r="CJ17" s="132">
        <f>IF(OR(CJ$4="",$B17=""),0,SUMIF('DADOS BRUTOS'!$A$3:$A$500,$B17,'DADOS BRUTOS'!J$3:J$500)+IF($C17="",0,SUMIF('DADOS BRUTOS'!$A$3:$A$500,$C17,'DADOS BRUTOS'!J$3:J$500)))</f>
        <v/>
      </c>
      <c r="CK17" s="132">
        <f>IF(OR(CK$4="",$B17=""),0,SUMIF('DADOS BRUTOS'!$A$3:$A$500,$B17,'DADOS BRUTOS'!K$3:K$500)+IF($C17="",0,SUMIF('DADOS BRUTOS'!$A$3:$A$500,$C17,'DADOS BRUTOS'!K$3:K$500)))</f>
        <v/>
      </c>
      <c r="CL17" s="132">
        <f>IF(OR(CL$4="",$B17=""),0,SUMIF('DADOS BRUTOS'!$A$3:$A$500,$B17,'DADOS BRUTOS'!L$3:L$500)+IF($C17="",0,SUMIF('DADOS BRUTOS'!$A$3:$A$500,$C17,'DADOS BRUTOS'!L$3:L$500)))</f>
        <v/>
      </c>
      <c r="CM17" s="132">
        <f>IF(OR(CM$4="",$B17=""),0,SUMIF('DADOS BRUTOS'!$A$3:$A$500,$B17,'DADOS BRUTOS'!M$3:M$500)+IF($C17="",0,SUMIF('DADOS BRUTOS'!$A$3:$A$500,$C17,'DADOS BRUTOS'!M$3:M$500)))</f>
        <v/>
      </c>
      <c r="CN17" s="132">
        <f>IF(OR(CN$4="",$B17=""),0,SUMIF('DADOS BRUTOS'!$A$3:$A$500,$B17,'DADOS BRUTOS'!N$3:N$500)+IF($C17="",0,SUMIF('DADOS BRUTOS'!$A$3:$A$500,$C17,'DADOS BRUTOS'!N$3:N$500)))</f>
        <v/>
      </c>
      <c r="CO17" s="132">
        <f>IF(OR(CO$4="",$B17=""),0,SUMIF('DADOS BRUTOS'!$A$3:$A$500,$B17,'DADOS BRUTOS'!O$3:O$500)+IF($C17="",0,SUMIF('DADOS BRUTOS'!$A$3:$A$500,$C17,'DADOS BRUTOS'!O$3:O$500)))</f>
        <v/>
      </c>
      <c r="CP17" s="132">
        <f>IF(OR(CP$4="",$B17=""),0,SUMIF('DADOS BRUTOS'!$A$3:$A$500,$B17,'DADOS BRUTOS'!P$3:P$500)+IF($C17="",0,SUMIF('DADOS BRUTOS'!$A$3:$A$500,$C17,'DADOS BRUTOS'!P$3:P$500)))</f>
        <v/>
      </c>
      <c r="CQ17" s="132">
        <f>IF(OR(CQ$4="",$B17=""),0,SUMIF('DADOS BRUTOS'!$A$3:$A$500,$B17,'DADOS BRUTOS'!Q$3:Q$500)+IF($C17="",0,SUMIF('DADOS BRUTOS'!$A$3:$A$500,$C17,'DADOS BRUTOS'!Q$3:Q$500)))</f>
        <v/>
      </c>
      <c r="CR17" s="132">
        <f>IF(OR(CR$4="",$B17=""),0,SUMIF('DADOS BRUTOS'!$A$3:$A$500,$B17,'DADOS BRUTOS'!R$3:R$500)+IF($C17="",0,SUMIF('DADOS BRUTOS'!$A$3:$A$500,$C17,'DADOS BRUTOS'!R$3:R$500)))</f>
        <v/>
      </c>
      <c r="CS17" s="132">
        <f>IF(OR(CS$4="",$B17=""),0,SUMIF('DADOS BRUTOS'!$A$3:$A$500,$B17,'DADOS BRUTOS'!S$3:S$500)+IF($C17="",0,SUMIF('DADOS BRUTOS'!$A$3:$A$500,$C17,'DADOS BRUTOS'!S$3:S$500)))</f>
        <v/>
      </c>
      <c r="CT17" s="132">
        <f>IF(OR(CT$4="",$B17=""),0,SUMIF('DADOS BRUTOS'!$A$3:$A$500,$B17,'DADOS BRUTOS'!T$3:T$500)+IF($C17="",0,SUMIF('DADOS BRUTOS'!$A$3:$A$500,$C17,'DADOS BRUTOS'!T$3:T$500)))</f>
        <v/>
      </c>
      <c r="CU17" s="132">
        <f>IF(OR(CU$4="",$B17=""),0,SUMIF('DADOS BRUTOS'!$A$3:$A$500,$B17,'DADOS BRUTOS'!U$3:U$500)+IF($C17="",0,SUMIF('DADOS BRUTOS'!$A$3:$A$500,$C17,'DADOS BRUTOS'!U$3:U$500)))</f>
        <v/>
      </c>
      <c r="CV17" s="132">
        <f>IF(OR(CV$4="",$B17=""),0,SUMIF('DADOS BRUTOS'!$A$3:$A$500,$B17,'DADOS BRUTOS'!V$3:V$500)+IF($C17="",0,SUMIF('DADOS BRUTOS'!$A$3:$A$500,$C17,'DADOS BRUTOS'!V$3:V$500)))</f>
        <v/>
      </c>
      <c r="CW17" s="132">
        <f>IF(OR(CW$4="",$B17=""),0,SUMIF('DADOS BRUTOS'!$A$3:$A$500,$B17,'DADOS BRUTOS'!W$3:W$500)+IF($C17="",0,SUMIF('DADOS BRUTOS'!$A$3:$A$500,$C17,'DADOS BRUTOS'!W$3:W$500)))</f>
        <v/>
      </c>
      <c r="CX17" s="132">
        <f>IF(OR(CX$4="",$B17=""),0,SUMIF('DADOS BRUTOS'!$A$3:$A$500,$B17,'DADOS BRUTOS'!X$3:X$500)+IF($C17="",0,SUMIF('DADOS BRUTOS'!$A$3:$A$500,$C17,'DADOS BRUTOS'!X$3:X$500)))</f>
        <v/>
      </c>
      <c r="CY17" s="132">
        <f>IF(OR(CY$4="",$B17=""),0,SUMIF('DADOS BRUTOS'!$A$3:$A$500,$B17,'DADOS BRUTOS'!Y$3:Y$500)+IF($C17="",0,SUMIF('DADOS BRUTOS'!$A$3:$A$500,$C17,'DADOS BRUTOS'!Y$3:Y$500)))</f>
        <v/>
      </c>
      <c r="CZ17" s="132">
        <f>IF(OR(CZ$4="",$B17=""),0,SUMIF('DADOS BRUTOS'!$A$3:$A$500,$B17,'DADOS BRUTOS'!Z$3:Z$500)+IF($C17="",0,SUMIF('DADOS BRUTOS'!$A$3:$A$500,$C17,'DADOS BRUTOS'!Z$3:Z$500)))</f>
        <v/>
      </c>
      <c r="DA17" s="132">
        <f>IF(OR(DA$4="",$B17=""),0,SUMIF('DADOS BRUTOS'!$A$3:$A$500,$B17,'DADOS BRUTOS'!AA$3:AA$500)+IF($C17="",0,SUMIF('DADOS BRUTOS'!$A$3:$A$500,$C17,'DADOS BRUTOS'!AA$3:AA$500)))</f>
        <v/>
      </c>
      <c r="DB17" s="132">
        <f>IF(OR(DB$4="",$B17=""),0,SUMIF('DADOS BRUTOS'!$A$3:$A$500,$B17,'DADOS BRUTOS'!AB$3:AB$500)+IF($C17="",0,SUMIF('DADOS BRUTOS'!$A$3:$A$500,$C17,'DADOS BRUTOS'!AB$3:AB$500)))</f>
        <v/>
      </c>
      <c r="DC17" s="132">
        <f>IF(OR(DC$4="",$B17=""),0,SUMIF('DADOS BRUTOS'!$A$3:$A$500,$B17,'DADOS BRUTOS'!AC$3:AC$500)+IF($C17="",0,SUMIF('DADOS BRUTOS'!$A$3:$A$500,$C17,'DADOS BRUTOS'!AC$3:AC$500)))</f>
        <v/>
      </c>
      <c r="DD17" s="132">
        <f>IF(OR(DD$4="",$B17=""),0,SUMIF('DADOS BRUTOS'!$A$3:$A$500,$B17,'DADOS BRUTOS'!AD$3:AD$500)+IF($C17="",0,SUMIF('DADOS BRUTOS'!$A$3:$A$500,$C17,'DADOS BRUTOS'!AD$3:AD$500)))</f>
        <v/>
      </c>
      <c r="DE17" s="132">
        <f>IF(OR(DE$4="",$B17=""),0,SUMIF('DADOS BRUTOS'!$A$3:$A$500,$B17,'DADOS BRUTOS'!AE$3:AE$500)+IF($C17="",0,SUMIF('DADOS BRUTOS'!$A$3:$A$500,$C17,'DADOS BRUTOS'!AE$3:AE$500)))</f>
        <v/>
      </c>
      <c r="DF17" s="132">
        <f>IF(OR(DF$4="",$B17=""),0,SUMIF('DADOS BRUTOS'!$A$3:$A$500,$B17,'DADOS BRUTOS'!AF$3:AF$500)+IF($C17="",0,SUMIF('DADOS BRUTOS'!$A$3:$A$500,$C17,'DADOS BRUTOS'!AF$3:AF$500)))</f>
        <v/>
      </c>
      <c r="DG17" s="132">
        <f>IF(OR(DG$4="",$B17=""),0,SUMIF('DADOS BRUTOS'!$A$3:$A$500,$B17,'DADOS BRUTOS'!AG$3:AG$500)+IF($C17="",0,SUMIF('DADOS BRUTOS'!$A$3:$A$500,$C17,'DADOS BRUTOS'!AG$3:AG$500)))</f>
        <v/>
      </c>
      <c r="DH17" s="132">
        <f>IF(OR(DH$4="",$B17=""),0,SUMIF('DADOS BRUTOS'!$A$3:$A$500,$B17,'DADOS BRUTOS'!AH$3:AH$500)+IF($C17="",0,SUMIF('DADOS BRUTOS'!$A$3:$A$500,$C17,'DADOS BRUTOS'!AH$3:AH$500)))</f>
        <v/>
      </c>
      <c r="DI17" s="132">
        <f>IF(OR(DI$4="",$B17=""),0,SUMIF('DADOS BRUTOS'!$A$3:$A$500,$B17,'DADOS BRUTOS'!AI$3:AI$500)+IF($C17="",0,SUMIF('DADOS BRUTOS'!$A$3:$A$500,$C17,'DADOS BRUTOS'!AI$3:AI$500)))</f>
        <v/>
      </c>
      <c r="DJ17" s="132">
        <f>IF(OR(DJ$4="",$B17=""),0,SUMIF('DADOS BRUTOS'!$A$3:$A$500,$B17,'DADOS BRUTOS'!AJ$3:AJ$500)+IF($C17="",0,SUMIF('DADOS BRUTOS'!$A$3:$A$500,$C17,'DADOS BRUTOS'!AJ$3:AJ$500)))</f>
        <v/>
      </c>
      <c r="DK17" s="132">
        <f>IF(OR(DK$4="",$B17=""),0,SUMIF('DADOS BRUTOS'!$A$3:$A$500,$B17,'DADOS BRUTOS'!AK$3:AK$500)+IF($C17="",0,SUMIF('DADOS BRUTOS'!$A$3:$A$500,$C17,'DADOS BRUTOS'!AK$3:AK$500)))</f>
        <v/>
      </c>
      <c r="DL17" s="132">
        <f>IF(OR(DL$4="",$B17=""),0,SUMIF('DADOS BRUTOS'!$A$3:$A$500,$B17,'DADOS BRUTOS'!AL$3:AL$500)+IF($C17="",0,SUMIF('DADOS BRUTOS'!$A$3:$A$500,$C17,'DADOS BRUTOS'!AL$3:AL$500)))</f>
        <v/>
      </c>
      <c r="DM17" s="132">
        <f>IF(OR(DM$4="",$B17=""),0,SUMIF('DADOS BRUTOS'!$A$3:$A$500,$B17,'DADOS BRUTOS'!AM$3:AM$500)+IF($C17="",0,SUMIF('DADOS BRUTOS'!$A$3:$A$500,$C17,'DADOS BRUTOS'!AM$3:AM$500)))</f>
        <v/>
      </c>
      <c r="DN17" s="132">
        <f>IF(OR(DN$4="",$B17=""),0,SUMIF('DADOS BRUTOS'!$A$3:$A$500,$B17,'DADOS BRUTOS'!AN$3:AN$500)+IF($C17="",0,SUMIF('DADOS BRUTOS'!$A$3:$A$500,$C17,'DADOS BRUTOS'!AN$3:AN$500)))</f>
        <v/>
      </c>
      <c r="DO17" s="132">
        <f>IF(OR(DO$4="",$B17=""),0,SUMIF('DADOS BRUTOS'!$A$3:$A$500,$B17,'DADOS BRUTOS'!AO$3:AO$500)+IF($C17="",0,SUMIF('DADOS BRUTOS'!$A$3:$A$500,$C17,'DADOS BRUTOS'!AO$3:AO$500)))</f>
        <v/>
      </c>
      <c r="DP17" s="132">
        <f>IF(OR(DP$4="",$B17=""),0,SUMIF('DADOS BRUTOS'!$A$3:$A$500,$B17,'DADOS BRUTOS'!AP$3:AP$500)+IF($C17="",0,SUMIF('DADOS BRUTOS'!$A$3:$A$500,$C17,'DADOS BRUTOS'!AP$3:AP$500)))</f>
        <v/>
      </c>
      <c r="DQ17" s="132">
        <f>IF(OR(DQ$4="",$B17=""),0,SUMIF('DADOS BRUTOS'!$A$3:$A$500,$B17,'DADOS BRUTOS'!AQ$3:AQ$500)+IF($C17="",0,SUMIF('DADOS BRUTOS'!$A$3:$A$500,$C17,'DADOS BRUTOS'!AQ$3:AQ$500)))</f>
        <v/>
      </c>
      <c r="DR17" s="132">
        <f>IF(OR(DR$4="",$B17=""),0,SUMIF('DADOS BRUTOS'!$A$3:$A$500,$B17,'DADOS BRUTOS'!AR$3:AR$500)+IF($C17="",0,SUMIF('DADOS BRUTOS'!$A$3:$A$500,$C17,'DADOS BRUTOS'!AR$3:AR$500)))</f>
        <v/>
      </c>
      <c r="DS17" s="132">
        <f>IF(OR(DS$4="",$B17=""),0,SUMIF('DADOS BRUTOS'!$A$3:$A$500,$B17,'DADOS BRUTOS'!AS$3:AS$500)+IF($C17="",0,SUMIF('DADOS BRUTOS'!$A$3:$A$500,$C17,'DADOS BRUTOS'!AS$3:AS$500)))</f>
        <v/>
      </c>
      <c r="DT17" s="132">
        <f>IF(OR(DT$4="",$B17=""),0,SUMIF('DADOS BRUTOS'!$A$3:$A$500,$B17,'DADOS BRUTOS'!AT$3:AT$500)+IF($C17="",0,SUMIF('DADOS BRUTOS'!$A$3:$A$500,$C17,'DADOS BRUTOS'!AT$3:AT$500)))</f>
        <v/>
      </c>
      <c r="DU17" s="132">
        <f>IF(OR(DU$4="",$B17=""),0,SUMIF('DADOS BRUTOS'!$A$3:$A$500,$B17,'DADOS BRUTOS'!AU$3:AU$500)+IF($C17="",0,SUMIF('DADOS BRUTOS'!$A$3:$A$500,$C17,'DADOS BRUTOS'!AU$3:AU$500)))</f>
        <v/>
      </c>
      <c r="DV17" s="132">
        <f>IF(OR(DV$4="",$B17=""),0,SUMIF('DADOS BRUTOS'!$A$3:$A$500,$B17,'DADOS BRUTOS'!AV$3:AV$500)+IF($C17="",0,SUMIF('DADOS BRUTOS'!$A$3:$A$500,$C17,'DADOS BRUTOS'!AV$3:AV$500)))</f>
        <v/>
      </c>
      <c r="DW17" s="132">
        <f>IF(OR(DW$4="",$B17=""),0,SUMIF('DADOS BRUTOS'!$A$3:$A$500,$B17,'DADOS BRUTOS'!AW$3:AW$500)+IF($C17="",0,SUMIF('DADOS BRUTOS'!$A$3:$A$500,$C17,'DADOS BRUTOS'!AW$3:AW$500)))</f>
        <v/>
      </c>
      <c r="DX17" s="132">
        <f>IF(OR(DX$4="",$B17=""),0,SUMIF('DADOS BRUTOS'!$A$3:$A$500,$B17,'DADOS BRUTOS'!AX$3:AX$500)+IF($C17="",0,SUMIF('DADOS BRUTOS'!$A$3:$A$500,$C17,'DADOS BRUTOS'!AX$3:AX$500)))</f>
        <v/>
      </c>
      <c r="DY17" s="132">
        <f>IF(OR(DY$4="",$B17=""),0,SUMIF('DADOS BRUTOS'!$A$3:$A$500,$B17,'DADOS BRUTOS'!AY$3:AY$500)+IF($C17="",0,SUMIF('DADOS BRUTOS'!$A$3:$A$500,$C17,'DADOS BRUTOS'!AY$3:AY$500)))</f>
        <v/>
      </c>
      <c r="DZ17" s="132">
        <f>IF(OR(DZ$4="",$B17=""),0,SUMIF('DADOS BRUTOS'!$A$3:$A$500,$B17,'DADOS BRUTOS'!AZ$3:AZ$500)+IF($C17="",0,SUMIF('DADOS BRUTOS'!$A$3:$A$500,$C17,'DADOS BRUTOS'!AZ$3:AZ$500)))</f>
        <v/>
      </c>
      <c r="EA17" s="132">
        <f>IF(OR(EA$4="",$B17=""),0,SUMIF('DADOS BRUTOS'!$A$3:$A$500,$B17,'DADOS BRUTOS'!BA$3:BA$500)+IF($C17="",0,SUMIF('DADOS BRUTOS'!$A$3:$A$500,$C17,'DADOS BRUTOS'!BA$3:BA$500)))</f>
        <v/>
      </c>
      <c r="EB17" s="132">
        <f>IF(OR(EB$4="",$B17=""),0,SUMIF('DADOS BRUTOS'!$A$3:$A$500,$B17,'DADOS BRUTOS'!BB$3:BB$500)+IF($C17="",0,SUMIF('DADOS BRUTOS'!$A$3:$A$500,$C17,'DADOS BRUTOS'!BB$3:BB$500)))</f>
        <v/>
      </c>
      <c r="EC17" s="132">
        <f>IF(OR(EC$4="",$B17=""),0,SUMIF('DADOS BRUTOS'!$A$3:$A$500,$B17,'DADOS BRUTOS'!BC$3:BC$500)+IF($C17="",0,SUMIF('DADOS BRUTOS'!$A$3:$A$500,$C17,'DADOS BRUTOS'!BC$3:BC$500)))</f>
        <v/>
      </c>
      <c r="ED17" s="132">
        <f>IF(OR(ED$4="",$B17=""),0,SUMIF('DADOS BRUTOS'!$A$3:$A$500,$B17,'DADOS BRUTOS'!BD$3:BD$500)+IF($C17="",0,SUMIF('DADOS BRUTOS'!$A$3:$A$500,$C17,'DADOS BRUTOS'!BD$3:BD$500)))</f>
        <v/>
      </c>
      <c r="EE17" s="132">
        <f>IF(OR(EE$4="",$B17=""),0,SUMIF('DADOS BRUTOS'!$A$3:$A$500,$B17,'DADOS BRUTOS'!BE$3:BE$500)+IF($C17="",0,SUMIF('DADOS BRUTOS'!$A$3:$A$500,$C17,'DADOS BRUTOS'!BE$3:BE$500)))</f>
        <v/>
      </c>
      <c r="EF17" s="132">
        <f>IF(OR(EF$4="",$B17=""),0,SUMIF('DADOS BRUTOS'!$A$3:$A$500,$B17,'DADOS BRUTOS'!BF$3:BF$500)+IF($C17="",0,SUMIF('DADOS BRUTOS'!$A$3:$A$500,$C17,'DADOS BRUTOS'!BF$3:BF$500)))</f>
        <v/>
      </c>
      <c r="EG17" s="132">
        <f>IF(OR(EG$4="",$B17=""),0,SUMIF('DADOS BRUTOS'!$A$3:$A$500,$B17,'DADOS BRUTOS'!BG$3:BG$500)+IF($C17="",0,SUMIF('DADOS BRUTOS'!$A$3:$A$500,$C17,'DADOS BRUTOS'!BG$3:BG$500)))</f>
        <v/>
      </c>
      <c r="EH17" s="132">
        <f>IF(OR(EH$4="",$B17=""),0,SUMIF('DADOS BRUTOS'!$A$3:$A$500,$B17,'DADOS BRUTOS'!BH$3:BH$500)+IF($C17="",0,SUMIF('DADOS BRUTOS'!$A$3:$A$500,$C17,'DADOS BRUTOS'!BH$3:BH$500)))</f>
        <v/>
      </c>
      <c r="EI17" s="132">
        <f>IF(OR(EI$4="",$B17=""),0,SUMIF('DADOS BRUTOS'!$A$3:$A$500,$B17,'DADOS BRUTOS'!BI$3:BI$500)+IF($C17="",0,SUMIF('DADOS BRUTOS'!$A$3:$A$500,$C17,'DADOS BRUTOS'!BI$3:BI$500)))</f>
        <v/>
      </c>
      <c r="EJ17" s="132">
        <f>IF(OR(EJ$4="",$B17=""),0,SUMIF('DADOS BRUTOS'!$A$3:$A$500,$B17,'DADOS BRUTOS'!BJ$3:BJ$500)+IF($C17="",0,SUMIF('DADOS BRUTOS'!$A$3:$A$500,$C17,'DADOS BRUTOS'!BJ$3:BJ$500)))</f>
        <v/>
      </c>
      <c r="EK17" s="132">
        <f>IF(OR(EK$4="",$B17=""),0,SUMIF('DADOS BRUTOS'!$A$3:$A$500,$B17,'DADOS BRUTOS'!BK$3:BK$500)+IF($C17="",0,SUMIF('DADOS BRUTOS'!$A$3:$A$500,$C17,'DADOS BRUTOS'!BK$3:BK$500)))</f>
        <v/>
      </c>
      <c r="EL17" s="132">
        <f>IF(OR(EL$4="",$B17=""),0,SUMIF('DADOS BRUTOS'!$A$3:$A$500,$B17,'DADOS BRUTOS'!BL$3:BL$500)+IF($C17="",0,SUMIF('DADOS BRUTOS'!$A$3:$A$500,$C17,'DADOS BRUTOS'!BL$3:BL$500)))</f>
        <v/>
      </c>
      <c r="EM17" s="132">
        <f>IF(OR(EM$4="",$B17=""),0,SUMIF('DADOS BRUTOS'!$A$3:$A$500,$B17,'DADOS BRUTOS'!BM$3:BM$500)+IF($C17="",0,SUMIF('DADOS BRUTOS'!$A$3:$A$500,$C17,'DADOS BRUTOS'!BM$3:BM$500)))</f>
        <v/>
      </c>
      <c r="EN17" s="132">
        <f>IF(OR(EN$4="",$B17=""),0,SUMIF('DADOS BRUTOS'!$A$3:$A$500,$B17,'DADOS BRUTOS'!BN$3:BN$500)+IF($C17="",0,SUMIF('DADOS BRUTOS'!$A$3:$A$500,$C17,'DADOS BRUTOS'!BN$3:BN$500)))</f>
        <v/>
      </c>
      <c r="EO17" s="132">
        <f>IF(OR(EO$4="",$B17=""),0,SUMIF('DADOS BRUTOS'!$A$3:$A$500,$B17,'DADOS BRUTOS'!BO$3:BO$500)+IF($C17="",0,SUMIF('DADOS BRUTOS'!$A$3:$A$500,$C17,'DADOS BRUTOS'!BO$3:BO$500)))</f>
        <v/>
      </c>
      <c r="EP17" s="132">
        <f>IF(OR(EP$4="",$B17=""),0,SUMIF('DADOS BRUTOS'!$A$3:$A$500,$B17,'DADOS BRUTOS'!BP$3:BP$500)+IF($C17="",0,SUMIF('DADOS BRUTOS'!$A$3:$A$500,$C17,'DADOS BRUTOS'!BP$3:BP$500)))</f>
        <v/>
      </c>
      <c r="EQ17" s="132">
        <f>IF(OR(EQ$4="",$B17=""),0,SUMIF('DADOS BRUTOS'!$A$3:$A$500,$B17,'DADOS BRUTOS'!BQ$3:BQ$500)+IF($C17="",0,SUMIF('DADOS BRUTOS'!$A$3:$A$500,$C17,'DADOS BRUTOS'!BQ$3:BQ$500)))</f>
        <v/>
      </c>
      <c r="ER17" s="132">
        <f>IF(OR(ER$4="",$B17=""),0,SUMIF('DADOS BRUTOS'!$A$3:$A$500,$B17,'DADOS BRUTOS'!BR$3:BR$500)+IF($C17="",0,SUMIF('DADOS BRUTOS'!$A$3:$A$500,$C17,'DADOS BRUTOS'!BR$3:BR$500)))</f>
        <v/>
      </c>
      <c r="ES17" s="132">
        <f>IF(OR(ES$4="",$B17=""),0,SUMIF('DADOS BRUTOS'!$A$3:$A$500,$B17,'DADOS BRUTOS'!BS$3:BS$500)+IF($C17="",0,SUMIF('DADOS BRUTOS'!$A$3:$A$500,$C17,'DADOS BRUTOS'!BS$3:BS$500)))</f>
        <v/>
      </c>
      <c r="ET17" s="132">
        <f>IF(OR(ET$4="",$B17=""),0,SUMIF('DADOS BRUTOS'!$A$3:$A$500,$B17,'DADOS BRUTOS'!BT$3:BT$500)+IF($C17="",0,SUMIF('DADOS BRUTOS'!$A$3:$A$500,$C17,'DADOS BRUTOS'!BT$3:BT$500)))</f>
        <v/>
      </c>
      <c r="EU17" s="132">
        <f>IF(OR(EU$4="",$B17=""),0,SUMIF('DADOS BRUTOS'!$A$3:$A$500,$B17,'DADOS BRUTOS'!BU$3:BU$500)+IF($C17="",0,SUMIF('DADOS BRUTOS'!$A$3:$A$500,$C17,'DADOS BRUTOS'!BU$3:BU$500)))</f>
        <v/>
      </c>
      <c r="EV17" s="132">
        <f>IF(OR(EV$4="",$B17=""),0,SUMIF('DADOS BRUTOS'!$A$3:$A$500,$B17,'DADOS BRUTOS'!BV$3:BV$500)+IF($C17="",0,SUMIF('DADOS BRUTOS'!$A$3:$A$500,$C17,'DADOS BRUTOS'!BV$3:BV$500)))</f>
        <v/>
      </c>
      <c r="EW17" s="132">
        <f>IF(OR(EW$4="",$B17=""),0,SUMIF('DADOS BRUTOS'!$A$3:$A$500,$B17,'DADOS BRUTOS'!BW$3:BW$500)+IF($C17="",0,SUMIF('DADOS BRUTOS'!$A$3:$A$500,$C17,'DADOS BRUTOS'!BW$3:BW$500)))</f>
        <v/>
      </c>
      <c r="EX17" s="132">
        <f>IF(OR(EX$4="",$B17=""),0,SUMIF('DADOS BRUTOS'!$A$3:$A$500,$B17,'DADOS BRUTOS'!BX$3:BX$500)+IF($C17="",0,SUMIF('DADOS BRUTOS'!$A$3:$A$500,$C17,'DADOS BRUTOS'!BX$3:BX$500)))</f>
        <v/>
      </c>
      <c r="EY17" s="132">
        <f>IF(OR(EY$4="",$B17=""),0,SUMIF('DADOS BRUTOS'!$A$3:$A$500,$B17,'DADOS BRUTOS'!BY$3:BY$500)+IF($C17="",0,SUMIF('DADOS BRUTOS'!$A$3:$A$500,$C17,'DADOS BRUTOS'!BY$3:BY$500)))</f>
        <v/>
      </c>
      <c r="EZ17" s="132">
        <f>IF(OR(EZ$4="",$B17=""),0,SUMIF('DADOS BRUTOS'!$A$3:$A$500,$B17,'DADOS BRUTOS'!BZ$3:BZ$500)+IF($C17="",0,SUMIF('DADOS BRUTOS'!$A$3:$A$500,$C17,'DADOS BRUTOS'!BZ$3:BZ$500)))</f>
        <v/>
      </c>
      <c r="FA17" s="132">
        <f>IF(OR(FA$4="",$B17=""),0,SUMIF('DADOS BRUTOS'!$A$3:$A$500,$B17,'DADOS BRUTOS'!CA$3:CA$500)+IF($C17="",0,SUMIF('DADOS BRUTOS'!$A$3:$A$500,$C17,'DADOS BRUTOS'!CA$3:CA$500)))</f>
        <v/>
      </c>
      <c r="FB17" s="132">
        <f>IF(OR(FB$4="",$B17=""),0,SUMIF('DADOS BRUTOS'!$A$3:$A$500,$B17,'DADOS BRUTOS'!CB$3:CB$500)+IF($C17="",0,SUMIF('DADOS BRUTOS'!$A$3:$A$500,$C17,'DADOS BRUTOS'!CB$3:CB$500)))</f>
        <v/>
      </c>
      <c r="FC17" s="132">
        <f>IF(OR(FC$4="",$B17=""),0,SUMIF('DADOS BRUTOS'!$A$3:$A$500,$B17,'DADOS BRUTOS'!CC$3:CC$500)+IF($C17="",0,SUMIF('DADOS BRUTOS'!$A$3:$A$500,$C17,'DADOS BRUTOS'!CC$3:CC$500)))</f>
        <v/>
      </c>
      <c r="FD17" s="132">
        <f>IF(OR(FD$4="",$B17=""),0,SUMIF('DADOS BRUTOS'!$A$3:$A$500,$B17,'DADOS BRUTOS'!CD$3:CD$500)+IF($C17="",0,SUMIF('DADOS BRUTOS'!$A$3:$A$500,$C17,'DADOS BRUTOS'!CD$3:CD$500)))</f>
        <v/>
      </c>
      <c r="FE17" s="132">
        <f>IF(OR(FE$4="",$B17=""),0,SUMIF('DADOS BRUTOS'!$A$3:$A$500,$B17,'DADOS BRUTOS'!CE$3:CE$500)+IF($C17="",0,SUMIF('DADOS BRUTOS'!$A$3:$A$500,$C17,'DADOS BRUTOS'!CE$3:CE$500)))</f>
        <v/>
      </c>
      <c r="FF17" s="132">
        <f>IF(OR(FF$4="",$B17=""),0,SUMIF('DADOS BRUTOS'!$A$3:$A$500,$B17,'DADOS BRUTOS'!CF$3:CF$500)+IF($C17="",0,SUMIF('DADOS BRUTOS'!$A$3:$A$500,$C17,'DADOS BRUTOS'!CF$3:CF$500)))</f>
        <v/>
      </c>
      <c r="FG17" s="132">
        <f>IF(OR(FG$4="",$B17=""),0,SUMIF('DADOS BRUTOS'!$A$3:$A$500,$B17,'DADOS BRUTOS'!CG$3:CG$500)+IF($C17="",0,SUMIF('DADOS BRUTOS'!$A$3:$A$500,$C17,'DADOS BRUTOS'!CG$3:CG$500)))</f>
        <v/>
      </c>
      <c r="FH17" s="132">
        <f>IF(OR(FH$4="",$B17=""),0,SUMIF('DADOS BRUTOS'!$A$3:$A$500,$B17,'DADOS BRUTOS'!CH$3:CH$500)+IF($C17="",0,SUMIF('DADOS BRUTOS'!$A$3:$A$500,$C17,'DADOS BRUTOS'!CH$3:CH$500)))</f>
        <v/>
      </c>
      <c r="FI17" s="132">
        <f>IF(OR(FI$4="",$B17=""),0,SUMIF('DADOS BRUTOS'!$A$3:$A$500,$B17,'DADOS BRUTOS'!CI$3:CI$500)+IF($C17="",0,SUMIF('DADOS BRUTOS'!$A$3:$A$500,$C17,'DADOS BRUTOS'!CI$3:CI$500)))</f>
        <v/>
      </c>
      <c r="FJ17" s="132">
        <f>IF(OR(FJ$4="",$B17=""),0,SUMIF('DADOS BRUTOS'!$A$3:$A$500,$B17,'DADOS BRUTOS'!CJ$3:CJ$500)+IF($C17="",0,SUMIF('DADOS BRUTOS'!$A$3:$A$500,$C17,'DADOS BRUTOS'!CJ$3:CJ$500)))</f>
        <v/>
      </c>
      <c r="FK17" s="132">
        <f>IF(OR(FK$4="",$B17=""),0,SUMIF('DADOS BRUTOS'!$A$3:$A$500,$B17,'DADOS BRUTOS'!CK$3:CK$500)+IF($C17="",0,SUMIF('DADOS BRUTOS'!$A$3:$A$500,$C17,'DADOS BRUTOS'!CK$3:CK$500)))</f>
        <v/>
      </c>
      <c r="FL17" s="132">
        <f>IF(OR(FL$4="",$B17=""),0,SUMIF('DADOS BRUTOS'!$A$3:$A$500,$B17,'DADOS BRUTOS'!CL$3:CL$500)+IF($C17="",0,SUMIF('DADOS BRUTOS'!$A$3:$A$500,$C17,'DADOS BRUTOS'!CL$3:CL$500)))</f>
        <v/>
      </c>
      <c r="FM17" s="132">
        <f>IF(OR(FM$4="",$B17=""),0,SUMIF('DADOS BRUTOS'!$A$3:$A$500,$B17,'DADOS BRUTOS'!CM$3:CM$500)+IF($C17="",0,SUMIF('DADOS BRUTOS'!$A$3:$A$500,$C17,'DADOS BRUTOS'!CM$3:CM$500)))</f>
        <v/>
      </c>
      <c r="FN17" s="132">
        <f>IF(OR(FN$4="",$B17=""),0,SUMIF('DADOS BRUTOS'!$A$3:$A$500,$B17,'DADOS BRUTOS'!CN$3:CN$500)+IF($C17="",0,SUMIF('DADOS BRUTOS'!$A$3:$A$500,$C17,'DADOS BRUTOS'!CN$3:CN$500)))</f>
        <v/>
      </c>
      <c r="FO17" s="132">
        <f>IF(OR(FO$4="",$B17=""),0,SUMIF('DADOS BRUTOS'!$A$3:$A$500,$B17,'DADOS BRUTOS'!CO$3:CO$500)+IF($C17="",0,SUMIF('DADOS BRUTOS'!$A$3:$A$500,$C17,'DADOS BRUTOS'!CO$3:CO$500)))</f>
        <v/>
      </c>
      <c r="FP17" s="132">
        <f>IF(OR(FP$4="",$B17=""),0,SUMIF('DADOS BRUTOS'!$A$3:$A$500,$B17,'DADOS BRUTOS'!CP$3:CP$500)+IF($C17="",0,SUMIF('DADOS BRUTOS'!$A$3:$A$500,$C17,'DADOS BRUTOS'!CP$3:CP$500)))</f>
        <v/>
      </c>
      <c r="FQ17" s="132">
        <f>IF(OR(FQ$4="",$B17=""),0,SUMIF('DADOS BRUTOS'!$A$3:$A$500,$B17,'DADOS BRUTOS'!CQ$3:CQ$500)+IF($C17="",0,SUMIF('DADOS BRUTOS'!$A$3:$A$500,$C17,'DADOS BRUTOS'!CQ$3:CQ$500)))</f>
        <v/>
      </c>
      <c r="FR17" s="132">
        <f>IF(OR(FR$4="",$B17=""),0,SUMIF('DADOS BRUTOS'!$A$3:$A$500,$B17,'DADOS BRUTOS'!CR$3:CR$500)+IF($C17="",0,SUMIF('DADOS BRUTOS'!$A$3:$A$500,$C17,'DADOS BRUTOS'!CR$3:CR$500)))</f>
        <v/>
      </c>
      <c r="FS17" s="132">
        <f>IF(OR(FS$4="",$B17=""),0,SUMIF('DADOS BRUTOS'!$A$3:$A$500,$B17,'DADOS BRUTOS'!CS$3:CS$500)+IF($C17="",0,SUMIF('DADOS BRUTOS'!$A$3:$A$500,$C17,'DADOS BRUTOS'!CS$3:CS$500)))</f>
        <v/>
      </c>
      <c r="FT17" s="132">
        <f>IF(OR(FT$4="",$B17=""),0,SUMIF('DADOS BRUTOS'!$A$3:$A$500,$B17,'DADOS BRUTOS'!CT$3:CT$500)+IF($C17="",0,SUMIF('DADOS BRUTOS'!$A$3:$A$500,$C17,'DADOS BRUTOS'!CT$3:CT$500)))</f>
        <v/>
      </c>
      <c r="FU17" s="132">
        <f>IF(OR(FU$4="",$B17=""),0,SUMIF('DADOS BRUTOS'!$A$3:$A$500,$B17,'DADOS BRUTOS'!CU$3:CU$500)+IF($C17="",0,SUMIF('DADOS BRUTOS'!$A$3:$A$500,$C17,'DADOS BRUTOS'!CU$3:CU$500)))</f>
        <v/>
      </c>
      <c r="FV17" s="132">
        <f>IF(OR(FV$4="",$B17=""),0,SUMIF('DADOS BRUTOS'!$A$3:$A$500,$B17,'DADOS BRUTOS'!CV$3:CV$500)+IF($C17="",0,SUMIF('DADOS BRUTOS'!$A$3:$A$500,$C17,'DADOS BRUTOS'!CV$3:CV$500)))</f>
        <v/>
      </c>
      <c r="FW17" s="132">
        <f>IF(OR(FW$4="",$B17=""),0,SUMIF('DADOS BRUTOS'!$A$3:$A$500,$B17,'DADOS BRUTOS'!CW$3:CW$500)+IF($C17="",0,SUMIF('DADOS BRUTOS'!$A$3:$A$500,$C17,'DADOS BRUTOS'!CW$3:CW$500)))</f>
        <v/>
      </c>
      <c r="FX17" s="132">
        <f>IF(OR(FX$4="",$B17=""),0,SUMIF('DADOS BRUTOS'!$A$3:$A$500,$B17,'DADOS BRUTOS'!CX$3:CX$500)+IF($C17="",0,SUMIF('DADOS BRUTOS'!$A$3:$A$500,$C17,'DADOS BRUTOS'!CX$3:CX$500)))</f>
        <v/>
      </c>
      <c r="FY17" s="132">
        <f>IF(OR(FY$4="",$B17=""),0,SUMIF('DADOS BRUTOS'!$A$3:$A$500,$B17,'DADOS BRUTOS'!CY$3:CY$500)+IF($C17="",0,SUMIF('DADOS BRUTOS'!$A$3:$A$500,$C17,'DADOS BRUTOS'!CY$3:CY$500)))</f>
        <v/>
      </c>
      <c r="FZ17" s="132">
        <f>IF(OR(FZ$4="",$B17=""),0,SUMIF('DADOS BRUTOS'!$A$3:$A$500,$B17,'DADOS BRUTOS'!CZ$3:CZ$500)+IF($C17="",0,SUMIF('DADOS BRUTOS'!$A$3:$A$500,$C17,'DADOS BRUTOS'!CZ$3:CZ$500)))</f>
        <v/>
      </c>
      <c r="GA17" s="132">
        <f>IF(OR(GA$4="",$B17=""),0,SUMIF('DADOS BRUTOS'!$A$3:$A$500,$B17,'DADOS BRUTOS'!DA$3:DA$500)+IF($C17="",0,SUMIF('DADOS BRUTOS'!$A$3:$A$500,$C17,'DADOS BRUTOS'!DA$3:DA$500)))</f>
        <v/>
      </c>
      <c r="GB17" s="132">
        <f>IF(OR(GB$4="",$B17=""),0,SUMIF('DADOS BRUTOS'!$A$3:$A$500,$B17,'DADOS BRUTOS'!DB$3:DB$500)+IF($C17="",0,SUMIF('DADOS BRUTOS'!$A$3:$A$500,$C17,'DADOS BRUTOS'!DB$3:DB$500)))</f>
        <v/>
      </c>
      <c r="GC17" s="132">
        <f>IF(OR(GC$4="",$B17=""),0,SUMIF('DADOS BRUTOS'!$A$3:$A$500,$B17,'DADOS BRUTOS'!DC$3:DC$500)+IF($C17="",0,SUMIF('DADOS BRUTOS'!$A$3:$A$500,$C17,'DADOS BRUTOS'!DC$3:DC$500)))</f>
        <v/>
      </c>
      <c r="GD17" s="132">
        <f>IF(OR(GD$4="",$B17=""),0,SUMIF('DADOS BRUTOS'!$A$3:$A$500,$B17,'DADOS BRUTOS'!DD$3:DD$500)+IF($C17="",0,SUMIF('DADOS BRUTOS'!$A$3:$A$500,$C17,'DADOS BRUTOS'!DD$3:DD$500)))</f>
        <v/>
      </c>
      <c r="GE17" s="132">
        <f>IF(OR(GE$4="",$B17=""),0,SUMIF('DADOS BRUTOS'!$A$3:$A$500,$B17,'DADOS BRUTOS'!DE$3:DE$500)+IF($C17="",0,SUMIF('DADOS BRUTOS'!$A$3:$A$500,$C17,'DADOS BRUTOS'!DE$3:DE$500)))</f>
        <v/>
      </c>
      <c r="GF17" s="132">
        <f>IF(OR(GF$4="",$B17=""),0,SUMIF('DADOS BRUTOS'!$A$3:$A$500,$B17,'DADOS BRUTOS'!DF$3:DF$500)+IF($C17="",0,SUMIF('DADOS BRUTOS'!$A$3:$A$500,$C17,'DADOS BRUTOS'!DF$3:DF$500)))</f>
        <v/>
      </c>
      <c r="GG17" s="132">
        <f>IF(OR(GG$4="",$B17=""),0,SUMIF('DADOS BRUTOS'!$A$3:$A$500,$B17,'DADOS BRUTOS'!DG$3:DG$500)+IF($C17="",0,SUMIF('DADOS BRUTOS'!$A$3:$A$500,$C17,'DADOS BRUTOS'!DG$3:DG$500)))</f>
        <v/>
      </c>
      <c r="GH17" s="132">
        <f>IF(OR(GH$4="",$B17=""),0,SUMIF('DADOS BRUTOS'!$A$3:$A$500,$B17,'DADOS BRUTOS'!DH$3:DH$500)+IF($C17="",0,SUMIF('DADOS BRUTOS'!$A$3:$A$500,$C17,'DADOS BRUTOS'!DH$3:DH$500)))</f>
        <v/>
      </c>
      <c r="GI17" s="132">
        <f>IF(OR(GI$4="",$B17=""),0,SUMIF('DADOS BRUTOS'!$A$3:$A$500,$B17,'DADOS BRUTOS'!DI$3:DI$500)+IF($C17="",0,SUMIF('DADOS BRUTOS'!$A$3:$A$500,$C17,'DADOS BRUTOS'!DI$3:DI$500)))</f>
        <v/>
      </c>
      <c r="GJ17" s="132">
        <f>IF(OR(GJ$4="",$B17=""),0,SUMIF('DADOS BRUTOS'!$A$3:$A$500,$B17,'DADOS BRUTOS'!DJ$3:DJ$500)+IF($C17="",0,SUMIF('DADOS BRUTOS'!$A$3:$A$500,$C17,'DADOS BRUTOS'!DJ$3:DJ$500)))</f>
        <v/>
      </c>
      <c r="GK17" s="132">
        <f>IF(OR(GK$4="",$B17=""),0,SUMIF('DADOS BRUTOS'!$A$3:$A$500,$B17,'DADOS BRUTOS'!DK$3:DK$500)+IF($C17="",0,SUMIF('DADOS BRUTOS'!$A$3:$A$500,$C17,'DADOS BRUTOS'!DK$3:DK$500)))</f>
        <v/>
      </c>
      <c r="GL17" s="132">
        <f>IF(OR(GL$4="",$B17=""),0,SUMIF('DADOS BRUTOS'!$A$3:$A$500,$B17,'DADOS BRUTOS'!DL$3:DL$500)+IF($C17="",0,SUMIF('DADOS BRUTOS'!$A$3:$A$500,$C17,'DADOS BRUTOS'!DL$3:DL$500)))</f>
        <v/>
      </c>
      <c r="GM17" s="132">
        <f>IF(OR(GM$4="",$B17=""),0,SUMIF('DADOS BRUTOS'!$A$3:$A$500,$B17,'DADOS BRUTOS'!DM$3:DM$500)+IF($C17="",0,SUMIF('DADOS BRUTOS'!$A$3:$A$500,$C17,'DADOS BRUTOS'!DM$3:DM$500)))</f>
        <v/>
      </c>
      <c r="GN17" s="132">
        <f>IF(OR(GN$4="",$B17=""),0,SUMIF('DADOS BRUTOS'!$A$3:$A$500,$B17,'DADOS BRUTOS'!DN$3:DN$500)+IF($C17="",0,SUMIF('DADOS BRUTOS'!$A$3:$A$500,$C17,'DADOS BRUTOS'!DN$3:DN$500)))</f>
        <v/>
      </c>
      <c r="GO17" s="132">
        <f>IF(OR(GO$4="",$B17=""),0,SUMIF('DADOS BRUTOS'!$A$3:$A$500,$B17,'DADOS BRUTOS'!DO$3:DO$500)+IF($C17="",0,SUMIF('DADOS BRUTOS'!$A$3:$A$500,$C17,'DADOS BRUTOS'!DO$3:DO$500)))</f>
        <v/>
      </c>
      <c r="GP17" s="132">
        <f>IF(OR(GP$4="",$B17=""),0,SUMIF('DADOS BRUTOS'!$A$3:$A$500,$B17,'DADOS BRUTOS'!DP$3:DP$500)+IF($C17="",0,SUMIF('DADOS BRUTOS'!$A$3:$A$500,$C17,'DADOS BRUTOS'!DP$3:DP$500)))</f>
        <v/>
      </c>
      <c r="GQ17" s="132">
        <f>IF(OR(GQ$4="",$B17=""),0,SUMIF('DADOS BRUTOS'!$A$3:$A$500,$B17,'DADOS BRUTOS'!DQ$3:DQ$500)+IF($C17="",0,SUMIF('DADOS BRUTOS'!$A$3:$A$500,$C17,'DADOS BRUTOS'!DQ$3:DQ$500)))</f>
        <v/>
      </c>
      <c r="GR17" s="132">
        <f>IF(OR(GR$4="",$B17=""),0,SUMIF('DADOS BRUTOS'!$A$3:$A$500,$B17,'DADOS BRUTOS'!DR$3:DR$500)+IF($C17="",0,SUMIF('DADOS BRUTOS'!$A$3:$A$500,$C17,'DADOS BRUTOS'!DR$3:DR$500)))</f>
        <v/>
      </c>
      <c r="GS17" s="132">
        <f>IF(OR(GS$4="",$B17=""),0,SUMIF('DADOS BRUTOS'!$A$3:$A$500,$B17,'DADOS BRUTOS'!DS$3:DS$500)+IF($C17="",0,SUMIF('DADOS BRUTOS'!$A$3:$A$500,$C17,'DADOS BRUTOS'!DS$3:DS$500)))</f>
        <v/>
      </c>
      <c r="GT17" s="132">
        <f>IF(OR(GT$4="",$B17=""),0,SUMIF('DADOS BRUTOS'!$A$3:$A$500,$B17,'DADOS BRUTOS'!DT$3:DT$500)+IF($C17="",0,SUMIF('DADOS BRUTOS'!$A$3:$A$500,$C17,'DADOS BRUTOS'!DT$3:DT$500)))</f>
        <v/>
      </c>
      <c r="GU17" s="132">
        <f>IF(OR(GU$4="",$B17=""),0,SUMIF('DADOS BRUTOS'!$A$3:$A$500,$B17,'DADOS BRUTOS'!DU$3:DU$500)+IF($C17="",0,SUMIF('DADOS BRUTOS'!$A$3:$A$500,$C17,'DADOS BRUTOS'!DU$3:DU$500)))</f>
        <v/>
      </c>
      <c r="GV17" s="132">
        <f>IF(OR(GV$4="",$B17=""),0,SUMIF('DADOS BRUTOS'!$A$3:$A$500,$B17,'DADOS BRUTOS'!DV$3:DV$500)+IF($C17="",0,SUMIF('DADOS BRUTOS'!$A$3:$A$500,$C17,'DADOS BRUTOS'!DV$3:DV$500)))</f>
        <v/>
      </c>
      <c r="GW17" s="132">
        <f>IF(OR(GW$4="",$B17=""),0,SUMIF('DADOS BRUTOS'!$A$3:$A$500,$B17,'DADOS BRUTOS'!DW$3:DW$500)+IF($C17="",0,SUMIF('DADOS BRUTOS'!$A$3:$A$500,$C17,'DADOS BRUTOS'!DW$3:DW$500)))</f>
        <v/>
      </c>
      <c r="GX17" s="132">
        <f>IF(OR(GX$4="",$B17=""),0,SUMIF('DADOS BRUTOS'!$A$3:$A$500,$B17,'DADOS BRUTOS'!DX$3:DX$500)+IF($C17="",0,SUMIF('DADOS BRUTOS'!$A$3:$A$500,$C17,'DADOS BRUTOS'!DX$3:DX$500)))</f>
        <v/>
      </c>
      <c r="GY17" s="132">
        <f>IF(OR(GY$4="",$B17=""),0,SUMIF('DADOS BRUTOS'!$A$3:$A$500,$B17,'DADOS BRUTOS'!DY$3:DY$500)+IF($C17="",0,SUMIF('DADOS BRUTOS'!$A$3:$A$500,$C17,'DADOS BRUTOS'!DY$3:DY$500)))</f>
        <v/>
      </c>
      <c r="GZ17" s="132">
        <f>IF(OR(GZ$4="",$B17=""),0,SUMIF('DADOS BRUTOS'!$A$3:$A$500,$B17,'DADOS BRUTOS'!DZ$3:DZ$500)+IF($C17="",0,SUMIF('DADOS BRUTOS'!$A$3:$A$500,$C17,'DADOS BRUTOS'!DZ$3:DZ$500)))</f>
        <v/>
      </c>
      <c r="HA17" s="132">
        <f>IF(OR(HA$4="",$B17=""),0,SUMIF('DADOS BRUTOS'!$A$3:$A$500,$B17,'DADOS BRUTOS'!EA$3:EA$500)+IF($C17="",0,SUMIF('DADOS BRUTOS'!$A$3:$A$500,$C17,'DADOS BRUTOS'!EA$3:EA$500)))</f>
        <v/>
      </c>
      <c r="HB17" s="132">
        <f>IF(OR(HB$4="",$B17=""),0,SUMIF('DADOS BRUTOS'!$A$3:$A$500,$B17,'DADOS BRUTOS'!EB$3:EB$500)+IF($C17="",0,SUMIF('DADOS BRUTOS'!$A$3:$A$500,$C17,'DADOS BRUTOS'!EB$3:EB$500)))</f>
        <v/>
      </c>
      <c r="HC17" s="132">
        <f>IF(OR(HC$4="",$B17=""),0,SUMIF('DADOS BRUTOS'!$A$3:$A$500,$B17,'DADOS BRUTOS'!EC$3:EC$500)+IF($C17="",0,SUMIF('DADOS BRUTOS'!$A$3:$A$500,$C17,'DADOS BRUTOS'!EC$3:EC$500)))</f>
        <v/>
      </c>
      <c r="HD17" s="132">
        <f>IF(OR(HD$4="",$B17=""),0,SUMIF('DADOS BRUTOS'!$A$3:$A$500,$B17,'DADOS BRUTOS'!ED$3:ED$500)+IF($C17="",0,SUMIF('DADOS BRUTOS'!$A$3:$A$500,$C17,'DADOS BRUTOS'!ED$3:ED$500)))</f>
        <v/>
      </c>
      <c r="HE17" s="132">
        <f>IF(OR(HE$4="",$B17=""),0,SUMIF('DADOS BRUTOS'!$A$3:$A$500,$B17,'DADOS BRUTOS'!EE$3:EE$500)+IF($C17="",0,SUMIF('DADOS BRUTOS'!$A$3:$A$500,$C17,'DADOS BRUTOS'!EE$3:EE$500)))</f>
        <v/>
      </c>
      <c r="HF17" s="132">
        <f>IF(OR(HF$4="",$B17=""),0,SUMIF('DADOS BRUTOS'!$A$3:$A$500,$B17,'DADOS BRUTOS'!EF$3:EF$500)+IF($C17="",0,SUMIF('DADOS BRUTOS'!$A$3:$A$500,$C17,'DADOS BRUTOS'!EF$3:EF$500)))</f>
        <v/>
      </c>
      <c r="HG17" s="132">
        <f>IF(OR(HG$4="",$B17=""),0,SUMIF('DADOS BRUTOS'!$A$3:$A$500,$B17,'DADOS BRUTOS'!EG$3:EG$500)+IF($C17="",0,SUMIF('DADOS BRUTOS'!$A$3:$A$500,$C17,'DADOS BRUTOS'!EG$3:EG$500)))</f>
        <v/>
      </c>
      <c r="HH17" s="132">
        <f>IF(OR(HH$4="",$B17=""),0,SUMIF('DADOS BRUTOS'!$A$3:$A$500,$B17,'DADOS BRUTOS'!EH$3:EH$500)+IF($C17="",0,SUMIF('DADOS BRUTOS'!$A$3:$A$500,$C17,'DADOS BRUTOS'!EH$3:EH$500)))</f>
        <v/>
      </c>
      <c r="HI17" s="132">
        <f>IF(OR(HI$4="",$B17=""),0,SUMIF('DADOS BRUTOS'!$A$3:$A$500,$B17,'DADOS BRUTOS'!EI$3:EI$500)+IF($C17="",0,SUMIF('DADOS BRUTOS'!$A$3:$A$500,$C17,'DADOS BRUTOS'!EI$3:EI$500)))</f>
        <v/>
      </c>
      <c r="HJ17" s="132">
        <f>IF(OR(HJ$4="",$B17=""),0,SUMIF('DADOS BRUTOS'!$A$3:$A$500,$B17,'DADOS BRUTOS'!EJ$3:EJ$500)+IF($C17="",0,SUMIF('DADOS BRUTOS'!$A$3:$A$500,$C17,'DADOS BRUTOS'!EJ$3:EJ$500)))</f>
        <v/>
      </c>
      <c r="HK17" s="132">
        <f>IF(OR(HK$4="",$B17=""),0,SUMIF('DADOS BRUTOS'!$A$3:$A$500,$B17,'DADOS BRUTOS'!EK$3:EK$500)+IF($C17="",0,SUMIF('DADOS BRUTOS'!$A$3:$A$500,$C17,'DADOS BRUTOS'!EK$3:EK$500)))</f>
        <v/>
      </c>
      <c r="HL17" s="132">
        <f>IF(OR(HL$4="",$B17=""),0,SUMIF('DADOS BRUTOS'!$A$3:$A$500,$B17,'DADOS BRUTOS'!EL$3:EL$500)+IF($C17="",0,SUMIF('DADOS BRUTOS'!$A$3:$A$500,$C17,'DADOS BRUTOS'!EL$3:EL$500)))</f>
        <v/>
      </c>
      <c r="HM17" s="132">
        <f>IF(OR(HM$4="",$B17=""),0,SUMIF('DADOS BRUTOS'!$A$3:$A$500,$B17,'DADOS BRUTOS'!EM$3:EM$500)+IF($C17="",0,SUMIF('DADOS BRUTOS'!$A$3:$A$500,$C17,'DADOS BRUTOS'!EM$3:EM$500)))</f>
        <v/>
      </c>
      <c r="HN17" s="132">
        <f>IF(OR(HN$4="",$B17=""),0,SUMIF('DADOS BRUTOS'!$A$3:$A$500,$B17,'DADOS BRUTOS'!EN$3:EN$500)+IF($C17="",0,SUMIF('DADOS BRUTOS'!$A$3:$A$500,$C17,'DADOS BRUTOS'!EN$3:EN$500)))</f>
        <v/>
      </c>
      <c r="HO17" s="132">
        <f>IF(OR(HO$4="",$B17=""),0,SUMIF('DADOS BRUTOS'!$A$3:$A$500,$B17,'DADOS BRUTOS'!EO$3:EO$500)+IF($C17="",0,SUMIF('DADOS BRUTOS'!$A$3:$A$500,$C17,'DADOS BRUTOS'!EO$3:EO$500)))</f>
        <v/>
      </c>
      <c r="HP17" s="132">
        <f>IF(OR(HP$4="",$B17=""),0,SUMIF('DADOS BRUTOS'!$A$3:$A$500,$B17,'DADOS BRUTOS'!EP$3:EP$500)+IF($C17="",0,SUMIF('DADOS BRUTOS'!$A$3:$A$500,$C17,'DADOS BRUTOS'!EP$3:EP$500)))</f>
        <v/>
      </c>
      <c r="HQ17" s="132">
        <f>IF(OR(HQ$4="",$B17=""),0,SUMIF('DADOS BRUTOS'!$A$3:$A$500,$B17,'DADOS BRUTOS'!EQ$3:EQ$500)+IF($C17="",0,SUMIF('DADOS BRUTOS'!$A$3:$A$500,$C17,'DADOS BRUTOS'!EQ$3:EQ$500)))</f>
        <v/>
      </c>
      <c r="HR17" s="132">
        <f>IF(OR(HR$4="",$B17=""),0,SUMIF('DADOS BRUTOS'!$A$3:$A$500,$B17,'DADOS BRUTOS'!ER$3:ER$500)+IF($C17="",0,SUMIF('DADOS BRUTOS'!$A$3:$A$500,$C17,'DADOS BRUTOS'!ER$3:ER$500)))</f>
        <v/>
      </c>
      <c r="HS17" s="132">
        <f>IF(OR(HS$4="",$B17=""),0,SUMIF('DADOS BRUTOS'!$A$3:$A$500,$B17,'DADOS BRUTOS'!ES$3:ES$500)+IF($C17="",0,SUMIF('DADOS BRUTOS'!$A$3:$A$500,$C17,'DADOS BRUTOS'!ES$3:ES$500)))</f>
        <v/>
      </c>
      <c r="HT17" s="132">
        <f>IF(OR(HT$4="",$B17=""),0,SUMIF('DADOS BRUTOS'!$A$3:$A$500,$B17,'DADOS BRUTOS'!ET$3:ET$500)+IF($C17="",0,SUMIF('DADOS BRUTOS'!$A$3:$A$500,$C17,'DADOS BRUTOS'!ET$3:ET$500)))</f>
        <v/>
      </c>
      <c r="HU17" s="132">
        <f>IF(OR(HU$4="",$B17=""),0,SUMIF('DADOS BRUTOS'!$A$3:$A$500,$B17,'DADOS BRUTOS'!EU$3:EU$500)+IF($C17="",0,SUMIF('DADOS BRUTOS'!$A$3:$A$500,$C17,'DADOS BRUTOS'!EU$3:EU$500)))</f>
        <v/>
      </c>
      <c r="HV17" s="132">
        <f>IF(OR(HV$4="",$B17=""),0,SUMIF('DADOS BRUTOS'!$A$3:$A$500,$B17,'DADOS BRUTOS'!EV$3:EV$500)+IF($C17="",0,SUMIF('DADOS BRUTOS'!$A$3:$A$500,$C17,'DADOS BRUTOS'!EV$3:EV$500)))</f>
        <v/>
      </c>
      <c r="HW17" s="132">
        <f>IF(OR(HW$4="",$B17=""),0,SUMIF('DADOS BRUTOS'!$A$3:$A$500,$B17,'DADOS BRUTOS'!EW$3:EW$500)+IF($C17="",0,SUMIF('DADOS BRUTOS'!$A$3:$A$500,$C17,'DADOS BRUTOS'!EW$3:EW$500)))</f>
        <v/>
      </c>
      <c r="HX17" s="132">
        <f>IF(OR(HX$4="",$B17=""),0,SUMIF('DADOS BRUTOS'!$A$3:$A$500,$B17,'DADOS BRUTOS'!EX$3:EX$500)+IF($C17="",0,SUMIF('DADOS BRUTOS'!$A$3:$A$500,$C17,'DADOS BRUTOS'!EX$3:EX$500)))</f>
        <v/>
      </c>
      <c r="HY17" s="132">
        <f>IF(OR(HY$4="",$B17=""),0,SUMIF('DADOS BRUTOS'!$A$3:$A$500,$B17,'DADOS BRUTOS'!EY$3:EY$500)+IF($C17="",0,SUMIF('DADOS BRUTOS'!$A$3:$A$500,$C17,'DADOS BRUTOS'!EY$3:EY$500)))</f>
        <v/>
      </c>
      <c r="HZ17" s="132">
        <f>IF(OR(HZ$4="",$B17=""),0,SUMIF('DADOS BRUTOS'!$A$3:$A$500,$B17,'DADOS BRUTOS'!EZ$3:EZ$500)+IF($C17="",0,SUMIF('DADOS BRUTOS'!$A$3:$A$500,$C17,'DADOS BRUTOS'!EZ$3:EZ$500)))</f>
        <v/>
      </c>
      <c r="IA17" s="132">
        <f>IF(OR(IA$4="",$B17=""),0,SUMIF('DADOS BRUTOS'!$A$3:$A$500,$B17,'DADOS BRUTOS'!FA$3:FA$500)+IF($C17="",0,SUMIF('DADOS BRUTOS'!$A$3:$A$500,$C17,'DADOS BRUTOS'!FA$3:FA$500)))</f>
        <v/>
      </c>
      <c r="IB17" s="132">
        <f>IF(OR(IB$4="",$B17=""),0,SUMIF('DADOS BRUTOS'!$A$3:$A$500,$B17,'DADOS BRUTOS'!FB$3:FB$500)+IF($C17="",0,SUMIF('DADOS BRUTOS'!$A$3:$A$500,$C17,'DADOS BRUTOS'!FB$3:FB$500)))</f>
        <v/>
      </c>
      <c r="IC17" s="132">
        <f>IF(OR(IC$4="",$B17=""),0,SUMIF('DADOS BRUTOS'!$A$3:$A$500,$B17,'DADOS BRUTOS'!FC$3:FC$500)+IF($C17="",0,SUMIF('DADOS BRUTOS'!$A$3:$A$500,$C17,'DADOS BRUTOS'!FC$3:FC$500)))</f>
        <v/>
      </c>
      <c r="ID17" s="132">
        <f>IF(OR(ID$4="",$B17=""),0,SUMIF('DADOS BRUTOS'!$A$3:$A$500,$B17,'DADOS BRUTOS'!FD$3:FD$500)+IF($C17="",0,SUMIF('DADOS BRUTOS'!$A$3:$A$500,$C17,'DADOS BRUTOS'!FD$3:FD$500)))</f>
        <v/>
      </c>
      <c r="IE17" s="132">
        <f>IF(OR(IE$4="",$B17=""),0,SUMIF('DADOS BRUTOS'!$A$3:$A$500,$B17,'DADOS BRUTOS'!FE$3:FE$500)+IF($C17="",0,SUMIF('DADOS BRUTOS'!$A$3:$A$500,$C17,'DADOS BRUTOS'!FE$3:FE$500)))</f>
        <v/>
      </c>
      <c r="IF17" s="132">
        <f>IF(OR(IF$4="",$B17=""),0,SUMIF('DADOS BRUTOS'!$A$3:$A$500,$B17,'DADOS BRUTOS'!FF$3:FF$500)+IF($C17="",0,SUMIF('DADOS BRUTOS'!$A$3:$A$500,$C17,'DADOS BRUTOS'!FF$3:FF$500)))</f>
        <v/>
      </c>
      <c r="IG17" s="132">
        <f>IF(OR(IG$4="",$B17=""),0,SUMIF('DADOS BRUTOS'!$A$3:$A$500,$B17,'DADOS BRUTOS'!FG$3:FG$500)+IF($C17="",0,SUMIF('DADOS BRUTOS'!$A$3:$A$500,$C17,'DADOS BRUTOS'!FG$3:FG$500)))</f>
        <v/>
      </c>
      <c r="IH17" s="132">
        <f>IF(OR(IH$4="",$B17=""),0,SUMIF('DADOS BRUTOS'!$A$3:$A$500,$B17,'DADOS BRUTOS'!FH$3:FH$500)+IF($C17="",0,SUMIF('DADOS BRUTOS'!$A$3:$A$500,$C17,'DADOS BRUTOS'!FH$3:FH$500)))</f>
        <v/>
      </c>
      <c r="II17" s="132">
        <f>IF(OR(II$4="",$B17=""),0,SUMIF('DADOS BRUTOS'!$A$3:$A$500,$B17,'DADOS BRUTOS'!FI$3:FI$500)+IF($C17="",0,SUMIF('DADOS BRUTOS'!$A$3:$A$500,$C17,'DADOS BRUTOS'!FI$3:FI$500)))</f>
        <v/>
      </c>
      <c r="IJ17" s="132">
        <f>IF(OR(IJ$4="",$B17=""),0,SUMIF('DADOS BRUTOS'!$A$3:$A$500,$B17,'DADOS BRUTOS'!FJ$3:FJ$500)+IF($C17="",0,SUMIF('DADOS BRUTOS'!$A$3:$A$500,$C17,'DADOS BRUTOS'!FJ$3:FJ$500)))</f>
        <v/>
      </c>
      <c r="IK17" s="132">
        <f>IF(OR(IK$4="",$B17=""),0,SUMIF('DADOS BRUTOS'!$A$3:$A$500,$B17,'DADOS BRUTOS'!FK$3:FK$500)+IF($C17="",0,SUMIF('DADOS BRUTOS'!$A$3:$A$500,$C17,'DADOS BRUTOS'!FK$3:FK$500)))</f>
        <v/>
      </c>
      <c r="IL17" s="132">
        <f>IF(OR(IL$4="",$B17=""),0,SUMIF('DADOS BRUTOS'!$A$3:$A$500,$B17,'DADOS BRUTOS'!FL$3:FL$500)+IF($C17="",0,SUMIF('DADOS BRUTOS'!$A$3:$A$500,$C17,'DADOS BRUTOS'!FL$3:FL$500)))</f>
        <v/>
      </c>
      <c r="IM17" s="132">
        <f>IF(OR(IM$4="",$B17=""),0,SUMIF('DADOS BRUTOS'!$A$3:$A$500,$B17,'DADOS BRUTOS'!FM$3:FM$500)+IF($C17="",0,SUMIF('DADOS BRUTOS'!$A$3:$A$500,$C17,'DADOS BRUTOS'!FM$3:FM$500)))</f>
        <v/>
      </c>
      <c r="IN17" s="132">
        <f>IF(OR(IN$4="",$B17=""),0,SUMIF('DADOS BRUTOS'!$A$3:$A$500,$B17,'DADOS BRUTOS'!FN$3:FN$500)+IF($C17="",0,SUMIF('DADOS BRUTOS'!$A$3:$A$500,$C17,'DADOS BRUTOS'!FN$3:FN$500)))</f>
        <v/>
      </c>
      <c r="IO17" s="132">
        <f>IF(OR(IO$4="",$B17=""),0,SUMIF('DADOS BRUTOS'!$A$3:$A$500,$B17,'DADOS BRUTOS'!FO$3:FO$500)+IF($C17="",0,SUMIF('DADOS BRUTOS'!$A$3:$A$500,$C17,'DADOS BRUTOS'!FO$3:FO$500)))</f>
        <v/>
      </c>
      <c r="IP17" s="132">
        <f>IF(OR(IP$4="",$B17=""),0,SUMIF('DADOS BRUTOS'!$A$3:$A$500,$B17,'DADOS BRUTOS'!FP$3:FP$500)+IF($C17="",0,SUMIF('DADOS BRUTOS'!$A$3:$A$500,$C17,'DADOS BRUTOS'!FP$3:FP$500)))</f>
        <v/>
      </c>
      <c r="IQ17" s="132">
        <f>IF(OR(IQ$4="",$B17=""),0,SUMIF('DADOS BRUTOS'!$A$3:$A$500,$B17,'DADOS BRUTOS'!FQ$3:FQ$500)+IF($C17="",0,SUMIF('DADOS BRUTOS'!$A$3:$A$500,$C17,'DADOS BRUTOS'!FQ$3:FQ$500)))</f>
        <v/>
      </c>
      <c r="IR17" s="132">
        <f>IF(OR(IR$4="",$B17=""),0,SUMIF('DADOS BRUTOS'!$A$3:$A$500,$B17,'DADOS BRUTOS'!FR$3:FR$500)+IF($C17="",0,SUMIF('DADOS BRUTOS'!$A$3:$A$500,$C17,'DADOS BRUTOS'!FR$3:FR$500)))</f>
        <v/>
      </c>
      <c r="IS17" s="132">
        <f>IF(OR(IS$4="",$B17=""),0,SUMIF('DADOS BRUTOS'!$A$3:$A$500,$B17,'DADOS BRUTOS'!FS$3:FS$500)+IF($C17="",0,SUMIF('DADOS BRUTOS'!$A$3:$A$500,$C17,'DADOS BRUTOS'!FS$3:FS$500)))</f>
        <v/>
      </c>
      <c r="IT17" s="132">
        <f>IF(OR(IT$4="",$B17=""),0,SUMIF('DADOS BRUTOS'!$A$3:$A$500,$B17,'DADOS BRUTOS'!FT$3:FT$500)+IF($C17="",0,SUMIF('DADOS BRUTOS'!$A$3:$A$500,$C17,'DADOS BRUTOS'!FT$3:FT$500)))</f>
        <v/>
      </c>
      <c r="IU17" s="132">
        <f>IF(OR(IU$4="",$B17=""),0,SUMIF('DADOS BRUTOS'!$A$3:$A$500,$B17,'DADOS BRUTOS'!FU$3:FU$500)+IF($C17="",0,SUMIF('DADOS BRUTOS'!$A$3:$A$500,$C17,'DADOS BRUTOS'!FU$3:FU$500)))</f>
        <v/>
      </c>
      <c r="IV17" s="132">
        <f>IF(OR(IV$4="",$B17=""),0,SUMIF('DADOS BRUTOS'!$A$3:$A$500,$B17,'DADOS BRUTOS'!FV$3:FV$500)+IF($C17="",0,SUMIF('DADOS BRUTOS'!$A$3:$A$500,$C17,'DADOS BRUTOS'!FV$3:FV$500)))</f>
        <v/>
      </c>
      <c r="IW17" s="132">
        <f>IF(OR(IW$4="",$B17=""),0,SUMIF('DADOS BRUTOS'!$A$3:$A$500,$B17,'DADOS BRUTOS'!FW$3:FW$500)+IF($C17="",0,SUMIF('DADOS BRUTOS'!$A$3:$A$500,$C17,'DADOS BRUTOS'!FW$3:FW$500)))</f>
        <v/>
      </c>
      <c r="IX17" s="132">
        <f>IF(OR(IX$4="",$B17=""),0,SUMIF('DADOS BRUTOS'!$A$3:$A$500,$B17,'DADOS BRUTOS'!FX$3:FX$500)+IF($C17="",0,SUMIF('DADOS BRUTOS'!$A$3:$A$500,$C17,'DADOS BRUTOS'!FX$3:FX$500)))</f>
        <v/>
      </c>
      <c r="IY17" s="132">
        <f>IF(OR(IY$4="",$B17=""),0,SUMIF('DADOS BRUTOS'!$A$3:$A$500,$B17,'DADOS BRUTOS'!FY$3:FY$500)+IF($C17="",0,SUMIF('DADOS BRUTOS'!$A$3:$A$500,$C17,'DADOS BRUTOS'!FY$3:FY$500)))</f>
        <v/>
      </c>
      <c r="IZ17" s="132">
        <f>IF(OR(IZ$4="",$B17=""),0,SUMIF('DADOS BRUTOS'!$A$3:$A$500,$B17,'DADOS BRUTOS'!FZ$3:FZ$500)+IF($C17="",0,SUMIF('DADOS BRUTOS'!$A$3:$A$500,$C17,'DADOS BRUTOS'!FZ$3:FZ$500)))</f>
        <v/>
      </c>
      <c r="JA17" s="132">
        <f>IF(OR(JA$4="",$B17=""),0,SUMIF('DADOS BRUTOS'!$A$3:$A$500,$B17,'DADOS BRUTOS'!GA$3:GA$500)+IF($C17="",0,SUMIF('DADOS BRUTOS'!$A$3:$A$500,$C17,'DADOS BRUTOS'!GA$3:GA$500)))</f>
        <v/>
      </c>
      <c r="JB17" s="132">
        <f>IF(OR(JB$4="",$B17=""),0,SUMIF('DADOS BRUTOS'!$A$3:$A$500,$B17,'DADOS BRUTOS'!GB$3:GB$500)+IF($C17="",0,SUMIF('DADOS BRUTOS'!$A$3:$A$500,$C17,'DADOS BRUTOS'!GB$3:GB$500)))</f>
        <v/>
      </c>
      <c r="JC17" s="132">
        <f>IF(OR(JC$4="",$B17=""),0,SUMIF('DADOS BRUTOS'!$A$3:$A$500,$B17,'DADOS BRUTOS'!GC$3:GC$500)+IF($C17="",0,SUMIF('DADOS BRUTOS'!$A$3:$A$500,$C17,'DADOS BRUTOS'!GC$3:GC$500)))</f>
        <v/>
      </c>
      <c r="JD17" s="132">
        <f>IF(OR(JD$4="",$B17=""),0,SUMIF('DADOS BRUTOS'!$A$3:$A$500,$B17,'DADOS BRUTOS'!GD$3:GD$500)+IF($C17="",0,SUMIF('DADOS BRUTOS'!$A$3:$A$500,$C17,'DADOS BRUTOS'!GD$3:GD$500)))</f>
        <v/>
      </c>
      <c r="JE17" s="132">
        <f>IF(OR(JE$4="",$B17=""),0,SUMIF('DADOS BRUTOS'!$A$3:$A$500,$B17,'DADOS BRUTOS'!GE$3:GE$500)+IF($C17="",0,SUMIF('DADOS BRUTOS'!$A$3:$A$500,$C17,'DADOS BRUTOS'!GE$3:GE$500)))</f>
        <v/>
      </c>
      <c r="JF17" s="132">
        <f>IF(OR(JF$4="",$B17=""),0,SUMIF('DADOS BRUTOS'!$A$3:$A$500,$B17,'DADOS BRUTOS'!GF$3:GF$500)+IF($C17="",0,SUMIF('DADOS BRUTOS'!$A$3:$A$500,$C17,'DADOS BRUTOS'!GF$3:GF$500)))</f>
        <v/>
      </c>
      <c r="JG17" s="132">
        <f>IF(OR(JG$4="",$B17=""),0,SUMIF('DADOS BRUTOS'!$A$3:$A$500,$B17,'DADOS BRUTOS'!GG$3:GG$500)+IF($C17="",0,SUMIF('DADOS BRUTOS'!$A$3:$A$500,$C17,'DADOS BRUTOS'!GG$3:GG$500)))</f>
        <v/>
      </c>
      <c r="JH17" s="132">
        <f>IF(OR(JH$4="",$B17=""),0,SUMIF('DADOS BRUTOS'!$A$3:$A$500,$B17,'DADOS BRUTOS'!GH$3:GH$500)+IF($C17="",0,SUMIF('DADOS BRUTOS'!$A$3:$A$500,$C17,'DADOS BRUTOS'!GH$3:GH$500)))</f>
        <v/>
      </c>
      <c r="JI17" s="132">
        <f>IF(OR(JI$4="",$B17=""),0,SUMIF('DADOS BRUTOS'!$A$3:$A$500,$B17,'DADOS BRUTOS'!GI$3:GI$500)+IF($C17="",0,SUMIF('DADOS BRUTOS'!$A$3:$A$500,$C17,'DADOS BRUTOS'!GI$3:GI$500)))</f>
        <v/>
      </c>
      <c r="JJ17" s="132">
        <f>IF(OR(JJ$4="",$B17=""),0,SUMIF('DADOS BRUTOS'!$A$3:$A$500,$B17,'DADOS BRUTOS'!GJ$3:GJ$500)+IF($C17="",0,SUMIF('DADOS BRUTOS'!$A$3:$A$500,$C17,'DADOS BRUTOS'!GJ$3:GJ$500)))</f>
        <v/>
      </c>
      <c r="JK17" s="132">
        <f>IF(OR(JK$4="",$B17=""),0,SUMIF('DADOS BRUTOS'!$A$3:$A$500,$B17,'DADOS BRUTOS'!GK$3:GK$500)+IF($C17="",0,SUMIF('DADOS BRUTOS'!$A$3:$A$500,$C17,'DADOS BRUTOS'!GK$3:GK$500)))</f>
        <v/>
      </c>
      <c r="JL17" s="132">
        <f>IF(OR(JL$4="",$B17=""),0,SUMIF('DADOS BRUTOS'!$A$3:$A$500,$B17,'DADOS BRUTOS'!GL$3:GL$500)+IF($C17="",0,SUMIF('DADOS BRUTOS'!$A$3:$A$500,$C17,'DADOS BRUTOS'!GL$3:GL$500)))</f>
        <v/>
      </c>
      <c r="JM17" s="132">
        <f>IF(OR(JM$4="",$B17=""),0,SUMIF('DADOS BRUTOS'!$A$3:$A$500,$B17,'DADOS BRUTOS'!GM$3:GM$500)+IF($C17="",0,SUMIF('DADOS BRUTOS'!$A$3:$A$500,$C17,'DADOS BRUTOS'!GM$3:GM$500)))</f>
        <v/>
      </c>
      <c r="JN17" s="132">
        <f>IF(OR(JN$4="",$B17=""),0,SUMIF('DADOS BRUTOS'!$A$3:$A$500,$B17,'DADOS BRUTOS'!GN$3:GN$500)+IF($C17="",0,SUMIF('DADOS BRUTOS'!$A$3:$A$500,$C17,'DADOS BRUTOS'!GN$3:GN$500)))</f>
        <v/>
      </c>
      <c r="JO17" s="132">
        <f>IF(OR(JO$4="",$B17=""),0,SUMIF('DADOS BRUTOS'!$A$3:$A$500,$B17,'DADOS BRUTOS'!GO$3:GO$500)+IF($C17="",0,SUMIF('DADOS BRUTOS'!$A$3:$A$500,$C17,'DADOS BRUTOS'!GO$3:GO$500)))</f>
        <v/>
      </c>
      <c r="JP17" s="132">
        <f>IF(OR(JP$4="",$B17=""),0,SUMIF('DADOS BRUTOS'!$A$3:$A$500,$B17,'DADOS BRUTOS'!GP$3:GP$500)+IF($C17="",0,SUMIF('DADOS BRUTOS'!$A$3:$A$500,$C17,'DADOS BRUTOS'!GP$3:GP$500)))</f>
        <v/>
      </c>
      <c r="JQ17" s="132">
        <f>IF(OR(JQ$4="",$B17=""),0,SUMIF('DADOS BRUTOS'!$A$3:$A$500,$B17,'DADOS BRUTOS'!GQ$3:GQ$500)+IF($C17="",0,SUMIF('DADOS BRUTOS'!$A$3:$A$500,$C17,'DADOS BRUTOS'!GQ$3:GQ$500)))</f>
        <v/>
      </c>
      <c r="JR17" s="132">
        <f>IF(OR(JR$4="",$B17=""),0,SUMIF('DADOS BRUTOS'!$A$3:$A$500,$B17,'DADOS BRUTOS'!GR$3:GR$500)+IF($C17="",0,SUMIF('DADOS BRUTOS'!$A$3:$A$500,$C17,'DADOS BRUTOS'!GR$3:GR$500)))</f>
        <v/>
      </c>
      <c r="JS17" s="132">
        <f>IF(OR(JS$4="",$B17=""),0,SUMIF('DADOS BRUTOS'!$A$3:$A$500,$B17,'DADOS BRUTOS'!GS$3:GS$500)+IF($C17="",0,SUMIF('DADOS BRUTOS'!$A$3:$A$500,$C17,'DADOS BRUTOS'!GS$3:GS$500)))</f>
        <v/>
      </c>
    </row>
    <row r="18">
      <c r="A18" s="61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BZ18" s="49">
        <f>SUMPRODUCT(($CB$4:$JS$4&lt;&gt;"")*($CB$4:$JS$4&lt;=$D$4),$CB18:$JS18,$CB$1:$JS$1)</f>
        <v/>
      </c>
      <c r="CB18" s="132">
        <f>IF(OR(CB$4="",$B18=""),0,SUMIF('DADOS BRUTOS'!$A$3:$A$500,$B18,'DADOS BRUTOS'!B$3:B$500)+IF($C18="",0,SUMIF('DADOS BRUTOS'!$A$3:$A$500,$C18,'DADOS BRUTOS'!B$3:B$500)))</f>
        <v/>
      </c>
      <c r="CC18" s="132">
        <f>IF(OR(CC$4="",$B18=""),0,SUMIF('DADOS BRUTOS'!$A$3:$A$500,$B18,'DADOS BRUTOS'!C$3:C$500)+IF($C18="",0,SUMIF('DADOS BRUTOS'!$A$3:$A$500,$C18,'DADOS BRUTOS'!C$3:C$500)))</f>
        <v/>
      </c>
      <c r="CD18" s="132">
        <f>IF(OR(CD$4="",$B18=""),0,SUMIF('DADOS BRUTOS'!$A$3:$A$500,$B18,'DADOS BRUTOS'!D$3:D$500)+IF($C18="",0,SUMIF('DADOS BRUTOS'!$A$3:$A$500,$C18,'DADOS BRUTOS'!D$3:D$500)))</f>
        <v/>
      </c>
      <c r="CE18" s="132">
        <f>IF(OR(CE$4="",$B18=""),0,SUMIF('DADOS BRUTOS'!$A$3:$A$500,$B18,'DADOS BRUTOS'!E$3:E$500)+IF($C18="",0,SUMIF('DADOS BRUTOS'!$A$3:$A$500,$C18,'DADOS BRUTOS'!E$3:E$500)))</f>
        <v/>
      </c>
      <c r="CF18" s="132">
        <f>IF(OR(CF$4="",$B18=""),0,SUMIF('DADOS BRUTOS'!$A$3:$A$500,$B18,'DADOS BRUTOS'!F$3:F$500)+IF($C18="",0,SUMIF('DADOS BRUTOS'!$A$3:$A$500,$C18,'DADOS BRUTOS'!F$3:F$500)))</f>
        <v/>
      </c>
      <c r="CG18" s="132">
        <f>IF(OR(CG$4="",$B18=""),0,SUMIF('DADOS BRUTOS'!$A$3:$A$500,$B18,'DADOS BRUTOS'!G$3:G$500)+IF($C18="",0,SUMIF('DADOS BRUTOS'!$A$3:$A$500,$C18,'DADOS BRUTOS'!G$3:G$500)))</f>
        <v/>
      </c>
      <c r="CH18" s="132">
        <f>IF(OR(CH$4="",$B18=""),0,SUMIF('DADOS BRUTOS'!$A$3:$A$500,$B18,'DADOS BRUTOS'!H$3:H$500)+IF($C18="",0,SUMIF('DADOS BRUTOS'!$A$3:$A$500,$C18,'DADOS BRUTOS'!H$3:H$500)))</f>
        <v/>
      </c>
      <c r="CI18" s="132">
        <f>IF(OR(CI$4="",$B18=""),0,SUMIF('DADOS BRUTOS'!$A$3:$A$500,$B18,'DADOS BRUTOS'!I$3:I$500)+IF($C18="",0,SUMIF('DADOS BRUTOS'!$A$3:$A$500,$C18,'DADOS BRUTOS'!I$3:I$500)))</f>
        <v/>
      </c>
      <c r="CJ18" s="132">
        <f>IF(OR(CJ$4="",$B18=""),0,SUMIF('DADOS BRUTOS'!$A$3:$A$500,$B18,'DADOS BRUTOS'!J$3:J$500)+IF($C18="",0,SUMIF('DADOS BRUTOS'!$A$3:$A$500,$C18,'DADOS BRUTOS'!J$3:J$500)))</f>
        <v/>
      </c>
      <c r="CK18" s="132">
        <f>IF(OR(CK$4="",$B18=""),0,SUMIF('DADOS BRUTOS'!$A$3:$A$500,$B18,'DADOS BRUTOS'!K$3:K$500)+IF($C18="",0,SUMIF('DADOS BRUTOS'!$A$3:$A$500,$C18,'DADOS BRUTOS'!K$3:K$500)))</f>
        <v/>
      </c>
      <c r="CL18" s="132">
        <f>IF(OR(CL$4="",$B18=""),0,SUMIF('DADOS BRUTOS'!$A$3:$A$500,$B18,'DADOS BRUTOS'!L$3:L$500)+IF($C18="",0,SUMIF('DADOS BRUTOS'!$A$3:$A$500,$C18,'DADOS BRUTOS'!L$3:L$500)))</f>
        <v/>
      </c>
      <c r="CM18" s="132">
        <f>IF(OR(CM$4="",$B18=""),0,SUMIF('DADOS BRUTOS'!$A$3:$A$500,$B18,'DADOS BRUTOS'!M$3:M$500)+IF($C18="",0,SUMIF('DADOS BRUTOS'!$A$3:$A$500,$C18,'DADOS BRUTOS'!M$3:M$500)))</f>
        <v/>
      </c>
      <c r="CN18" s="132">
        <f>IF(OR(CN$4="",$B18=""),0,SUMIF('DADOS BRUTOS'!$A$3:$A$500,$B18,'DADOS BRUTOS'!N$3:N$500)+IF($C18="",0,SUMIF('DADOS BRUTOS'!$A$3:$A$500,$C18,'DADOS BRUTOS'!N$3:N$500)))</f>
        <v/>
      </c>
      <c r="CO18" s="132">
        <f>IF(OR(CO$4="",$B18=""),0,SUMIF('DADOS BRUTOS'!$A$3:$A$500,$B18,'DADOS BRUTOS'!O$3:O$500)+IF($C18="",0,SUMIF('DADOS BRUTOS'!$A$3:$A$500,$C18,'DADOS BRUTOS'!O$3:O$500)))</f>
        <v/>
      </c>
      <c r="CP18" s="132">
        <f>IF(OR(CP$4="",$B18=""),0,SUMIF('DADOS BRUTOS'!$A$3:$A$500,$B18,'DADOS BRUTOS'!P$3:P$500)+IF($C18="",0,SUMIF('DADOS BRUTOS'!$A$3:$A$500,$C18,'DADOS BRUTOS'!P$3:P$500)))</f>
        <v/>
      </c>
      <c r="CQ18" s="132">
        <f>IF(OR(CQ$4="",$B18=""),0,SUMIF('DADOS BRUTOS'!$A$3:$A$500,$B18,'DADOS BRUTOS'!Q$3:Q$500)+IF($C18="",0,SUMIF('DADOS BRUTOS'!$A$3:$A$500,$C18,'DADOS BRUTOS'!Q$3:Q$500)))</f>
        <v/>
      </c>
      <c r="CR18" s="132">
        <f>IF(OR(CR$4="",$B18=""),0,SUMIF('DADOS BRUTOS'!$A$3:$A$500,$B18,'DADOS BRUTOS'!R$3:R$500)+IF($C18="",0,SUMIF('DADOS BRUTOS'!$A$3:$A$500,$C18,'DADOS BRUTOS'!R$3:R$500)))</f>
        <v/>
      </c>
      <c r="CS18" s="132">
        <f>IF(OR(CS$4="",$B18=""),0,SUMIF('DADOS BRUTOS'!$A$3:$A$500,$B18,'DADOS BRUTOS'!S$3:S$500)+IF($C18="",0,SUMIF('DADOS BRUTOS'!$A$3:$A$500,$C18,'DADOS BRUTOS'!S$3:S$500)))</f>
        <v/>
      </c>
      <c r="CT18" s="132">
        <f>IF(OR(CT$4="",$B18=""),0,SUMIF('DADOS BRUTOS'!$A$3:$A$500,$B18,'DADOS BRUTOS'!T$3:T$500)+IF($C18="",0,SUMIF('DADOS BRUTOS'!$A$3:$A$500,$C18,'DADOS BRUTOS'!T$3:T$500)))</f>
        <v/>
      </c>
      <c r="CU18" s="132">
        <f>IF(OR(CU$4="",$B18=""),0,SUMIF('DADOS BRUTOS'!$A$3:$A$500,$B18,'DADOS BRUTOS'!U$3:U$500)+IF($C18="",0,SUMIF('DADOS BRUTOS'!$A$3:$A$500,$C18,'DADOS BRUTOS'!U$3:U$500)))</f>
        <v/>
      </c>
      <c r="CV18" s="132">
        <f>IF(OR(CV$4="",$B18=""),0,SUMIF('DADOS BRUTOS'!$A$3:$A$500,$B18,'DADOS BRUTOS'!V$3:V$500)+IF($C18="",0,SUMIF('DADOS BRUTOS'!$A$3:$A$500,$C18,'DADOS BRUTOS'!V$3:V$500)))</f>
        <v/>
      </c>
      <c r="CW18" s="132">
        <f>IF(OR(CW$4="",$B18=""),0,SUMIF('DADOS BRUTOS'!$A$3:$A$500,$B18,'DADOS BRUTOS'!W$3:W$500)+IF($C18="",0,SUMIF('DADOS BRUTOS'!$A$3:$A$500,$C18,'DADOS BRUTOS'!W$3:W$500)))</f>
        <v/>
      </c>
      <c r="CX18" s="132">
        <f>IF(OR(CX$4="",$B18=""),0,SUMIF('DADOS BRUTOS'!$A$3:$A$500,$B18,'DADOS BRUTOS'!X$3:X$500)+IF($C18="",0,SUMIF('DADOS BRUTOS'!$A$3:$A$500,$C18,'DADOS BRUTOS'!X$3:X$500)))</f>
        <v/>
      </c>
      <c r="CY18" s="132">
        <f>IF(OR(CY$4="",$B18=""),0,SUMIF('DADOS BRUTOS'!$A$3:$A$500,$B18,'DADOS BRUTOS'!Y$3:Y$500)+IF($C18="",0,SUMIF('DADOS BRUTOS'!$A$3:$A$500,$C18,'DADOS BRUTOS'!Y$3:Y$500)))</f>
        <v/>
      </c>
      <c r="CZ18" s="132">
        <f>IF(OR(CZ$4="",$B18=""),0,SUMIF('DADOS BRUTOS'!$A$3:$A$500,$B18,'DADOS BRUTOS'!Z$3:Z$500)+IF($C18="",0,SUMIF('DADOS BRUTOS'!$A$3:$A$500,$C18,'DADOS BRUTOS'!Z$3:Z$500)))</f>
        <v/>
      </c>
      <c r="DA18" s="132">
        <f>IF(OR(DA$4="",$B18=""),0,SUMIF('DADOS BRUTOS'!$A$3:$A$500,$B18,'DADOS BRUTOS'!AA$3:AA$500)+IF($C18="",0,SUMIF('DADOS BRUTOS'!$A$3:$A$500,$C18,'DADOS BRUTOS'!AA$3:AA$500)))</f>
        <v/>
      </c>
      <c r="DB18" s="132">
        <f>IF(OR(DB$4="",$B18=""),0,SUMIF('DADOS BRUTOS'!$A$3:$A$500,$B18,'DADOS BRUTOS'!AB$3:AB$500)+IF($C18="",0,SUMIF('DADOS BRUTOS'!$A$3:$A$500,$C18,'DADOS BRUTOS'!AB$3:AB$500)))</f>
        <v/>
      </c>
      <c r="DC18" s="132">
        <f>IF(OR(DC$4="",$B18=""),0,SUMIF('DADOS BRUTOS'!$A$3:$A$500,$B18,'DADOS BRUTOS'!AC$3:AC$500)+IF($C18="",0,SUMIF('DADOS BRUTOS'!$A$3:$A$500,$C18,'DADOS BRUTOS'!AC$3:AC$500)))</f>
        <v/>
      </c>
      <c r="DD18" s="132">
        <f>IF(OR(DD$4="",$B18=""),0,SUMIF('DADOS BRUTOS'!$A$3:$A$500,$B18,'DADOS BRUTOS'!AD$3:AD$500)+IF($C18="",0,SUMIF('DADOS BRUTOS'!$A$3:$A$500,$C18,'DADOS BRUTOS'!AD$3:AD$500)))</f>
        <v/>
      </c>
      <c r="DE18" s="132">
        <f>IF(OR(DE$4="",$B18=""),0,SUMIF('DADOS BRUTOS'!$A$3:$A$500,$B18,'DADOS BRUTOS'!AE$3:AE$500)+IF($C18="",0,SUMIF('DADOS BRUTOS'!$A$3:$A$500,$C18,'DADOS BRUTOS'!AE$3:AE$500)))</f>
        <v/>
      </c>
      <c r="DF18" s="132">
        <f>IF(OR(DF$4="",$B18=""),0,SUMIF('DADOS BRUTOS'!$A$3:$A$500,$B18,'DADOS BRUTOS'!AF$3:AF$500)+IF($C18="",0,SUMIF('DADOS BRUTOS'!$A$3:$A$500,$C18,'DADOS BRUTOS'!AF$3:AF$500)))</f>
        <v/>
      </c>
      <c r="DG18" s="132">
        <f>IF(OR(DG$4="",$B18=""),0,SUMIF('DADOS BRUTOS'!$A$3:$A$500,$B18,'DADOS BRUTOS'!AG$3:AG$500)+IF($C18="",0,SUMIF('DADOS BRUTOS'!$A$3:$A$500,$C18,'DADOS BRUTOS'!AG$3:AG$500)))</f>
        <v/>
      </c>
      <c r="DH18" s="132">
        <f>IF(OR(DH$4="",$B18=""),0,SUMIF('DADOS BRUTOS'!$A$3:$A$500,$B18,'DADOS BRUTOS'!AH$3:AH$500)+IF($C18="",0,SUMIF('DADOS BRUTOS'!$A$3:$A$500,$C18,'DADOS BRUTOS'!AH$3:AH$500)))</f>
        <v/>
      </c>
      <c r="DI18" s="132">
        <f>IF(OR(DI$4="",$B18=""),0,SUMIF('DADOS BRUTOS'!$A$3:$A$500,$B18,'DADOS BRUTOS'!AI$3:AI$500)+IF($C18="",0,SUMIF('DADOS BRUTOS'!$A$3:$A$500,$C18,'DADOS BRUTOS'!AI$3:AI$500)))</f>
        <v/>
      </c>
      <c r="DJ18" s="132">
        <f>IF(OR(DJ$4="",$B18=""),0,SUMIF('DADOS BRUTOS'!$A$3:$A$500,$B18,'DADOS BRUTOS'!AJ$3:AJ$500)+IF($C18="",0,SUMIF('DADOS BRUTOS'!$A$3:$A$500,$C18,'DADOS BRUTOS'!AJ$3:AJ$500)))</f>
        <v/>
      </c>
      <c r="DK18" s="132">
        <f>IF(OR(DK$4="",$B18=""),0,SUMIF('DADOS BRUTOS'!$A$3:$A$500,$B18,'DADOS BRUTOS'!AK$3:AK$500)+IF($C18="",0,SUMIF('DADOS BRUTOS'!$A$3:$A$500,$C18,'DADOS BRUTOS'!AK$3:AK$500)))</f>
        <v/>
      </c>
      <c r="DL18" s="132">
        <f>IF(OR(DL$4="",$B18=""),0,SUMIF('DADOS BRUTOS'!$A$3:$A$500,$B18,'DADOS BRUTOS'!AL$3:AL$500)+IF($C18="",0,SUMIF('DADOS BRUTOS'!$A$3:$A$500,$C18,'DADOS BRUTOS'!AL$3:AL$500)))</f>
        <v/>
      </c>
      <c r="DM18" s="132">
        <f>IF(OR(DM$4="",$B18=""),0,SUMIF('DADOS BRUTOS'!$A$3:$A$500,$B18,'DADOS BRUTOS'!AM$3:AM$500)+IF($C18="",0,SUMIF('DADOS BRUTOS'!$A$3:$A$500,$C18,'DADOS BRUTOS'!AM$3:AM$500)))</f>
        <v/>
      </c>
      <c r="DN18" s="132">
        <f>IF(OR(DN$4="",$B18=""),0,SUMIF('DADOS BRUTOS'!$A$3:$A$500,$B18,'DADOS BRUTOS'!AN$3:AN$500)+IF($C18="",0,SUMIF('DADOS BRUTOS'!$A$3:$A$500,$C18,'DADOS BRUTOS'!AN$3:AN$500)))</f>
        <v/>
      </c>
      <c r="DO18" s="132">
        <f>IF(OR(DO$4="",$B18=""),0,SUMIF('DADOS BRUTOS'!$A$3:$A$500,$B18,'DADOS BRUTOS'!AO$3:AO$500)+IF($C18="",0,SUMIF('DADOS BRUTOS'!$A$3:$A$500,$C18,'DADOS BRUTOS'!AO$3:AO$500)))</f>
        <v/>
      </c>
      <c r="DP18" s="132">
        <f>IF(OR(DP$4="",$B18=""),0,SUMIF('DADOS BRUTOS'!$A$3:$A$500,$B18,'DADOS BRUTOS'!AP$3:AP$500)+IF($C18="",0,SUMIF('DADOS BRUTOS'!$A$3:$A$500,$C18,'DADOS BRUTOS'!AP$3:AP$500)))</f>
        <v/>
      </c>
      <c r="DQ18" s="132">
        <f>IF(OR(DQ$4="",$B18=""),0,SUMIF('DADOS BRUTOS'!$A$3:$A$500,$B18,'DADOS BRUTOS'!AQ$3:AQ$500)+IF($C18="",0,SUMIF('DADOS BRUTOS'!$A$3:$A$500,$C18,'DADOS BRUTOS'!AQ$3:AQ$500)))</f>
        <v/>
      </c>
      <c r="DR18" s="132">
        <f>IF(OR(DR$4="",$B18=""),0,SUMIF('DADOS BRUTOS'!$A$3:$A$500,$B18,'DADOS BRUTOS'!AR$3:AR$500)+IF($C18="",0,SUMIF('DADOS BRUTOS'!$A$3:$A$500,$C18,'DADOS BRUTOS'!AR$3:AR$500)))</f>
        <v/>
      </c>
      <c r="DS18" s="132">
        <f>IF(OR(DS$4="",$B18=""),0,SUMIF('DADOS BRUTOS'!$A$3:$A$500,$B18,'DADOS BRUTOS'!AS$3:AS$500)+IF($C18="",0,SUMIF('DADOS BRUTOS'!$A$3:$A$500,$C18,'DADOS BRUTOS'!AS$3:AS$500)))</f>
        <v/>
      </c>
      <c r="DT18" s="132">
        <f>IF(OR(DT$4="",$B18=""),0,SUMIF('DADOS BRUTOS'!$A$3:$A$500,$B18,'DADOS BRUTOS'!AT$3:AT$500)+IF($C18="",0,SUMIF('DADOS BRUTOS'!$A$3:$A$500,$C18,'DADOS BRUTOS'!AT$3:AT$500)))</f>
        <v/>
      </c>
      <c r="DU18" s="132">
        <f>IF(OR(DU$4="",$B18=""),0,SUMIF('DADOS BRUTOS'!$A$3:$A$500,$B18,'DADOS BRUTOS'!AU$3:AU$500)+IF($C18="",0,SUMIF('DADOS BRUTOS'!$A$3:$A$500,$C18,'DADOS BRUTOS'!AU$3:AU$500)))</f>
        <v/>
      </c>
      <c r="DV18" s="132">
        <f>IF(OR(DV$4="",$B18=""),0,SUMIF('DADOS BRUTOS'!$A$3:$A$500,$B18,'DADOS BRUTOS'!AV$3:AV$500)+IF($C18="",0,SUMIF('DADOS BRUTOS'!$A$3:$A$500,$C18,'DADOS BRUTOS'!AV$3:AV$500)))</f>
        <v/>
      </c>
      <c r="DW18" s="132">
        <f>IF(OR(DW$4="",$B18=""),0,SUMIF('DADOS BRUTOS'!$A$3:$A$500,$B18,'DADOS BRUTOS'!AW$3:AW$500)+IF($C18="",0,SUMIF('DADOS BRUTOS'!$A$3:$A$500,$C18,'DADOS BRUTOS'!AW$3:AW$500)))</f>
        <v/>
      </c>
      <c r="DX18" s="132">
        <f>IF(OR(DX$4="",$B18=""),0,SUMIF('DADOS BRUTOS'!$A$3:$A$500,$B18,'DADOS BRUTOS'!AX$3:AX$500)+IF($C18="",0,SUMIF('DADOS BRUTOS'!$A$3:$A$500,$C18,'DADOS BRUTOS'!AX$3:AX$500)))</f>
        <v/>
      </c>
      <c r="DY18" s="132">
        <f>IF(OR(DY$4="",$B18=""),0,SUMIF('DADOS BRUTOS'!$A$3:$A$500,$B18,'DADOS BRUTOS'!AY$3:AY$500)+IF($C18="",0,SUMIF('DADOS BRUTOS'!$A$3:$A$500,$C18,'DADOS BRUTOS'!AY$3:AY$500)))</f>
        <v/>
      </c>
      <c r="DZ18" s="132">
        <f>IF(OR(DZ$4="",$B18=""),0,SUMIF('DADOS BRUTOS'!$A$3:$A$500,$B18,'DADOS BRUTOS'!AZ$3:AZ$500)+IF($C18="",0,SUMIF('DADOS BRUTOS'!$A$3:$A$500,$C18,'DADOS BRUTOS'!AZ$3:AZ$500)))</f>
        <v/>
      </c>
      <c r="EA18" s="132">
        <f>IF(OR(EA$4="",$B18=""),0,SUMIF('DADOS BRUTOS'!$A$3:$A$500,$B18,'DADOS BRUTOS'!BA$3:BA$500)+IF($C18="",0,SUMIF('DADOS BRUTOS'!$A$3:$A$500,$C18,'DADOS BRUTOS'!BA$3:BA$500)))</f>
        <v/>
      </c>
      <c r="EB18" s="132">
        <f>IF(OR(EB$4="",$B18=""),0,SUMIF('DADOS BRUTOS'!$A$3:$A$500,$B18,'DADOS BRUTOS'!BB$3:BB$500)+IF($C18="",0,SUMIF('DADOS BRUTOS'!$A$3:$A$500,$C18,'DADOS BRUTOS'!BB$3:BB$500)))</f>
        <v/>
      </c>
      <c r="EC18" s="132">
        <f>IF(OR(EC$4="",$B18=""),0,SUMIF('DADOS BRUTOS'!$A$3:$A$500,$B18,'DADOS BRUTOS'!BC$3:BC$500)+IF($C18="",0,SUMIF('DADOS BRUTOS'!$A$3:$A$500,$C18,'DADOS BRUTOS'!BC$3:BC$500)))</f>
        <v/>
      </c>
      <c r="ED18" s="132">
        <f>IF(OR(ED$4="",$B18=""),0,SUMIF('DADOS BRUTOS'!$A$3:$A$500,$B18,'DADOS BRUTOS'!BD$3:BD$500)+IF($C18="",0,SUMIF('DADOS BRUTOS'!$A$3:$A$500,$C18,'DADOS BRUTOS'!BD$3:BD$500)))</f>
        <v/>
      </c>
      <c r="EE18" s="132">
        <f>IF(OR(EE$4="",$B18=""),0,SUMIF('DADOS BRUTOS'!$A$3:$A$500,$B18,'DADOS BRUTOS'!BE$3:BE$500)+IF($C18="",0,SUMIF('DADOS BRUTOS'!$A$3:$A$500,$C18,'DADOS BRUTOS'!BE$3:BE$500)))</f>
        <v/>
      </c>
      <c r="EF18" s="132">
        <f>IF(OR(EF$4="",$B18=""),0,SUMIF('DADOS BRUTOS'!$A$3:$A$500,$B18,'DADOS BRUTOS'!BF$3:BF$500)+IF($C18="",0,SUMIF('DADOS BRUTOS'!$A$3:$A$500,$C18,'DADOS BRUTOS'!BF$3:BF$500)))</f>
        <v/>
      </c>
      <c r="EG18" s="132">
        <f>IF(OR(EG$4="",$B18=""),0,SUMIF('DADOS BRUTOS'!$A$3:$A$500,$B18,'DADOS BRUTOS'!BG$3:BG$500)+IF($C18="",0,SUMIF('DADOS BRUTOS'!$A$3:$A$500,$C18,'DADOS BRUTOS'!BG$3:BG$500)))</f>
        <v/>
      </c>
      <c r="EH18" s="132">
        <f>IF(OR(EH$4="",$B18=""),0,SUMIF('DADOS BRUTOS'!$A$3:$A$500,$B18,'DADOS BRUTOS'!BH$3:BH$500)+IF($C18="",0,SUMIF('DADOS BRUTOS'!$A$3:$A$500,$C18,'DADOS BRUTOS'!BH$3:BH$500)))</f>
        <v/>
      </c>
      <c r="EI18" s="132">
        <f>IF(OR(EI$4="",$B18=""),0,SUMIF('DADOS BRUTOS'!$A$3:$A$500,$B18,'DADOS BRUTOS'!BI$3:BI$500)+IF($C18="",0,SUMIF('DADOS BRUTOS'!$A$3:$A$500,$C18,'DADOS BRUTOS'!BI$3:BI$500)))</f>
        <v/>
      </c>
      <c r="EJ18" s="132">
        <f>IF(OR(EJ$4="",$B18=""),0,SUMIF('DADOS BRUTOS'!$A$3:$A$500,$B18,'DADOS BRUTOS'!BJ$3:BJ$500)+IF($C18="",0,SUMIF('DADOS BRUTOS'!$A$3:$A$500,$C18,'DADOS BRUTOS'!BJ$3:BJ$500)))</f>
        <v/>
      </c>
      <c r="EK18" s="132">
        <f>IF(OR(EK$4="",$B18=""),0,SUMIF('DADOS BRUTOS'!$A$3:$A$500,$B18,'DADOS BRUTOS'!BK$3:BK$500)+IF($C18="",0,SUMIF('DADOS BRUTOS'!$A$3:$A$500,$C18,'DADOS BRUTOS'!BK$3:BK$500)))</f>
        <v/>
      </c>
      <c r="EL18" s="132">
        <f>IF(OR(EL$4="",$B18=""),0,SUMIF('DADOS BRUTOS'!$A$3:$A$500,$B18,'DADOS BRUTOS'!BL$3:BL$500)+IF($C18="",0,SUMIF('DADOS BRUTOS'!$A$3:$A$500,$C18,'DADOS BRUTOS'!BL$3:BL$500)))</f>
        <v/>
      </c>
      <c r="EM18" s="132">
        <f>IF(OR(EM$4="",$B18=""),0,SUMIF('DADOS BRUTOS'!$A$3:$A$500,$B18,'DADOS BRUTOS'!BM$3:BM$500)+IF($C18="",0,SUMIF('DADOS BRUTOS'!$A$3:$A$500,$C18,'DADOS BRUTOS'!BM$3:BM$500)))</f>
        <v/>
      </c>
      <c r="EN18" s="132">
        <f>IF(OR(EN$4="",$B18=""),0,SUMIF('DADOS BRUTOS'!$A$3:$A$500,$B18,'DADOS BRUTOS'!BN$3:BN$500)+IF($C18="",0,SUMIF('DADOS BRUTOS'!$A$3:$A$500,$C18,'DADOS BRUTOS'!BN$3:BN$500)))</f>
        <v/>
      </c>
      <c r="EO18" s="132">
        <f>IF(OR(EO$4="",$B18=""),0,SUMIF('DADOS BRUTOS'!$A$3:$A$500,$B18,'DADOS BRUTOS'!BO$3:BO$500)+IF($C18="",0,SUMIF('DADOS BRUTOS'!$A$3:$A$500,$C18,'DADOS BRUTOS'!BO$3:BO$500)))</f>
        <v/>
      </c>
      <c r="EP18" s="132">
        <f>IF(OR(EP$4="",$B18=""),0,SUMIF('DADOS BRUTOS'!$A$3:$A$500,$B18,'DADOS BRUTOS'!BP$3:BP$500)+IF($C18="",0,SUMIF('DADOS BRUTOS'!$A$3:$A$500,$C18,'DADOS BRUTOS'!BP$3:BP$500)))</f>
        <v/>
      </c>
      <c r="EQ18" s="132">
        <f>IF(OR(EQ$4="",$B18=""),0,SUMIF('DADOS BRUTOS'!$A$3:$A$500,$B18,'DADOS BRUTOS'!BQ$3:BQ$500)+IF($C18="",0,SUMIF('DADOS BRUTOS'!$A$3:$A$500,$C18,'DADOS BRUTOS'!BQ$3:BQ$500)))</f>
        <v/>
      </c>
      <c r="ER18" s="132">
        <f>IF(OR(ER$4="",$B18=""),0,SUMIF('DADOS BRUTOS'!$A$3:$A$500,$B18,'DADOS BRUTOS'!BR$3:BR$500)+IF($C18="",0,SUMIF('DADOS BRUTOS'!$A$3:$A$500,$C18,'DADOS BRUTOS'!BR$3:BR$500)))</f>
        <v/>
      </c>
      <c r="ES18" s="132">
        <f>IF(OR(ES$4="",$B18=""),0,SUMIF('DADOS BRUTOS'!$A$3:$A$500,$B18,'DADOS BRUTOS'!BS$3:BS$500)+IF($C18="",0,SUMIF('DADOS BRUTOS'!$A$3:$A$500,$C18,'DADOS BRUTOS'!BS$3:BS$500)))</f>
        <v/>
      </c>
      <c r="ET18" s="132">
        <f>IF(OR(ET$4="",$B18=""),0,SUMIF('DADOS BRUTOS'!$A$3:$A$500,$B18,'DADOS BRUTOS'!BT$3:BT$500)+IF($C18="",0,SUMIF('DADOS BRUTOS'!$A$3:$A$500,$C18,'DADOS BRUTOS'!BT$3:BT$500)))</f>
        <v/>
      </c>
      <c r="EU18" s="132">
        <f>IF(OR(EU$4="",$B18=""),0,SUMIF('DADOS BRUTOS'!$A$3:$A$500,$B18,'DADOS BRUTOS'!BU$3:BU$500)+IF($C18="",0,SUMIF('DADOS BRUTOS'!$A$3:$A$500,$C18,'DADOS BRUTOS'!BU$3:BU$500)))</f>
        <v/>
      </c>
      <c r="EV18" s="132">
        <f>IF(OR(EV$4="",$B18=""),0,SUMIF('DADOS BRUTOS'!$A$3:$A$500,$B18,'DADOS BRUTOS'!BV$3:BV$500)+IF($C18="",0,SUMIF('DADOS BRUTOS'!$A$3:$A$500,$C18,'DADOS BRUTOS'!BV$3:BV$500)))</f>
        <v/>
      </c>
      <c r="EW18" s="132">
        <f>IF(OR(EW$4="",$B18=""),0,SUMIF('DADOS BRUTOS'!$A$3:$A$500,$B18,'DADOS BRUTOS'!BW$3:BW$500)+IF($C18="",0,SUMIF('DADOS BRUTOS'!$A$3:$A$500,$C18,'DADOS BRUTOS'!BW$3:BW$500)))</f>
        <v/>
      </c>
      <c r="EX18" s="132">
        <f>IF(OR(EX$4="",$B18=""),0,SUMIF('DADOS BRUTOS'!$A$3:$A$500,$B18,'DADOS BRUTOS'!BX$3:BX$500)+IF($C18="",0,SUMIF('DADOS BRUTOS'!$A$3:$A$500,$C18,'DADOS BRUTOS'!BX$3:BX$500)))</f>
        <v/>
      </c>
      <c r="EY18" s="132">
        <f>IF(OR(EY$4="",$B18=""),0,SUMIF('DADOS BRUTOS'!$A$3:$A$500,$B18,'DADOS BRUTOS'!BY$3:BY$500)+IF($C18="",0,SUMIF('DADOS BRUTOS'!$A$3:$A$500,$C18,'DADOS BRUTOS'!BY$3:BY$500)))</f>
        <v/>
      </c>
      <c r="EZ18" s="132">
        <f>IF(OR(EZ$4="",$B18=""),0,SUMIF('DADOS BRUTOS'!$A$3:$A$500,$B18,'DADOS BRUTOS'!BZ$3:BZ$500)+IF($C18="",0,SUMIF('DADOS BRUTOS'!$A$3:$A$500,$C18,'DADOS BRUTOS'!BZ$3:BZ$500)))</f>
        <v/>
      </c>
      <c r="FA18" s="132">
        <f>IF(OR(FA$4="",$B18=""),0,SUMIF('DADOS BRUTOS'!$A$3:$A$500,$B18,'DADOS BRUTOS'!CA$3:CA$500)+IF($C18="",0,SUMIF('DADOS BRUTOS'!$A$3:$A$500,$C18,'DADOS BRUTOS'!CA$3:CA$500)))</f>
        <v/>
      </c>
      <c r="FB18" s="132">
        <f>IF(OR(FB$4="",$B18=""),0,SUMIF('DADOS BRUTOS'!$A$3:$A$500,$B18,'DADOS BRUTOS'!CB$3:CB$500)+IF($C18="",0,SUMIF('DADOS BRUTOS'!$A$3:$A$500,$C18,'DADOS BRUTOS'!CB$3:CB$500)))</f>
        <v/>
      </c>
      <c r="FC18" s="132">
        <f>IF(OR(FC$4="",$B18=""),0,SUMIF('DADOS BRUTOS'!$A$3:$A$500,$B18,'DADOS BRUTOS'!CC$3:CC$500)+IF($C18="",0,SUMIF('DADOS BRUTOS'!$A$3:$A$500,$C18,'DADOS BRUTOS'!CC$3:CC$500)))</f>
        <v/>
      </c>
      <c r="FD18" s="132">
        <f>IF(OR(FD$4="",$B18=""),0,SUMIF('DADOS BRUTOS'!$A$3:$A$500,$B18,'DADOS BRUTOS'!CD$3:CD$500)+IF($C18="",0,SUMIF('DADOS BRUTOS'!$A$3:$A$500,$C18,'DADOS BRUTOS'!CD$3:CD$500)))</f>
        <v/>
      </c>
      <c r="FE18" s="132">
        <f>IF(OR(FE$4="",$B18=""),0,SUMIF('DADOS BRUTOS'!$A$3:$A$500,$B18,'DADOS BRUTOS'!CE$3:CE$500)+IF($C18="",0,SUMIF('DADOS BRUTOS'!$A$3:$A$500,$C18,'DADOS BRUTOS'!CE$3:CE$500)))</f>
        <v/>
      </c>
      <c r="FF18" s="132">
        <f>IF(OR(FF$4="",$B18=""),0,SUMIF('DADOS BRUTOS'!$A$3:$A$500,$B18,'DADOS BRUTOS'!CF$3:CF$500)+IF($C18="",0,SUMIF('DADOS BRUTOS'!$A$3:$A$500,$C18,'DADOS BRUTOS'!CF$3:CF$500)))</f>
        <v/>
      </c>
      <c r="FG18" s="132">
        <f>IF(OR(FG$4="",$B18=""),0,SUMIF('DADOS BRUTOS'!$A$3:$A$500,$B18,'DADOS BRUTOS'!CG$3:CG$500)+IF($C18="",0,SUMIF('DADOS BRUTOS'!$A$3:$A$500,$C18,'DADOS BRUTOS'!CG$3:CG$500)))</f>
        <v/>
      </c>
      <c r="FH18" s="132">
        <f>IF(OR(FH$4="",$B18=""),0,SUMIF('DADOS BRUTOS'!$A$3:$A$500,$B18,'DADOS BRUTOS'!CH$3:CH$500)+IF($C18="",0,SUMIF('DADOS BRUTOS'!$A$3:$A$500,$C18,'DADOS BRUTOS'!CH$3:CH$500)))</f>
        <v/>
      </c>
      <c r="FI18" s="132">
        <f>IF(OR(FI$4="",$B18=""),0,SUMIF('DADOS BRUTOS'!$A$3:$A$500,$B18,'DADOS BRUTOS'!CI$3:CI$500)+IF($C18="",0,SUMIF('DADOS BRUTOS'!$A$3:$A$500,$C18,'DADOS BRUTOS'!CI$3:CI$500)))</f>
        <v/>
      </c>
      <c r="FJ18" s="132">
        <f>IF(OR(FJ$4="",$B18=""),0,SUMIF('DADOS BRUTOS'!$A$3:$A$500,$B18,'DADOS BRUTOS'!CJ$3:CJ$500)+IF($C18="",0,SUMIF('DADOS BRUTOS'!$A$3:$A$500,$C18,'DADOS BRUTOS'!CJ$3:CJ$500)))</f>
        <v/>
      </c>
      <c r="FK18" s="132">
        <f>IF(OR(FK$4="",$B18=""),0,SUMIF('DADOS BRUTOS'!$A$3:$A$500,$B18,'DADOS BRUTOS'!CK$3:CK$500)+IF($C18="",0,SUMIF('DADOS BRUTOS'!$A$3:$A$500,$C18,'DADOS BRUTOS'!CK$3:CK$500)))</f>
        <v/>
      </c>
      <c r="FL18" s="132">
        <f>IF(OR(FL$4="",$B18=""),0,SUMIF('DADOS BRUTOS'!$A$3:$A$500,$B18,'DADOS BRUTOS'!CL$3:CL$500)+IF($C18="",0,SUMIF('DADOS BRUTOS'!$A$3:$A$500,$C18,'DADOS BRUTOS'!CL$3:CL$500)))</f>
        <v/>
      </c>
      <c r="FM18" s="132">
        <f>IF(OR(FM$4="",$B18=""),0,SUMIF('DADOS BRUTOS'!$A$3:$A$500,$B18,'DADOS BRUTOS'!CM$3:CM$500)+IF($C18="",0,SUMIF('DADOS BRUTOS'!$A$3:$A$500,$C18,'DADOS BRUTOS'!CM$3:CM$500)))</f>
        <v/>
      </c>
      <c r="FN18" s="132">
        <f>IF(OR(FN$4="",$B18=""),0,SUMIF('DADOS BRUTOS'!$A$3:$A$500,$B18,'DADOS BRUTOS'!CN$3:CN$500)+IF($C18="",0,SUMIF('DADOS BRUTOS'!$A$3:$A$500,$C18,'DADOS BRUTOS'!CN$3:CN$500)))</f>
        <v/>
      </c>
      <c r="FO18" s="132">
        <f>IF(OR(FO$4="",$B18=""),0,SUMIF('DADOS BRUTOS'!$A$3:$A$500,$B18,'DADOS BRUTOS'!CO$3:CO$500)+IF($C18="",0,SUMIF('DADOS BRUTOS'!$A$3:$A$500,$C18,'DADOS BRUTOS'!CO$3:CO$500)))</f>
        <v/>
      </c>
      <c r="FP18" s="132">
        <f>IF(OR(FP$4="",$B18=""),0,SUMIF('DADOS BRUTOS'!$A$3:$A$500,$B18,'DADOS BRUTOS'!CP$3:CP$500)+IF($C18="",0,SUMIF('DADOS BRUTOS'!$A$3:$A$500,$C18,'DADOS BRUTOS'!CP$3:CP$500)))</f>
        <v/>
      </c>
      <c r="FQ18" s="132">
        <f>IF(OR(FQ$4="",$B18=""),0,SUMIF('DADOS BRUTOS'!$A$3:$A$500,$B18,'DADOS BRUTOS'!CQ$3:CQ$500)+IF($C18="",0,SUMIF('DADOS BRUTOS'!$A$3:$A$500,$C18,'DADOS BRUTOS'!CQ$3:CQ$500)))</f>
        <v/>
      </c>
      <c r="FR18" s="132">
        <f>IF(OR(FR$4="",$B18=""),0,SUMIF('DADOS BRUTOS'!$A$3:$A$500,$B18,'DADOS BRUTOS'!CR$3:CR$500)+IF($C18="",0,SUMIF('DADOS BRUTOS'!$A$3:$A$500,$C18,'DADOS BRUTOS'!CR$3:CR$500)))</f>
        <v/>
      </c>
      <c r="FS18" s="132">
        <f>IF(OR(FS$4="",$B18=""),0,SUMIF('DADOS BRUTOS'!$A$3:$A$500,$B18,'DADOS BRUTOS'!CS$3:CS$500)+IF($C18="",0,SUMIF('DADOS BRUTOS'!$A$3:$A$500,$C18,'DADOS BRUTOS'!CS$3:CS$500)))</f>
        <v/>
      </c>
      <c r="FT18" s="132">
        <f>IF(OR(FT$4="",$B18=""),0,SUMIF('DADOS BRUTOS'!$A$3:$A$500,$B18,'DADOS BRUTOS'!CT$3:CT$500)+IF($C18="",0,SUMIF('DADOS BRUTOS'!$A$3:$A$500,$C18,'DADOS BRUTOS'!CT$3:CT$500)))</f>
        <v/>
      </c>
      <c r="FU18" s="132">
        <f>IF(OR(FU$4="",$B18=""),0,SUMIF('DADOS BRUTOS'!$A$3:$A$500,$B18,'DADOS BRUTOS'!CU$3:CU$500)+IF($C18="",0,SUMIF('DADOS BRUTOS'!$A$3:$A$500,$C18,'DADOS BRUTOS'!CU$3:CU$500)))</f>
        <v/>
      </c>
      <c r="FV18" s="132">
        <f>IF(OR(FV$4="",$B18=""),0,SUMIF('DADOS BRUTOS'!$A$3:$A$500,$B18,'DADOS BRUTOS'!CV$3:CV$500)+IF($C18="",0,SUMIF('DADOS BRUTOS'!$A$3:$A$500,$C18,'DADOS BRUTOS'!CV$3:CV$500)))</f>
        <v/>
      </c>
      <c r="FW18" s="132">
        <f>IF(OR(FW$4="",$B18=""),0,SUMIF('DADOS BRUTOS'!$A$3:$A$500,$B18,'DADOS BRUTOS'!CW$3:CW$500)+IF($C18="",0,SUMIF('DADOS BRUTOS'!$A$3:$A$500,$C18,'DADOS BRUTOS'!CW$3:CW$500)))</f>
        <v/>
      </c>
      <c r="FX18" s="132">
        <f>IF(OR(FX$4="",$B18=""),0,SUMIF('DADOS BRUTOS'!$A$3:$A$500,$B18,'DADOS BRUTOS'!CX$3:CX$500)+IF($C18="",0,SUMIF('DADOS BRUTOS'!$A$3:$A$500,$C18,'DADOS BRUTOS'!CX$3:CX$500)))</f>
        <v/>
      </c>
      <c r="FY18" s="132">
        <f>IF(OR(FY$4="",$B18=""),0,SUMIF('DADOS BRUTOS'!$A$3:$A$500,$B18,'DADOS BRUTOS'!CY$3:CY$500)+IF($C18="",0,SUMIF('DADOS BRUTOS'!$A$3:$A$500,$C18,'DADOS BRUTOS'!CY$3:CY$500)))</f>
        <v/>
      </c>
      <c r="FZ18" s="132">
        <f>IF(OR(FZ$4="",$B18=""),0,SUMIF('DADOS BRUTOS'!$A$3:$A$500,$B18,'DADOS BRUTOS'!CZ$3:CZ$500)+IF($C18="",0,SUMIF('DADOS BRUTOS'!$A$3:$A$500,$C18,'DADOS BRUTOS'!CZ$3:CZ$500)))</f>
        <v/>
      </c>
      <c r="GA18" s="132">
        <f>IF(OR(GA$4="",$B18=""),0,SUMIF('DADOS BRUTOS'!$A$3:$A$500,$B18,'DADOS BRUTOS'!DA$3:DA$500)+IF($C18="",0,SUMIF('DADOS BRUTOS'!$A$3:$A$500,$C18,'DADOS BRUTOS'!DA$3:DA$500)))</f>
        <v/>
      </c>
      <c r="GB18" s="132">
        <f>IF(OR(GB$4="",$B18=""),0,SUMIF('DADOS BRUTOS'!$A$3:$A$500,$B18,'DADOS BRUTOS'!DB$3:DB$500)+IF($C18="",0,SUMIF('DADOS BRUTOS'!$A$3:$A$500,$C18,'DADOS BRUTOS'!DB$3:DB$500)))</f>
        <v/>
      </c>
      <c r="GC18" s="132">
        <f>IF(OR(GC$4="",$B18=""),0,SUMIF('DADOS BRUTOS'!$A$3:$A$500,$B18,'DADOS BRUTOS'!DC$3:DC$500)+IF($C18="",0,SUMIF('DADOS BRUTOS'!$A$3:$A$500,$C18,'DADOS BRUTOS'!DC$3:DC$500)))</f>
        <v/>
      </c>
      <c r="GD18" s="132">
        <f>IF(OR(GD$4="",$B18=""),0,SUMIF('DADOS BRUTOS'!$A$3:$A$500,$B18,'DADOS BRUTOS'!DD$3:DD$500)+IF($C18="",0,SUMIF('DADOS BRUTOS'!$A$3:$A$500,$C18,'DADOS BRUTOS'!DD$3:DD$500)))</f>
        <v/>
      </c>
      <c r="GE18" s="132">
        <f>IF(OR(GE$4="",$B18=""),0,SUMIF('DADOS BRUTOS'!$A$3:$A$500,$B18,'DADOS BRUTOS'!DE$3:DE$500)+IF($C18="",0,SUMIF('DADOS BRUTOS'!$A$3:$A$500,$C18,'DADOS BRUTOS'!DE$3:DE$500)))</f>
        <v/>
      </c>
      <c r="GF18" s="132">
        <f>IF(OR(GF$4="",$B18=""),0,SUMIF('DADOS BRUTOS'!$A$3:$A$500,$B18,'DADOS BRUTOS'!DF$3:DF$500)+IF($C18="",0,SUMIF('DADOS BRUTOS'!$A$3:$A$500,$C18,'DADOS BRUTOS'!DF$3:DF$500)))</f>
        <v/>
      </c>
      <c r="GG18" s="132">
        <f>IF(OR(GG$4="",$B18=""),0,SUMIF('DADOS BRUTOS'!$A$3:$A$500,$B18,'DADOS BRUTOS'!DG$3:DG$500)+IF($C18="",0,SUMIF('DADOS BRUTOS'!$A$3:$A$500,$C18,'DADOS BRUTOS'!DG$3:DG$500)))</f>
        <v/>
      </c>
      <c r="GH18" s="132">
        <f>IF(OR(GH$4="",$B18=""),0,SUMIF('DADOS BRUTOS'!$A$3:$A$500,$B18,'DADOS BRUTOS'!DH$3:DH$500)+IF($C18="",0,SUMIF('DADOS BRUTOS'!$A$3:$A$500,$C18,'DADOS BRUTOS'!DH$3:DH$500)))</f>
        <v/>
      </c>
      <c r="GI18" s="132">
        <f>IF(OR(GI$4="",$B18=""),0,SUMIF('DADOS BRUTOS'!$A$3:$A$500,$B18,'DADOS BRUTOS'!DI$3:DI$500)+IF($C18="",0,SUMIF('DADOS BRUTOS'!$A$3:$A$500,$C18,'DADOS BRUTOS'!DI$3:DI$500)))</f>
        <v/>
      </c>
      <c r="GJ18" s="132">
        <f>IF(OR(GJ$4="",$B18=""),0,SUMIF('DADOS BRUTOS'!$A$3:$A$500,$B18,'DADOS BRUTOS'!DJ$3:DJ$500)+IF($C18="",0,SUMIF('DADOS BRUTOS'!$A$3:$A$500,$C18,'DADOS BRUTOS'!DJ$3:DJ$500)))</f>
        <v/>
      </c>
      <c r="GK18" s="132">
        <f>IF(OR(GK$4="",$B18=""),0,SUMIF('DADOS BRUTOS'!$A$3:$A$500,$B18,'DADOS BRUTOS'!DK$3:DK$500)+IF($C18="",0,SUMIF('DADOS BRUTOS'!$A$3:$A$500,$C18,'DADOS BRUTOS'!DK$3:DK$500)))</f>
        <v/>
      </c>
      <c r="GL18" s="132">
        <f>IF(OR(GL$4="",$B18=""),0,SUMIF('DADOS BRUTOS'!$A$3:$A$500,$B18,'DADOS BRUTOS'!DL$3:DL$500)+IF($C18="",0,SUMIF('DADOS BRUTOS'!$A$3:$A$500,$C18,'DADOS BRUTOS'!DL$3:DL$500)))</f>
        <v/>
      </c>
      <c r="GM18" s="132">
        <f>IF(OR(GM$4="",$B18=""),0,SUMIF('DADOS BRUTOS'!$A$3:$A$500,$B18,'DADOS BRUTOS'!DM$3:DM$500)+IF($C18="",0,SUMIF('DADOS BRUTOS'!$A$3:$A$500,$C18,'DADOS BRUTOS'!DM$3:DM$500)))</f>
        <v/>
      </c>
      <c r="GN18" s="132">
        <f>IF(OR(GN$4="",$B18=""),0,SUMIF('DADOS BRUTOS'!$A$3:$A$500,$B18,'DADOS BRUTOS'!DN$3:DN$500)+IF($C18="",0,SUMIF('DADOS BRUTOS'!$A$3:$A$500,$C18,'DADOS BRUTOS'!DN$3:DN$500)))</f>
        <v/>
      </c>
      <c r="GO18" s="132">
        <f>IF(OR(GO$4="",$B18=""),0,SUMIF('DADOS BRUTOS'!$A$3:$A$500,$B18,'DADOS BRUTOS'!DO$3:DO$500)+IF($C18="",0,SUMIF('DADOS BRUTOS'!$A$3:$A$500,$C18,'DADOS BRUTOS'!DO$3:DO$500)))</f>
        <v/>
      </c>
      <c r="GP18" s="132">
        <f>IF(OR(GP$4="",$B18=""),0,SUMIF('DADOS BRUTOS'!$A$3:$A$500,$B18,'DADOS BRUTOS'!DP$3:DP$500)+IF($C18="",0,SUMIF('DADOS BRUTOS'!$A$3:$A$500,$C18,'DADOS BRUTOS'!DP$3:DP$500)))</f>
        <v/>
      </c>
      <c r="GQ18" s="132">
        <f>IF(OR(GQ$4="",$B18=""),0,SUMIF('DADOS BRUTOS'!$A$3:$A$500,$B18,'DADOS BRUTOS'!DQ$3:DQ$500)+IF($C18="",0,SUMIF('DADOS BRUTOS'!$A$3:$A$500,$C18,'DADOS BRUTOS'!DQ$3:DQ$500)))</f>
        <v/>
      </c>
      <c r="GR18" s="132">
        <f>IF(OR(GR$4="",$B18=""),0,SUMIF('DADOS BRUTOS'!$A$3:$A$500,$B18,'DADOS BRUTOS'!DR$3:DR$500)+IF($C18="",0,SUMIF('DADOS BRUTOS'!$A$3:$A$500,$C18,'DADOS BRUTOS'!DR$3:DR$500)))</f>
        <v/>
      </c>
      <c r="GS18" s="132">
        <f>IF(OR(GS$4="",$B18=""),0,SUMIF('DADOS BRUTOS'!$A$3:$A$500,$B18,'DADOS BRUTOS'!DS$3:DS$500)+IF($C18="",0,SUMIF('DADOS BRUTOS'!$A$3:$A$500,$C18,'DADOS BRUTOS'!DS$3:DS$500)))</f>
        <v/>
      </c>
      <c r="GT18" s="132">
        <f>IF(OR(GT$4="",$B18=""),0,SUMIF('DADOS BRUTOS'!$A$3:$A$500,$B18,'DADOS BRUTOS'!DT$3:DT$500)+IF($C18="",0,SUMIF('DADOS BRUTOS'!$A$3:$A$500,$C18,'DADOS BRUTOS'!DT$3:DT$500)))</f>
        <v/>
      </c>
      <c r="GU18" s="132">
        <f>IF(OR(GU$4="",$B18=""),0,SUMIF('DADOS BRUTOS'!$A$3:$A$500,$B18,'DADOS BRUTOS'!DU$3:DU$500)+IF($C18="",0,SUMIF('DADOS BRUTOS'!$A$3:$A$500,$C18,'DADOS BRUTOS'!DU$3:DU$500)))</f>
        <v/>
      </c>
      <c r="GV18" s="132">
        <f>IF(OR(GV$4="",$B18=""),0,SUMIF('DADOS BRUTOS'!$A$3:$A$500,$B18,'DADOS BRUTOS'!DV$3:DV$500)+IF($C18="",0,SUMIF('DADOS BRUTOS'!$A$3:$A$500,$C18,'DADOS BRUTOS'!DV$3:DV$500)))</f>
        <v/>
      </c>
      <c r="GW18" s="132">
        <f>IF(OR(GW$4="",$B18=""),0,SUMIF('DADOS BRUTOS'!$A$3:$A$500,$B18,'DADOS BRUTOS'!DW$3:DW$500)+IF($C18="",0,SUMIF('DADOS BRUTOS'!$A$3:$A$500,$C18,'DADOS BRUTOS'!DW$3:DW$500)))</f>
        <v/>
      </c>
      <c r="GX18" s="132">
        <f>IF(OR(GX$4="",$B18=""),0,SUMIF('DADOS BRUTOS'!$A$3:$A$500,$B18,'DADOS BRUTOS'!DX$3:DX$500)+IF($C18="",0,SUMIF('DADOS BRUTOS'!$A$3:$A$500,$C18,'DADOS BRUTOS'!DX$3:DX$500)))</f>
        <v/>
      </c>
      <c r="GY18" s="132">
        <f>IF(OR(GY$4="",$B18=""),0,SUMIF('DADOS BRUTOS'!$A$3:$A$500,$B18,'DADOS BRUTOS'!DY$3:DY$500)+IF($C18="",0,SUMIF('DADOS BRUTOS'!$A$3:$A$500,$C18,'DADOS BRUTOS'!DY$3:DY$500)))</f>
        <v/>
      </c>
      <c r="GZ18" s="132">
        <f>IF(OR(GZ$4="",$B18=""),0,SUMIF('DADOS BRUTOS'!$A$3:$A$500,$B18,'DADOS BRUTOS'!DZ$3:DZ$500)+IF($C18="",0,SUMIF('DADOS BRUTOS'!$A$3:$A$500,$C18,'DADOS BRUTOS'!DZ$3:DZ$500)))</f>
        <v/>
      </c>
      <c r="HA18" s="132">
        <f>IF(OR(HA$4="",$B18=""),0,SUMIF('DADOS BRUTOS'!$A$3:$A$500,$B18,'DADOS BRUTOS'!EA$3:EA$500)+IF($C18="",0,SUMIF('DADOS BRUTOS'!$A$3:$A$500,$C18,'DADOS BRUTOS'!EA$3:EA$500)))</f>
        <v/>
      </c>
      <c r="HB18" s="132">
        <f>IF(OR(HB$4="",$B18=""),0,SUMIF('DADOS BRUTOS'!$A$3:$A$500,$B18,'DADOS BRUTOS'!EB$3:EB$500)+IF($C18="",0,SUMIF('DADOS BRUTOS'!$A$3:$A$500,$C18,'DADOS BRUTOS'!EB$3:EB$500)))</f>
        <v/>
      </c>
      <c r="HC18" s="132">
        <f>IF(OR(HC$4="",$B18=""),0,SUMIF('DADOS BRUTOS'!$A$3:$A$500,$B18,'DADOS BRUTOS'!EC$3:EC$500)+IF($C18="",0,SUMIF('DADOS BRUTOS'!$A$3:$A$500,$C18,'DADOS BRUTOS'!EC$3:EC$500)))</f>
        <v/>
      </c>
      <c r="HD18" s="132">
        <f>IF(OR(HD$4="",$B18=""),0,SUMIF('DADOS BRUTOS'!$A$3:$A$500,$B18,'DADOS BRUTOS'!ED$3:ED$500)+IF($C18="",0,SUMIF('DADOS BRUTOS'!$A$3:$A$500,$C18,'DADOS BRUTOS'!ED$3:ED$500)))</f>
        <v/>
      </c>
      <c r="HE18" s="132">
        <f>IF(OR(HE$4="",$B18=""),0,SUMIF('DADOS BRUTOS'!$A$3:$A$500,$B18,'DADOS BRUTOS'!EE$3:EE$500)+IF($C18="",0,SUMIF('DADOS BRUTOS'!$A$3:$A$500,$C18,'DADOS BRUTOS'!EE$3:EE$500)))</f>
        <v/>
      </c>
      <c r="HF18" s="132">
        <f>IF(OR(HF$4="",$B18=""),0,SUMIF('DADOS BRUTOS'!$A$3:$A$500,$B18,'DADOS BRUTOS'!EF$3:EF$500)+IF($C18="",0,SUMIF('DADOS BRUTOS'!$A$3:$A$500,$C18,'DADOS BRUTOS'!EF$3:EF$500)))</f>
        <v/>
      </c>
      <c r="HG18" s="132">
        <f>IF(OR(HG$4="",$B18=""),0,SUMIF('DADOS BRUTOS'!$A$3:$A$500,$B18,'DADOS BRUTOS'!EG$3:EG$500)+IF($C18="",0,SUMIF('DADOS BRUTOS'!$A$3:$A$500,$C18,'DADOS BRUTOS'!EG$3:EG$500)))</f>
        <v/>
      </c>
      <c r="HH18" s="132">
        <f>IF(OR(HH$4="",$B18=""),0,SUMIF('DADOS BRUTOS'!$A$3:$A$500,$B18,'DADOS BRUTOS'!EH$3:EH$500)+IF($C18="",0,SUMIF('DADOS BRUTOS'!$A$3:$A$500,$C18,'DADOS BRUTOS'!EH$3:EH$500)))</f>
        <v/>
      </c>
      <c r="HI18" s="132">
        <f>IF(OR(HI$4="",$B18=""),0,SUMIF('DADOS BRUTOS'!$A$3:$A$500,$B18,'DADOS BRUTOS'!EI$3:EI$500)+IF($C18="",0,SUMIF('DADOS BRUTOS'!$A$3:$A$500,$C18,'DADOS BRUTOS'!EI$3:EI$500)))</f>
        <v/>
      </c>
      <c r="HJ18" s="132">
        <f>IF(OR(HJ$4="",$B18=""),0,SUMIF('DADOS BRUTOS'!$A$3:$A$500,$B18,'DADOS BRUTOS'!EJ$3:EJ$500)+IF($C18="",0,SUMIF('DADOS BRUTOS'!$A$3:$A$500,$C18,'DADOS BRUTOS'!EJ$3:EJ$500)))</f>
        <v/>
      </c>
      <c r="HK18" s="132">
        <f>IF(OR(HK$4="",$B18=""),0,SUMIF('DADOS BRUTOS'!$A$3:$A$500,$B18,'DADOS BRUTOS'!EK$3:EK$500)+IF($C18="",0,SUMIF('DADOS BRUTOS'!$A$3:$A$500,$C18,'DADOS BRUTOS'!EK$3:EK$500)))</f>
        <v/>
      </c>
      <c r="HL18" s="132">
        <f>IF(OR(HL$4="",$B18=""),0,SUMIF('DADOS BRUTOS'!$A$3:$A$500,$B18,'DADOS BRUTOS'!EL$3:EL$500)+IF($C18="",0,SUMIF('DADOS BRUTOS'!$A$3:$A$500,$C18,'DADOS BRUTOS'!EL$3:EL$500)))</f>
        <v/>
      </c>
      <c r="HM18" s="132">
        <f>IF(OR(HM$4="",$B18=""),0,SUMIF('DADOS BRUTOS'!$A$3:$A$500,$B18,'DADOS BRUTOS'!EM$3:EM$500)+IF($C18="",0,SUMIF('DADOS BRUTOS'!$A$3:$A$500,$C18,'DADOS BRUTOS'!EM$3:EM$500)))</f>
        <v/>
      </c>
      <c r="HN18" s="132">
        <f>IF(OR(HN$4="",$B18=""),0,SUMIF('DADOS BRUTOS'!$A$3:$A$500,$B18,'DADOS BRUTOS'!EN$3:EN$500)+IF($C18="",0,SUMIF('DADOS BRUTOS'!$A$3:$A$500,$C18,'DADOS BRUTOS'!EN$3:EN$500)))</f>
        <v/>
      </c>
      <c r="HO18" s="132">
        <f>IF(OR(HO$4="",$B18=""),0,SUMIF('DADOS BRUTOS'!$A$3:$A$500,$B18,'DADOS BRUTOS'!EO$3:EO$500)+IF($C18="",0,SUMIF('DADOS BRUTOS'!$A$3:$A$500,$C18,'DADOS BRUTOS'!EO$3:EO$500)))</f>
        <v/>
      </c>
      <c r="HP18" s="132">
        <f>IF(OR(HP$4="",$B18=""),0,SUMIF('DADOS BRUTOS'!$A$3:$A$500,$B18,'DADOS BRUTOS'!EP$3:EP$500)+IF($C18="",0,SUMIF('DADOS BRUTOS'!$A$3:$A$500,$C18,'DADOS BRUTOS'!EP$3:EP$500)))</f>
        <v/>
      </c>
      <c r="HQ18" s="132">
        <f>IF(OR(HQ$4="",$B18=""),0,SUMIF('DADOS BRUTOS'!$A$3:$A$500,$B18,'DADOS BRUTOS'!EQ$3:EQ$500)+IF($C18="",0,SUMIF('DADOS BRUTOS'!$A$3:$A$500,$C18,'DADOS BRUTOS'!EQ$3:EQ$500)))</f>
        <v/>
      </c>
      <c r="HR18" s="132">
        <f>IF(OR(HR$4="",$B18=""),0,SUMIF('DADOS BRUTOS'!$A$3:$A$500,$B18,'DADOS BRUTOS'!ER$3:ER$500)+IF($C18="",0,SUMIF('DADOS BRUTOS'!$A$3:$A$500,$C18,'DADOS BRUTOS'!ER$3:ER$500)))</f>
        <v/>
      </c>
      <c r="HS18" s="132">
        <f>IF(OR(HS$4="",$B18=""),0,SUMIF('DADOS BRUTOS'!$A$3:$A$500,$B18,'DADOS BRUTOS'!ES$3:ES$500)+IF($C18="",0,SUMIF('DADOS BRUTOS'!$A$3:$A$500,$C18,'DADOS BRUTOS'!ES$3:ES$500)))</f>
        <v/>
      </c>
      <c r="HT18" s="132">
        <f>IF(OR(HT$4="",$B18=""),0,SUMIF('DADOS BRUTOS'!$A$3:$A$500,$B18,'DADOS BRUTOS'!ET$3:ET$500)+IF($C18="",0,SUMIF('DADOS BRUTOS'!$A$3:$A$500,$C18,'DADOS BRUTOS'!ET$3:ET$500)))</f>
        <v/>
      </c>
      <c r="HU18" s="132">
        <f>IF(OR(HU$4="",$B18=""),0,SUMIF('DADOS BRUTOS'!$A$3:$A$500,$B18,'DADOS BRUTOS'!EU$3:EU$500)+IF($C18="",0,SUMIF('DADOS BRUTOS'!$A$3:$A$500,$C18,'DADOS BRUTOS'!EU$3:EU$500)))</f>
        <v/>
      </c>
      <c r="HV18" s="132">
        <f>IF(OR(HV$4="",$B18=""),0,SUMIF('DADOS BRUTOS'!$A$3:$A$500,$B18,'DADOS BRUTOS'!EV$3:EV$500)+IF($C18="",0,SUMIF('DADOS BRUTOS'!$A$3:$A$500,$C18,'DADOS BRUTOS'!EV$3:EV$500)))</f>
        <v/>
      </c>
      <c r="HW18" s="132">
        <f>IF(OR(HW$4="",$B18=""),0,SUMIF('DADOS BRUTOS'!$A$3:$A$500,$B18,'DADOS BRUTOS'!EW$3:EW$500)+IF($C18="",0,SUMIF('DADOS BRUTOS'!$A$3:$A$500,$C18,'DADOS BRUTOS'!EW$3:EW$500)))</f>
        <v/>
      </c>
      <c r="HX18" s="132">
        <f>IF(OR(HX$4="",$B18=""),0,SUMIF('DADOS BRUTOS'!$A$3:$A$500,$B18,'DADOS BRUTOS'!EX$3:EX$500)+IF($C18="",0,SUMIF('DADOS BRUTOS'!$A$3:$A$500,$C18,'DADOS BRUTOS'!EX$3:EX$500)))</f>
        <v/>
      </c>
      <c r="HY18" s="132">
        <f>IF(OR(HY$4="",$B18=""),0,SUMIF('DADOS BRUTOS'!$A$3:$A$500,$B18,'DADOS BRUTOS'!EY$3:EY$500)+IF($C18="",0,SUMIF('DADOS BRUTOS'!$A$3:$A$500,$C18,'DADOS BRUTOS'!EY$3:EY$500)))</f>
        <v/>
      </c>
      <c r="HZ18" s="132">
        <f>IF(OR(HZ$4="",$B18=""),0,SUMIF('DADOS BRUTOS'!$A$3:$A$500,$B18,'DADOS BRUTOS'!EZ$3:EZ$500)+IF($C18="",0,SUMIF('DADOS BRUTOS'!$A$3:$A$500,$C18,'DADOS BRUTOS'!EZ$3:EZ$500)))</f>
        <v/>
      </c>
      <c r="IA18" s="132">
        <f>IF(OR(IA$4="",$B18=""),0,SUMIF('DADOS BRUTOS'!$A$3:$A$500,$B18,'DADOS BRUTOS'!FA$3:FA$500)+IF($C18="",0,SUMIF('DADOS BRUTOS'!$A$3:$A$500,$C18,'DADOS BRUTOS'!FA$3:FA$500)))</f>
        <v/>
      </c>
      <c r="IB18" s="132">
        <f>IF(OR(IB$4="",$B18=""),0,SUMIF('DADOS BRUTOS'!$A$3:$A$500,$B18,'DADOS BRUTOS'!FB$3:FB$500)+IF($C18="",0,SUMIF('DADOS BRUTOS'!$A$3:$A$500,$C18,'DADOS BRUTOS'!FB$3:FB$500)))</f>
        <v/>
      </c>
      <c r="IC18" s="132">
        <f>IF(OR(IC$4="",$B18=""),0,SUMIF('DADOS BRUTOS'!$A$3:$A$500,$B18,'DADOS BRUTOS'!FC$3:FC$500)+IF($C18="",0,SUMIF('DADOS BRUTOS'!$A$3:$A$500,$C18,'DADOS BRUTOS'!FC$3:FC$500)))</f>
        <v/>
      </c>
      <c r="ID18" s="132">
        <f>IF(OR(ID$4="",$B18=""),0,SUMIF('DADOS BRUTOS'!$A$3:$A$500,$B18,'DADOS BRUTOS'!FD$3:FD$500)+IF($C18="",0,SUMIF('DADOS BRUTOS'!$A$3:$A$500,$C18,'DADOS BRUTOS'!FD$3:FD$500)))</f>
        <v/>
      </c>
      <c r="IE18" s="132">
        <f>IF(OR(IE$4="",$B18=""),0,SUMIF('DADOS BRUTOS'!$A$3:$A$500,$B18,'DADOS BRUTOS'!FE$3:FE$500)+IF($C18="",0,SUMIF('DADOS BRUTOS'!$A$3:$A$500,$C18,'DADOS BRUTOS'!FE$3:FE$500)))</f>
        <v/>
      </c>
      <c r="IF18" s="132">
        <f>IF(OR(IF$4="",$B18=""),0,SUMIF('DADOS BRUTOS'!$A$3:$A$500,$B18,'DADOS BRUTOS'!FF$3:FF$500)+IF($C18="",0,SUMIF('DADOS BRUTOS'!$A$3:$A$500,$C18,'DADOS BRUTOS'!FF$3:FF$500)))</f>
        <v/>
      </c>
      <c r="IG18" s="132">
        <f>IF(OR(IG$4="",$B18=""),0,SUMIF('DADOS BRUTOS'!$A$3:$A$500,$B18,'DADOS BRUTOS'!FG$3:FG$500)+IF($C18="",0,SUMIF('DADOS BRUTOS'!$A$3:$A$500,$C18,'DADOS BRUTOS'!FG$3:FG$500)))</f>
        <v/>
      </c>
      <c r="IH18" s="132">
        <f>IF(OR(IH$4="",$B18=""),0,SUMIF('DADOS BRUTOS'!$A$3:$A$500,$B18,'DADOS BRUTOS'!FH$3:FH$500)+IF($C18="",0,SUMIF('DADOS BRUTOS'!$A$3:$A$500,$C18,'DADOS BRUTOS'!FH$3:FH$500)))</f>
        <v/>
      </c>
      <c r="II18" s="132">
        <f>IF(OR(II$4="",$B18=""),0,SUMIF('DADOS BRUTOS'!$A$3:$A$500,$B18,'DADOS BRUTOS'!FI$3:FI$500)+IF($C18="",0,SUMIF('DADOS BRUTOS'!$A$3:$A$500,$C18,'DADOS BRUTOS'!FI$3:FI$500)))</f>
        <v/>
      </c>
      <c r="IJ18" s="132">
        <f>IF(OR(IJ$4="",$B18=""),0,SUMIF('DADOS BRUTOS'!$A$3:$A$500,$B18,'DADOS BRUTOS'!FJ$3:FJ$500)+IF($C18="",0,SUMIF('DADOS BRUTOS'!$A$3:$A$500,$C18,'DADOS BRUTOS'!FJ$3:FJ$500)))</f>
        <v/>
      </c>
      <c r="IK18" s="132">
        <f>IF(OR(IK$4="",$B18=""),0,SUMIF('DADOS BRUTOS'!$A$3:$A$500,$B18,'DADOS BRUTOS'!FK$3:FK$500)+IF($C18="",0,SUMIF('DADOS BRUTOS'!$A$3:$A$500,$C18,'DADOS BRUTOS'!FK$3:FK$500)))</f>
        <v/>
      </c>
      <c r="IL18" s="132">
        <f>IF(OR(IL$4="",$B18=""),0,SUMIF('DADOS BRUTOS'!$A$3:$A$500,$B18,'DADOS BRUTOS'!FL$3:FL$500)+IF($C18="",0,SUMIF('DADOS BRUTOS'!$A$3:$A$500,$C18,'DADOS BRUTOS'!FL$3:FL$500)))</f>
        <v/>
      </c>
      <c r="IM18" s="132">
        <f>IF(OR(IM$4="",$B18=""),0,SUMIF('DADOS BRUTOS'!$A$3:$A$500,$B18,'DADOS BRUTOS'!FM$3:FM$500)+IF($C18="",0,SUMIF('DADOS BRUTOS'!$A$3:$A$500,$C18,'DADOS BRUTOS'!FM$3:FM$500)))</f>
        <v/>
      </c>
      <c r="IN18" s="132">
        <f>IF(OR(IN$4="",$B18=""),0,SUMIF('DADOS BRUTOS'!$A$3:$A$500,$B18,'DADOS BRUTOS'!FN$3:FN$500)+IF($C18="",0,SUMIF('DADOS BRUTOS'!$A$3:$A$500,$C18,'DADOS BRUTOS'!FN$3:FN$500)))</f>
        <v/>
      </c>
      <c r="IO18" s="132">
        <f>IF(OR(IO$4="",$B18=""),0,SUMIF('DADOS BRUTOS'!$A$3:$A$500,$B18,'DADOS BRUTOS'!FO$3:FO$500)+IF($C18="",0,SUMIF('DADOS BRUTOS'!$A$3:$A$500,$C18,'DADOS BRUTOS'!FO$3:FO$500)))</f>
        <v/>
      </c>
      <c r="IP18" s="132">
        <f>IF(OR(IP$4="",$B18=""),0,SUMIF('DADOS BRUTOS'!$A$3:$A$500,$B18,'DADOS BRUTOS'!FP$3:FP$500)+IF($C18="",0,SUMIF('DADOS BRUTOS'!$A$3:$A$500,$C18,'DADOS BRUTOS'!FP$3:FP$500)))</f>
        <v/>
      </c>
      <c r="IQ18" s="132">
        <f>IF(OR(IQ$4="",$B18=""),0,SUMIF('DADOS BRUTOS'!$A$3:$A$500,$B18,'DADOS BRUTOS'!FQ$3:FQ$500)+IF($C18="",0,SUMIF('DADOS BRUTOS'!$A$3:$A$500,$C18,'DADOS BRUTOS'!FQ$3:FQ$500)))</f>
        <v/>
      </c>
      <c r="IR18" s="132">
        <f>IF(OR(IR$4="",$B18=""),0,SUMIF('DADOS BRUTOS'!$A$3:$A$500,$B18,'DADOS BRUTOS'!FR$3:FR$500)+IF($C18="",0,SUMIF('DADOS BRUTOS'!$A$3:$A$500,$C18,'DADOS BRUTOS'!FR$3:FR$500)))</f>
        <v/>
      </c>
      <c r="IS18" s="132">
        <f>IF(OR(IS$4="",$B18=""),0,SUMIF('DADOS BRUTOS'!$A$3:$A$500,$B18,'DADOS BRUTOS'!FS$3:FS$500)+IF($C18="",0,SUMIF('DADOS BRUTOS'!$A$3:$A$500,$C18,'DADOS BRUTOS'!FS$3:FS$500)))</f>
        <v/>
      </c>
      <c r="IT18" s="132">
        <f>IF(OR(IT$4="",$B18=""),0,SUMIF('DADOS BRUTOS'!$A$3:$A$500,$B18,'DADOS BRUTOS'!FT$3:FT$500)+IF($C18="",0,SUMIF('DADOS BRUTOS'!$A$3:$A$500,$C18,'DADOS BRUTOS'!FT$3:FT$500)))</f>
        <v/>
      </c>
      <c r="IU18" s="132">
        <f>IF(OR(IU$4="",$B18=""),0,SUMIF('DADOS BRUTOS'!$A$3:$A$500,$B18,'DADOS BRUTOS'!FU$3:FU$500)+IF($C18="",0,SUMIF('DADOS BRUTOS'!$A$3:$A$500,$C18,'DADOS BRUTOS'!FU$3:FU$500)))</f>
        <v/>
      </c>
      <c r="IV18" s="132">
        <f>IF(OR(IV$4="",$B18=""),0,SUMIF('DADOS BRUTOS'!$A$3:$A$500,$B18,'DADOS BRUTOS'!FV$3:FV$500)+IF($C18="",0,SUMIF('DADOS BRUTOS'!$A$3:$A$500,$C18,'DADOS BRUTOS'!FV$3:FV$500)))</f>
        <v/>
      </c>
      <c r="IW18" s="132">
        <f>IF(OR(IW$4="",$B18=""),0,SUMIF('DADOS BRUTOS'!$A$3:$A$500,$B18,'DADOS BRUTOS'!FW$3:FW$500)+IF($C18="",0,SUMIF('DADOS BRUTOS'!$A$3:$A$500,$C18,'DADOS BRUTOS'!FW$3:FW$500)))</f>
        <v/>
      </c>
      <c r="IX18" s="132">
        <f>IF(OR(IX$4="",$B18=""),0,SUMIF('DADOS BRUTOS'!$A$3:$A$500,$B18,'DADOS BRUTOS'!FX$3:FX$500)+IF($C18="",0,SUMIF('DADOS BRUTOS'!$A$3:$A$500,$C18,'DADOS BRUTOS'!FX$3:FX$500)))</f>
        <v/>
      </c>
      <c r="IY18" s="132">
        <f>IF(OR(IY$4="",$B18=""),0,SUMIF('DADOS BRUTOS'!$A$3:$A$500,$B18,'DADOS BRUTOS'!FY$3:FY$500)+IF($C18="",0,SUMIF('DADOS BRUTOS'!$A$3:$A$500,$C18,'DADOS BRUTOS'!FY$3:FY$500)))</f>
        <v/>
      </c>
      <c r="IZ18" s="132">
        <f>IF(OR(IZ$4="",$B18=""),0,SUMIF('DADOS BRUTOS'!$A$3:$A$500,$B18,'DADOS BRUTOS'!FZ$3:FZ$500)+IF($C18="",0,SUMIF('DADOS BRUTOS'!$A$3:$A$500,$C18,'DADOS BRUTOS'!FZ$3:FZ$500)))</f>
        <v/>
      </c>
      <c r="JA18" s="132">
        <f>IF(OR(JA$4="",$B18=""),0,SUMIF('DADOS BRUTOS'!$A$3:$A$500,$B18,'DADOS BRUTOS'!GA$3:GA$500)+IF($C18="",0,SUMIF('DADOS BRUTOS'!$A$3:$A$500,$C18,'DADOS BRUTOS'!GA$3:GA$500)))</f>
        <v/>
      </c>
      <c r="JB18" s="132">
        <f>IF(OR(JB$4="",$B18=""),0,SUMIF('DADOS BRUTOS'!$A$3:$A$500,$B18,'DADOS BRUTOS'!GB$3:GB$500)+IF($C18="",0,SUMIF('DADOS BRUTOS'!$A$3:$A$500,$C18,'DADOS BRUTOS'!GB$3:GB$500)))</f>
        <v/>
      </c>
      <c r="JC18" s="132">
        <f>IF(OR(JC$4="",$B18=""),0,SUMIF('DADOS BRUTOS'!$A$3:$A$500,$B18,'DADOS BRUTOS'!GC$3:GC$500)+IF($C18="",0,SUMIF('DADOS BRUTOS'!$A$3:$A$500,$C18,'DADOS BRUTOS'!GC$3:GC$500)))</f>
        <v/>
      </c>
      <c r="JD18" s="132">
        <f>IF(OR(JD$4="",$B18=""),0,SUMIF('DADOS BRUTOS'!$A$3:$A$500,$B18,'DADOS BRUTOS'!GD$3:GD$500)+IF($C18="",0,SUMIF('DADOS BRUTOS'!$A$3:$A$500,$C18,'DADOS BRUTOS'!GD$3:GD$500)))</f>
        <v/>
      </c>
      <c r="JE18" s="132">
        <f>IF(OR(JE$4="",$B18=""),0,SUMIF('DADOS BRUTOS'!$A$3:$A$500,$B18,'DADOS BRUTOS'!GE$3:GE$500)+IF($C18="",0,SUMIF('DADOS BRUTOS'!$A$3:$A$500,$C18,'DADOS BRUTOS'!GE$3:GE$500)))</f>
        <v/>
      </c>
      <c r="JF18" s="132">
        <f>IF(OR(JF$4="",$B18=""),0,SUMIF('DADOS BRUTOS'!$A$3:$A$500,$B18,'DADOS BRUTOS'!GF$3:GF$500)+IF($C18="",0,SUMIF('DADOS BRUTOS'!$A$3:$A$500,$C18,'DADOS BRUTOS'!GF$3:GF$500)))</f>
        <v/>
      </c>
      <c r="JG18" s="132">
        <f>IF(OR(JG$4="",$B18=""),0,SUMIF('DADOS BRUTOS'!$A$3:$A$500,$B18,'DADOS BRUTOS'!GG$3:GG$500)+IF($C18="",0,SUMIF('DADOS BRUTOS'!$A$3:$A$500,$C18,'DADOS BRUTOS'!GG$3:GG$500)))</f>
        <v/>
      </c>
      <c r="JH18" s="132">
        <f>IF(OR(JH$4="",$B18=""),0,SUMIF('DADOS BRUTOS'!$A$3:$A$500,$B18,'DADOS BRUTOS'!GH$3:GH$500)+IF($C18="",0,SUMIF('DADOS BRUTOS'!$A$3:$A$500,$C18,'DADOS BRUTOS'!GH$3:GH$500)))</f>
        <v/>
      </c>
      <c r="JI18" s="132">
        <f>IF(OR(JI$4="",$B18=""),0,SUMIF('DADOS BRUTOS'!$A$3:$A$500,$B18,'DADOS BRUTOS'!GI$3:GI$500)+IF($C18="",0,SUMIF('DADOS BRUTOS'!$A$3:$A$500,$C18,'DADOS BRUTOS'!GI$3:GI$500)))</f>
        <v/>
      </c>
      <c r="JJ18" s="132">
        <f>IF(OR(JJ$4="",$B18=""),0,SUMIF('DADOS BRUTOS'!$A$3:$A$500,$B18,'DADOS BRUTOS'!GJ$3:GJ$500)+IF($C18="",0,SUMIF('DADOS BRUTOS'!$A$3:$A$500,$C18,'DADOS BRUTOS'!GJ$3:GJ$500)))</f>
        <v/>
      </c>
      <c r="JK18" s="132">
        <f>IF(OR(JK$4="",$B18=""),0,SUMIF('DADOS BRUTOS'!$A$3:$A$500,$B18,'DADOS BRUTOS'!GK$3:GK$500)+IF($C18="",0,SUMIF('DADOS BRUTOS'!$A$3:$A$500,$C18,'DADOS BRUTOS'!GK$3:GK$500)))</f>
        <v/>
      </c>
      <c r="JL18" s="132">
        <f>IF(OR(JL$4="",$B18=""),0,SUMIF('DADOS BRUTOS'!$A$3:$A$500,$B18,'DADOS BRUTOS'!GL$3:GL$500)+IF($C18="",0,SUMIF('DADOS BRUTOS'!$A$3:$A$500,$C18,'DADOS BRUTOS'!GL$3:GL$500)))</f>
        <v/>
      </c>
      <c r="JM18" s="132">
        <f>IF(OR(JM$4="",$B18=""),0,SUMIF('DADOS BRUTOS'!$A$3:$A$500,$B18,'DADOS BRUTOS'!GM$3:GM$500)+IF($C18="",0,SUMIF('DADOS BRUTOS'!$A$3:$A$500,$C18,'DADOS BRUTOS'!GM$3:GM$500)))</f>
        <v/>
      </c>
      <c r="JN18" s="132">
        <f>IF(OR(JN$4="",$B18=""),0,SUMIF('DADOS BRUTOS'!$A$3:$A$500,$B18,'DADOS BRUTOS'!GN$3:GN$500)+IF($C18="",0,SUMIF('DADOS BRUTOS'!$A$3:$A$500,$C18,'DADOS BRUTOS'!GN$3:GN$500)))</f>
        <v/>
      </c>
      <c r="JO18" s="132">
        <f>IF(OR(JO$4="",$B18=""),0,SUMIF('DADOS BRUTOS'!$A$3:$A$500,$B18,'DADOS BRUTOS'!GO$3:GO$500)+IF($C18="",0,SUMIF('DADOS BRUTOS'!$A$3:$A$500,$C18,'DADOS BRUTOS'!GO$3:GO$500)))</f>
        <v/>
      </c>
      <c r="JP18" s="132">
        <f>IF(OR(JP$4="",$B18=""),0,SUMIF('DADOS BRUTOS'!$A$3:$A$500,$B18,'DADOS BRUTOS'!GP$3:GP$500)+IF($C18="",0,SUMIF('DADOS BRUTOS'!$A$3:$A$500,$C18,'DADOS BRUTOS'!GP$3:GP$500)))</f>
        <v/>
      </c>
      <c r="JQ18" s="132">
        <f>IF(OR(JQ$4="",$B18=""),0,SUMIF('DADOS BRUTOS'!$A$3:$A$500,$B18,'DADOS BRUTOS'!GQ$3:GQ$500)+IF($C18="",0,SUMIF('DADOS BRUTOS'!$A$3:$A$500,$C18,'DADOS BRUTOS'!GQ$3:GQ$500)))</f>
        <v/>
      </c>
      <c r="JR18" s="132">
        <f>IF(OR(JR$4="",$B18=""),0,SUMIF('DADOS BRUTOS'!$A$3:$A$500,$B18,'DADOS BRUTOS'!GR$3:GR$500)+IF($C18="",0,SUMIF('DADOS BRUTOS'!$A$3:$A$500,$C18,'DADOS BRUTOS'!GR$3:GR$500)))</f>
        <v/>
      </c>
      <c r="JS18" s="132">
        <f>IF(OR(JS$4="",$B18=""),0,SUMIF('DADOS BRUTOS'!$A$3:$A$500,$B18,'DADOS BRUTOS'!GS$3:GS$500)+IF($C18="",0,SUMIF('DADOS BRUTOS'!$A$3:$A$500,$C18,'DADOS BRUTOS'!GS$3:GS$500)))</f>
        <v/>
      </c>
    </row>
    <row r="19">
      <c r="A19" s="61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BZ19" s="49">
        <f>SUMPRODUCT(($CB$4:$JS$4&lt;&gt;"")*($CB$4:$JS$4&lt;=$D$4),$CB19:$JS19,$CB$1:$JS$1)</f>
        <v/>
      </c>
      <c r="CB19" s="132">
        <f>IF(OR(CB$4="",$B19=""),0,SUMIF('DADOS BRUTOS'!$A$3:$A$500,$B19,'DADOS BRUTOS'!B$3:B$500)+IF($C19="",0,SUMIF('DADOS BRUTOS'!$A$3:$A$500,$C19,'DADOS BRUTOS'!B$3:B$500)))</f>
        <v/>
      </c>
      <c r="CC19" s="132">
        <f>IF(OR(CC$4="",$B19=""),0,SUMIF('DADOS BRUTOS'!$A$3:$A$500,$B19,'DADOS BRUTOS'!C$3:C$500)+IF($C19="",0,SUMIF('DADOS BRUTOS'!$A$3:$A$500,$C19,'DADOS BRUTOS'!C$3:C$500)))</f>
        <v/>
      </c>
      <c r="CD19" s="132">
        <f>IF(OR(CD$4="",$B19=""),0,SUMIF('DADOS BRUTOS'!$A$3:$A$500,$B19,'DADOS BRUTOS'!D$3:D$500)+IF($C19="",0,SUMIF('DADOS BRUTOS'!$A$3:$A$500,$C19,'DADOS BRUTOS'!D$3:D$500)))</f>
        <v/>
      </c>
      <c r="CE19" s="132">
        <f>IF(OR(CE$4="",$B19=""),0,SUMIF('DADOS BRUTOS'!$A$3:$A$500,$B19,'DADOS BRUTOS'!E$3:E$500)+IF($C19="",0,SUMIF('DADOS BRUTOS'!$A$3:$A$500,$C19,'DADOS BRUTOS'!E$3:E$500)))</f>
        <v/>
      </c>
      <c r="CF19" s="132">
        <f>IF(OR(CF$4="",$B19=""),0,SUMIF('DADOS BRUTOS'!$A$3:$A$500,$B19,'DADOS BRUTOS'!F$3:F$500)+IF($C19="",0,SUMIF('DADOS BRUTOS'!$A$3:$A$500,$C19,'DADOS BRUTOS'!F$3:F$500)))</f>
        <v/>
      </c>
      <c r="CG19" s="132">
        <f>IF(OR(CG$4="",$B19=""),0,SUMIF('DADOS BRUTOS'!$A$3:$A$500,$B19,'DADOS BRUTOS'!G$3:G$500)+IF($C19="",0,SUMIF('DADOS BRUTOS'!$A$3:$A$500,$C19,'DADOS BRUTOS'!G$3:G$500)))</f>
        <v/>
      </c>
      <c r="CH19" s="132">
        <f>IF(OR(CH$4="",$B19=""),0,SUMIF('DADOS BRUTOS'!$A$3:$A$500,$B19,'DADOS BRUTOS'!H$3:H$500)+IF($C19="",0,SUMIF('DADOS BRUTOS'!$A$3:$A$500,$C19,'DADOS BRUTOS'!H$3:H$500)))</f>
        <v/>
      </c>
      <c r="CI19" s="132">
        <f>IF(OR(CI$4="",$B19=""),0,SUMIF('DADOS BRUTOS'!$A$3:$A$500,$B19,'DADOS BRUTOS'!I$3:I$500)+IF($C19="",0,SUMIF('DADOS BRUTOS'!$A$3:$A$500,$C19,'DADOS BRUTOS'!I$3:I$500)))</f>
        <v/>
      </c>
      <c r="CJ19" s="132">
        <f>IF(OR(CJ$4="",$B19=""),0,SUMIF('DADOS BRUTOS'!$A$3:$A$500,$B19,'DADOS BRUTOS'!J$3:J$500)+IF($C19="",0,SUMIF('DADOS BRUTOS'!$A$3:$A$500,$C19,'DADOS BRUTOS'!J$3:J$500)))</f>
        <v/>
      </c>
      <c r="CK19" s="132">
        <f>IF(OR(CK$4="",$B19=""),0,SUMIF('DADOS BRUTOS'!$A$3:$A$500,$B19,'DADOS BRUTOS'!K$3:K$500)+IF($C19="",0,SUMIF('DADOS BRUTOS'!$A$3:$A$500,$C19,'DADOS BRUTOS'!K$3:K$500)))</f>
        <v/>
      </c>
      <c r="CL19" s="132">
        <f>IF(OR(CL$4="",$B19=""),0,SUMIF('DADOS BRUTOS'!$A$3:$A$500,$B19,'DADOS BRUTOS'!L$3:L$500)+IF($C19="",0,SUMIF('DADOS BRUTOS'!$A$3:$A$500,$C19,'DADOS BRUTOS'!L$3:L$500)))</f>
        <v/>
      </c>
      <c r="CM19" s="132">
        <f>IF(OR(CM$4="",$B19=""),0,SUMIF('DADOS BRUTOS'!$A$3:$A$500,$B19,'DADOS BRUTOS'!M$3:M$500)+IF($C19="",0,SUMIF('DADOS BRUTOS'!$A$3:$A$500,$C19,'DADOS BRUTOS'!M$3:M$500)))</f>
        <v/>
      </c>
      <c r="CN19" s="132">
        <f>IF(OR(CN$4="",$B19=""),0,SUMIF('DADOS BRUTOS'!$A$3:$A$500,$B19,'DADOS BRUTOS'!N$3:N$500)+IF($C19="",0,SUMIF('DADOS BRUTOS'!$A$3:$A$500,$C19,'DADOS BRUTOS'!N$3:N$500)))</f>
        <v/>
      </c>
      <c r="CO19" s="132">
        <f>IF(OR(CO$4="",$B19=""),0,SUMIF('DADOS BRUTOS'!$A$3:$A$500,$B19,'DADOS BRUTOS'!O$3:O$500)+IF($C19="",0,SUMIF('DADOS BRUTOS'!$A$3:$A$500,$C19,'DADOS BRUTOS'!O$3:O$500)))</f>
        <v/>
      </c>
      <c r="CP19" s="132">
        <f>IF(OR(CP$4="",$B19=""),0,SUMIF('DADOS BRUTOS'!$A$3:$A$500,$B19,'DADOS BRUTOS'!P$3:P$500)+IF($C19="",0,SUMIF('DADOS BRUTOS'!$A$3:$A$500,$C19,'DADOS BRUTOS'!P$3:P$500)))</f>
        <v/>
      </c>
      <c r="CQ19" s="132">
        <f>IF(OR(CQ$4="",$B19=""),0,SUMIF('DADOS BRUTOS'!$A$3:$A$500,$B19,'DADOS BRUTOS'!Q$3:Q$500)+IF($C19="",0,SUMIF('DADOS BRUTOS'!$A$3:$A$500,$C19,'DADOS BRUTOS'!Q$3:Q$500)))</f>
        <v/>
      </c>
      <c r="CR19" s="132">
        <f>IF(OR(CR$4="",$B19=""),0,SUMIF('DADOS BRUTOS'!$A$3:$A$500,$B19,'DADOS BRUTOS'!R$3:R$500)+IF($C19="",0,SUMIF('DADOS BRUTOS'!$A$3:$A$500,$C19,'DADOS BRUTOS'!R$3:R$500)))</f>
        <v/>
      </c>
      <c r="CS19" s="132">
        <f>IF(OR(CS$4="",$B19=""),0,SUMIF('DADOS BRUTOS'!$A$3:$A$500,$B19,'DADOS BRUTOS'!S$3:S$500)+IF($C19="",0,SUMIF('DADOS BRUTOS'!$A$3:$A$500,$C19,'DADOS BRUTOS'!S$3:S$500)))</f>
        <v/>
      </c>
      <c r="CT19" s="132">
        <f>IF(OR(CT$4="",$B19=""),0,SUMIF('DADOS BRUTOS'!$A$3:$A$500,$B19,'DADOS BRUTOS'!T$3:T$500)+IF($C19="",0,SUMIF('DADOS BRUTOS'!$A$3:$A$500,$C19,'DADOS BRUTOS'!T$3:T$500)))</f>
        <v/>
      </c>
      <c r="CU19" s="132">
        <f>IF(OR(CU$4="",$B19=""),0,SUMIF('DADOS BRUTOS'!$A$3:$A$500,$B19,'DADOS BRUTOS'!U$3:U$500)+IF($C19="",0,SUMIF('DADOS BRUTOS'!$A$3:$A$500,$C19,'DADOS BRUTOS'!U$3:U$500)))</f>
        <v/>
      </c>
      <c r="CV19" s="132">
        <f>IF(OR(CV$4="",$B19=""),0,SUMIF('DADOS BRUTOS'!$A$3:$A$500,$B19,'DADOS BRUTOS'!V$3:V$500)+IF($C19="",0,SUMIF('DADOS BRUTOS'!$A$3:$A$500,$C19,'DADOS BRUTOS'!V$3:V$500)))</f>
        <v/>
      </c>
      <c r="CW19" s="132">
        <f>IF(OR(CW$4="",$B19=""),0,SUMIF('DADOS BRUTOS'!$A$3:$A$500,$B19,'DADOS BRUTOS'!W$3:W$500)+IF($C19="",0,SUMIF('DADOS BRUTOS'!$A$3:$A$500,$C19,'DADOS BRUTOS'!W$3:W$500)))</f>
        <v/>
      </c>
      <c r="CX19" s="132">
        <f>IF(OR(CX$4="",$B19=""),0,SUMIF('DADOS BRUTOS'!$A$3:$A$500,$B19,'DADOS BRUTOS'!X$3:X$500)+IF($C19="",0,SUMIF('DADOS BRUTOS'!$A$3:$A$500,$C19,'DADOS BRUTOS'!X$3:X$500)))</f>
        <v/>
      </c>
      <c r="CY19" s="132">
        <f>IF(OR(CY$4="",$B19=""),0,SUMIF('DADOS BRUTOS'!$A$3:$A$500,$B19,'DADOS BRUTOS'!Y$3:Y$500)+IF($C19="",0,SUMIF('DADOS BRUTOS'!$A$3:$A$500,$C19,'DADOS BRUTOS'!Y$3:Y$500)))</f>
        <v/>
      </c>
      <c r="CZ19" s="132">
        <f>IF(OR(CZ$4="",$B19=""),0,SUMIF('DADOS BRUTOS'!$A$3:$A$500,$B19,'DADOS BRUTOS'!Z$3:Z$500)+IF($C19="",0,SUMIF('DADOS BRUTOS'!$A$3:$A$500,$C19,'DADOS BRUTOS'!Z$3:Z$500)))</f>
        <v/>
      </c>
      <c r="DA19" s="132">
        <f>IF(OR(DA$4="",$B19=""),0,SUMIF('DADOS BRUTOS'!$A$3:$A$500,$B19,'DADOS BRUTOS'!AA$3:AA$500)+IF($C19="",0,SUMIF('DADOS BRUTOS'!$A$3:$A$500,$C19,'DADOS BRUTOS'!AA$3:AA$500)))</f>
        <v/>
      </c>
      <c r="DB19" s="132">
        <f>IF(OR(DB$4="",$B19=""),0,SUMIF('DADOS BRUTOS'!$A$3:$A$500,$B19,'DADOS BRUTOS'!AB$3:AB$500)+IF($C19="",0,SUMIF('DADOS BRUTOS'!$A$3:$A$500,$C19,'DADOS BRUTOS'!AB$3:AB$500)))</f>
        <v/>
      </c>
      <c r="DC19" s="132">
        <f>IF(OR(DC$4="",$B19=""),0,SUMIF('DADOS BRUTOS'!$A$3:$A$500,$B19,'DADOS BRUTOS'!AC$3:AC$500)+IF($C19="",0,SUMIF('DADOS BRUTOS'!$A$3:$A$500,$C19,'DADOS BRUTOS'!AC$3:AC$500)))</f>
        <v/>
      </c>
      <c r="DD19" s="132">
        <f>IF(OR(DD$4="",$B19=""),0,SUMIF('DADOS BRUTOS'!$A$3:$A$500,$B19,'DADOS BRUTOS'!AD$3:AD$500)+IF($C19="",0,SUMIF('DADOS BRUTOS'!$A$3:$A$500,$C19,'DADOS BRUTOS'!AD$3:AD$500)))</f>
        <v/>
      </c>
      <c r="DE19" s="132">
        <f>IF(OR(DE$4="",$B19=""),0,SUMIF('DADOS BRUTOS'!$A$3:$A$500,$B19,'DADOS BRUTOS'!AE$3:AE$500)+IF($C19="",0,SUMIF('DADOS BRUTOS'!$A$3:$A$500,$C19,'DADOS BRUTOS'!AE$3:AE$500)))</f>
        <v/>
      </c>
      <c r="DF19" s="132">
        <f>IF(OR(DF$4="",$B19=""),0,SUMIF('DADOS BRUTOS'!$A$3:$A$500,$B19,'DADOS BRUTOS'!AF$3:AF$500)+IF($C19="",0,SUMIF('DADOS BRUTOS'!$A$3:$A$500,$C19,'DADOS BRUTOS'!AF$3:AF$500)))</f>
        <v/>
      </c>
      <c r="DG19" s="132">
        <f>IF(OR(DG$4="",$B19=""),0,SUMIF('DADOS BRUTOS'!$A$3:$A$500,$B19,'DADOS BRUTOS'!AG$3:AG$500)+IF($C19="",0,SUMIF('DADOS BRUTOS'!$A$3:$A$500,$C19,'DADOS BRUTOS'!AG$3:AG$500)))</f>
        <v/>
      </c>
      <c r="DH19" s="132">
        <f>IF(OR(DH$4="",$B19=""),0,SUMIF('DADOS BRUTOS'!$A$3:$A$500,$B19,'DADOS BRUTOS'!AH$3:AH$500)+IF($C19="",0,SUMIF('DADOS BRUTOS'!$A$3:$A$500,$C19,'DADOS BRUTOS'!AH$3:AH$500)))</f>
        <v/>
      </c>
      <c r="DI19" s="132">
        <f>IF(OR(DI$4="",$B19=""),0,SUMIF('DADOS BRUTOS'!$A$3:$A$500,$B19,'DADOS BRUTOS'!AI$3:AI$500)+IF($C19="",0,SUMIF('DADOS BRUTOS'!$A$3:$A$500,$C19,'DADOS BRUTOS'!AI$3:AI$500)))</f>
        <v/>
      </c>
      <c r="DJ19" s="132">
        <f>IF(OR(DJ$4="",$B19=""),0,SUMIF('DADOS BRUTOS'!$A$3:$A$500,$B19,'DADOS BRUTOS'!AJ$3:AJ$500)+IF($C19="",0,SUMIF('DADOS BRUTOS'!$A$3:$A$500,$C19,'DADOS BRUTOS'!AJ$3:AJ$500)))</f>
        <v/>
      </c>
      <c r="DK19" s="132">
        <f>IF(OR(DK$4="",$B19=""),0,SUMIF('DADOS BRUTOS'!$A$3:$A$500,$B19,'DADOS BRUTOS'!AK$3:AK$500)+IF($C19="",0,SUMIF('DADOS BRUTOS'!$A$3:$A$500,$C19,'DADOS BRUTOS'!AK$3:AK$500)))</f>
        <v/>
      </c>
      <c r="DL19" s="132">
        <f>IF(OR(DL$4="",$B19=""),0,SUMIF('DADOS BRUTOS'!$A$3:$A$500,$B19,'DADOS BRUTOS'!AL$3:AL$500)+IF($C19="",0,SUMIF('DADOS BRUTOS'!$A$3:$A$500,$C19,'DADOS BRUTOS'!AL$3:AL$500)))</f>
        <v/>
      </c>
      <c r="DM19" s="132">
        <f>IF(OR(DM$4="",$B19=""),0,SUMIF('DADOS BRUTOS'!$A$3:$A$500,$B19,'DADOS BRUTOS'!AM$3:AM$500)+IF($C19="",0,SUMIF('DADOS BRUTOS'!$A$3:$A$500,$C19,'DADOS BRUTOS'!AM$3:AM$500)))</f>
        <v/>
      </c>
      <c r="DN19" s="132">
        <f>IF(OR(DN$4="",$B19=""),0,SUMIF('DADOS BRUTOS'!$A$3:$A$500,$B19,'DADOS BRUTOS'!AN$3:AN$500)+IF($C19="",0,SUMIF('DADOS BRUTOS'!$A$3:$A$500,$C19,'DADOS BRUTOS'!AN$3:AN$500)))</f>
        <v/>
      </c>
      <c r="DO19" s="132">
        <f>IF(OR(DO$4="",$B19=""),0,SUMIF('DADOS BRUTOS'!$A$3:$A$500,$B19,'DADOS BRUTOS'!AO$3:AO$500)+IF($C19="",0,SUMIF('DADOS BRUTOS'!$A$3:$A$500,$C19,'DADOS BRUTOS'!AO$3:AO$500)))</f>
        <v/>
      </c>
      <c r="DP19" s="132">
        <f>IF(OR(DP$4="",$B19=""),0,SUMIF('DADOS BRUTOS'!$A$3:$A$500,$B19,'DADOS BRUTOS'!AP$3:AP$500)+IF($C19="",0,SUMIF('DADOS BRUTOS'!$A$3:$A$500,$C19,'DADOS BRUTOS'!AP$3:AP$500)))</f>
        <v/>
      </c>
      <c r="DQ19" s="132">
        <f>IF(OR(DQ$4="",$B19=""),0,SUMIF('DADOS BRUTOS'!$A$3:$A$500,$B19,'DADOS BRUTOS'!AQ$3:AQ$500)+IF($C19="",0,SUMIF('DADOS BRUTOS'!$A$3:$A$500,$C19,'DADOS BRUTOS'!AQ$3:AQ$500)))</f>
        <v/>
      </c>
      <c r="DR19" s="132">
        <f>IF(OR(DR$4="",$B19=""),0,SUMIF('DADOS BRUTOS'!$A$3:$A$500,$B19,'DADOS BRUTOS'!AR$3:AR$500)+IF($C19="",0,SUMIF('DADOS BRUTOS'!$A$3:$A$500,$C19,'DADOS BRUTOS'!AR$3:AR$500)))</f>
        <v/>
      </c>
      <c r="DS19" s="132">
        <f>IF(OR(DS$4="",$B19=""),0,SUMIF('DADOS BRUTOS'!$A$3:$A$500,$B19,'DADOS BRUTOS'!AS$3:AS$500)+IF($C19="",0,SUMIF('DADOS BRUTOS'!$A$3:$A$500,$C19,'DADOS BRUTOS'!AS$3:AS$500)))</f>
        <v/>
      </c>
      <c r="DT19" s="132">
        <f>IF(OR(DT$4="",$B19=""),0,SUMIF('DADOS BRUTOS'!$A$3:$A$500,$B19,'DADOS BRUTOS'!AT$3:AT$500)+IF($C19="",0,SUMIF('DADOS BRUTOS'!$A$3:$A$500,$C19,'DADOS BRUTOS'!AT$3:AT$500)))</f>
        <v/>
      </c>
      <c r="DU19" s="132">
        <f>IF(OR(DU$4="",$B19=""),0,SUMIF('DADOS BRUTOS'!$A$3:$A$500,$B19,'DADOS BRUTOS'!AU$3:AU$500)+IF($C19="",0,SUMIF('DADOS BRUTOS'!$A$3:$A$500,$C19,'DADOS BRUTOS'!AU$3:AU$500)))</f>
        <v/>
      </c>
      <c r="DV19" s="132">
        <f>IF(OR(DV$4="",$B19=""),0,SUMIF('DADOS BRUTOS'!$A$3:$A$500,$B19,'DADOS BRUTOS'!AV$3:AV$500)+IF($C19="",0,SUMIF('DADOS BRUTOS'!$A$3:$A$500,$C19,'DADOS BRUTOS'!AV$3:AV$500)))</f>
        <v/>
      </c>
      <c r="DW19" s="132">
        <f>IF(OR(DW$4="",$B19=""),0,SUMIF('DADOS BRUTOS'!$A$3:$A$500,$B19,'DADOS BRUTOS'!AW$3:AW$500)+IF($C19="",0,SUMIF('DADOS BRUTOS'!$A$3:$A$500,$C19,'DADOS BRUTOS'!AW$3:AW$500)))</f>
        <v/>
      </c>
      <c r="DX19" s="132">
        <f>IF(OR(DX$4="",$B19=""),0,SUMIF('DADOS BRUTOS'!$A$3:$A$500,$B19,'DADOS BRUTOS'!AX$3:AX$500)+IF($C19="",0,SUMIF('DADOS BRUTOS'!$A$3:$A$500,$C19,'DADOS BRUTOS'!AX$3:AX$500)))</f>
        <v/>
      </c>
      <c r="DY19" s="132">
        <f>IF(OR(DY$4="",$B19=""),0,SUMIF('DADOS BRUTOS'!$A$3:$A$500,$B19,'DADOS BRUTOS'!AY$3:AY$500)+IF($C19="",0,SUMIF('DADOS BRUTOS'!$A$3:$A$500,$C19,'DADOS BRUTOS'!AY$3:AY$500)))</f>
        <v/>
      </c>
      <c r="DZ19" s="132">
        <f>IF(OR(DZ$4="",$B19=""),0,SUMIF('DADOS BRUTOS'!$A$3:$A$500,$B19,'DADOS BRUTOS'!AZ$3:AZ$500)+IF($C19="",0,SUMIF('DADOS BRUTOS'!$A$3:$A$500,$C19,'DADOS BRUTOS'!AZ$3:AZ$500)))</f>
        <v/>
      </c>
      <c r="EA19" s="132">
        <f>IF(OR(EA$4="",$B19=""),0,SUMIF('DADOS BRUTOS'!$A$3:$A$500,$B19,'DADOS BRUTOS'!BA$3:BA$500)+IF($C19="",0,SUMIF('DADOS BRUTOS'!$A$3:$A$500,$C19,'DADOS BRUTOS'!BA$3:BA$500)))</f>
        <v/>
      </c>
      <c r="EB19" s="132">
        <f>IF(OR(EB$4="",$B19=""),0,SUMIF('DADOS BRUTOS'!$A$3:$A$500,$B19,'DADOS BRUTOS'!BB$3:BB$500)+IF($C19="",0,SUMIF('DADOS BRUTOS'!$A$3:$A$500,$C19,'DADOS BRUTOS'!BB$3:BB$500)))</f>
        <v/>
      </c>
      <c r="EC19" s="132">
        <f>IF(OR(EC$4="",$B19=""),0,SUMIF('DADOS BRUTOS'!$A$3:$A$500,$B19,'DADOS BRUTOS'!BC$3:BC$500)+IF($C19="",0,SUMIF('DADOS BRUTOS'!$A$3:$A$500,$C19,'DADOS BRUTOS'!BC$3:BC$500)))</f>
        <v/>
      </c>
      <c r="ED19" s="132">
        <f>IF(OR(ED$4="",$B19=""),0,SUMIF('DADOS BRUTOS'!$A$3:$A$500,$B19,'DADOS BRUTOS'!BD$3:BD$500)+IF($C19="",0,SUMIF('DADOS BRUTOS'!$A$3:$A$500,$C19,'DADOS BRUTOS'!BD$3:BD$500)))</f>
        <v/>
      </c>
      <c r="EE19" s="132">
        <f>IF(OR(EE$4="",$B19=""),0,SUMIF('DADOS BRUTOS'!$A$3:$A$500,$B19,'DADOS BRUTOS'!BE$3:BE$500)+IF($C19="",0,SUMIF('DADOS BRUTOS'!$A$3:$A$500,$C19,'DADOS BRUTOS'!BE$3:BE$500)))</f>
        <v/>
      </c>
      <c r="EF19" s="132">
        <f>IF(OR(EF$4="",$B19=""),0,SUMIF('DADOS BRUTOS'!$A$3:$A$500,$B19,'DADOS BRUTOS'!BF$3:BF$500)+IF($C19="",0,SUMIF('DADOS BRUTOS'!$A$3:$A$500,$C19,'DADOS BRUTOS'!BF$3:BF$500)))</f>
        <v/>
      </c>
      <c r="EG19" s="132">
        <f>IF(OR(EG$4="",$B19=""),0,SUMIF('DADOS BRUTOS'!$A$3:$A$500,$B19,'DADOS BRUTOS'!BG$3:BG$500)+IF($C19="",0,SUMIF('DADOS BRUTOS'!$A$3:$A$500,$C19,'DADOS BRUTOS'!BG$3:BG$500)))</f>
        <v/>
      </c>
      <c r="EH19" s="132">
        <f>IF(OR(EH$4="",$B19=""),0,SUMIF('DADOS BRUTOS'!$A$3:$A$500,$B19,'DADOS BRUTOS'!BH$3:BH$500)+IF($C19="",0,SUMIF('DADOS BRUTOS'!$A$3:$A$500,$C19,'DADOS BRUTOS'!BH$3:BH$500)))</f>
        <v/>
      </c>
      <c r="EI19" s="132">
        <f>IF(OR(EI$4="",$B19=""),0,SUMIF('DADOS BRUTOS'!$A$3:$A$500,$B19,'DADOS BRUTOS'!BI$3:BI$500)+IF($C19="",0,SUMIF('DADOS BRUTOS'!$A$3:$A$500,$C19,'DADOS BRUTOS'!BI$3:BI$500)))</f>
        <v/>
      </c>
      <c r="EJ19" s="132">
        <f>IF(OR(EJ$4="",$B19=""),0,SUMIF('DADOS BRUTOS'!$A$3:$A$500,$B19,'DADOS BRUTOS'!BJ$3:BJ$500)+IF($C19="",0,SUMIF('DADOS BRUTOS'!$A$3:$A$500,$C19,'DADOS BRUTOS'!BJ$3:BJ$500)))</f>
        <v/>
      </c>
      <c r="EK19" s="132">
        <f>IF(OR(EK$4="",$B19=""),0,SUMIF('DADOS BRUTOS'!$A$3:$A$500,$B19,'DADOS BRUTOS'!BK$3:BK$500)+IF($C19="",0,SUMIF('DADOS BRUTOS'!$A$3:$A$500,$C19,'DADOS BRUTOS'!BK$3:BK$500)))</f>
        <v/>
      </c>
      <c r="EL19" s="132">
        <f>IF(OR(EL$4="",$B19=""),0,SUMIF('DADOS BRUTOS'!$A$3:$A$500,$B19,'DADOS BRUTOS'!BL$3:BL$500)+IF($C19="",0,SUMIF('DADOS BRUTOS'!$A$3:$A$500,$C19,'DADOS BRUTOS'!BL$3:BL$500)))</f>
        <v/>
      </c>
      <c r="EM19" s="132">
        <f>IF(OR(EM$4="",$B19=""),0,SUMIF('DADOS BRUTOS'!$A$3:$A$500,$B19,'DADOS BRUTOS'!BM$3:BM$500)+IF($C19="",0,SUMIF('DADOS BRUTOS'!$A$3:$A$500,$C19,'DADOS BRUTOS'!BM$3:BM$500)))</f>
        <v/>
      </c>
      <c r="EN19" s="132">
        <f>IF(OR(EN$4="",$B19=""),0,SUMIF('DADOS BRUTOS'!$A$3:$A$500,$B19,'DADOS BRUTOS'!BN$3:BN$500)+IF($C19="",0,SUMIF('DADOS BRUTOS'!$A$3:$A$500,$C19,'DADOS BRUTOS'!BN$3:BN$500)))</f>
        <v/>
      </c>
      <c r="EO19" s="132">
        <f>IF(OR(EO$4="",$B19=""),0,SUMIF('DADOS BRUTOS'!$A$3:$A$500,$B19,'DADOS BRUTOS'!BO$3:BO$500)+IF($C19="",0,SUMIF('DADOS BRUTOS'!$A$3:$A$500,$C19,'DADOS BRUTOS'!BO$3:BO$500)))</f>
        <v/>
      </c>
      <c r="EP19" s="132">
        <f>IF(OR(EP$4="",$B19=""),0,SUMIF('DADOS BRUTOS'!$A$3:$A$500,$B19,'DADOS BRUTOS'!BP$3:BP$500)+IF($C19="",0,SUMIF('DADOS BRUTOS'!$A$3:$A$500,$C19,'DADOS BRUTOS'!BP$3:BP$500)))</f>
        <v/>
      </c>
      <c r="EQ19" s="132">
        <f>IF(OR(EQ$4="",$B19=""),0,SUMIF('DADOS BRUTOS'!$A$3:$A$500,$B19,'DADOS BRUTOS'!BQ$3:BQ$500)+IF($C19="",0,SUMIF('DADOS BRUTOS'!$A$3:$A$500,$C19,'DADOS BRUTOS'!BQ$3:BQ$500)))</f>
        <v/>
      </c>
      <c r="ER19" s="132">
        <f>IF(OR(ER$4="",$B19=""),0,SUMIF('DADOS BRUTOS'!$A$3:$A$500,$B19,'DADOS BRUTOS'!BR$3:BR$500)+IF($C19="",0,SUMIF('DADOS BRUTOS'!$A$3:$A$500,$C19,'DADOS BRUTOS'!BR$3:BR$500)))</f>
        <v/>
      </c>
      <c r="ES19" s="132">
        <f>IF(OR(ES$4="",$B19=""),0,SUMIF('DADOS BRUTOS'!$A$3:$A$500,$B19,'DADOS BRUTOS'!BS$3:BS$500)+IF($C19="",0,SUMIF('DADOS BRUTOS'!$A$3:$A$500,$C19,'DADOS BRUTOS'!BS$3:BS$500)))</f>
        <v/>
      </c>
      <c r="ET19" s="132">
        <f>IF(OR(ET$4="",$B19=""),0,SUMIF('DADOS BRUTOS'!$A$3:$A$500,$B19,'DADOS BRUTOS'!BT$3:BT$500)+IF($C19="",0,SUMIF('DADOS BRUTOS'!$A$3:$A$500,$C19,'DADOS BRUTOS'!BT$3:BT$500)))</f>
        <v/>
      </c>
      <c r="EU19" s="132">
        <f>IF(OR(EU$4="",$B19=""),0,SUMIF('DADOS BRUTOS'!$A$3:$A$500,$B19,'DADOS BRUTOS'!BU$3:BU$500)+IF($C19="",0,SUMIF('DADOS BRUTOS'!$A$3:$A$500,$C19,'DADOS BRUTOS'!BU$3:BU$500)))</f>
        <v/>
      </c>
      <c r="EV19" s="132">
        <f>IF(OR(EV$4="",$B19=""),0,SUMIF('DADOS BRUTOS'!$A$3:$A$500,$B19,'DADOS BRUTOS'!BV$3:BV$500)+IF($C19="",0,SUMIF('DADOS BRUTOS'!$A$3:$A$500,$C19,'DADOS BRUTOS'!BV$3:BV$500)))</f>
        <v/>
      </c>
      <c r="EW19" s="132">
        <f>IF(OR(EW$4="",$B19=""),0,SUMIF('DADOS BRUTOS'!$A$3:$A$500,$B19,'DADOS BRUTOS'!BW$3:BW$500)+IF($C19="",0,SUMIF('DADOS BRUTOS'!$A$3:$A$500,$C19,'DADOS BRUTOS'!BW$3:BW$500)))</f>
        <v/>
      </c>
      <c r="EX19" s="132">
        <f>IF(OR(EX$4="",$B19=""),0,SUMIF('DADOS BRUTOS'!$A$3:$A$500,$B19,'DADOS BRUTOS'!BX$3:BX$500)+IF($C19="",0,SUMIF('DADOS BRUTOS'!$A$3:$A$500,$C19,'DADOS BRUTOS'!BX$3:BX$500)))</f>
        <v/>
      </c>
      <c r="EY19" s="132">
        <f>IF(OR(EY$4="",$B19=""),0,SUMIF('DADOS BRUTOS'!$A$3:$A$500,$B19,'DADOS BRUTOS'!BY$3:BY$500)+IF($C19="",0,SUMIF('DADOS BRUTOS'!$A$3:$A$500,$C19,'DADOS BRUTOS'!BY$3:BY$500)))</f>
        <v/>
      </c>
      <c r="EZ19" s="132">
        <f>IF(OR(EZ$4="",$B19=""),0,SUMIF('DADOS BRUTOS'!$A$3:$A$500,$B19,'DADOS BRUTOS'!BZ$3:BZ$500)+IF($C19="",0,SUMIF('DADOS BRUTOS'!$A$3:$A$500,$C19,'DADOS BRUTOS'!BZ$3:BZ$500)))</f>
        <v/>
      </c>
      <c r="FA19" s="132">
        <f>IF(OR(FA$4="",$B19=""),0,SUMIF('DADOS BRUTOS'!$A$3:$A$500,$B19,'DADOS BRUTOS'!CA$3:CA$500)+IF($C19="",0,SUMIF('DADOS BRUTOS'!$A$3:$A$500,$C19,'DADOS BRUTOS'!CA$3:CA$500)))</f>
        <v/>
      </c>
      <c r="FB19" s="132">
        <f>IF(OR(FB$4="",$B19=""),0,SUMIF('DADOS BRUTOS'!$A$3:$A$500,$B19,'DADOS BRUTOS'!CB$3:CB$500)+IF($C19="",0,SUMIF('DADOS BRUTOS'!$A$3:$A$500,$C19,'DADOS BRUTOS'!CB$3:CB$500)))</f>
        <v/>
      </c>
      <c r="FC19" s="132">
        <f>IF(OR(FC$4="",$B19=""),0,SUMIF('DADOS BRUTOS'!$A$3:$A$500,$B19,'DADOS BRUTOS'!CC$3:CC$500)+IF($C19="",0,SUMIF('DADOS BRUTOS'!$A$3:$A$500,$C19,'DADOS BRUTOS'!CC$3:CC$500)))</f>
        <v/>
      </c>
      <c r="FD19" s="132">
        <f>IF(OR(FD$4="",$B19=""),0,SUMIF('DADOS BRUTOS'!$A$3:$A$500,$B19,'DADOS BRUTOS'!CD$3:CD$500)+IF($C19="",0,SUMIF('DADOS BRUTOS'!$A$3:$A$500,$C19,'DADOS BRUTOS'!CD$3:CD$500)))</f>
        <v/>
      </c>
      <c r="FE19" s="132">
        <f>IF(OR(FE$4="",$B19=""),0,SUMIF('DADOS BRUTOS'!$A$3:$A$500,$B19,'DADOS BRUTOS'!CE$3:CE$500)+IF($C19="",0,SUMIF('DADOS BRUTOS'!$A$3:$A$500,$C19,'DADOS BRUTOS'!CE$3:CE$500)))</f>
        <v/>
      </c>
      <c r="FF19" s="132">
        <f>IF(OR(FF$4="",$B19=""),0,SUMIF('DADOS BRUTOS'!$A$3:$A$500,$B19,'DADOS BRUTOS'!CF$3:CF$500)+IF($C19="",0,SUMIF('DADOS BRUTOS'!$A$3:$A$500,$C19,'DADOS BRUTOS'!CF$3:CF$500)))</f>
        <v/>
      </c>
      <c r="FG19" s="132">
        <f>IF(OR(FG$4="",$B19=""),0,SUMIF('DADOS BRUTOS'!$A$3:$A$500,$B19,'DADOS BRUTOS'!CG$3:CG$500)+IF($C19="",0,SUMIF('DADOS BRUTOS'!$A$3:$A$500,$C19,'DADOS BRUTOS'!CG$3:CG$500)))</f>
        <v/>
      </c>
      <c r="FH19" s="132">
        <f>IF(OR(FH$4="",$B19=""),0,SUMIF('DADOS BRUTOS'!$A$3:$A$500,$B19,'DADOS BRUTOS'!CH$3:CH$500)+IF($C19="",0,SUMIF('DADOS BRUTOS'!$A$3:$A$500,$C19,'DADOS BRUTOS'!CH$3:CH$500)))</f>
        <v/>
      </c>
      <c r="FI19" s="132">
        <f>IF(OR(FI$4="",$B19=""),0,SUMIF('DADOS BRUTOS'!$A$3:$A$500,$B19,'DADOS BRUTOS'!CI$3:CI$500)+IF($C19="",0,SUMIF('DADOS BRUTOS'!$A$3:$A$500,$C19,'DADOS BRUTOS'!CI$3:CI$500)))</f>
        <v/>
      </c>
      <c r="FJ19" s="132">
        <f>IF(OR(FJ$4="",$B19=""),0,SUMIF('DADOS BRUTOS'!$A$3:$A$500,$B19,'DADOS BRUTOS'!CJ$3:CJ$500)+IF($C19="",0,SUMIF('DADOS BRUTOS'!$A$3:$A$500,$C19,'DADOS BRUTOS'!CJ$3:CJ$500)))</f>
        <v/>
      </c>
      <c r="FK19" s="132">
        <f>IF(OR(FK$4="",$B19=""),0,SUMIF('DADOS BRUTOS'!$A$3:$A$500,$B19,'DADOS BRUTOS'!CK$3:CK$500)+IF($C19="",0,SUMIF('DADOS BRUTOS'!$A$3:$A$500,$C19,'DADOS BRUTOS'!CK$3:CK$500)))</f>
        <v/>
      </c>
      <c r="FL19" s="132">
        <f>IF(OR(FL$4="",$B19=""),0,SUMIF('DADOS BRUTOS'!$A$3:$A$500,$B19,'DADOS BRUTOS'!CL$3:CL$500)+IF($C19="",0,SUMIF('DADOS BRUTOS'!$A$3:$A$500,$C19,'DADOS BRUTOS'!CL$3:CL$500)))</f>
        <v/>
      </c>
      <c r="FM19" s="132">
        <f>IF(OR(FM$4="",$B19=""),0,SUMIF('DADOS BRUTOS'!$A$3:$A$500,$B19,'DADOS BRUTOS'!CM$3:CM$500)+IF($C19="",0,SUMIF('DADOS BRUTOS'!$A$3:$A$500,$C19,'DADOS BRUTOS'!CM$3:CM$500)))</f>
        <v/>
      </c>
      <c r="FN19" s="132">
        <f>IF(OR(FN$4="",$B19=""),0,SUMIF('DADOS BRUTOS'!$A$3:$A$500,$B19,'DADOS BRUTOS'!CN$3:CN$500)+IF($C19="",0,SUMIF('DADOS BRUTOS'!$A$3:$A$500,$C19,'DADOS BRUTOS'!CN$3:CN$500)))</f>
        <v/>
      </c>
      <c r="FO19" s="132">
        <f>IF(OR(FO$4="",$B19=""),0,SUMIF('DADOS BRUTOS'!$A$3:$A$500,$B19,'DADOS BRUTOS'!CO$3:CO$500)+IF($C19="",0,SUMIF('DADOS BRUTOS'!$A$3:$A$500,$C19,'DADOS BRUTOS'!CO$3:CO$500)))</f>
        <v/>
      </c>
      <c r="FP19" s="132">
        <f>IF(OR(FP$4="",$B19=""),0,SUMIF('DADOS BRUTOS'!$A$3:$A$500,$B19,'DADOS BRUTOS'!CP$3:CP$500)+IF($C19="",0,SUMIF('DADOS BRUTOS'!$A$3:$A$500,$C19,'DADOS BRUTOS'!CP$3:CP$500)))</f>
        <v/>
      </c>
      <c r="FQ19" s="132">
        <f>IF(OR(FQ$4="",$B19=""),0,SUMIF('DADOS BRUTOS'!$A$3:$A$500,$B19,'DADOS BRUTOS'!CQ$3:CQ$500)+IF($C19="",0,SUMIF('DADOS BRUTOS'!$A$3:$A$500,$C19,'DADOS BRUTOS'!CQ$3:CQ$500)))</f>
        <v/>
      </c>
      <c r="FR19" s="132">
        <f>IF(OR(FR$4="",$B19=""),0,SUMIF('DADOS BRUTOS'!$A$3:$A$500,$B19,'DADOS BRUTOS'!CR$3:CR$500)+IF($C19="",0,SUMIF('DADOS BRUTOS'!$A$3:$A$500,$C19,'DADOS BRUTOS'!CR$3:CR$500)))</f>
        <v/>
      </c>
      <c r="FS19" s="132">
        <f>IF(OR(FS$4="",$B19=""),0,SUMIF('DADOS BRUTOS'!$A$3:$A$500,$B19,'DADOS BRUTOS'!CS$3:CS$500)+IF($C19="",0,SUMIF('DADOS BRUTOS'!$A$3:$A$500,$C19,'DADOS BRUTOS'!CS$3:CS$500)))</f>
        <v/>
      </c>
      <c r="FT19" s="132">
        <f>IF(OR(FT$4="",$B19=""),0,SUMIF('DADOS BRUTOS'!$A$3:$A$500,$B19,'DADOS BRUTOS'!CT$3:CT$500)+IF($C19="",0,SUMIF('DADOS BRUTOS'!$A$3:$A$500,$C19,'DADOS BRUTOS'!CT$3:CT$500)))</f>
        <v/>
      </c>
      <c r="FU19" s="132">
        <f>IF(OR(FU$4="",$B19=""),0,SUMIF('DADOS BRUTOS'!$A$3:$A$500,$B19,'DADOS BRUTOS'!CU$3:CU$500)+IF($C19="",0,SUMIF('DADOS BRUTOS'!$A$3:$A$500,$C19,'DADOS BRUTOS'!CU$3:CU$500)))</f>
        <v/>
      </c>
      <c r="FV19" s="132">
        <f>IF(OR(FV$4="",$B19=""),0,SUMIF('DADOS BRUTOS'!$A$3:$A$500,$B19,'DADOS BRUTOS'!CV$3:CV$500)+IF($C19="",0,SUMIF('DADOS BRUTOS'!$A$3:$A$500,$C19,'DADOS BRUTOS'!CV$3:CV$500)))</f>
        <v/>
      </c>
      <c r="FW19" s="132">
        <f>IF(OR(FW$4="",$B19=""),0,SUMIF('DADOS BRUTOS'!$A$3:$A$500,$B19,'DADOS BRUTOS'!CW$3:CW$500)+IF($C19="",0,SUMIF('DADOS BRUTOS'!$A$3:$A$500,$C19,'DADOS BRUTOS'!CW$3:CW$500)))</f>
        <v/>
      </c>
      <c r="FX19" s="132">
        <f>IF(OR(FX$4="",$B19=""),0,SUMIF('DADOS BRUTOS'!$A$3:$A$500,$B19,'DADOS BRUTOS'!CX$3:CX$500)+IF($C19="",0,SUMIF('DADOS BRUTOS'!$A$3:$A$500,$C19,'DADOS BRUTOS'!CX$3:CX$500)))</f>
        <v/>
      </c>
      <c r="FY19" s="132">
        <f>IF(OR(FY$4="",$B19=""),0,SUMIF('DADOS BRUTOS'!$A$3:$A$500,$B19,'DADOS BRUTOS'!CY$3:CY$500)+IF($C19="",0,SUMIF('DADOS BRUTOS'!$A$3:$A$500,$C19,'DADOS BRUTOS'!CY$3:CY$500)))</f>
        <v/>
      </c>
      <c r="FZ19" s="132">
        <f>IF(OR(FZ$4="",$B19=""),0,SUMIF('DADOS BRUTOS'!$A$3:$A$500,$B19,'DADOS BRUTOS'!CZ$3:CZ$500)+IF($C19="",0,SUMIF('DADOS BRUTOS'!$A$3:$A$500,$C19,'DADOS BRUTOS'!CZ$3:CZ$500)))</f>
        <v/>
      </c>
      <c r="GA19" s="132">
        <f>IF(OR(GA$4="",$B19=""),0,SUMIF('DADOS BRUTOS'!$A$3:$A$500,$B19,'DADOS BRUTOS'!DA$3:DA$500)+IF($C19="",0,SUMIF('DADOS BRUTOS'!$A$3:$A$500,$C19,'DADOS BRUTOS'!DA$3:DA$500)))</f>
        <v/>
      </c>
      <c r="GB19" s="132">
        <f>IF(OR(GB$4="",$B19=""),0,SUMIF('DADOS BRUTOS'!$A$3:$A$500,$B19,'DADOS BRUTOS'!DB$3:DB$500)+IF($C19="",0,SUMIF('DADOS BRUTOS'!$A$3:$A$500,$C19,'DADOS BRUTOS'!DB$3:DB$500)))</f>
        <v/>
      </c>
      <c r="GC19" s="132">
        <f>IF(OR(GC$4="",$B19=""),0,SUMIF('DADOS BRUTOS'!$A$3:$A$500,$B19,'DADOS BRUTOS'!DC$3:DC$500)+IF($C19="",0,SUMIF('DADOS BRUTOS'!$A$3:$A$500,$C19,'DADOS BRUTOS'!DC$3:DC$500)))</f>
        <v/>
      </c>
      <c r="GD19" s="132">
        <f>IF(OR(GD$4="",$B19=""),0,SUMIF('DADOS BRUTOS'!$A$3:$A$500,$B19,'DADOS BRUTOS'!DD$3:DD$500)+IF($C19="",0,SUMIF('DADOS BRUTOS'!$A$3:$A$500,$C19,'DADOS BRUTOS'!DD$3:DD$500)))</f>
        <v/>
      </c>
      <c r="GE19" s="132">
        <f>IF(OR(GE$4="",$B19=""),0,SUMIF('DADOS BRUTOS'!$A$3:$A$500,$B19,'DADOS BRUTOS'!DE$3:DE$500)+IF($C19="",0,SUMIF('DADOS BRUTOS'!$A$3:$A$500,$C19,'DADOS BRUTOS'!DE$3:DE$500)))</f>
        <v/>
      </c>
      <c r="GF19" s="132">
        <f>IF(OR(GF$4="",$B19=""),0,SUMIF('DADOS BRUTOS'!$A$3:$A$500,$B19,'DADOS BRUTOS'!DF$3:DF$500)+IF($C19="",0,SUMIF('DADOS BRUTOS'!$A$3:$A$500,$C19,'DADOS BRUTOS'!DF$3:DF$500)))</f>
        <v/>
      </c>
      <c r="GG19" s="132">
        <f>IF(OR(GG$4="",$B19=""),0,SUMIF('DADOS BRUTOS'!$A$3:$A$500,$B19,'DADOS BRUTOS'!DG$3:DG$500)+IF($C19="",0,SUMIF('DADOS BRUTOS'!$A$3:$A$500,$C19,'DADOS BRUTOS'!DG$3:DG$500)))</f>
        <v/>
      </c>
      <c r="GH19" s="132">
        <f>IF(OR(GH$4="",$B19=""),0,SUMIF('DADOS BRUTOS'!$A$3:$A$500,$B19,'DADOS BRUTOS'!DH$3:DH$500)+IF($C19="",0,SUMIF('DADOS BRUTOS'!$A$3:$A$500,$C19,'DADOS BRUTOS'!DH$3:DH$500)))</f>
        <v/>
      </c>
      <c r="GI19" s="132">
        <f>IF(OR(GI$4="",$B19=""),0,SUMIF('DADOS BRUTOS'!$A$3:$A$500,$B19,'DADOS BRUTOS'!DI$3:DI$500)+IF($C19="",0,SUMIF('DADOS BRUTOS'!$A$3:$A$500,$C19,'DADOS BRUTOS'!DI$3:DI$500)))</f>
        <v/>
      </c>
      <c r="GJ19" s="132">
        <f>IF(OR(GJ$4="",$B19=""),0,SUMIF('DADOS BRUTOS'!$A$3:$A$500,$B19,'DADOS BRUTOS'!DJ$3:DJ$500)+IF($C19="",0,SUMIF('DADOS BRUTOS'!$A$3:$A$500,$C19,'DADOS BRUTOS'!DJ$3:DJ$500)))</f>
        <v/>
      </c>
      <c r="GK19" s="132">
        <f>IF(OR(GK$4="",$B19=""),0,SUMIF('DADOS BRUTOS'!$A$3:$A$500,$B19,'DADOS BRUTOS'!DK$3:DK$500)+IF($C19="",0,SUMIF('DADOS BRUTOS'!$A$3:$A$500,$C19,'DADOS BRUTOS'!DK$3:DK$500)))</f>
        <v/>
      </c>
      <c r="GL19" s="132">
        <f>IF(OR(GL$4="",$B19=""),0,SUMIF('DADOS BRUTOS'!$A$3:$A$500,$B19,'DADOS BRUTOS'!DL$3:DL$500)+IF($C19="",0,SUMIF('DADOS BRUTOS'!$A$3:$A$500,$C19,'DADOS BRUTOS'!DL$3:DL$500)))</f>
        <v/>
      </c>
      <c r="GM19" s="132">
        <f>IF(OR(GM$4="",$B19=""),0,SUMIF('DADOS BRUTOS'!$A$3:$A$500,$B19,'DADOS BRUTOS'!DM$3:DM$500)+IF($C19="",0,SUMIF('DADOS BRUTOS'!$A$3:$A$500,$C19,'DADOS BRUTOS'!DM$3:DM$500)))</f>
        <v/>
      </c>
      <c r="GN19" s="132">
        <f>IF(OR(GN$4="",$B19=""),0,SUMIF('DADOS BRUTOS'!$A$3:$A$500,$B19,'DADOS BRUTOS'!DN$3:DN$500)+IF($C19="",0,SUMIF('DADOS BRUTOS'!$A$3:$A$500,$C19,'DADOS BRUTOS'!DN$3:DN$500)))</f>
        <v/>
      </c>
      <c r="GO19" s="132">
        <f>IF(OR(GO$4="",$B19=""),0,SUMIF('DADOS BRUTOS'!$A$3:$A$500,$B19,'DADOS BRUTOS'!DO$3:DO$500)+IF($C19="",0,SUMIF('DADOS BRUTOS'!$A$3:$A$500,$C19,'DADOS BRUTOS'!DO$3:DO$500)))</f>
        <v/>
      </c>
      <c r="GP19" s="132">
        <f>IF(OR(GP$4="",$B19=""),0,SUMIF('DADOS BRUTOS'!$A$3:$A$500,$B19,'DADOS BRUTOS'!DP$3:DP$500)+IF($C19="",0,SUMIF('DADOS BRUTOS'!$A$3:$A$500,$C19,'DADOS BRUTOS'!DP$3:DP$500)))</f>
        <v/>
      </c>
      <c r="GQ19" s="132">
        <f>IF(OR(GQ$4="",$B19=""),0,SUMIF('DADOS BRUTOS'!$A$3:$A$500,$B19,'DADOS BRUTOS'!DQ$3:DQ$500)+IF($C19="",0,SUMIF('DADOS BRUTOS'!$A$3:$A$500,$C19,'DADOS BRUTOS'!DQ$3:DQ$500)))</f>
        <v/>
      </c>
      <c r="GR19" s="132">
        <f>IF(OR(GR$4="",$B19=""),0,SUMIF('DADOS BRUTOS'!$A$3:$A$500,$B19,'DADOS BRUTOS'!DR$3:DR$500)+IF($C19="",0,SUMIF('DADOS BRUTOS'!$A$3:$A$500,$C19,'DADOS BRUTOS'!DR$3:DR$500)))</f>
        <v/>
      </c>
      <c r="GS19" s="132">
        <f>IF(OR(GS$4="",$B19=""),0,SUMIF('DADOS BRUTOS'!$A$3:$A$500,$B19,'DADOS BRUTOS'!DS$3:DS$500)+IF($C19="",0,SUMIF('DADOS BRUTOS'!$A$3:$A$500,$C19,'DADOS BRUTOS'!DS$3:DS$500)))</f>
        <v/>
      </c>
      <c r="GT19" s="132">
        <f>IF(OR(GT$4="",$B19=""),0,SUMIF('DADOS BRUTOS'!$A$3:$A$500,$B19,'DADOS BRUTOS'!DT$3:DT$500)+IF($C19="",0,SUMIF('DADOS BRUTOS'!$A$3:$A$500,$C19,'DADOS BRUTOS'!DT$3:DT$500)))</f>
        <v/>
      </c>
      <c r="GU19" s="132">
        <f>IF(OR(GU$4="",$B19=""),0,SUMIF('DADOS BRUTOS'!$A$3:$A$500,$B19,'DADOS BRUTOS'!DU$3:DU$500)+IF($C19="",0,SUMIF('DADOS BRUTOS'!$A$3:$A$500,$C19,'DADOS BRUTOS'!DU$3:DU$500)))</f>
        <v/>
      </c>
      <c r="GV19" s="132">
        <f>IF(OR(GV$4="",$B19=""),0,SUMIF('DADOS BRUTOS'!$A$3:$A$500,$B19,'DADOS BRUTOS'!DV$3:DV$500)+IF($C19="",0,SUMIF('DADOS BRUTOS'!$A$3:$A$500,$C19,'DADOS BRUTOS'!DV$3:DV$500)))</f>
        <v/>
      </c>
      <c r="GW19" s="132">
        <f>IF(OR(GW$4="",$B19=""),0,SUMIF('DADOS BRUTOS'!$A$3:$A$500,$B19,'DADOS BRUTOS'!DW$3:DW$500)+IF($C19="",0,SUMIF('DADOS BRUTOS'!$A$3:$A$500,$C19,'DADOS BRUTOS'!DW$3:DW$500)))</f>
        <v/>
      </c>
      <c r="GX19" s="132">
        <f>IF(OR(GX$4="",$B19=""),0,SUMIF('DADOS BRUTOS'!$A$3:$A$500,$B19,'DADOS BRUTOS'!DX$3:DX$500)+IF($C19="",0,SUMIF('DADOS BRUTOS'!$A$3:$A$500,$C19,'DADOS BRUTOS'!DX$3:DX$500)))</f>
        <v/>
      </c>
      <c r="GY19" s="132">
        <f>IF(OR(GY$4="",$B19=""),0,SUMIF('DADOS BRUTOS'!$A$3:$A$500,$B19,'DADOS BRUTOS'!DY$3:DY$500)+IF($C19="",0,SUMIF('DADOS BRUTOS'!$A$3:$A$500,$C19,'DADOS BRUTOS'!DY$3:DY$500)))</f>
        <v/>
      </c>
      <c r="GZ19" s="132">
        <f>IF(OR(GZ$4="",$B19=""),0,SUMIF('DADOS BRUTOS'!$A$3:$A$500,$B19,'DADOS BRUTOS'!DZ$3:DZ$500)+IF($C19="",0,SUMIF('DADOS BRUTOS'!$A$3:$A$500,$C19,'DADOS BRUTOS'!DZ$3:DZ$500)))</f>
        <v/>
      </c>
      <c r="HA19" s="132">
        <f>IF(OR(HA$4="",$B19=""),0,SUMIF('DADOS BRUTOS'!$A$3:$A$500,$B19,'DADOS BRUTOS'!EA$3:EA$500)+IF($C19="",0,SUMIF('DADOS BRUTOS'!$A$3:$A$500,$C19,'DADOS BRUTOS'!EA$3:EA$500)))</f>
        <v/>
      </c>
      <c r="HB19" s="132">
        <f>IF(OR(HB$4="",$B19=""),0,SUMIF('DADOS BRUTOS'!$A$3:$A$500,$B19,'DADOS BRUTOS'!EB$3:EB$500)+IF($C19="",0,SUMIF('DADOS BRUTOS'!$A$3:$A$500,$C19,'DADOS BRUTOS'!EB$3:EB$500)))</f>
        <v/>
      </c>
      <c r="HC19" s="132">
        <f>IF(OR(HC$4="",$B19=""),0,SUMIF('DADOS BRUTOS'!$A$3:$A$500,$B19,'DADOS BRUTOS'!EC$3:EC$500)+IF($C19="",0,SUMIF('DADOS BRUTOS'!$A$3:$A$500,$C19,'DADOS BRUTOS'!EC$3:EC$500)))</f>
        <v/>
      </c>
      <c r="HD19" s="132">
        <f>IF(OR(HD$4="",$B19=""),0,SUMIF('DADOS BRUTOS'!$A$3:$A$500,$B19,'DADOS BRUTOS'!ED$3:ED$500)+IF($C19="",0,SUMIF('DADOS BRUTOS'!$A$3:$A$500,$C19,'DADOS BRUTOS'!ED$3:ED$500)))</f>
        <v/>
      </c>
      <c r="HE19" s="132">
        <f>IF(OR(HE$4="",$B19=""),0,SUMIF('DADOS BRUTOS'!$A$3:$A$500,$B19,'DADOS BRUTOS'!EE$3:EE$500)+IF($C19="",0,SUMIF('DADOS BRUTOS'!$A$3:$A$500,$C19,'DADOS BRUTOS'!EE$3:EE$500)))</f>
        <v/>
      </c>
      <c r="HF19" s="132">
        <f>IF(OR(HF$4="",$B19=""),0,SUMIF('DADOS BRUTOS'!$A$3:$A$500,$B19,'DADOS BRUTOS'!EF$3:EF$500)+IF($C19="",0,SUMIF('DADOS BRUTOS'!$A$3:$A$500,$C19,'DADOS BRUTOS'!EF$3:EF$500)))</f>
        <v/>
      </c>
      <c r="HG19" s="132">
        <f>IF(OR(HG$4="",$B19=""),0,SUMIF('DADOS BRUTOS'!$A$3:$A$500,$B19,'DADOS BRUTOS'!EG$3:EG$500)+IF($C19="",0,SUMIF('DADOS BRUTOS'!$A$3:$A$500,$C19,'DADOS BRUTOS'!EG$3:EG$500)))</f>
        <v/>
      </c>
      <c r="HH19" s="132">
        <f>IF(OR(HH$4="",$B19=""),0,SUMIF('DADOS BRUTOS'!$A$3:$A$500,$B19,'DADOS BRUTOS'!EH$3:EH$500)+IF($C19="",0,SUMIF('DADOS BRUTOS'!$A$3:$A$500,$C19,'DADOS BRUTOS'!EH$3:EH$500)))</f>
        <v/>
      </c>
      <c r="HI19" s="132">
        <f>IF(OR(HI$4="",$B19=""),0,SUMIF('DADOS BRUTOS'!$A$3:$A$500,$B19,'DADOS BRUTOS'!EI$3:EI$500)+IF($C19="",0,SUMIF('DADOS BRUTOS'!$A$3:$A$500,$C19,'DADOS BRUTOS'!EI$3:EI$500)))</f>
        <v/>
      </c>
      <c r="HJ19" s="132">
        <f>IF(OR(HJ$4="",$B19=""),0,SUMIF('DADOS BRUTOS'!$A$3:$A$500,$B19,'DADOS BRUTOS'!EJ$3:EJ$500)+IF($C19="",0,SUMIF('DADOS BRUTOS'!$A$3:$A$500,$C19,'DADOS BRUTOS'!EJ$3:EJ$500)))</f>
        <v/>
      </c>
      <c r="HK19" s="132">
        <f>IF(OR(HK$4="",$B19=""),0,SUMIF('DADOS BRUTOS'!$A$3:$A$500,$B19,'DADOS BRUTOS'!EK$3:EK$500)+IF($C19="",0,SUMIF('DADOS BRUTOS'!$A$3:$A$500,$C19,'DADOS BRUTOS'!EK$3:EK$500)))</f>
        <v/>
      </c>
      <c r="HL19" s="132">
        <f>IF(OR(HL$4="",$B19=""),0,SUMIF('DADOS BRUTOS'!$A$3:$A$500,$B19,'DADOS BRUTOS'!EL$3:EL$500)+IF($C19="",0,SUMIF('DADOS BRUTOS'!$A$3:$A$500,$C19,'DADOS BRUTOS'!EL$3:EL$500)))</f>
        <v/>
      </c>
      <c r="HM19" s="132">
        <f>IF(OR(HM$4="",$B19=""),0,SUMIF('DADOS BRUTOS'!$A$3:$A$500,$B19,'DADOS BRUTOS'!EM$3:EM$500)+IF($C19="",0,SUMIF('DADOS BRUTOS'!$A$3:$A$500,$C19,'DADOS BRUTOS'!EM$3:EM$500)))</f>
        <v/>
      </c>
      <c r="HN19" s="132">
        <f>IF(OR(HN$4="",$B19=""),0,SUMIF('DADOS BRUTOS'!$A$3:$A$500,$B19,'DADOS BRUTOS'!EN$3:EN$500)+IF($C19="",0,SUMIF('DADOS BRUTOS'!$A$3:$A$500,$C19,'DADOS BRUTOS'!EN$3:EN$500)))</f>
        <v/>
      </c>
      <c r="HO19" s="132">
        <f>IF(OR(HO$4="",$B19=""),0,SUMIF('DADOS BRUTOS'!$A$3:$A$500,$B19,'DADOS BRUTOS'!EO$3:EO$500)+IF($C19="",0,SUMIF('DADOS BRUTOS'!$A$3:$A$500,$C19,'DADOS BRUTOS'!EO$3:EO$500)))</f>
        <v/>
      </c>
      <c r="HP19" s="132">
        <f>IF(OR(HP$4="",$B19=""),0,SUMIF('DADOS BRUTOS'!$A$3:$A$500,$B19,'DADOS BRUTOS'!EP$3:EP$500)+IF($C19="",0,SUMIF('DADOS BRUTOS'!$A$3:$A$500,$C19,'DADOS BRUTOS'!EP$3:EP$500)))</f>
        <v/>
      </c>
      <c r="HQ19" s="132">
        <f>IF(OR(HQ$4="",$B19=""),0,SUMIF('DADOS BRUTOS'!$A$3:$A$500,$B19,'DADOS BRUTOS'!EQ$3:EQ$500)+IF($C19="",0,SUMIF('DADOS BRUTOS'!$A$3:$A$500,$C19,'DADOS BRUTOS'!EQ$3:EQ$500)))</f>
        <v/>
      </c>
      <c r="HR19" s="132">
        <f>IF(OR(HR$4="",$B19=""),0,SUMIF('DADOS BRUTOS'!$A$3:$A$500,$B19,'DADOS BRUTOS'!ER$3:ER$500)+IF($C19="",0,SUMIF('DADOS BRUTOS'!$A$3:$A$500,$C19,'DADOS BRUTOS'!ER$3:ER$500)))</f>
        <v/>
      </c>
      <c r="HS19" s="132">
        <f>IF(OR(HS$4="",$B19=""),0,SUMIF('DADOS BRUTOS'!$A$3:$A$500,$B19,'DADOS BRUTOS'!ES$3:ES$500)+IF($C19="",0,SUMIF('DADOS BRUTOS'!$A$3:$A$500,$C19,'DADOS BRUTOS'!ES$3:ES$500)))</f>
        <v/>
      </c>
      <c r="HT19" s="132">
        <f>IF(OR(HT$4="",$B19=""),0,SUMIF('DADOS BRUTOS'!$A$3:$A$500,$B19,'DADOS BRUTOS'!ET$3:ET$500)+IF($C19="",0,SUMIF('DADOS BRUTOS'!$A$3:$A$500,$C19,'DADOS BRUTOS'!ET$3:ET$500)))</f>
        <v/>
      </c>
      <c r="HU19" s="132">
        <f>IF(OR(HU$4="",$B19=""),0,SUMIF('DADOS BRUTOS'!$A$3:$A$500,$B19,'DADOS BRUTOS'!EU$3:EU$500)+IF($C19="",0,SUMIF('DADOS BRUTOS'!$A$3:$A$500,$C19,'DADOS BRUTOS'!EU$3:EU$500)))</f>
        <v/>
      </c>
      <c r="HV19" s="132">
        <f>IF(OR(HV$4="",$B19=""),0,SUMIF('DADOS BRUTOS'!$A$3:$A$500,$B19,'DADOS BRUTOS'!EV$3:EV$500)+IF($C19="",0,SUMIF('DADOS BRUTOS'!$A$3:$A$500,$C19,'DADOS BRUTOS'!EV$3:EV$500)))</f>
        <v/>
      </c>
      <c r="HW19" s="132">
        <f>IF(OR(HW$4="",$B19=""),0,SUMIF('DADOS BRUTOS'!$A$3:$A$500,$B19,'DADOS BRUTOS'!EW$3:EW$500)+IF($C19="",0,SUMIF('DADOS BRUTOS'!$A$3:$A$500,$C19,'DADOS BRUTOS'!EW$3:EW$500)))</f>
        <v/>
      </c>
      <c r="HX19" s="132">
        <f>IF(OR(HX$4="",$B19=""),0,SUMIF('DADOS BRUTOS'!$A$3:$A$500,$B19,'DADOS BRUTOS'!EX$3:EX$500)+IF($C19="",0,SUMIF('DADOS BRUTOS'!$A$3:$A$500,$C19,'DADOS BRUTOS'!EX$3:EX$500)))</f>
        <v/>
      </c>
      <c r="HY19" s="132">
        <f>IF(OR(HY$4="",$B19=""),0,SUMIF('DADOS BRUTOS'!$A$3:$A$500,$B19,'DADOS BRUTOS'!EY$3:EY$500)+IF($C19="",0,SUMIF('DADOS BRUTOS'!$A$3:$A$500,$C19,'DADOS BRUTOS'!EY$3:EY$500)))</f>
        <v/>
      </c>
      <c r="HZ19" s="132">
        <f>IF(OR(HZ$4="",$B19=""),0,SUMIF('DADOS BRUTOS'!$A$3:$A$500,$B19,'DADOS BRUTOS'!EZ$3:EZ$500)+IF($C19="",0,SUMIF('DADOS BRUTOS'!$A$3:$A$500,$C19,'DADOS BRUTOS'!EZ$3:EZ$500)))</f>
        <v/>
      </c>
      <c r="IA19" s="132">
        <f>IF(OR(IA$4="",$B19=""),0,SUMIF('DADOS BRUTOS'!$A$3:$A$500,$B19,'DADOS BRUTOS'!FA$3:FA$500)+IF($C19="",0,SUMIF('DADOS BRUTOS'!$A$3:$A$500,$C19,'DADOS BRUTOS'!FA$3:FA$500)))</f>
        <v/>
      </c>
      <c r="IB19" s="132">
        <f>IF(OR(IB$4="",$B19=""),0,SUMIF('DADOS BRUTOS'!$A$3:$A$500,$B19,'DADOS BRUTOS'!FB$3:FB$500)+IF($C19="",0,SUMIF('DADOS BRUTOS'!$A$3:$A$500,$C19,'DADOS BRUTOS'!FB$3:FB$500)))</f>
        <v/>
      </c>
      <c r="IC19" s="132">
        <f>IF(OR(IC$4="",$B19=""),0,SUMIF('DADOS BRUTOS'!$A$3:$A$500,$B19,'DADOS BRUTOS'!FC$3:FC$500)+IF($C19="",0,SUMIF('DADOS BRUTOS'!$A$3:$A$500,$C19,'DADOS BRUTOS'!FC$3:FC$500)))</f>
        <v/>
      </c>
      <c r="ID19" s="132">
        <f>IF(OR(ID$4="",$B19=""),0,SUMIF('DADOS BRUTOS'!$A$3:$A$500,$B19,'DADOS BRUTOS'!FD$3:FD$500)+IF($C19="",0,SUMIF('DADOS BRUTOS'!$A$3:$A$500,$C19,'DADOS BRUTOS'!FD$3:FD$500)))</f>
        <v/>
      </c>
      <c r="IE19" s="132">
        <f>IF(OR(IE$4="",$B19=""),0,SUMIF('DADOS BRUTOS'!$A$3:$A$500,$B19,'DADOS BRUTOS'!FE$3:FE$500)+IF($C19="",0,SUMIF('DADOS BRUTOS'!$A$3:$A$500,$C19,'DADOS BRUTOS'!FE$3:FE$500)))</f>
        <v/>
      </c>
      <c r="IF19" s="132">
        <f>IF(OR(IF$4="",$B19=""),0,SUMIF('DADOS BRUTOS'!$A$3:$A$500,$B19,'DADOS BRUTOS'!FF$3:FF$500)+IF($C19="",0,SUMIF('DADOS BRUTOS'!$A$3:$A$500,$C19,'DADOS BRUTOS'!FF$3:FF$500)))</f>
        <v/>
      </c>
      <c r="IG19" s="132">
        <f>IF(OR(IG$4="",$B19=""),0,SUMIF('DADOS BRUTOS'!$A$3:$A$500,$B19,'DADOS BRUTOS'!FG$3:FG$500)+IF($C19="",0,SUMIF('DADOS BRUTOS'!$A$3:$A$500,$C19,'DADOS BRUTOS'!FG$3:FG$500)))</f>
        <v/>
      </c>
      <c r="IH19" s="132">
        <f>IF(OR(IH$4="",$B19=""),0,SUMIF('DADOS BRUTOS'!$A$3:$A$500,$B19,'DADOS BRUTOS'!FH$3:FH$500)+IF($C19="",0,SUMIF('DADOS BRUTOS'!$A$3:$A$500,$C19,'DADOS BRUTOS'!FH$3:FH$500)))</f>
        <v/>
      </c>
      <c r="II19" s="132">
        <f>IF(OR(II$4="",$B19=""),0,SUMIF('DADOS BRUTOS'!$A$3:$A$500,$B19,'DADOS BRUTOS'!FI$3:FI$500)+IF($C19="",0,SUMIF('DADOS BRUTOS'!$A$3:$A$500,$C19,'DADOS BRUTOS'!FI$3:FI$500)))</f>
        <v/>
      </c>
      <c r="IJ19" s="132">
        <f>IF(OR(IJ$4="",$B19=""),0,SUMIF('DADOS BRUTOS'!$A$3:$A$500,$B19,'DADOS BRUTOS'!FJ$3:FJ$500)+IF($C19="",0,SUMIF('DADOS BRUTOS'!$A$3:$A$500,$C19,'DADOS BRUTOS'!FJ$3:FJ$500)))</f>
        <v/>
      </c>
      <c r="IK19" s="132">
        <f>IF(OR(IK$4="",$B19=""),0,SUMIF('DADOS BRUTOS'!$A$3:$A$500,$B19,'DADOS BRUTOS'!FK$3:FK$500)+IF($C19="",0,SUMIF('DADOS BRUTOS'!$A$3:$A$500,$C19,'DADOS BRUTOS'!FK$3:FK$500)))</f>
        <v/>
      </c>
      <c r="IL19" s="132">
        <f>IF(OR(IL$4="",$B19=""),0,SUMIF('DADOS BRUTOS'!$A$3:$A$500,$B19,'DADOS BRUTOS'!FL$3:FL$500)+IF($C19="",0,SUMIF('DADOS BRUTOS'!$A$3:$A$500,$C19,'DADOS BRUTOS'!FL$3:FL$500)))</f>
        <v/>
      </c>
      <c r="IM19" s="132">
        <f>IF(OR(IM$4="",$B19=""),0,SUMIF('DADOS BRUTOS'!$A$3:$A$500,$B19,'DADOS BRUTOS'!FM$3:FM$500)+IF($C19="",0,SUMIF('DADOS BRUTOS'!$A$3:$A$500,$C19,'DADOS BRUTOS'!FM$3:FM$500)))</f>
        <v/>
      </c>
      <c r="IN19" s="132">
        <f>IF(OR(IN$4="",$B19=""),0,SUMIF('DADOS BRUTOS'!$A$3:$A$500,$B19,'DADOS BRUTOS'!FN$3:FN$500)+IF($C19="",0,SUMIF('DADOS BRUTOS'!$A$3:$A$500,$C19,'DADOS BRUTOS'!FN$3:FN$500)))</f>
        <v/>
      </c>
      <c r="IO19" s="132">
        <f>IF(OR(IO$4="",$B19=""),0,SUMIF('DADOS BRUTOS'!$A$3:$A$500,$B19,'DADOS BRUTOS'!FO$3:FO$500)+IF($C19="",0,SUMIF('DADOS BRUTOS'!$A$3:$A$500,$C19,'DADOS BRUTOS'!FO$3:FO$500)))</f>
        <v/>
      </c>
      <c r="IP19" s="132">
        <f>IF(OR(IP$4="",$B19=""),0,SUMIF('DADOS BRUTOS'!$A$3:$A$500,$B19,'DADOS BRUTOS'!FP$3:FP$500)+IF($C19="",0,SUMIF('DADOS BRUTOS'!$A$3:$A$500,$C19,'DADOS BRUTOS'!FP$3:FP$500)))</f>
        <v/>
      </c>
      <c r="IQ19" s="132">
        <f>IF(OR(IQ$4="",$B19=""),0,SUMIF('DADOS BRUTOS'!$A$3:$A$500,$B19,'DADOS BRUTOS'!FQ$3:FQ$500)+IF($C19="",0,SUMIF('DADOS BRUTOS'!$A$3:$A$500,$C19,'DADOS BRUTOS'!FQ$3:FQ$500)))</f>
        <v/>
      </c>
      <c r="IR19" s="132">
        <f>IF(OR(IR$4="",$B19=""),0,SUMIF('DADOS BRUTOS'!$A$3:$A$500,$B19,'DADOS BRUTOS'!FR$3:FR$500)+IF($C19="",0,SUMIF('DADOS BRUTOS'!$A$3:$A$500,$C19,'DADOS BRUTOS'!FR$3:FR$500)))</f>
        <v/>
      </c>
      <c r="IS19" s="132">
        <f>IF(OR(IS$4="",$B19=""),0,SUMIF('DADOS BRUTOS'!$A$3:$A$500,$B19,'DADOS BRUTOS'!FS$3:FS$500)+IF($C19="",0,SUMIF('DADOS BRUTOS'!$A$3:$A$500,$C19,'DADOS BRUTOS'!FS$3:FS$500)))</f>
        <v/>
      </c>
      <c r="IT19" s="132">
        <f>IF(OR(IT$4="",$B19=""),0,SUMIF('DADOS BRUTOS'!$A$3:$A$500,$B19,'DADOS BRUTOS'!FT$3:FT$500)+IF($C19="",0,SUMIF('DADOS BRUTOS'!$A$3:$A$500,$C19,'DADOS BRUTOS'!FT$3:FT$500)))</f>
        <v/>
      </c>
      <c r="IU19" s="132">
        <f>IF(OR(IU$4="",$B19=""),0,SUMIF('DADOS BRUTOS'!$A$3:$A$500,$B19,'DADOS BRUTOS'!FU$3:FU$500)+IF($C19="",0,SUMIF('DADOS BRUTOS'!$A$3:$A$500,$C19,'DADOS BRUTOS'!FU$3:FU$500)))</f>
        <v/>
      </c>
      <c r="IV19" s="132">
        <f>IF(OR(IV$4="",$B19=""),0,SUMIF('DADOS BRUTOS'!$A$3:$A$500,$B19,'DADOS BRUTOS'!FV$3:FV$500)+IF($C19="",0,SUMIF('DADOS BRUTOS'!$A$3:$A$500,$C19,'DADOS BRUTOS'!FV$3:FV$500)))</f>
        <v/>
      </c>
      <c r="IW19" s="132">
        <f>IF(OR(IW$4="",$B19=""),0,SUMIF('DADOS BRUTOS'!$A$3:$A$500,$B19,'DADOS BRUTOS'!FW$3:FW$500)+IF($C19="",0,SUMIF('DADOS BRUTOS'!$A$3:$A$500,$C19,'DADOS BRUTOS'!FW$3:FW$500)))</f>
        <v/>
      </c>
      <c r="IX19" s="132">
        <f>IF(OR(IX$4="",$B19=""),0,SUMIF('DADOS BRUTOS'!$A$3:$A$500,$B19,'DADOS BRUTOS'!FX$3:FX$500)+IF($C19="",0,SUMIF('DADOS BRUTOS'!$A$3:$A$500,$C19,'DADOS BRUTOS'!FX$3:FX$500)))</f>
        <v/>
      </c>
      <c r="IY19" s="132">
        <f>IF(OR(IY$4="",$B19=""),0,SUMIF('DADOS BRUTOS'!$A$3:$A$500,$B19,'DADOS BRUTOS'!FY$3:FY$500)+IF($C19="",0,SUMIF('DADOS BRUTOS'!$A$3:$A$500,$C19,'DADOS BRUTOS'!FY$3:FY$500)))</f>
        <v/>
      </c>
      <c r="IZ19" s="132">
        <f>IF(OR(IZ$4="",$B19=""),0,SUMIF('DADOS BRUTOS'!$A$3:$A$500,$B19,'DADOS BRUTOS'!FZ$3:FZ$500)+IF($C19="",0,SUMIF('DADOS BRUTOS'!$A$3:$A$500,$C19,'DADOS BRUTOS'!FZ$3:FZ$500)))</f>
        <v/>
      </c>
      <c r="JA19" s="132">
        <f>IF(OR(JA$4="",$B19=""),0,SUMIF('DADOS BRUTOS'!$A$3:$A$500,$B19,'DADOS BRUTOS'!GA$3:GA$500)+IF($C19="",0,SUMIF('DADOS BRUTOS'!$A$3:$A$500,$C19,'DADOS BRUTOS'!GA$3:GA$500)))</f>
        <v/>
      </c>
      <c r="JB19" s="132">
        <f>IF(OR(JB$4="",$B19=""),0,SUMIF('DADOS BRUTOS'!$A$3:$A$500,$B19,'DADOS BRUTOS'!GB$3:GB$500)+IF($C19="",0,SUMIF('DADOS BRUTOS'!$A$3:$A$500,$C19,'DADOS BRUTOS'!GB$3:GB$500)))</f>
        <v/>
      </c>
      <c r="JC19" s="132">
        <f>IF(OR(JC$4="",$B19=""),0,SUMIF('DADOS BRUTOS'!$A$3:$A$500,$B19,'DADOS BRUTOS'!GC$3:GC$500)+IF($C19="",0,SUMIF('DADOS BRUTOS'!$A$3:$A$500,$C19,'DADOS BRUTOS'!GC$3:GC$500)))</f>
        <v/>
      </c>
      <c r="JD19" s="132">
        <f>IF(OR(JD$4="",$B19=""),0,SUMIF('DADOS BRUTOS'!$A$3:$A$500,$B19,'DADOS BRUTOS'!GD$3:GD$500)+IF($C19="",0,SUMIF('DADOS BRUTOS'!$A$3:$A$500,$C19,'DADOS BRUTOS'!GD$3:GD$500)))</f>
        <v/>
      </c>
      <c r="JE19" s="132">
        <f>IF(OR(JE$4="",$B19=""),0,SUMIF('DADOS BRUTOS'!$A$3:$A$500,$B19,'DADOS BRUTOS'!GE$3:GE$500)+IF($C19="",0,SUMIF('DADOS BRUTOS'!$A$3:$A$500,$C19,'DADOS BRUTOS'!GE$3:GE$500)))</f>
        <v/>
      </c>
      <c r="JF19" s="132">
        <f>IF(OR(JF$4="",$B19=""),0,SUMIF('DADOS BRUTOS'!$A$3:$A$500,$B19,'DADOS BRUTOS'!GF$3:GF$500)+IF($C19="",0,SUMIF('DADOS BRUTOS'!$A$3:$A$500,$C19,'DADOS BRUTOS'!GF$3:GF$500)))</f>
        <v/>
      </c>
      <c r="JG19" s="132">
        <f>IF(OR(JG$4="",$B19=""),0,SUMIF('DADOS BRUTOS'!$A$3:$A$500,$B19,'DADOS BRUTOS'!GG$3:GG$500)+IF($C19="",0,SUMIF('DADOS BRUTOS'!$A$3:$A$500,$C19,'DADOS BRUTOS'!GG$3:GG$500)))</f>
        <v/>
      </c>
      <c r="JH19" s="132">
        <f>IF(OR(JH$4="",$B19=""),0,SUMIF('DADOS BRUTOS'!$A$3:$A$500,$B19,'DADOS BRUTOS'!GH$3:GH$500)+IF($C19="",0,SUMIF('DADOS BRUTOS'!$A$3:$A$500,$C19,'DADOS BRUTOS'!GH$3:GH$500)))</f>
        <v/>
      </c>
      <c r="JI19" s="132">
        <f>IF(OR(JI$4="",$B19=""),0,SUMIF('DADOS BRUTOS'!$A$3:$A$500,$B19,'DADOS BRUTOS'!GI$3:GI$500)+IF($C19="",0,SUMIF('DADOS BRUTOS'!$A$3:$A$500,$C19,'DADOS BRUTOS'!GI$3:GI$500)))</f>
        <v/>
      </c>
      <c r="JJ19" s="132">
        <f>IF(OR(JJ$4="",$B19=""),0,SUMIF('DADOS BRUTOS'!$A$3:$A$500,$B19,'DADOS BRUTOS'!GJ$3:GJ$500)+IF($C19="",0,SUMIF('DADOS BRUTOS'!$A$3:$A$500,$C19,'DADOS BRUTOS'!GJ$3:GJ$500)))</f>
        <v/>
      </c>
      <c r="JK19" s="132">
        <f>IF(OR(JK$4="",$B19=""),0,SUMIF('DADOS BRUTOS'!$A$3:$A$500,$B19,'DADOS BRUTOS'!GK$3:GK$500)+IF($C19="",0,SUMIF('DADOS BRUTOS'!$A$3:$A$500,$C19,'DADOS BRUTOS'!GK$3:GK$500)))</f>
        <v/>
      </c>
      <c r="JL19" s="132">
        <f>IF(OR(JL$4="",$B19=""),0,SUMIF('DADOS BRUTOS'!$A$3:$A$500,$B19,'DADOS BRUTOS'!GL$3:GL$500)+IF($C19="",0,SUMIF('DADOS BRUTOS'!$A$3:$A$500,$C19,'DADOS BRUTOS'!GL$3:GL$500)))</f>
        <v/>
      </c>
      <c r="JM19" s="132">
        <f>IF(OR(JM$4="",$B19=""),0,SUMIF('DADOS BRUTOS'!$A$3:$A$500,$B19,'DADOS BRUTOS'!GM$3:GM$500)+IF($C19="",0,SUMIF('DADOS BRUTOS'!$A$3:$A$500,$C19,'DADOS BRUTOS'!GM$3:GM$500)))</f>
        <v/>
      </c>
      <c r="JN19" s="132">
        <f>IF(OR(JN$4="",$B19=""),0,SUMIF('DADOS BRUTOS'!$A$3:$A$500,$B19,'DADOS BRUTOS'!GN$3:GN$500)+IF($C19="",0,SUMIF('DADOS BRUTOS'!$A$3:$A$500,$C19,'DADOS BRUTOS'!GN$3:GN$500)))</f>
        <v/>
      </c>
      <c r="JO19" s="132">
        <f>IF(OR(JO$4="",$B19=""),0,SUMIF('DADOS BRUTOS'!$A$3:$A$500,$B19,'DADOS BRUTOS'!GO$3:GO$500)+IF($C19="",0,SUMIF('DADOS BRUTOS'!$A$3:$A$500,$C19,'DADOS BRUTOS'!GO$3:GO$500)))</f>
        <v/>
      </c>
      <c r="JP19" s="132">
        <f>IF(OR(JP$4="",$B19=""),0,SUMIF('DADOS BRUTOS'!$A$3:$A$500,$B19,'DADOS BRUTOS'!GP$3:GP$500)+IF($C19="",0,SUMIF('DADOS BRUTOS'!$A$3:$A$500,$C19,'DADOS BRUTOS'!GP$3:GP$500)))</f>
        <v/>
      </c>
      <c r="JQ19" s="132">
        <f>IF(OR(JQ$4="",$B19=""),0,SUMIF('DADOS BRUTOS'!$A$3:$A$500,$B19,'DADOS BRUTOS'!GQ$3:GQ$500)+IF($C19="",0,SUMIF('DADOS BRUTOS'!$A$3:$A$500,$C19,'DADOS BRUTOS'!GQ$3:GQ$500)))</f>
        <v/>
      </c>
      <c r="JR19" s="132">
        <f>IF(OR(JR$4="",$B19=""),0,SUMIF('DADOS BRUTOS'!$A$3:$A$500,$B19,'DADOS BRUTOS'!GR$3:GR$500)+IF($C19="",0,SUMIF('DADOS BRUTOS'!$A$3:$A$500,$C19,'DADOS BRUTOS'!GR$3:GR$500)))</f>
        <v/>
      </c>
      <c r="JS19" s="132">
        <f>IF(OR(JS$4="",$B19=""),0,SUMIF('DADOS BRUTOS'!$A$3:$A$500,$B19,'DADOS BRUTOS'!GS$3:GS$500)+IF($C19="",0,SUMIF('DADOS BRUTOS'!$A$3:$A$500,$C19,'DADOS BRUTOS'!GS$3:GS$500)))</f>
        <v/>
      </c>
    </row>
    <row r="20">
      <c r="A20" s="61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BZ20" s="49">
        <f>SUMPRODUCT(($CB$4:$JS$4&lt;&gt;"")*($CB$4:$JS$4&lt;=$D$4),$CB20:$JS20,$CB$1:$JS$1)</f>
        <v/>
      </c>
      <c r="CB20" s="132">
        <f>IF(OR(CB$4="",$B20=""),0,SUMIF('DADOS BRUTOS'!$A$3:$A$500,$B20,'DADOS BRUTOS'!B$3:B$500)+IF($C20="",0,SUMIF('DADOS BRUTOS'!$A$3:$A$500,$C20,'DADOS BRUTOS'!B$3:B$500)))</f>
        <v/>
      </c>
      <c r="CC20" s="132">
        <f>IF(OR(CC$4="",$B20=""),0,SUMIF('DADOS BRUTOS'!$A$3:$A$500,$B20,'DADOS BRUTOS'!C$3:C$500)+IF($C20="",0,SUMIF('DADOS BRUTOS'!$A$3:$A$500,$C20,'DADOS BRUTOS'!C$3:C$500)))</f>
        <v/>
      </c>
      <c r="CD20" s="132">
        <f>IF(OR(CD$4="",$B20=""),0,SUMIF('DADOS BRUTOS'!$A$3:$A$500,$B20,'DADOS BRUTOS'!D$3:D$500)+IF($C20="",0,SUMIF('DADOS BRUTOS'!$A$3:$A$500,$C20,'DADOS BRUTOS'!D$3:D$500)))</f>
        <v/>
      </c>
      <c r="CE20" s="132">
        <f>IF(OR(CE$4="",$B20=""),0,SUMIF('DADOS BRUTOS'!$A$3:$A$500,$B20,'DADOS BRUTOS'!E$3:E$500)+IF($C20="",0,SUMIF('DADOS BRUTOS'!$A$3:$A$500,$C20,'DADOS BRUTOS'!E$3:E$500)))</f>
        <v/>
      </c>
      <c r="CF20" s="132">
        <f>IF(OR(CF$4="",$B20=""),0,SUMIF('DADOS BRUTOS'!$A$3:$A$500,$B20,'DADOS BRUTOS'!F$3:F$500)+IF($C20="",0,SUMIF('DADOS BRUTOS'!$A$3:$A$500,$C20,'DADOS BRUTOS'!F$3:F$500)))</f>
        <v/>
      </c>
      <c r="CG20" s="132">
        <f>IF(OR(CG$4="",$B20=""),0,SUMIF('DADOS BRUTOS'!$A$3:$A$500,$B20,'DADOS BRUTOS'!G$3:G$500)+IF($C20="",0,SUMIF('DADOS BRUTOS'!$A$3:$A$500,$C20,'DADOS BRUTOS'!G$3:G$500)))</f>
        <v/>
      </c>
      <c r="CH20" s="132">
        <f>IF(OR(CH$4="",$B20=""),0,SUMIF('DADOS BRUTOS'!$A$3:$A$500,$B20,'DADOS BRUTOS'!H$3:H$500)+IF($C20="",0,SUMIF('DADOS BRUTOS'!$A$3:$A$500,$C20,'DADOS BRUTOS'!H$3:H$500)))</f>
        <v/>
      </c>
      <c r="CI20" s="132">
        <f>IF(OR(CI$4="",$B20=""),0,SUMIF('DADOS BRUTOS'!$A$3:$A$500,$B20,'DADOS BRUTOS'!I$3:I$500)+IF($C20="",0,SUMIF('DADOS BRUTOS'!$A$3:$A$500,$C20,'DADOS BRUTOS'!I$3:I$500)))</f>
        <v/>
      </c>
      <c r="CJ20" s="132">
        <f>IF(OR(CJ$4="",$B20=""),0,SUMIF('DADOS BRUTOS'!$A$3:$A$500,$B20,'DADOS BRUTOS'!J$3:J$500)+IF($C20="",0,SUMIF('DADOS BRUTOS'!$A$3:$A$500,$C20,'DADOS BRUTOS'!J$3:J$500)))</f>
        <v/>
      </c>
      <c r="CK20" s="132">
        <f>IF(OR(CK$4="",$B20=""),0,SUMIF('DADOS BRUTOS'!$A$3:$A$500,$B20,'DADOS BRUTOS'!K$3:K$500)+IF($C20="",0,SUMIF('DADOS BRUTOS'!$A$3:$A$500,$C20,'DADOS BRUTOS'!K$3:K$500)))</f>
        <v/>
      </c>
      <c r="CL20" s="132">
        <f>IF(OR(CL$4="",$B20=""),0,SUMIF('DADOS BRUTOS'!$A$3:$A$500,$B20,'DADOS BRUTOS'!L$3:L$500)+IF($C20="",0,SUMIF('DADOS BRUTOS'!$A$3:$A$500,$C20,'DADOS BRUTOS'!L$3:L$500)))</f>
        <v/>
      </c>
      <c r="CM20" s="132">
        <f>IF(OR(CM$4="",$B20=""),0,SUMIF('DADOS BRUTOS'!$A$3:$A$500,$B20,'DADOS BRUTOS'!M$3:M$500)+IF($C20="",0,SUMIF('DADOS BRUTOS'!$A$3:$A$500,$C20,'DADOS BRUTOS'!M$3:M$500)))</f>
        <v/>
      </c>
      <c r="CN20" s="132">
        <f>IF(OR(CN$4="",$B20=""),0,SUMIF('DADOS BRUTOS'!$A$3:$A$500,$B20,'DADOS BRUTOS'!N$3:N$500)+IF($C20="",0,SUMIF('DADOS BRUTOS'!$A$3:$A$500,$C20,'DADOS BRUTOS'!N$3:N$500)))</f>
        <v/>
      </c>
      <c r="CO20" s="132">
        <f>IF(OR(CO$4="",$B20=""),0,SUMIF('DADOS BRUTOS'!$A$3:$A$500,$B20,'DADOS BRUTOS'!O$3:O$500)+IF($C20="",0,SUMIF('DADOS BRUTOS'!$A$3:$A$500,$C20,'DADOS BRUTOS'!O$3:O$500)))</f>
        <v/>
      </c>
      <c r="CP20" s="132">
        <f>IF(OR(CP$4="",$B20=""),0,SUMIF('DADOS BRUTOS'!$A$3:$A$500,$B20,'DADOS BRUTOS'!P$3:P$500)+IF($C20="",0,SUMIF('DADOS BRUTOS'!$A$3:$A$500,$C20,'DADOS BRUTOS'!P$3:P$500)))</f>
        <v/>
      </c>
      <c r="CQ20" s="132">
        <f>IF(OR(CQ$4="",$B20=""),0,SUMIF('DADOS BRUTOS'!$A$3:$A$500,$B20,'DADOS BRUTOS'!Q$3:Q$500)+IF($C20="",0,SUMIF('DADOS BRUTOS'!$A$3:$A$500,$C20,'DADOS BRUTOS'!Q$3:Q$500)))</f>
        <v/>
      </c>
      <c r="CR20" s="132">
        <f>IF(OR(CR$4="",$B20=""),0,SUMIF('DADOS BRUTOS'!$A$3:$A$500,$B20,'DADOS BRUTOS'!R$3:R$500)+IF($C20="",0,SUMIF('DADOS BRUTOS'!$A$3:$A$500,$C20,'DADOS BRUTOS'!R$3:R$500)))</f>
        <v/>
      </c>
      <c r="CS20" s="132">
        <f>IF(OR(CS$4="",$B20=""),0,SUMIF('DADOS BRUTOS'!$A$3:$A$500,$B20,'DADOS BRUTOS'!S$3:S$500)+IF($C20="",0,SUMIF('DADOS BRUTOS'!$A$3:$A$500,$C20,'DADOS BRUTOS'!S$3:S$500)))</f>
        <v/>
      </c>
      <c r="CT20" s="132">
        <f>IF(OR(CT$4="",$B20=""),0,SUMIF('DADOS BRUTOS'!$A$3:$A$500,$B20,'DADOS BRUTOS'!T$3:T$500)+IF($C20="",0,SUMIF('DADOS BRUTOS'!$A$3:$A$500,$C20,'DADOS BRUTOS'!T$3:T$500)))</f>
        <v/>
      </c>
      <c r="CU20" s="132">
        <f>IF(OR(CU$4="",$B20=""),0,SUMIF('DADOS BRUTOS'!$A$3:$A$500,$B20,'DADOS BRUTOS'!U$3:U$500)+IF($C20="",0,SUMIF('DADOS BRUTOS'!$A$3:$A$500,$C20,'DADOS BRUTOS'!U$3:U$500)))</f>
        <v/>
      </c>
      <c r="CV20" s="132">
        <f>IF(OR(CV$4="",$B20=""),0,SUMIF('DADOS BRUTOS'!$A$3:$A$500,$B20,'DADOS BRUTOS'!V$3:V$500)+IF($C20="",0,SUMIF('DADOS BRUTOS'!$A$3:$A$500,$C20,'DADOS BRUTOS'!V$3:V$500)))</f>
        <v/>
      </c>
      <c r="CW20" s="132">
        <f>IF(OR(CW$4="",$B20=""),0,SUMIF('DADOS BRUTOS'!$A$3:$A$500,$B20,'DADOS BRUTOS'!W$3:W$500)+IF($C20="",0,SUMIF('DADOS BRUTOS'!$A$3:$A$500,$C20,'DADOS BRUTOS'!W$3:W$500)))</f>
        <v/>
      </c>
      <c r="CX20" s="132">
        <f>IF(OR(CX$4="",$B20=""),0,SUMIF('DADOS BRUTOS'!$A$3:$A$500,$B20,'DADOS BRUTOS'!X$3:X$500)+IF($C20="",0,SUMIF('DADOS BRUTOS'!$A$3:$A$500,$C20,'DADOS BRUTOS'!X$3:X$500)))</f>
        <v/>
      </c>
      <c r="CY20" s="132">
        <f>IF(OR(CY$4="",$B20=""),0,SUMIF('DADOS BRUTOS'!$A$3:$A$500,$B20,'DADOS BRUTOS'!Y$3:Y$500)+IF($C20="",0,SUMIF('DADOS BRUTOS'!$A$3:$A$500,$C20,'DADOS BRUTOS'!Y$3:Y$500)))</f>
        <v/>
      </c>
      <c r="CZ20" s="132">
        <f>IF(OR(CZ$4="",$B20=""),0,SUMIF('DADOS BRUTOS'!$A$3:$A$500,$B20,'DADOS BRUTOS'!Z$3:Z$500)+IF($C20="",0,SUMIF('DADOS BRUTOS'!$A$3:$A$500,$C20,'DADOS BRUTOS'!Z$3:Z$500)))</f>
        <v/>
      </c>
      <c r="DA20" s="132">
        <f>IF(OR(DA$4="",$B20=""),0,SUMIF('DADOS BRUTOS'!$A$3:$A$500,$B20,'DADOS BRUTOS'!AA$3:AA$500)+IF($C20="",0,SUMIF('DADOS BRUTOS'!$A$3:$A$500,$C20,'DADOS BRUTOS'!AA$3:AA$500)))</f>
        <v/>
      </c>
      <c r="DB20" s="132">
        <f>IF(OR(DB$4="",$B20=""),0,SUMIF('DADOS BRUTOS'!$A$3:$A$500,$B20,'DADOS BRUTOS'!AB$3:AB$500)+IF($C20="",0,SUMIF('DADOS BRUTOS'!$A$3:$A$500,$C20,'DADOS BRUTOS'!AB$3:AB$500)))</f>
        <v/>
      </c>
      <c r="DC20" s="132">
        <f>IF(OR(DC$4="",$B20=""),0,SUMIF('DADOS BRUTOS'!$A$3:$A$500,$B20,'DADOS BRUTOS'!AC$3:AC$500)+IF($C20="",0,SUMIF('DADOS BRUTOS'!$A$3:$A$500,$C20,'DADOS BRUTOS'!AC$3:AC$500)))</f>
        <v/>
      </c>
      <c r="DD20" s="132">
        <f>IF(OR(DD$4="",$B20=""),0,SUMIF('DADOS BRUTOS'!$A$3:$A$500,$B20,'DADOS BRUTOS'!AD$3:AD$500)+IF($C20="",0,SUMIF('DADOS BRUTOS'!$A$3:$A$500,$C20,'DADOS BRUTOS'!AD$3:AD$500)))</f>
        <v/>
      </c>
      <c r="DE20" s="132">
        <f>IF(OR(DE$4="",$B20=""),0,SUMIF('DADOS BRUTOS'!$A$3:$A$500,$B20,'DADOS BRUTOS'!AE$3:AE$500)+IF($C20="",0,SUMIF('DADOS BRUTOS'!$A$3:$A$500,$C20,'DADOS BRUTOS'!AE$3:AE$500)))</f>
        <v/>
      </c>
      <c r="DF20" s="132">
        <f>IF(OR(DF$4="",$B20=""),0,SUMIF('DADOS BRUTOS'!$A$3:$A$500,$B20,'DADOS BRUTOS'!AF$3:AF$500)+IF($C20="",0,SUMIF('DADOS BRUTOS'!$A$3:$A$500,$C20,'DADOS BRUTOS'!AF$3:AF$500)))</f>
        <v/>
      </c>
      <c r="DG20" s="132">
        <f>IF(OR(DG$4="",$B20=""),0,SUMIF('DADOS BRUTOS'!$A$3:$A$500,$B20,'DADOS BRUTOS'!AG$3:AG$500)+IF($C20="",0,SUMIF('DADOS BRUTOS'!$A$3:$A$500,$C20,'DADOS BRUTOS'!AG$3:AG$500)))</f>
        <v/>
      </c>
      <c r="DH20" s="132">
        <f>IF(OR(DH$4="",$B20=""),0,SUMIF('DADOS BRUTOS'!$A$3:$A$500,$B20,'DADOS BRUTOS'!AH$3:AH$500)+IF($C20="",0,SUMIF('DADOS BRUTOS'!$A$3:$A$500,$C20,'DADOS BRUTOS'!AH$3:AH$500)))</f>
        <v/>
      </c>
      <c r="DI20" s="132">
        <f>IF(OR(DI$4="",$B20=""),0,SUMIF('DADOS BRUTOS'!$A$3:$A$500,$B20,'DADOS BRUTOS'!AI$3:AI$500)+IF($C20="",0,SUMIF('DADOS BRUTOS'!$A$3:$A$500,$C20,'DADOS BRUTOS'!AI$3:AI$500)))</f>
        <v/>
      </c>
      <c r="DJ20" s="132">
        <f>IF(OR(DJ$4="",$B20=""),0,SUMIF('DADOS BRUTOS'!$A$3:$A$500,$B20,'DADOS BRUTOS'!AJ$3:AJ$500)+IF($C20="",0,SUMIF('DADOS BRUTOS'!$A$3:$A$500,$C20,'DADOS BRUTOS'!AJ$3:AJ$500)))</f>
        <v/>
      </c>
      <c r="DK20" s="132">
        <f>IF(OR(DK$4="",$B20=""),0,SUMIF('DADOS BRUTOS'!$A$3:$A$500,$B20,'DADOS BRUTOS'!AK$3:AK$500)+IF($C20="",0,SUMIF('DADOS BRUTOS'!$A$3:$A$500,$C20,'DADOS BRUTOS'!AK$3:AK$500)))</f>
        <v/>
      </c>
      <c r="DL20" s="132">
        <f>IF(OR(DL$4="",$B20=""),0,SUMIF('DADOS BRUTOS'!$A$3:$A$500,$B20,'DADOS BRUTOS'!AL$3:AL$500)+IF($C20="",0,SUMIF('DADOS BRUTOS'!$A$3:$A$500,$C20,'DADOS BRUTOS'!AL$3:AL$500)))</f>
        <v/>
      </c>
      <c r="DM20" s="132">
        <f>IF(OR(DM$4="",$B20=""),0,SUMIF('DADOS BRUTOS'!$A$3:$A$500,$B20,'DADOS BRUTOS'!AM$3:AM$500)+IF($C20="",0,SUMIF('DADOS BRUTOS'!$A$3:$A$500,$C20,'DADOS BRUTOS'!AM$3:AM$500)))</f>
        <v/>
      </c>
      <c r="DN20" s="132">
        <f>IF(OR(DN$4="",$B20=""),0,SUMIF('DADOS BRUTOS'!$A$3:$A$500,$B20,'DADOS BRUTOS'!AN$3:AN$500)+IF($C20="",0,SUMIF('DADOS BRUTOS'!$A$3:$A$500,$C20,'DADOS BRUTOS'!AN$3:AN$500)))</f>
        <v/>
      </c>
      <c r="DO20" s="132">
        <f>IF(OR(DO$4="",$B20=""),0,SUMIF('DADOS BRUTOS'!$A$3:$A$500,$B20,'DADOS BRUTOS'!AO$3:AO$500)+IF($C20="",0,SUMIF('DADOS BRUTOS'!$A$3:$A$500,$C20,'DADOS BRUTOS'!AO$3:AO$500)))</f>
        <v/>
      </c>
      <c r="DP20" s="132">
        <f>IF(OR(DP$4="",$B20=""),0,SUMIF('DADOS BRUTOS'!$A$3:$A$500,$B20,'DADOS BRUTOS'!AP$3:AP$500)+IF($C20="",0,SUMIF('DADOS BRUTOS'!$A$3:$A$500,$C20,'DADOS BRUTOS'!AP$3:AP$500)))</f>
        <v/>
      </c>
      <c r="DQ20" s="132">
        <f>IF(OR(DQ$4="",$B20=""),0,SUMIF('DADOS BRUTOS'!$A$3:$A$500,$B20,'DADOS BRUTOS'!AQ$3:AQ$500)+IF($C20="",0,SUMIF('DADOS BRUTOS'!$A$3:$A$500,$C20,'DADOS BRUTOS'!AQ$3:AQ$500)))</f>
        <v/>
      </c>
      <c r="DR20" s="132">
        <f>IF(OR(DR$4="",$B20=""),0,SUMIF('DADOS BRUTOS'!$A$3:$A$500,$B20,'DADOS BRUTOS'!AR$3:AR$500)+IF($C20="",0,SUMIF('DADOS BRUTOS'!$A$3:$A$500,$C20,'DADOS BRUTOS'!AR$3:AR$500)))</f>
        <v/>
      </c>
      <c r="DS20" s="132">
        <f>IF(OR(DS$4="",$B20=""),0,SUMIF('DADOS BRUTOS'!$A$3:$A$500,$B20,'DADOS BRUTOS'!AS$3:AS$500)+IF($C20="",0,SUMIF('DADOS BRUTOS'!$A$3:$A$500,$C20,'DADOS BRUTOS'!AS$3:AS$500)))</f>
        <v/>
      </c>
      <c r="DT20" s="132">
        <f>IF(OR(DT$4="",$B20=""),0,SUMIF('DADOS BRUTOS'!$A$3:$A$500,$B20,'DADOS BRUTOS'!AT$3:AT$500)+IF($C20="",0,SUMIF('DADOS BRUTOS'!$A$3:$A$500,$C20,'DADOS BRUTOS'!AT$3:AT$500)))</f>
        <v/>
      </c>
      <c r="DU20" s="132">
        <f>IF(OR(DU$4="",$B20=""),0,SUMIF('DADOS BRUTOS'!$A$3:$A$500,$B20,'DADOS BRUTOS'!AU$3:AU$500)+IF($C20="",0,SUMIF('DADOS BRUTOS'!$A$3:$A$500,$C20,'DADOS BRUTOS'!AU$3:AU$500)))</f>
        <v/>
      </c>
      <c r="DV20" s="132">
        <f>IF(OR(DV$4="",$B20=""),0,SUMIF('DADOS BRUTOS'!$A$3:$A$500,$B20,'DADOS BRUTOS'!AV$3:AV$500)+IF($C20="",0,SUMIF('DADOS BRUTOS'!$A$3:$A$500,$C20,'DADOS BRUTOS'!AV$3:AV$500)))</f>
        <v/>
      </c>
      <c r="DW20" s="132">
        <f>IF(OR(DW$4="",$B20=""),0,SUMIF('DADOS BRUTOS'!$A$3:$A$500,$B20,'DADOS BRUTOS'!AW$3:AW$500)+IF($C20="",0,SUMIF('DADOS BRUTOS'!$A$3:$A$500,$C20,'DADOS BRUTOS'!AW$3:AW$500)))</f>
        <v/>
      </c>
      <c r="DX20" s="132">
        <f>IF(OR(DX$4="",$B20=""),0,SUMIF('DADOS BRUTOS'!$A$3:$A$500,$B20,'DADOS BRUTOS'!AX$3:AX$500)+IF($C20="",0,SUMIF('DADOS BRUTOS'!$A$3:$A$500,$C20,'DADOS BRUTOS'!AX$3:AX$500)))</f>
        <v/>
      </c>
      <c r="DY20" s="132">
        <f>IF(OR(DY$4="",$B20=""),0,SUMIF('DADOS BRUTOS'!$A$3:$A$500,$B20,'DADOS BRUTOS'!AY$3:AY$500)+IF($C20="",0,SUMIF('DADOS BRUTOS'!$A$3:$A$500,$C20,'DADOS BRUTOS'!AY$3:AY$500)))</f>
        <v/>
      </c>
      <c r="DZ20" s="132">
        <f>IF(OR(DZ$4="",$B20=""),0,SUMIF('DADOS BRUTOS'!$A$3:$A$500,$B20,'DADOS BRUTOS'!AZ$3:AZ$500)+IF($C20="",0,SUMIF('DADOS BRUTOS'!$A$3:$A$500,$C20,'DADOS BRUTOS'!AZ$3:AZ$500)))</f>
        <v/>
      </c>
      <c r="EA20" s="132">
        <f>IF(OR(EA$4="",$B20=""),0,SUMIF('DADOS BRUTOS'!$A$3:$A$500,$B20,'DADOS BRUTOS'!BA$3:BA$500)+IF($C20="",0,SUMIF('DADOS BRUTOS'!$A$3:$A$500,$C20,'DADOS BRUTOS'!BA$3:BA$500)))</f>
        <v/>
      </c>
      <c r="EB20" s="132">
        <f>IF(OR(EB$4="",$B20=""),0,SUMIF('DADOS BRUTOS'!$A$3:$A$500,$B20,'DADOS BRUTOS'!BB$3:BB$500)+IF($C20="",0,SUMIF('DADOS BRUTOS'!$A$3:$A$500,$C20,'DADOS BRUTOS'!BB$3:BB$500)))</f>
        <v/>
      </c>
      <c r="EC20" s="132">
        <f>IF(OR(EC$4="",$B20=""),0,SUMIF('DADOS BRUTOS'!$A$3:$A$500,$B20,'DADOS BRUTOS'!BC$3:BC$500)+IF($C20="",0,SUMIF('DADOS BRUTOS'!$A$3:$A$500,$C20,'DADOS BRUTOS'!BC$3:BC$500)))</f>
        <v/>
      </c>
      <c r="ED20" s="132">
        <f>IF(OR(ED$4="",$B20=""),0,SUMIF('DADOS BRUTOS'!$A$3:$A$500,$B20,'DADOS BRUTOS'!BD$3:BD$500)+IF($C20="",0,SUMIF('DADOS BRUTOS'!$A$3:$A$500,$C20,'DADOS BRUTOS'!BD$3:BD$500)))</f>
        <v/>
      </c>
      <c r="EE20" s="132">
        <f>IF(OR(EE$4="",$B20=""),0,SUMIF('DADOS BRUTOS'!$A$3:$A$500,$B20,'DADOS BRUTOS'!BE$3:BE$500)+IF($C20="",0,SUMIF('DADOS BRUTOS'!$A$3:$A$500,$C20,'DADOS BRUTOS'!BE$3:BE$500)))</f>
        <v/>
      </c>
      <c r="EF20" s="132">
        <f>IF(OR(EF$4="",$B20=""),0,SUMIF('DADOS BRUTOS'!$A$3:$A$500,$B20,'DADOS BRUTOS'!BF$3:BF$500)+IF($C20="",0,SUMIF('DADOS BRUTOS'!$A$3:$A$500,$C20,'DADOS BRUTOS'!BF$3:BF$500)))</f>
        <v/>
      </c>
      <c r="EG20" s="132">
        <f>IF(OR(EG$4="",$B20=""),0,SUMIF('DADOS BRUTOS'!$A$3:$A$500,$B20,'DADOS BRUTOS'!BG$3:BG$500)+IF($C20="",0,SUMIF('DADOS BRUTOS'!$A$3:$A$500,$C20,'DADOS BRUTOS'!BG$3:BG$500)))</f>
        <v/>
      </c>
      <c r="EH20" s="132">
        <f>IF(OR(EH$4="",$B20=""),0,SUMIF('DADOS BRUTOS'!$A$3:$A$500,$B20,'DADOS BRUTOS'!BH$3:BH$500)+IF($C20="",0,SUMIF('DADOS BRUTOS'!$A$3:$A$500,$C20,'DADOS BRUTOS'!BH$3:BH$500)))</f>
        <v/>
      </c>
      <c r="EI20" s="132">
        <f>IF(OR(EI$4="",$B20=""),0,SUMIF('DADOS BRUTOS'!$A$3:$A$500,$B20,'DADOS BRUTOS'!BI$3:BI$500)+IF($C20="",0,SUMIF('DADOS BRUTOS'!$A$3:$A$500,$C20,'DADOS BRUTOS'!BI$3:BI$500)))</f>
        <v/>
      </c>
      <c r="EJ20" s="132">
        <f>IF(OR(EJ$4="",$B20=""),0,SUMIF('DADOS BRUTOS'!$A$3:$A$500,$B20,'DADOS BRUTOS'!BJ$3:BJ$500)+IF($C20="",0,SUMIF('DADOS BRUTOS'!$A$3:$A$500,$C20,'DADOS BRUTOS'!BJ$3:BJ$500)))</f>
        <v/>
      </c>
      <c r="EK20" s="132">
        <f>IF(OR(EK$4="",$B20=""),0,SUMIF('DADOS BRUTOS'!$A$3:$A$500,$B20,'DADOS BRUTOS'!BK$3:BK$500)+IF($C20="",0,SUMIF('DADOS BRUTOS'!$A$3:$A$500,$C20,'DADOS BRUTOS'!BK$3:BK$500)))</f>
        <v/>
      </c>
      <c r="EL20" s="132">
        <f>IF(OR(EL$4="",$B20=""),0,SUMIF('DADOS BRUTOS'!$A$3:$A$500,$B20,'DADOS BRUTOS'!BL$3:BL$500)+IF($C20="",0,SUMIF('DADOS BRUTOS'!$A$3:$A$500,$C20,'DADOS BRUTOS'!BL$3:BL$500)))</f>
        <v/>
      </c>
      <c r="EM20" s="132">
        <f>IF(OR(EM$4="",$B20=""),0,SUMIF('DADOS BRUTOS'!$A$3:$A$500,$B20,'DADOS BRUTOS'!BM$3:BM$500)+IF($C20="",0,SUMIF('DADOS BRUTOS'!$A$3:$A$500,$C20,'DADOS BRUTOS'!BM$3:BM$500)))</f>
        <v/>
      </c>
      <c r="EN20" s="132">
        <f>IF(OR(EN$4="",$B20=""),0,SUMIF('DADOS BRUTOS'!$A$3:$A$500,$B20,'DADOS BRUTOS'!BN$3:BN$500)+IF($C20="",0,SUMIF('DADOS BRUTOS'!$A$3:$A$500,$C20,'DADOS BRUTOS'!BN$3:BN$500)))</f>
        <v/>
      </c>
      <c r="EO20" s="132">
        <f>IF(OR(EO$4="",$B20=""),0,SUMIF('DADOS BRUTOS'!$A$3:$A$500,$B20,'DADOS BRUTOS'!BO$3:BO$500)+IF($C20="",0,SUMIF('DADOS BRUTOS'!$A$3:$A$500,$C20,'DADOS BRUTOS'!BO$3:BO$500)))</f>
        <v/>
      </c>
      <c r="EP20" s="132">
        <f>IF(OR(EP$4="",$B20=""),0,SUMIF('DADOS BRUTOS'!$A$3:$A$500,$B20,'DADOS BRUTOS'!BP$3:BP$500)+IF($C20="",0,SUMIF('DADOS BRUTOS'!$A$3:$A$500,$C20,'DADOS BRUTOS'!BP$3:BP$500)))</f>
        <v/>
      </c>
      <c r="EQ20" s="132">
        <f>IF(OR(EQ$4="",$B20=""),0,SUMIF('DADOS BRUTOS'!$A$3:$A$500,$B20,'DADOS BRUTOS'!BQ$3:BQ$500)+IF($C20="",0,SUMIF('DADOS BRUTOS'!$A$3:$A$500,$C20,'DADOS BRUTOS'!BQ$3:BQ$500)))</f>
        <v/>
      </c>
      <c r="ER20" s="132">
        <f>IF(OR(ER$4="",$B20=""),0,SUMIF('DADOS BRUTOS'!$A$3:$A$500,$B20,'DADOS BRUTOS'!BR$3:BR$500)+IF($C20="",0,SUMIF('DADOS BRUTOS'!$A$3:$A$500,$C20,'DADOS BRUTOS'!BR$3:BR$500)))</f>
        <v/>
      </c>
      <c r="ES20" s="132">
        <f>IF(OR(ES$4="",$B20=""),0,SUMIF('DADOS BRUTOS'!$A$3:$A$500,$B20,'DADOS BRUTOS'!BS$3:BS$500)+IF($C20="",0,SUMIF('DADOS BRUTOS'!$A$3:$A$500,$C20,'DADOS BRUTOS'!BS$3:BS$500)))</f>
        <v/>
      </c>
      <c r="ET20" s="132">
        <f>IF(OR(ET$4="",$B20=""),0,SUMIF('DADOS BRUTOS'!$A$3:$A$500,$B20,'DADOS BRUTOS'!BT$3:BT$500)+IF($C20="",0,SUMIF('DADOS BRUTOS'!$A$3:$A$500,$C20,'DADOS BRUTOS'!BT$3:BT$500)))</f>
        <v/>
      </c>
      <c r="EU20" s="132">
        <f>IF(OR(EU$4="",$B20=""),0,SUMIF('DADOS BRUTOS'!$A$3:$A$500,$B20,'DADOS BRUTOS'!BU$3:BU$500)+IF($C20="",0,SUMIF('DADOS BRUTOS'!$A$3:$A$500,$C20,'DADOS BRUTOS'!BU$3:BU$500)))</f>
        <v/>
      </c>
      <c r="EV20" s="132">
        <f>IF(OR(EV$4="",$B20=""),0,SUMIF('DADOS BRUTOS'!$A$3:$A$500,$B20,'DADOS BRUTOS'!BV$3:BV$500)+IF($C20="",0,SUMIF('DADOS BRUTOS'!$A$3:$A$500,$C20,'DADOS BRUTOS'!BV$3:BV$500)))</f>
        <v/>
      </c>
      <c r="EW20" s="132">
        <f>IF(OR(EW$4="",$B20=""),0,SUMIF('DADOS BRUTOS'!$A$3:$A$500,$B20,'DADOS BRUTOS'!BW$3:BW$500)+IF($C20="",0,SUMIF('DADOS BRUTOS'!$A$3:$A$500,$C20,'DADOS BRUTOS'!BW$3:BW$500)))</f>
        <v/>
      </c>
      <c r="EX20" s="132">
        <f>IF(OR(EX$4="",$B20=""),0,SUMIF('DADOS BRUTOS'!$A$3:$A$500,$B20,'DADOS BRUTOS'!BX$3:BX$500)+IF($C20="",0,SUMIF('DADOS BRUTOS'!$A$3:$A$500,$C20,'DADOS BRUTOS'!BX$3:BX$500)))</f>
        <v/>
      </c>
      <c r="EY20" s="132">
        <f>IF(OR(EY$4="",$B20=""),0,SUMIF('DADOS BRUTOS'!$A$3:$A$500,$B20,'DADOS BRUTOS'!BY$3:BY$500)+IF($C20="",0,SUMIF('DADOS BRUTOS'!$A$3:$A$500,$C20,'DADOS BRUTOS'!BY$3:BY$500)))</f>
        <v/>
      </c>
      <c r="EZ20" s="132">
        <f>IF(OR(EZ$4="",$B20=""),0,SUMIF('DADOS BRUTOS'!$A$3:$A$500,$B20,'DADOS BRUTOS'!BZ$3:BZ$500)+IF($C20="",0,SUMIF('DADOS BRUTOS'!$A$3:$A$500,$C20,'DADOS BRUTOS'!BZ$3:BZ$500)))</f>
        <v/>
      </c>
      <c r="FA20" s="132">
        <f>IF(OR(FA$4="",$B20=""),0,SUMIF('DADOS BRUTOS'!$A$3:$A$500,$B20,'DADOS BRUTOS'!CA$3:CA$500)+IF($C20="",0,SUMIF('DADOS BRUTOS'!$A$3:$A$500,$C20,'DADOS BRUTOS'!CA$3:CA$500)))</f>
        <v/>
      </c>
      <c r="FB20" s="132">
        <f>IF(OR(FB$4="",$B20=""),0,SUMIF('DADOS BRUTOS'!$A$3:$A$500,$B20,'DADOS BRUTOS'!CB$3:CB$500)+IF($C20="",0,SUMIF('DADOS BRUTOS'!$A$3:$A$500,$C20,'DADOS BRUTOS'!CB$3:CB$500)))</f>
        <v/>
      </c>
      <c r="FC20" s="132">
        <f>IF(OR(FC$4="",$B20=""),0,SUMIF('DADOS BRUTOS'!$A$3:$A$500,$B20,'DADOS BRUTOS'!CC$3:CC$500)+IF($C20="",0,SUMIF('DADOS BRUTOS'!$A$3:$A$500,$C20,'DADOS BRUTOS'!CC$3:CC$500)))</f>
        <v/>
      </c>
      <c r="FD20" s="132">
        <f>IF(OR(FD$4="",$B20=""),0,SUMIF('DADOS BRUTOS'!$A$3:$A$500,$B20,'DADOS BRUTOS'!CD$3:CD$500)+IF($C20="",0,SUMIF('DADOS BRUTOS'!$A$3:$A$500,$C20,'DADOS BRUTOS'!CD$3:CD$500)))</f>
        <v/>
      </c>
      <c r="FE20" s="132">
        <f>IF(OR(FE$4="",$B20=""),0,SUMIF('DADOS BRUTOS'!$A$3:$A$500,$B20,'DADOS BRUTOS'!CE$3:CE$500)+IF($C20="",0,SUMIF('DADOS BRUTOS'!$A$3:$A$500,$C20,'DADOS BRUTOS'!CE$3:CE$500)))</f>
        <v/>
      </c>
      <c r="FF20" s="132">
        <f>IF(OR(FF$4="",$B20=""),0,SUMIF('DADOS BRUTOS'!$A$3:$A$500,$B20,'DADOS BRUTOS'!CF$3:CF$500)+IF($C20="",0,SUMIF('DADOS BRUTOS'!$A$3:$A$500,$C20,'DADOS BRUTOS'!CF$3:CF$500)))</f>
        <v/>
      </c>
      <c r="FG20" s="132">
        <f>IF(OR(FG$4="",$B20=""),0,SUMIF('DADOS BRUTOS'!$A$3:$A$500,$B20,'DADOS BRUTOS'!CG$3:CG$500)+IF($C20="",0,SUMIF('DADOS BRUTOS'!$A$3:$A$500,$C20,'DADOS BRUTOS'!CG$3:CG$500)))</f>
        <v/>
      </c>
      <c r="FH20" s="132">
        <f>IF(OR(FH$4="",$B20=""),0,SUMIF('DADOS BRUTOS'!$A$3:$A$500,$B20,'DADOS BRUTOS'!CH$3:CH$500)+IF($C20="",0,SUMIF('DADOS BRUTOS'!$A$3:$A$500,$C20,'DADOS BRUTOS'!CH$3:CH$500)))</f>
        <v/>
      </c>
      <c r="FI20" s="132">
        <f>IF(OR(FI$4="",$B20=""),0,SUMIF('DADOS BRUTOS'!$A$3:$A$500,$B20,'DADOS BRUTOS'!CI$3:CI$500)+IF($C20="",0,SUMIF('DADOS BRUTOS'!$A$3:$A$500,$C20,'DADOS BRUTOS'!CI$3:CI$500)))</f>
        <v/>
      </c>
      <c r="FJ20" s="132">
        <f>IF(OR(FJ$4="",$B20=""),0,SUMIF('DADOS BRUTOS'!$A$3:$A$500,$B20,'DADOS BRUTOS'!CJ$3:CJ$500)+IF($C20="",0,SUMIF('DADOS BRUTOS'!$A$3:$A$500,$C20,'DADOS BRUTOS'!CJ$3:CJ$500)))</f>
        <v/>
      </c>
      <c r="FK20" s="132">
        <f>IF(OR(FK$4="",$B20=""),0,SUMIF('DADOS BRUTOS'!$A$3:$A$500,$B20,'DADOS BRUTOS'!CK$3:CK$500)+IF($C20="",0,SUMIF('DADOS BRUTOS'!$A$3:$A$500,$C20,'DADOS BRUTOS'!CK$3:CK$500)))</f>
        <v/>
      </c>
      <c r="FL20" s="132">
        <f>IF(OR(FL$4="",$B20=""),0,SUMIF('DADOS BRUTOS'!$A$3:$A$500,$B20,'DADOS BRUTOS'!CL$3:CL$500)+IF($C20="",0,SUMIF('DADOS BRUTOS'!$A$3:$A$500,$C20,'DADOS BRUTOS'!CL$3:CL$500)))</f>
        <v/>
      </c>
      <c r="FM20" s="132">
        <f>IF(OR(FM$4="",$B20=""),0,SUMIF('DADOS BRUTOS'!$A$3:$A$500,$B20,'DADOS BRUTOS'!CM$3:CM$500)+IF($C20="",0,SUMIF('DADOS BRUTOS'!$A$3:$A$500,$C20,'DADOS BRUTOS'!CM$3:CM$500)))</f>
        <v/>
      </c>
      <c r="FN20" s="132">
        <f>IF(OR(FN$4="",$B20=""),0,SUMIF('DADOS BRUTOS'!$A$3:$A$500,$B20,'DADOS BRUTOS'!CN$3:CN$500)+IF($C20="",0,SUMIF('DADOS BRUTOS'!$A$3:$A$500,$C20,'DADOS BRUTOS'!CN$3:CN$500)))</f>
        <v/>
      </c>
      <c r="FO20" s="132">
        <f>IF(OR(FO$4="",$B20=""),0,SUMIF('DADOS BRUTOS'!$A$3:$A$500,$B20,'DADOS BRUTOS'!CO$3:CO$500)+IF($C20="",0,SUMIF('DADOS BRUTOS'!$A$3:$A$500,$C20,'DADOS BRUTOS'!CO$3:CO$500)))</f>
        <v/>
      </c>
      <c r="FP20" s="132">
        <f>IF(OR(FP$4="",$B20=""),0,SUMIF('DADOS BRUTOS'!$A$3:$A$500,$B20,'DADOS BRUTOS'!CP$3:CP$500)+IF($C20="",0,SUMIF('DADOS BRUTOS'!$A$3:$A$500,$C20,'DADOS BRUTOS'!CP$3:CP$500)))</f>
        <v/>
      </c>
      <c r="FQ20" s="132">
        <f>IF(OR(FQ$4="",$B20=""),0,SUMIF('DADOS BRUTOS'!$A$3:$A$500,$B20,'DADOS BRUTOS'!CQ$3:CQ$500)+IF($C20="",0,SUMIF('DADOS BRUTOS'!$A$3:$A$500,$C20,'DADOS BRUTOS'!CQ$3:CQ$500)))</f>
        <v/>
      </c>
      <c r="FR20" s="132">
        <f>IF(OR(FR$4="",$B20=""),0,SUMIF('DADOS BRUTOS'!$A$3:$A$500,$B20,'DADOS BRUTOS'!CR$3:CR$500)+IF($C20="",0,SUMIF('DADOS BRUTOS'!$A$3:$A$500,$C20,'DADOS BRUTOS'!CR$3:CR$500)))</f>
        <v/>
      </c>
      <c r="FS20" s="132">
        <f>IF(OR(FS$4="",$B20=""),0,SUMIF('DADOS BRUTOS'!$A$3:$A$500,$B20,'DADOS BRUTOS'!CS$3:CS$500)+IF($C20="",0,SUMIF('DADOS BRUTOS'!$A$3:$A$500,$C20,'DADOS BRUTOS'!CS$3:CS$500)))</f>
        <v/>
      </c>
      <c r="FT20" s="132">
        <f>IF(OR(FT$4="",$B20=""),0,SUMIF('DADOS BRUTOS'!$A$3:$A$500,$B20,'DADOS BRUTOS'!CT$3:CT$500)+IF($C20="",0,SUMIF('DADOS BRUTOS'!$A$3:$A$500,$C20,'DADOS BRUTOS'!CT$3:CT$500)))</f>
        <v/>
      </c>
      <c r="FU20" s="132">
        <f>IF(OR(FU$4="",$B20=""),0,SUMIF('DADOS BRUTOS'!$A$3:$A$500,$B20,'DADOS BRUTOS'!CU$3:CU$500)+IF($C20="",0,SUMIF('DADOS BRUTOS'!$A$3:$A$500,$C20,'DADOS BRUTOS'!CU$3:CU$500)))</f>
        <v/>
      </c>
      <c r="FV20" s="132">
        <f>IF(OR(FV$4="",$B20=""),0,SUMIF('DADOS BRUTOS'!$A$3:$A$500,$B20,'DADOS BRUTOS'!CV$3:CV$500)+IF($C20="",0,SUMIF('DADOS BRUTOS'!$A$3:$A$500,$C20,'DADOS BRUTOS'!CV$3:CV$500)))</f>
        <v/>
      </c>
      <c r="FW20" s="132">
        <f>IF(OR(FW$4="",$B20=""),0,SUMIF('DADOS BRUTOS'!$A$3:$A$500,$B20,'DADOS BRUTOS'!CW$3:CW$500)+IF($C20="",0,SUMIF('DADOS BRUTOS'!$A$3:$A$500,$C20,'DADOS BRUTOS'!CW$3:CW$500)))</f>
        <v/>
      </c>
      <c r="FX20" s="132">
        <f>IF(OR(FX$4="",$B20=""),0,SUMIF('DADOS BRUTOS'!$A$3:$A$500,$B20,'DADOS BRUTOS'!CX$3:CX$500)+IF($C20="",0,SUMIF('DADOS BRUTOS'!$A$3:$A$500,$C20,'DADOS BRUTOS'!CX$3:CX$500)))</f>
        <v/>
      </c>
      <c r="FY20" s="132">
        <f>IF(OR(FY$4="",$B20=""),0,SUMIF('DADOS BRUTOS'!$A$3:$A$500,$B20,'DADOS BRUTOS'!CY$3:CY$500)+IF($C20="",0,SUMIF('DADOS BRUTOS'!$A$3:$A$500,$C20,'DADOS BRUTOS'!CY$3:CY$500)))</f>
        <v/>
      </c>
      <c r="FZ20" s="132">
        <f>IF(OR(FZ$4="",$B20=""),0,SUMIF('DADOS BRUTOS'!$A$3:$A$500,$B20,'DADOS BRUTOS'!CZ$3:CZ$500)+IF($C20="",0,SUMIF('DADOS BRUTOS'!$A$3:$A$500,$C20,'DADOS BRUTOS'!CZ$3:CZ$500)))</f>
        <v/>
      </c>
      <c r="GA20" s="132">
        <f>IF(OR(GA$4="",$B20=""),0,SUMIF('DADOS BRUTOS'!$A$3:$A$500,$B20,'DADOS BRUTOS'!DA$3:DA$500)+IF($C20="",0,SUMIF('DADOS BRUTOS'!$A$3:$A$500,$C20,'DADOS BRUTOS'!DA$3:DA$500)))</f>
        <v/>
      </c>
      <c r="GB20" s="132">
        <f>IF(OR(GB$4="",$B20=""),0,SUMIF('DADOS BRUTOS'!$A$3:$A$500,$B20,'DADOS BRUTOS'!DB$3:DB$500)+IF($C20="",0,SUMIF('DADOS BRUTOS'!$A$3:$A$500,$C20,'DADOS BRUTOS'!DB$3:DB$500)))</f>
        <v/>
      </c>
      <c r="GC20" s="132">
        <f>IF(OR(GC$4="",$B20=""),0,SUMIF('DADOS BRUTOS'!$A$3:$A$500,$B20,'DADOS BRUTOS'!DC$3:DC$500)+IF($C20="",0,SUMIF('DADOS BRUTOS'!$A$3:$A$500,$C20,'DADOS BRUTOS'!DC$3:DC$500)))</f>
        <v/>
      </c>
      <c r="GD20" s="132">
        <f>IF(OR(GD$4="",$B20=""),0,SUMIF('DADOS BRUTOS'!$A$3:$A$500,$B20,'DADOS BRUTOS'!DD$3:DD$500)+IF($C20="",0,SUMIF('DADOS BRUTOS'!$A$3:$A$500,$C20,'DADOS BRUTOS'!DD$3:DD$500)))</f>
        <v/>
      </c>
      <c r="GE20" s="132">
        <f>IF(OR(GE$4="",$B20=""),0,SUMIF('DADOS BRUTOS'!$A$3:$A$500,$B20,'DADOS BRUTOS'!DE$3:DE$500)+IF($C20="",0,SUMIF('DADOS BRUTOS'!$A$3:$A$500,$C20,'DADOS BRUTOS'!DE$3:DE$500)))</f>
        <v/>
      </c>
      <c r="GF20" s="132">
        <f>IF(OR(GF$4="",$B20=""),0,SUMIF('DADOS BRUTOS'!$A$3:$A$500,$B20,'DADOS BRUTOS'!DF$3:DF$500)+IF($C20="",0,SUMIF('DADOS BRUTOS'!$A$3:$A$500,$C20,'DADOS BRUTOS'!DF$3:DF$500)))</f>
        <v/>
      </c>
      <c r="GG20" s="132">
        <f>IF(OR(GG$4="",$B20=""),0,SUMIF('DADOS BRUTOS'!$A$3:$A$500,$B20,'DADOS BRUTOS'!DG$3:DG$500)+IF($C20="",0,SUMIF('DADOS BRUTOS'!$A$3:$A$500,$C20,'DADOS BRUTOS'!DG$3:DG$500)))</f>
        <v/>
      </c>
      <c r="GH20" s="132">
        <f>IF(OR(GH$4="",$B20=""),0,SUMIF('DADOS BRUTOS'!$A$3:$A$500,$B20,'DADOS BRUTOS'!DH$3:DH$500)+IF($C20="",0,SUMIF('DADOS BRUTOS'!$A$3:$A$500,$C20,'DADOS BRUTOS'!DH$3:DH$500)))</f>
        <v/>
      </c>
      <c r="GI20" s="132">
        <f>IF(OR(GI$4="",$B20=""),0,SUMIF('DADOS BRUTOS'!$A$3:$A$500,$B20,'DADOS BRUTOS'!DI$3:DI$500)+IF($C20="",0,SUMIF('DADOS BRUTOS'!$A$3:$A$500,$C20,'DADOS BRUTOS'!DI$3:DI$500)))</f>
        <v/>
      </c>
      <c r="GJ20" s="132">
        <f>IF(OR(GJ$4="",$B20=""),0,SUMIF('DADOS BRUTOS'!$A$3:$A$500,$B20,'DADOS BRUTOS'!DJ$3:DJ$500)+IF($C20="",0,SUMIF('DADOS BRUTOS'!$A$3:$A$500,$C20,'DADOS BRUTOS'!DJ$3:DJ$500)))</f>
        <v/>
      </c>
      <c r="GK20" s="132">
        <f>IF(OR(GK$4="",$B20=""),0,SUMIF('DADOS BRUTOS'!$A$3:$A$500,$B20,'DADOS BRUTOS'!DK$3:DK$500)+IF($C20="",0,SUMIF('DADOS BRUTOS'!$A$3:$A$500,$C20,'DADOS BRUTOS'!DK$3:DK$500)))</f>
        <v/>
      </c>
      <c r="GL20" s="132">
        <f>IF(OR(GL$4="",$B20=""),0,SUMIF('DADOS BRUTOS'!$A$3:$A$500,$B20,'DADOS BRUTOS'!DL$3:DL$500)+IF($C20="",0,SUMIF('DADOS BRUTOS'!$A$3:$A$500,$C20,'DADOS BRUTOS'!DL$3:DL$500)))</f>
        <v/>
      </c>
      <c r="GM20" s="132">
        <f>IF(OR(GM$4="",$B20=""),0,SUMIF('DADOS BRUTOS'!$A$3:$A$500,$B20,'DADOS BRUTOS'!DM$3:DM$500)+IF($C20="",0,SUMIF('DADOS BRUTOS'!$A$3:$A$500,$C20,'DADOS BRUTOS'!DM$3:DM$500)))</f>
        <v/>
      </c>
      <c r="GN20" s="132">
        <f>IF(OR(GN$4="",$B20=""),0,SUMIF('DADOS BRUTOS'!$A$3:$A$500,$B20,'DADOS BRUTOS'!DN$3:DN$500)+IF($C20="",0,SUMIF('DADOS BRUTOS'!$A$3:$A$500,$C20,'DADOS BRUTOS'!DN$3:DN$500)))</f>
        <v/>
      </c>
      <c r="GO20" s="132">
        <f>IF(OR(GO$4="",$B20=""),0,SUMIF('DADOS BRUTOS'!$A$3:$A$500,$B20,'DADOS BRUTOS'!DO$3:DO$500)+IF($C20="",0,SUMIF('DADOS BRUTOS'!$A$3:$A$500,$C20,'DADOS BRUTOS'!DO$3:DO$500)))</f>
        <v/>
      </c>
      <c r="GP20" s="132">
        <f>IF(OR(GP$4="",$B20=""),0,SUMIF('DADOS BRUTOS'!$A$3:$A$500,$B20,'DADOS BRUTOS'!DP$3:DP$500)+IF($C20="",0,SUMIF('DADOS BRUTOS'!$A$3:$A$500,$C20,'DADOS BRUTOS'!DP$3:DP$500)))</f>
        <v/>
      </c>
      <c r="GQ20" s="132">
        <f>IF(OR(GQ$4="",$B20=""),0,SUMIF('DADOS BRUTOS'!$A$3:$A$500,$B20,'DADOS BRUTOS'!DQ$3:DQ$500)+IF($C20="",0,SUMIF('DADOS BRUTOS'!$A$3:$A$500,$C20,'DADOS BRUTOS'!DQ$3:DQ$500)))</f>
        <v/>
      </c>
      <c r="GR20" s="132">
        <f>IF(OR(GR$4="",$B20=""),0,SUMIF('DADOS BRUTOS'!$A$3:$A$500,$B20,'DADOS BRUTOS'!DR$3:DR$500)+IF($C20="",0,SUMIF('DADOS BRUTOS'!$A$3:$A$500,$C20,'DADOS BRUTOS'!DR$3:DR$500)))</f>
        <v/>
      </c>
      <c r="GS20" s="132">
        <f>IF(OR(GS$4="",$B20=""),0,SUMIF('DADOS BRUTOS'!$A$3:$A$500,$B20,'DADOS BRUTOS'!DS$3:DS$500)+IF($C20="",0,SUMIF('DADOS BRUTOS'!$A$3:$A$500,$C20,'DADOS BRUTOS'!DS$3:DS$500)))</f>
        <v/>
      </c>
      <c r="GT20" s="132">
        <f>IF(OR(GT$4="",$B20=""),0,SUMIF('DADOS BRUTOS'!$A$3:$A$500,$B20,'DADOS BRUTOS'!DT$3:DT$500)+IF($C20="",0,SUMIF('DADOS BRUTOS'!$A$3:$A$500,$C20,'DADOS BRUTOS'!DT$3:DT$500)))</f>
        <v/>
      </c>
      <c r="GU20" s="132">
        <f>IF(OR(GU$4="",$B20=""),0,SUMIF('DADOS BRUTOS'!$A$3:$A$500,$B20,'DADOS BRUTOS'!DU$3:DU$500)+IF($C20="",0,SUMIF('DADOS BRUTOS'!$A$3:$A$500,$C20,'DADOS BRUTOS'!DU$3:DU$500)))</f>
        <v/>
      </c>
      <c r="GV20" s="132">
        <f>IF(OR(GV$4="",$B20=""),0,SUMIF('DADOS BRUTOS'!$A$3:$A$500,$B20,'DADOS BRUTOS'!DV$3:DV$500)+IF($C20="",0,SUMIF('DADOS BRUTOS'!$A$3:$A$500,$C20,'DADOS BRUTOS'!DV$3:DV$500)))</f>
        <v/>
      </c>
      <c r="GW20" s="132">
        <f>IF(OR(GW$4="",$B20=""),0,SUMIF('DADOS BRUTOS'!$A$3:$A$500,$B20,'DADOS BRUTOS'!DW$3:DW$500)+IF($C20="",0,SUMIF('DADOS BRUTOS'!$A$3:$A$500,$C20,'DADOS BRUTOS'!DW$3:DW$500)))</f>
        <v/>
      </c>
      <c r="GX20" s="132">
        <f>IF(OR(GX$4="",$B20=""),0,SUMIF('DADOS BRUTOS'!$A$3:$A$500,$B20,'DADOS BRUTOS'!DX$3:DX$500)+IF($C20="",0,SUMIF('DADOS BRUTOS'!$A$3:$A$500,$C20,'DADOS BRUTOS'!DX$3:DX$500)))</f>
        <v/>
      </c>
      <c r="GY20" s="132">
        <f>IF(OR(GY$4="",$B20=""),0,SUMIF('DADOS BRUTOS'!$A$3:$A$500,$B20,'DADOS BRUTOS'!DY$3:DY$500)+IF($C20="",0,SUMIF('DADOS BRUTOS'!$A$3:$A$500,$C20,'DADOS BRUTOS'!DY$3:DY$500)))</f>
        <v/>
      </c>
      <c r="GZ20" s="132">
        <f>IF(OR(GZ$4="",$B20=""),0,SUMIF('DADOS BRUTOS'!$A$3:$A$500,$B20,'DADOS BRUTOS'!DZ$3:DZ$500)+IF($C20="",0,SUMIF('DADOS BRUTOS'!$A$3:$A$500,$C20,'DADOS BRUTOS'!DZ$3:DZ$500)))</f>
        <v/>
      </c>
      <c r="HA20" s="132">
        <f>IF(OR(HA$4="",$B20=""),0,SUMIF('DADOS BRUTOS'!$A$3:$A$500,$B20,'DADOS BRUTOS'!EA$3:EA$500)+IF($C20="",0,SUMIF('DADOS BRUTOS'!$A$3:$A$500,$C20,'DADOS BRUTOS'!EA$3:EA$500)))</f>
        <v/>
      </c>
      <c r="HB20" s="132">
        <f>IF(OR(HB$4="",$B20=""),0,SUMIF('DADOS BRUTOS'!$A$3:$A$500,$B20,'DADOS BRUTOS'!EB$3:EB$500)+IF($C20="",0,SUMIF('DADOS BRUTOS'!$A$3:$A$500,$C20,'DADOS BRUTOS'!EB$3:EB$500)))</f>
        <v/>
      </c>
      <c r="HC20" s="132">
        <f>IF(OR(HC$4="",$B20=""),0,SUMIF('DADOS BRUTOS'!$A$3:$A$500,$B20,'DADOS BRUTOS'!EC$3:EC$500)+IF($C20="",0,SUMIF('DADOS BRUTOS'!$A$3:$A$500,$C20,'DADOS BRUTOS'!EC$3:EC$500)))</f>
        <v/>
      </c>
      <c r="HD20" s="132">
        <f>IF(OR(HD$4="",$B20=""),0,SUMIF('DADOS BRUTOS'!$A$3:$A$500,$B20,'DADOS BRUTOS'!ED$3:ED$500)+IF($C20="",0,SUMIF('DADOS BRUTOS'!$A$3:$A$500,$C20,'DADOS BRUTOS'!ED$3:ED$500)))</f>
        <v/>
      </c>
      <c r="HE20" s="132">
        <f>IF(OR(HE$4="",$B20=""),0,SUMIF('DADOS BRUTOS'!$A$3:$A$500,$B20,'DADOS BRUTOS'!EE$3:EE$500)+IF($C20="",0,SUMIF('DADOS BRUTOS'!$A$3:$A$500,$C20,'DADOS BRUTOS'!EE$3:EE$500)))</f>
        <v/>
      </c>
      <c r="HF20" s="132">
        <f>IF(OR(HF$4="",$B20=""),0,SUMIF('DADOS BRUTOS'!$A$3:$A$500,$B20,'DADOS BRUTOS'!EF$3:EF$500)+IF($C20="",0,SUMIF('DADOS BRUTOS'!$A$3:$A$500,$C20,'DADOS BRUTOS'!EF$3:EF$500)))</f>
        <v/>
      </c>
      <c r="HG20" s="132">
        <f>IF(OR(HG$4="",$B20=""),0,SUMIF('DADOS BRUTOS'!$A$3:$A$500,$B20,'DADOS BRUTOS'!EG$3:EG$500)+IF($C20="",0,SUMIF('DADOS BRUTOS'!$A$3:$A$500,$C20,'DADOS BRUTOS'!EG$3:EG$500)))</f>
        <v/>
      </c>
      <c r="HH20" s="132">
        <f>IF(OR(HH$4="",$B20=""),0,SUMIF('DADOS BRUTOS'!$A$3:$A$500,$B20,'DADOS BRUTOS'!EH$3:EH$500)+IF($C20="",0,SUMIF('DADOS BRUTOS'!$A$3:$A$500,$C20,'DADOS BRUTOS'!EH$3:EH$500)))</f>
        <v/>
      </c>
      <c r="HI20" s="132">
        <f>IF(OR(HI$4="",$B20=""),0,SUMIF('DADOS BRUTOS'!$A$3:$A$500,$B20,'DADOS BRUTOS'!EI$3:EI$500)+IF($C20="",0,SUMIF('DADOS BRUTOS'!$A$3:$A$500,$C20,'DADOS BRUTOS'!EI$3:EI$500)))</f>
        <v/>
      </c>
      <c r="HJ20" s="132">
        <f>IF(OR(HJ$4="",$B20=""),0,SUMIF('DADOS BRUTOS'!$A$3:$A$500,$B20,'DADOS BRUTOS'!EJ$3:EJ$500)+IF($C20="",0,SUMIF('DADOS BRUTOS'!$A$3:$A$500,$C20,'DADOS BRUTOS'!EJ$3:EJ$500)))</f>
        <v/>
      </c>
      <c r="HK20" s="132">
        <f>IF(OR(HK$4="",$B20=""),0,SUMIF('DADOS BRUTOS'!$A$3:$A$500,$B20,'DADOS BRUTOS'!EK$3:EK$500)+IF($C20="",0,SUMIF('DADOS BRUTOS'!$A$3:$A$500,$C20,'DADOS BRUTOS'!EK$3:EK$500)))</f>
        <v/>
      </c>
      <c r="HL20" s="132">
        <f>IF(OR(HL$4="",$B20=""),0,SUMIF('DADOS BRUTOS'!$A$3:$A$500,$B20,'DADOS BRUTOS'!EL$3:EL$500)+IF($C20="",0,SUMIF('DADOS BRUTOS'!$A$3:$A$500,$C20,'DADOS BRUTOS'!EL$3:EL$500)))</f>
        <v/>
      </c>
      <c r="HM20" s="132">
        <f>IF(OR(HM$4="",$B20=""),0,SUMIF('DADOS BRUTOS'!$A$3:$A$500,$B20,'DADOS BRUTOS'!EM$3:EM$500)+IF($C20="",0,SUMIF('DADOS BRUTOS'!$A$3:$A$500,$C20,'DADOS BRUTOS'!EM$3:EM$500)))</f>
        <v/>
      </c>
      <c r="HN20" s="132">
        <f>IF(OR(HN$4="",$B20=""),0,SUMIF('DADOS BRUTOS'!$A$3:$A$500,$B20,'DADOS BRUTOS'!EN$3:EN$500)+IF($C20="",0,SUMIF('DADOS BRUTOS'!$A$3:$A$500,$C20,'DADOS BRUTOS'!EN$3:EN$500)))</f>
        <v/>
      </c>
      <c r="HO20" s="132">
        <f>IF(OR(HO$4="",$B20=""),0,SUMIF('DADOS BRUTOS'!$A$3:$A$500,$B20,'DADOS BRUTOS'!EO$3:EO$500)+IF($C20="",0,SUMIF('DADOS BRUTOS'!$A$3:$A$500,$C20,'DADOS BRUTOS'!EO$3:EO$500)))</f>
        <v/>
      </c>
      <c r="HP20" s="132">
        <f>IF(OR(HP$4="",$B20=""),0,SUMIF('DADOS BRUTOS'!$A$3:$A$500,$B20,'DADOS BRUTOS'!EP$3:EP$500)+IF($C20="",0,SUMIF('DADOS BRUTOS'!$A$3:$A$500,$C20,'DADOS BRUTOS'!EP$3:EP$500)))</f>
        <v/>
      </c>
      <c r="HQ20" s="132">
        <f>IF(OR(HQ$4="",$B20=""),0,SUMIF('DADOS BRUTOS'!$A$3:$A$500,$B20,'DADOS BRUTOS'!EQ$3:EQ$500)+IF($C20="",0,SUMIF('DADOS BRUTOS'!$A$3:$A$500,$C20,'DADOS BRUTOS'!EQ$3:EQ$500)))</f>
        <v/>
      </c>
      <c r="HR20" s="132">
        <f>IF(OR(HR$4="",$B20=""),0,SUMIF('DADOS BRUTOS'!$A$3:$A$500,$B20,'DADOS BRUTOS'!ER$3:ER$500)+IF($C20="",0,SUMIF('DADOS BRUTOS'!$A$3:$A$500,$C20,'DADOS BRUTOS'!ER$3:ER$500)))</f>
        <v/>
      </c>
      <c r="HS20" s="132">
        <f>IF(OR(HS$4="",$B20=""),0,SUMIF('DADOS BRUTOS'!$A$3:$A$500,$B20,'DADOS BRUTOS'!ES$3:ES$500)+IF($C20="",0,SUMIF('DADOS BRUTOS'!$A$3:$A$500,$C20,'DADOS BRUTOS'!ES$3:ES$500)))</f>
        <v/>
      </c>
      <c r="HT20" s="132">
        <f>IF(OR(HT$4="",$B20=""),0,SUMIF('DADOS BRUTOS'!$A$3:$A$500,$B20,'DADOS BRUTOS'!ET$3:ET$500)+IF($C20="",0,SUMIF('DADOS BRUTOS'!$A$3:$A$500,$C20,'DADOS BRUTOS'!ET$3:ET$500)))</f>
        <v/>
      </c>
      <c r="HU20" s="132">
        <f>IF(OR(HU$4="",$B20=""),0,SUMIF('DADOS BRUTOS'!$A$3:$A$500,$B20,'DADOS BRUTOS'!EU$3:EU$500)+IF($C20="",0,SUMIF('DADOS BRUTOS'!$A$3:$A$500,$C20,'DADOS BRUTOS'!EU$3:EU$500)))</f>
        <v/>
      </c>
      <c r="HV20" s="132">
        <f>IF(OR(HV$4="",$B20=""),0,SUMIF('DADOS BRUTOS'!$A$3:$A$500,$B20,'DADOS BRUTOS'!EV$3:EV$500)+IF($C20="",0,SUMIF('DADOS BRUTOS'!$A$3:$A$500,$C20,'DADOS BRUTOS'!EV$3:EV$500)))</f>
        <v/>
      </c>
      <c r="HW20" s="132">
        <f>IF(OR(HW$4="",$B20=""),0,SUMIF('DADOS BRUTOS'!$A$3:$A$500,$B20,'DADOS BRUTOS'!EW$3:EW$500)+IF($C20="",0,SUMIF('DADOS BRUTOS'!$A$3:$A$500,$C20,'DADOS BRUTOS'!EW$3:EW$500)))</f>
        <v/>
      </c>
      <c r="HX20" s="132">
        <f>IF(OR(HX$4="",$B20=""),0,SUMIF('DADOS BRUTOS'!$A$3:$A$500,$B20,'DADOS BRUTOS'!EX$3:EX$500)+IF($C20="",0,SUMIF('DADOS BRUTOS'!$A$3:$A$500,$C20,'DADOS BRUTOS'!EX$3:EX$500)))</f>
        <v/>
      </c>
      <c r="HY20" s="132">
        <f>IF(OR(HY$4="",$B20=""),0,SUMIF('DADOS BRUTOS'!$A$3:$A$500,$B20,'DADOS BRUTOS'!EY$3:EY$500)+IF($C20="",0,SUMIF('DADOS BRUTOS'!$A$3:$A$500,$C20,'DADOS BRUTOS'!EY$3:EY$500)))</f>
        <v/>
      </c>
      <c r="HZ20" s="132">
        <f>IF(OR(HZ$4="",$B20=""),0,SUMIF('DADOS BRUTOS'!$A$3:$A$500,$B20,'DADOS BRUTOS'!EZ$3:EZ$500)+IF($C20="",0,SUMIF('DADOS BRUTOS'!$A$3:$A$500,$C20,'DADOS BRUTOS'!EZ$3:EZ$500)))</f>
        <v/>
      </c>
      <c r="IA20" s="132">
        <f>IF(OR(IA$4="",$B20=""),0,SUMIF('DADOS BRUTOS'!$A$3:$A$500,$B20,'DADOS BRUTOS'!FA$3:FA$500)+IF($C20="",0,SUMIF('DADOS BRUTOS'!$A$3:$A$500,$C20,'DADOS BRUTOS'!FA$3:FA$500)))</f>
        <v/>
      </c>
      <c r="IB20" s="132">
        <f>IF(OR(IB$4="",$B20=""),0,SUMIF('DADOS BRUTOS'!$A$3:$A$500,$B20,'DADOS BRUTOS'!FB$3:FB$500)+IF($C20="",0,SUMIF('DADOS BRUTOS'!$A$3:$A$500,$C20,'DADOS BRUTOS'!FB$3:FB$500)))</f>
        <v/>
      </c>
      <c r="IC20" s="132">
        <f>IF(OR(IC$4="",$B20=""),0,SUMIF('DADOS BRUTOS'!$A$3:$A$500,$B20,'DADOS BRUTOS'!FC$3:FC$500)+IF($C20="",0,SUMIF('DADOS BRUTOS'!$A$3:$A$500,$C20,'DADOS BRUTOS'!FC$3:FC$500)))</f>
        <v/>
      </c>
      <c r="ID20" s="132">
        <f>IF(OR(ID$4="",$B20=""),0,SUMIF('DADOS BRUTOS'!$A$3:$A$500,$B20,'DADOS BRUTOS'!FD$3:FD$500)+IF($C20="",0,SUMIF('DADOS BRUTOS'!$A$3:$A$500,$C20,'DADOS BRUTOS'!FD$3:FD$500)))</f>
        <v/>
      </c>
      <c r="IE20" s="132">
        <f>IF(OR(IE$4="",$B20=""),0,SUMIF('DADOS BRUTOS'!$A$3:$A$500,$B20,'DADOS BRUTOS'!FE$3:FE$500)+IF($C20="",0,SUMIF('DADOS BRUTOS'!$A$3:$A$500,$C20,'DADOS BRUTOS'!FE$3:FE$500)))</f>
        <v/>
      </c>
      <c r="IF20" s="132">
        <f>IF(OR(IF$4="",$B20=""),0,SUMIF('DADOS BRUTOS'!$A$3:$A$500,$B20,'DADOS BRUTOS'!FF$3:FF$500)+IF($C20="",0,SUMIF('DADOS BRUTOS'!$A$3:$A$500,$C20,'DADOS BRUTOS'!FF$3:FF$500)))</f>
        <v/>
      </c>
      <c r="IG20" s="132">
        <f>IF(OR(IG$4="",$B20=""),0,SUMIF('DADOS BRUTOS'!$A$3:$A$500,$B20,'DADOS BRUTOS'!FG$3:FG$500)+IF($C20="",0,SUMIF('DADOS BRUTOS'!$A$3:$A$500,$C20,'DADOS BRUTOS'!FG$3:FG$500)))</f>
        <v/>
      </c>
      <c r="IH20" s="132">
        <f>IF(OR(IH$4="",$B20=""),0,SUMIF('DADOS BRUTOS'!$A$3:$A$500,$B20,'DADOS BRUTOS'!FH$3:FH$500)+IF($C20="",0,SUMIF('DADOS BRUTOS'!$A$3:$A$500,$C20,'DADOS BRUTOS'!FH$3:FH$500)))</f>
        <v/>
      </c>
      <c r="II20" s="132">
        <f>IF(OR(II$4="",$B20=""),0,SUMIF('DADOS BRUTOS'!$A$3:$A$500,$B20,'DADOS BRUTOS'!FI$3:FI$500)+IF($C20="",0,SUMIF('DADOS BRUTOS'!$A$3:$A$500,$C20,'DADOS BRUTOS'!FI$3:FI$500)))</f>
        <v/>
      </c>
      <c r="IJ20" s="132">
        <f>IF(OR(IJ$4="",$B20=""),0,SUMIF('DADOS BRUTOS'!$A$3:$A$500,$B20,'DADOS BRUTOS'!FJ$3:FJ$500)+IF($C20="",0,SUMIF('DADOS BRUTOS'!$A$3:$A$500,$C20,'DADOS BRUTOS'!FJ$3:FJ$500)))</f>
        <v/>
      </c>
      <c r="IK20" s="132">
        <f>IF(OR(IK$4="",$B20=""),0,SUMIF('DADOS BRUTOS'!$A$3:$A$500,$B20,'DADOS BRUTOS'!FK$3:FK$500)+IF($C20="",0,SUMIF('DADOS BRUTOS'!$A$3:$A$500,$C20,'DADOS BRUTOS'!FK$3:FK$500)))</f>
        <v/>
      </c>
      <c r="IL20" s="132">
        <f>IF(OR(IL$4="",$B20=""),0,SUMIF('DADOS BRUTOS'!$A$3:$A$500,$B20,'DADOS BRUTOS'!FL$3:FL$500)+IF($C20="",0,SUMIF('DADOS BRUTOS'!$A$3:$A$500,$C20,'DADOS BRUTOS'!FL$3:FL$500)))</f>
        <v/>
      </c>
      <c r="IM20" s="132">
        <f>IF(OR(IM$4="",$B20=""),0,SUMIF('DADOS BRUTOS'!$A$3:$A$500,$B20,'DADOS BRUTOS'!FM$3:FM$500)+IF($C20="",0,SUMIF('DADOS BRUTOS'!$A$3:$A$500,$C20,'DADOS BRUTOS'!FM$3:FM$500)))</f>
        <v/>
      </c>
      <c r="IN20" s="132">
        <f>IF(OR(IN$4="",$B20=""),0,SUMIF('DADOS BRUTOS'!$A$3:$A$500,$B20,'DADOS BRUTOS'!FN$3:FN$500)+IF($C20="",0,SUMIF('DADOS BRUTOS'!$A$3:$A$500,$C20,'DADOS BRUTOS'!FN$3:FN$500)))</f>
        <v/>
      </c>
      <c r="IO20" s="132">
        <f>IF(OR(IO$4="",$B20=""),0,SUMIF('DADOS BRUTOS'!$A$3:$A$500,$B20,'DADOS BRUTOS'!FO$3:FO$500)+IF($C20="",0,SUMIF('DADOS BRUTOS'!$A$3:$A$500,$C20,'DADOS BRUTOS'!FO$3:FO$500)))</f>
        <v/>
      </c>
      <c r="IP20" s="132">
        <f>IF(OR(IP$4="",$B20=""),0,SUMIF('DADOS BRUTOS'!$A$3:$A$500,$B20,'DADOS BRUTOS'!FP$3:FP$500)+IF($C20="",0,SUMIF('DADOS BRUTOS'!$A$3:$A$500,$C20,'DADOS BRUTOS'!FP$3:FP$500)))</f>
        <v/>
      </c>
      <c r="IQ20" s="132">
        <f>IF(OR(IQ$4="",$B20=""),0,SUMIF('DADOS BRUTOS'!$A$3:$A$500,$B20,'DADOS BRUTOS'!FQ$3:FQ$500)+IF($C20="",0,SUMIF('DADOS BRUTOS'!$A$3:$A$500,$C20,'DADOS BRUTOS'!FQ$3:FQ$500)))</f>
        <v/>
      </c>
      <c r="IR20" s="132">
        <f>IF(OR(IR$4="",$B20=""),0,SUMIF('DADOS BRUTOS'!$A$3:$A$500,$B20,'DADOS BRUTOS'!FR$3:FR$500)+IF($C20="",0,SUMIF('DADOS BRUTOS'!$A$3:$A$500,$C20,'DADOS BRUTOS'!FR$3:FR$500)))</f>
        <v/>
      </c>
      <c r="IS20" s="132">
        <f>IF(OR(IS$4="",$B20=""),0,SUMIF('DADOS BRUTOS'!$A$3:$A$500,$B20,'DADOS BRUTOS'!FS$3:FS$500)+IF($C20="",0,SUMIF('DADOS BRUTOS'!$A$3:$A$500,$C20,'DADOS BRUTOS'!FS$3:FS$500)))</f>
        <v/>
      </c>
      <c r="IT20" s="132">
        <f>IF(OR(IT$4="",$B20=""),0,SUMIF('DADOS BRUTOS'!$A$3:$A$500,$B20,'DADOS BRUTOS'!FT$3:FT$500)+IF($C20="",0,SUMIF('DADOS BRUTOS'!$A$3:$A$500,$C20,'DADOS BRUTOS'!FT$3:FT$500)))</f>
        <v/>
      </c>
      <c r="IU20" s="132">
        <f>IF(OR(IU$4="",$B20=""),0,SUMIF('DADOS BRUTOS'!$A$3:$A$500,$B20,'DADOS BRUTOS'!FU$3:FU$500)+IF($C20="",0,SUMIF('DADOS BRUTOS'!$A$3:$A$500,$C20,'DADOS BRUTOS'!FU$3:FU$500)))</f>
        <v/>
      </c>
      <c r="IV20" s="132">
        <f>IF(OR(IV$4="",$B20=""),0,SUMIF('DADOS BRUTOS'!$A$3:$A$500,$B20,'DADOS BRUTOS'!FV$3:FV$500)+IF($C20="",0,SUMIF('DADOS BRUTOS'!$A$3:$A$500,$C20,'DADOS BRUTOS'!FV$3:FV$500)))</f>
        <v/>
      </c>
      <c r="IW20" s="132">
        <f>IF(OR(IW$4="",$B20=""),0,SUMIF('DADOS BRUTOS'!$A$3:$A$500,$B20,'DADOS BRUTOS'!FW$3:FW$500)+IF($C20="",0,SUMIF('DADOS BRUTOS'!$A$3:$A$500,$C20,'DADOS BRUTOS'!FW$3:FW$500)))</f>
        <v/>
      </c>
      <c r="IX20" s="132">
        <f>IF(OR(IX$4="",$B20=""),0,SUMIF('DADOS BRUTOS'!$A$3:$A$500,$B20,'DADOS BRUTOS'!FX$3:FX$500)+IF($C20="",0,SUMIF('DADOS BRUTOS'!$A$3:$A$500,$C20,'DADOS BRUTOS'!FX$3:FX$500)))</f>
        <v/>
      </c>
      <c r="IY20" s="132">
        <f>IF(OR(IY$4="",$B20=""),0,SUMIF('DADOS BRUTOS'!$A$3:$A$500,$B20,'DADOS BRUTOS'!FY$3:FY$500)+IF($C20="",0,SUMIF('DADOS BRUTOS'!$A$3:$A$500,$C20,'DADOS BRUTOS'!FY$3:FY$500)))</f>
        <v/>
      </c>
      <c r="IZ20" s="132">
        <f>IF(OR(IZ$4="",$B20=""),0,SUMIF('DADOS BRUTOS'!$A$3:$A$500,$B20,'DADOS BRUTOS'!FZ$3:FZ$500)+IF($C20="",0,SUMIF('DADOS BRUTOS'!$A$3:$A$500,$C20,'DADOS BRUTOS'!FZ$3:FZ$500)))</f>
        <v/>
      </c>
      <c r="JA20" s="132">
        <f>IF(OR(JA$4="",$B20=""),0,SUMIF('DADOS BRUTOS'!$A$3:$A$500,$B20,'DADOS BRUTOS'!GA$3:GA$500)+IF($C20="",0,SUMIF('DADOS BRUTOS'!$A$3:$A$500,$C20,'DADOS BRUTOS'!GA$3:GA$500)))</f>
        <v/>
      </c>
      <c r="JB20" s="132">
        <f>IF(OR(JB$4="",$B20=""),0,SUMIF('DADOS BRUTOS'!$A$3:$A$500,$B20,'DADOS BRUTOS'!GB$3:GB$500)+IF($C20="",0,SUMIF('DADOS BRUTOS'!$A$3:$A$500,$C20,'DADOS BRUTOS'!GB$3:GB$500)))</f>
        <v/>
      </c>
      <c r="JC20" s="132">
        <f>IF(OR(JC$4="",$B20=""),0,SUMIF('DADOS BRUTOS'!$A$3:$A$500,$B20,'DADOS BRUTOS'!GC$3:GC$500)+IF($C20="",0,SUMIF('DADOS BRUTOS'!$A$3:$A$500,$C20,'DADOS BRUTOS'!GC$3:GC$500)))</f>
        <v/>
      </c>
      <c r="JD20" s="132">
        <f>IF(OR(JD$4="",$B20=""),0,SUMIF('DADOS BRUTOS'!$A$3:$A$500,$B20,'DADOS BRUTOS'!GD$3:GD$500)+IF($C20="",0,SUMIF('DADOS BRUTOS'!$A$3:$A$500,$C20,'DADOS BRUTOS'!GD$3:GD$500)))</f>
        <v/>
      </c>
      <c r="JE20" s="132">
        <f>IF(OR(JE$4="",$B20=""),0,SUMIF('DADOS BRUTOS'!$A$3:$A$500,$B20,'DADOS BRUTOS'!GE$3:GE$500)+IF($C20="",0,SUMIF('DADOS BRUTOS'!$A$3:$A$500,$C20,'DADOS BRUTOS'!GE$3:GE$500)))</f>
        <v/>
      </c>
      <c r="JF20" s="132">
        <f>IF(OR(JF$4="",$B20=""),0,SUMIF('DADOS BRUTOS'!$A$3:$A$500,$B20,'DADOS BRUTOS'!GF$3:GF$500)+IF($C20="",0,SUMIF('DADOS BRUTOS'!$A$3:$A$500,$C20,'DADOS BRUTOS'!GF$3:GF$500)))</f>
        <v/>
      </c>
      <c r="JG20" s="132">
        <f>IF(OR(JG$4="",$B20=""),0,SUMIF('DADOS BRUTOS'!$A$3:$A$500,$B20,'DADOS BRUTOS'!GG$3:GG$500)+IF($C20="",0,SUMIF('DADOS BRUTOS'!$A$3:$A$500,$C20,'DADOS BRUTOS'!GG$3:GG$500)))</f>
        <v/>
      </c>
      <c r="JH20" s="132">
        <f>IF(OR(JH$4="",$B20=""),0,SUMIF('DADOS BRUTOS'!$A$3:$A$500,$B20,'DADOS BRUTOS'!GH$3:GH$500)+IF($C20="",0,SUMIF('DADOS BRUTOS'!$A$3:$A$500,$C20,'DADOS BRUTOS'!GH$3:GH$500)))</f>
        <v/>
      </c>
      <c r="JI20" s="132">
        <f>IF(OR(JI$4="",$B20=""),0,SUMIF('DADOS BRUTOS'!$A$3:$A$500,$B20,'DADOS BRUTOS'!GI$3:GI$500)+IF($C20="",0,SUMIF('DADOS BRUTOS'!$A$3:$A$500,$C20,'DADOS BRUTOS'!GI$3:GI$500)))</f>
        <v/>
      </c>
      <c r="JJ20" s="132">
        <f>IF(OR(JJ$4="",$B20=""),0,SUMIF('DADOS BRUTOS'!$A$3:$A$500,$B20,'DADOS BRUTOS'!GJ$3:GJ$500)+IF($C20="",0,SUMIF('DADOS BRUTOS'!$A$3:$A$500,$C20,'DADOS BRUTOS'!GJ$3:GJ$500)))</f>
        <v/>
      </c>
      <c r="JK20" s="132">
        <f>IF(OR(JK$4="",$B20=""),0,SUMIF('DADOS BRUTOS'!$A$3:$A$500,$B20,'DADOS BRUTOS'!GK$3:GK$500)+IF($C20="",0,SUMIF('DADOS BRUTOS'!$A$3:$A$500,$C20,'DADOS BRUTOS'!GK$3:GK$500)))</f>
        <v/>
      </c>
      <c r="JL20" s="132">
        <f>IF(OR(JL$4="",$B20=""),0,SUMIF('DADOS BRUTOS'!$A$3:$A$500,$B20,'DADOS BRUTOS'!GL$3:GL$500)+IF($C20="",0,SUMIF('DADOS BRUTOS'!$A$3:$A$500,$C20,'DADOS BRUTOS'!GL$3:GL$500)))</f>
        <v/>
      </c>
      <c r="JM20" s="132">
        <f>IF(OR(JM$4="",$B20=""),0,SUMIF('DADOS BRUTOS'!$A$3:$A$500,$B20,'DADOS BRUTOS'!GM$3:GM$500)+IF($C20="",0,SUMIF('DADOS BRUTOS'!$A$3:$A$500,$C20,'DADOS BRUTOS'!GM$3:GM$500)))</f>
        <v/>
      </c>
      <c r="JN20" s="132">
        <f>IF(OR(JN$4="",$B20=""),0,SUMIF('DADOS BRUTOS'!$A$3:$A$500,$B20,'DADOS BRUTOS'!GN$3:GN$500)+IF($C20="",0,SUMIF('DADOS BRUTOS'!$A$3:$A$500,$C20,'DADOS BRUTOS'!GN$3:GN$500)))</f>
        <v/>
      </c>
      <c r="JO20" s="132">
        <f>IF(OR(JO$4="",$B20=""),0,SUMIF('DADOS BRUTOS'!$A$3:$A$500,$B20,'DADOS BRUTOS'!GO$3:GO$500)+IF($C20="",0,SUMIF('DADOS BRUTOS'!$A$3:$A$500,$C20,'DADOS BRUTOS'!GO$3:GO$500)))</f>
        <v/>
      </c>
      <c r="JP20" s="132">
        <f>IF(OR(JP$4="",$B20=""),0,SUMIF('DADOS BRUTOS'!$A$3:$A$500,$B20,'DADOS BRUTOS'!GP$3:GP$500)+IF($C20="",0,SUMIF('DADOS BRUTOS'!$A$3:$A$500,$C20,'DADOS BRUTOS'!GP$3:GP$500)))</f>
        <v/>
      </c>
      <c r="JQ20" s="132">
        <f>IF(OR(JQ$4="",$B20=""),0,SUMIF('DADOS BRUTOS'!$A$3:$A$500,$B20,'DADOS BRUTOS'!GQ$3:GQ$500)+IF($C20="",0,SUMIF('DADOS BRUTOS'!$A$3:$A$500,$C20,'DADOS BRUTOS'!GQ$3:GQ$500)))</f>
        <v/>
      </c>
      <c r="JR20" s="132">
        <f>IF(OR(JR$4="",$B20=""),0,SUMIF('DADOS BRUTOS'!$A$3:$A$500,$B20,'DADOS BRUTOS'!GR$3:GR$500)+IF($C20="",0,SUMIF('DADOS BRUTOS'!$A$3:$A$500,$C20,'DADOS BRUTOS'!GR$3:GR$500)))</f>
        <v/>
      </c>
      <c r="JS20" s="132">
        <f>IF(OR(JS$4="",$B20=""),0,SUMIF('DADOS BRUTOS'!$A$3:$A$500,$B20,'DADOS BRUTOS'!GS$3:GS$500)+IF($C20="",0,SUMIF('DADOS BRUTOS'!$A$3:$A$500,$C20,'DADOS BRUTOS'!GS$3:GS$500)))</f>
        <v/>
      </c>
    </row>
    <row r="21">
      <c r="A21" s="61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BZ21" s="49">
        <f>SUMPRODUCT(($CB$4:$JS$4&lt;&gt;"")*($CB$4:$JS$4&lt;=$D$4),$CB21:$JS21,$CB$1:$JS$1)</f>
        <v/>
      </c>
      <c r="CB21" s="132">
        <f>IF(OR(CB$4="",$B21=""),0,SUMIF('DADOS BRUTOS'!$A$3:$A$500,$B21,'DADOS BRUTOS'!B$3:B$500)+IF($C21="",0,SUMIF('DADOS BRUTOS'!$A$3:$A$500,$C21,'DADOS BRUTOS'!B$3:B$500)))</f>
        <v/>
      </c>
      <c r="CC21" s="132">
        <f>IF(OR(CC$4="",$B21=""),0,SUMIF('DADOS BRUTOS'!$A$3:$A$500,$B21,'DADOS BRUTOS'!C$3:C$500)+IF($C21="",0,SUMIF('DADOS BRUTOS'!$A$3:$A$500,$C21,'DADOS BRUTOS'!C$3:C$500)))</f>
        <v/>
      </c>
      <c r="CD21" s="132">
        <f>IF(OR(CD$4="",$B21=""),0,SUMIF('DADOS BRUTOS'!$A$3:$A$500,$B21,'DADOS BRUTOS'!D$3:D$500)+IF($C21="",0,SUMIF('DADOS BRUTOS'!$A$3:$A$500,$C21,'DADOS BRUTOS'!D$3:D$500)))</f>
        <v/>
      </c>
      <c r="CE21" s="132">
        <f>IF(OR(CE$4="",$B21=""),0,SUMIF('DADOS BRUTOS'!$A$3:$A$500,$B21,'DADOS BRUTOS'!E$3:E$500)+IF($C21="",0,SUMIF('DADOS BRUTOS'!$A$3:$A$500,$C21,'DADOS BRUTOS'!E$3:E$500)))</f>
        <v/>
      </c>
      <c r="CF21" s="132">
        <f>IF(OR(CF$4="",$B21=""),0,SUMIF('DADOS BRUTOS'!$A$3:$A$500,$B21,'DADOS BRUTOS'!F$3:F$500)+IF($C21="",0,SUMIF('DADOS BRUTOS'!$A$3:$A$500,$C21,'DADOS BRUTOS'!F$3:F$500)))</f>
        <v/>
      </c>
      <c r="CG21" s="132">
        <f>IF(OR(CG$4="",$B21=""),0,SUMIF('DADOS BRUTOS'!$A$3:$A$500,$B21,'DADOS BRUTOS'!G$3:G$500)+IF($C21="",0,SUMIF('DADOS BRUTOS'!$A$3:$A$500,$C21,'DADOS BRUTOS'!G$3:G$500)))</f>
        <v/>
      </c>
      <c r="CH21" s="132">
        <f>IF(OR(CH$4="",$B21=""),0,SUMIF('DADOS BRUTOS'!$A$3:$A$500,$B21,'DADOS BRUTOS'!H$3:H$500)+IF($C21="",0,SUMIF('DADOS BRUTOS'!$A$3:$A$500,$C21,'DADOS BRUTOS'!H$3:H$500)))</f>
        <v/>
      </c>
      <c r="CI21" s="132">
        <f>IF(OR(CI$4="",$B21=""),0,SUMIF('DADOS BRUTOS'!$A$3:$A$500,$B21,'DADOS BRUTOS'!I$3:I$500)+IF($C21="",0,SUMIF('DADOS BRUTOS'!$A$3:$A$500,$C21,'DADOS BRUTOS'!I$3:I$500)))</f>
        <v/>
      </c>
      <c r="CJ21" s="132">
        <f>IF(OR(CJ$4="",$B21=""),0,SUMIF('DADOS BRUTOS'!$A$3:$A$500,$B21,'DADOS BRUTOS'!J$3:J$500)+IF($C21="",0,SUMIF('DADOS BRUTOS'!$A$3:$A$500,$C21,'DADOS BRUTOS'!J$3:J$500)))</f>
        <v/>
      </c>
      <c r="CK21" s="132">
        <f>IF(OR(CK$4="",$B21=""),0,SUMIF('DADOS BRUTOS'!$A$3:$A$500,$B21,'DADOS BRUTOS'!K$3:K$500)+IF($C21="",0,SUMIF('DADOS BRUTOS'!$A$3:$A$500,$C21,'DADOS BRUTOS'!K$3:K$500)))</f>
        <v/>
      </c>
      <c r="CL21" s="132">
        <f>IF(OR(CL$4="",$B21=""),0,SUMIF('DADOS BRUTOS'!$A$3:$A$500,$B21,'DADOS BRUTOS'!L$3:L$500)+IF($C21="",0,SUMIF('DADOS BRUTOS'!$A$3:$A$500,$C21,'DADOS BRUTOS'!L$3:L$500)))</f>
        <v/>
      </c>
      <c r="CM21" s="132">
        <f>IF(OR(CM$4="",$B21=""),0,SUMIF('DADOS BRUTOS'!$A$3:$A$500,$B21,'DADOS BRUTOS'!M$3:M$500)+IF($C21="",0,SUMIF('DADOS BRUTOS'!$A$3:$A$500,$C21,'DADOS BRUTOS'!M$3:M$500)))</f>
        <v/>
      </c>
      <c r="CN21" s="132">
        <f>IF(OR(CN$4="",$B21=""),0,SUMIF('DADOS BRUTOS'!$A$3:$A$500,$B21,'DADOS BRUTOS'!N$3:N$500)+IF($C21="",0,SUMIF('DADOS BRUTOS'!$A$3:$A$500,$C21,'DADOS BRUTOS'!N$3:N$500)))</f>
        <v/>
      </c>
      <c r="CO21" s="132">
        <f>IF(OR(CO$4="",$B21=""),0,SUMIF('DADOS BRUTOS'!$A$3:$A$500,$B21,'DADOS BRUTOS'!O$3:O$500)+IF($C21="",0,SUMIF('DADOS BRUTOS'!$A$3:$A$500,$C21,'DADOS BRUTOS'!O$3:O$500)))</f>
        <v/>
      </c>
      <c r="CP21" s="132">
        <f>IF(OR(CP$4="",$B21=""),0,SUMIF('DADOS BRUTOS'!$A$3:$A$500,$B21,'DADOS BRUTOS'!P$3:P$500)+IF($C21="",0,SUMIF('DADOS BRUTOS'!$A$3:$A$500,$C21,'DADOS BRUTOS'!P$3:P$500)))</f>
        <v/>
      </c>
      <c r="CQ21" s="132">
        <f>IF(OR(CQ$4="",$B21=""),0,SUMIF('DADOS BRUTOS'!$A$3:$A$500,$B21,'DADOS BRUTOS'!Q$3:Q$500)+IF($C21="",0,SUMIF('DADOS BRUTOS'!$A$3:$A$500,$C21,'DADOS BRUTOS'!Q$3:Q$500)))</f>
        <v/>
      </c>
      <c r="CR21" s="132">
        <f>IF(OR(CR$4="",$B21=""),0,SUMIF('DADOS BRUTOS'!$A$3:$A$500,$B21,'DADOS BRUTOS'!R$3:R$500)+IF($C21="",0,SUMIF('DADOS BRUTOS'!$A$3:$A$500,$C21,'DADOS BRUTOS'!R$3:R$500)))</f>
        <v/>
      </c>
      <c r="CS21" s="132">
        <f>IF(OR(CS$4="",$B21=""),0,SUMIF('DADOS BRUTOS'!$A$3:$A$500,$B21,'DADOS BRUTOS'!S$3:S$500)+IF($C21="",0,SUMIF('DADOS BRUTOS'!$A$3:$A$500,$C21,'DADOS BRUTOS'!S$3:S$500)))</f>
        <v/>
      </c>
      <c r="CT21" s="132">
        <f>IF(OR(CT$4="",$B21=""),0,SUMIF('DADOS BRUTOS'!$A$3:$A$500,$B21,'DADOS BRUTOS'!T$3:T$500)+IF($C21="",0,SUMIF('DADOS BRUTOS'!$A$3:$A$500,$C21,'DADOS BRUTOS'!T$3:T$500)))</f>
        <v/>
      </c>
      <c r="CU21" s="132">
        <f>IF(OR(CU$4="",$B21=""),0,SUMIF('DADOS BRUTOS'!$A$3:$A$500,$B21,'DADOS BRUTOS'!U$3:U$500)+IF($C21="",0,SUMIF('DADOS BRUTOS'!$A$3:$A$500,$C21,'DADOS BRUTOS'!U$3:U$500)))</f>
        <v/>
      </c>
      <c r="CV21" s="132">
        <f>IF(OR(CV$4="",$B21=""),0,SUMIF('DADOS BRUTOS'!$A$3:$A$500,$B21,'DADOS BRUTOS'!V$3:V$500)+IF($C21="",0,SUMIF('DADOS BRUTOS'!$A$3:$A$500,$C21,'DADOS BRUTOS'!V$3:V$500)))</f>
        <v/>
      </c>
      <c r="CW21" s="132">
        <f>IF(OR(CW$4="",$B21=""),0,SUMIF('DADOS BRUTOS'!$A$3:$A$500,$B21,'DADOS BRUTOS'!W$3:W$500)+IF($C21="",0,SUMIF('DADOS BRUTOS'!$A$3:$A$500,$C21,'DADOS BRUTOS'!W$3:W$500)))</f>
        <v/>
      </c>
      <c r="CX21" s="132">
        <f>IF(OR(CX$4="",$B21=""),0,SUMIF('DADOS BRUTOS'!$A$3:$A$500,$B21,'DADOS BRUTOS'!X$3:X$500)+IF($C21="",0,SUMIF('DADOS BRUTOS'!$A$3:$A$500,$C21,'DADOS BRUTOS'!X$3:X$500)))</f>
        <v/>
      </c>
      <c r="CY21" s="132">
        <f>IF(OR(CY$4="",$B21=""),0,SUMIF('DADOS BRUTOS'!$A$3:$A$500,$B21,'DADOS BRUTOS'!Y$3:Y$500)+IF($C21="",0,SUMIF('DADOS BRUTOS'!$A$3:$A$500,$C21,'DADOS BRUTOS'!Y$3:Y$500)))</f>
        <v/>
      </c>
      <c r="CZ21" s="132">
        <f>IF(OR(CZ$4="",$B21=""),0,SUMIF('DADOS BRUTOS'!$A$3:$A$500,$B21,'DADOS BRUTOS'!Z$3:Z$500)+IF($C21="",0,SUMIF('DADOS BRUTOS'!$A$3:$A$500,$C21,'DADOS BRUTOS'!Z$3:Z$500)))</f>
        <v/>
      </c>
      <c r="DA21" s="132">
        <f>IF(OR(DA$4="",$B21=""),0,SUMIF('DADOS BRUTOS'!$A$3:$A$500,$B21,'DADOS BRUTOS'!AA$3:AA$500)+IF($C21="",0,SUMIF('DADOS BRUTOS'!$A$3:$A$500,$C21,'DADOS BRUTOS'!AA$3:AA$500)))</f>
        <v/>
      </c>
      <c r="DB21" s="132">
        <f>IF(OR(DB$4="",$B21=""),0,SUMIF('DADOS BRUTOS'!$A$3:$A$500,$B21,'DADOS BRUTOS'!AB$3:AB$500)+IF($C21="",0,SUMIF('DADOS BRUTOS'!$A$3:$A$500,$C21,'DADOS BRUTOS'!AB$3:AB$500)))</f>
        <v/>
      </c>
      <c r="DC21" s="132">
        <f>IF(OR(DC$4="",$B21=""),0,SUMIF('DADOS BRUTOS'!$A$3:$A$500,$B21,'DADOS BRUTOS'!AC$3:AC$500)+IF($C21="",0,SUMIF('DADOS BRUTOS'!$A$3:$A$500,$C21,'DADOS BRUTOS'!AC$3:AC$500)))</f>
        <v/>
      </c>
      <c r="DD21" s="132">
        <f>IF(OR(DD$4="",$B21=""),0,SUMIF('DADOS BRUTOS'!$A$3:$A$500,$B21,'DADOS BRUTOS'!AD$3:AD$500)+IF($C21="",0,SUMIF('DADOS BRUTOS'!$A$3:$A$500,$C21,'DADOS BRUTOS'!AD$3:AD$500)))</f>
        <v/>
      </c>
      <c r="DE21" s="132">
        <f>IF(OR(DE$4="",$B21=""),0,SUMIF('DADOS BRUTOS'!$A$3:$A$500,$B21,'DADOS BRUTOS'!AE$3:AE$500)+IF($C21="",0,SUMIF('DADOS BRUTOS'!$A$3:$A$500,$C21,'DADOS BRUTOS'!AE$3:AE$500)))</f>
        <v/>
      </c>
      <c r="DF21" s="132">
        <f>IF(OR(DF$4="",$B21=""),0,SUMIF('DADOS BRUTOS'!$A$3:$A$500,$B21,'DADOS BRUTOS'!AF$3:AF$500)+IF($C21="",0,SUMIF('DADOS BRUTOS'!$A$3:$A$500,$C21,'DADOS BRUTOS'!AF$3:AF$500)))</f>
        <v/>
      </c>
      <c r="DG21" s="132">
        <f>IF(OR(DG$4="",$B21=""),0,SUMIF('DADOS BRUTOS'!$A$3:$A$500,$B21,'DADOS BRUTOS'!AG$3:AG$500)+IF($C21="",0,SUMIF('DADOS BRUTOS'!$A$3:$A$500,$C21,'DADOS BRUTOS'!AG$3:AG$500)))</f>
        <v/>
      </c>
      <c r="DH21" s="132">
        <f>IF(OR(DH$4="",$B21=""),0,SUMIF('DADOS BRUTOS'!$A$3:$A$500,$B21,'DADOS BRUTOS'!AH$3:AH$500)+IF($C21="",0,SUMIF('DADOS BRUTOS'!$A$3:$A$500,$C21,'DADOS BRUTOS'!AH$3:AH$500)))</f>
        <v/>
      </c>
      <c r="DI21" s="132">
        <f>IF(OR(DI$4="",$B21=""),0,SUMIF('DADOS BRUTOS'!$A$3:$A$500,$B21,'DADOS BRUTOS'!AI$3:AI$500)+IF($C21="",0,SUMIF('DADOS BRUTOS'!$A$3:$A$500,$C21,'DADOS BRUTOS'!AI$3:AI$500)))</f>
        <v/>
      </c>
      <c r="DJ21" s="132">
        <f>IF(OR(DJ$4="",$B21=""),0,SUMIF('DADOS BRUTOS'!$A$3:$A$500,$B21,'DADOS BRUTOS'!AJ$3:AJ$500)+IF($C21="",0,SUMIF('DADOS BRUTOS'!$A$3:$A$500,$C21,'DADOS BRUTOS'!AJ$3:AJ$500)))</f>
        <v/>
      </c>
      <c r="DK21" s="132">
        <f>IF(OR(DK$4="",$B21=""),0,SUMIF('DADOS BRUTOS'!$A$3:$A$500,$B21,'DADOS BRUTOS'!AK$3:AK$500)+IF($C21="",0,SUMIF('DADOS BRUTOS'!$A$3:$A$500,$C21,'DADOS BRUTOS'!AK$3:AK$500)))</f>
        <v/>
      </c>
      <c r="DL21" s="132">
        <f>IF(OR(DL$4="",$B21=""),0,SUMIF('DADOS BRUTOS'!$A$3:$A$500,$B21,'DADOS BRUTOS'!AL$3:AL$500)+IF($C21="",0,SUMIF('DADOS BRUTOS'!$A$3:$A$500,$C21,'DADOS BRUTOS'!AL$3:AL$500)))</f>
        <v/>
      </c>
      <c r="DM21" s="132">
        <f>IF(OR(DM$4="",$B21=""),0,SUMIF('DADOS BRUTOS'!$A$3:$A$500,$B21,'DADOS BRUTOS'!AM$3:AM$500)+IF($C21="",0,SUMIF('DADOS BRUTOS'!$A$3:$A$500,$C21,'DADOS BRUTOS'!AM$3:AM$500)))</f>
        <v/>
      </c>
      <c r="DN21" s="132">
        <f>IF(OR(DN$4="",$B21=""),0,SUMIF('DADOS BRUTOS'!$A$3:$A$500,$B21,'DADOS BRUTOS'!AN$3:AN$500)+IF($C21="",0,SUMIF('DADOS BRUTOS'!$A$3:$A$500,$C21,'DADOS BRUTOS'!AN$3:AN$500)))</f>
        <v/>
      </c>
      <c r="DO21" s="132">
        <f>IF(OR(DO$4="",$B21=""),0,SUMIF('DADOS BRUTOS'!$A$3:$A$500,$B21,'DADOS BRUTOS'!AO$3:AO$500)+IF($C21="",0,SUMIF('DADOS BRUTOS'!$A$3:$A$500,$C21,'DADOS BRUTOS'!AO$3:AO$500)))</f>
        <v/>
      </c>
      <c r="DP21" s="132">
        <f>IF(OR(DP$4="",$B21=""),0,SUMIF('DADOS BRUTOS'!$A$3:$A$500,$B21,'DADOS BRUTOS'!AP$3:AP$500)+IF($C21="",0,SUMIF('DADOS BRUTOS'!$A$3:$A$500,$C21,'DADOS BRUTOS'!AP$3:AP$500)))</f>
        <v/>
      </c>
      <c r="DQ21" s="132">
        <f>IF(OR(DQ$4="",$B21=""),0,SUMIF('DADOS BRUTOS'!$A$3:$A$500,$B21,'DADOS BRUTOS'!AQ$3:AQ$500)+IF($C21="",0,SUMIF('DADOS BRUTOS'!$A$3:$A$500,$C21,'DADOS BRUTOS'!AQ$3:AQ$500)))</f>
        <v/>
      </c>
      <c r="DR21" s="132">
        <f>IF(OR(DR$4="",$B21=""),0,SUMIF('DADOS BRUTOS'!$A$3:$A$500,$B21,'DADOS BRUTOS'!AR$3:AR$500)+IF($C21="",0,SUMIF('DADOS BRUTOS'!$A$3:$A$500,$C21,'DADOS BRUTOS'!AR$3:AR$500)))</f>
        <v/>
      </c>
      <c r="DS21" s="132">
        <f>IF(OR(DS$4="",$B21=""),0,SUMIF('DADOS BRUTOS'!$A$3:$A$500,$B21,'DADOS BRUTOS'!AS$3:AS$500)+IF($C21="",0,SUMIF('DADOS BRUTOS'!$A$3:$A$500,$C21,'DADOS BRUTOS'!AS$3:AS$500)))</f>
        <v/>
      </c>
      <c r="DT21" s="132">
        <f>IF(OR(DT$4="",$B21=""),0,SUMIF('DADOS BRUTOS'!$A$3:$A$500,$B21,'DADOS BRUTOS'!AT$3:AT$500)+IF($C21="",0,SUMIF('DADOS BRUTOS'!$A$3:$A$500,$C21,'DADOS BRUTOS'!AT$3:AT$500)))</f>
        <v/>
      </c>
      <c r="DU21" s="132">
        <f>IF(OR(DU$4="",$B21=""),0,SUMIF('DADOS BRUTOS'!$A$3:$A$500,$B21,'DADOS BRUTOS'!AU$3:AU$500)+IF($C21="",0,SUMIF('DADOS BRUTOS'!$A$3:$A$500,$C21,'DADOS BRUTOS'!AU$3:AU$500)))</f>
        <v/>
      </c>
      <c r="DV21" s="132">
        <f>IF(OR(DV$4="",$B21=""),0,SUMIF('DADOS BRUTOS'!$A$3:$A$500,$B21,'DADOS BRUTOS'!AV$3:AV$500)+IF($C21="",0,SUMIF('DADOS BRUTOS'!$A$3:$A$500,$C21,'DADOS BRUTOS'!AV$3:AV$500)))</f>
        <v/>
      </c>
      <c r="DW21" s="132">
        <f>IF(OR(DW$4="",$B21=""),0,SUMIF('DADOS BRUTOS'!$A$3:$A$500,$B21,'DADOS BRUTOS'!AW$3:AW$500)+IF($C21="",0,SUMIF('DADOS BRUTOS'!$A$3:$A$500,$C21,'DADOS BRUTOS'!AW$3:AW$500)))</f>
        <v/>
      </c>
      <c r="DX21" s="132">
        <f>IF(OR(DX$4="",$B21=""),0,SUMIF('DADOS BRUTOS'!$A$3:$A$500,$B21,'DADOS BRUTOS'!AX$3:AX$500)+IF($C21="",0,SUMIF('DADOS BRUTOS'!$A$3:$A$500,$C21,'DADOS BRUTOS'!AX$3:AX$500)))</f>
        <v/>
      </c>
      <c r="DY21" s="132">
        <f>IF(OR(DY$4="",$B21=""),0,SUMIF('DADOS BRUTOS'!$A$3:$A$500,$B21,'DADOS BRUTOS'!AY$3:AY$500)+IF($C21="",0,SUMIF('DADOS BRUTOS'!$A$3:$A$500,$C21,'DADOS BRUTOS'!AY$3:AY$500)))</f>
        <v/>
      </c>
      <c r="DZ21" s="132">
        <f>IF(OR(DZ$4="",$B21=""),0,SUMIF('DADOS BRUTOS'!$A$3:$A$500,$B21,'DADOS BRUTOS'!AZ$3:AZ$500)+IF($C21="",0,SUMIF('DADOS BRUTOS'!$A$3:$A$500,$C21,'DADOS BRUTOS'!AZ$3:AZ$500)))</f>
        <v/>
      </c>
      <c r="EA21" s="132">
        <f>IF(OR(EA$4="",$B21=""),0,SUMIF('DADOS BRUTOS'!$A$3:$A$500,$B21,'DADOS BRUTOS'!BA$3:BA$500)+IF($C21="",0,SUMIF('DADOS BRUTOS'!$A$3:$A$500,$C21,'DADOS BRUTOS'!BA$3:BA$500)))</f>
        <v/>
      </c>
      <c r="EB21" s="132">
        <f>IF(OR(EB$4="",$B21=""),0,SUMIF('DADOS BRUTOS'!$A$3:$A$500,$B21,'DADOS BRUTOS'!BB$3:BB$500)+IF($C21="",0,SUMIF('DADOS BRUTOS'!$A$3:$A$500,$C21,'DADOS BRUTOS'!BB$3:BB$500)))</f>
        <v/>
      </c>
      <c r="EC21" s="132">
        <f>IF(OR(EC$4="",$B21=""),0,SUMIF('DADOS BRUTOS'!$A$3:$A$500,$B21,'DADOS BRUTOS'!BC$3:BC$500)+IF($C21="",0,SUMIF('DADOS BRUTOS'!$A$3:$A$500,$C21,'DADOS BRUTOS'!BC$3:BC$500)))</f>
        <v/>
      </c>
      <c r="ED21" s="132">
        <f>IF(OR(ED$4="",$B21=""),0,SUMIF('DADOS BRUTOS'!$A$3:$A$500,$B21,'DADOS BRUTOS'!BD$3:BD$500)+IF($C21="",0,SUMIF('DADOS BRUTOS'!$A$3:$A$500,$C21,'DADOS BRUTOS'!BD$3:BD$500)))</f>
        <v/>
      </c>
      <c r="EE21" s="132">
        <f>IF(OR(EE$4="",$B21=""),0,SUMIF('DADOS BRUTOS'!$A$3:$A$500,$B21,'DADOS BRUTOS'!BE$3:BE$500)+IF($C21="",0,SUMIF('DADOS BRUTOS'!$A$3:$A$500,$C21,'DADOS BRUTOS'!BE$3:BE$500)))</f>
        <v/>
      </c>
      <c r="EF21" s="132">
        <f>IF(OR(EF$4="",$B21=""),0,SUMIF('DADOS BRUTOS'!$A$3:$A$500,$B21,'DADOS BRUTOS'!BF$3:BF$500)+IF($C21="",0,SUMIF('DADOS BRUTOS'!$A$3:$A$500,$C21,'DADOS BRUTOS'!BF$3:BF$500)))</f>
        <v/>
      </c>
      <c r="EG21" s="132">
        <f>IF(OR(EG$4="",$B21=""),0,SUMIF('DADOS BRUTOS'!$A$3:$A$500,$B21,'DADOS BRUTOS'!BG$3:BG$500)+IF($C21="",0,SUMIF('DADOS BRUTOS'!$A$3:$A$500,$C21,'DADOS BRUTOS'!BG$3:BG$500)))</f>
        <v/>
      </c>
      <c r="EH21" s="132">
        <f>IF(OR(EH$4="",$B21=""),0,SUMIF('DADOS BRUTOS'!$A$3:$A$500,$B21,'DADOS BRUTOS'!BH$3:BH$500)+IF($C21="",0,SUMIF('DADOS BRUTOS'!$A$3:$A$500,$C21,'DADOS BRUTOS'!BH$3:BH$500)))</f>
        <v/>
      </c>
      <c r="EI21" s="132">
        <f>IF(OR(EI$4="",$B21=""),0,SUMIF('DADOS BRUTOS'!$A$3:$A$500,$B21,'DADOS BRUTOS'!BI$3:BI$500)+IF($C21="",0,SUMIF('DADOS BRUTOS'!$A$3:$A$500,$C21,'DADOS BRUTOS'!BI$3:BI$500)))</f>
        <v/>
      </c>
      <c r="EJ21" s="132">
        <f>IF(OR(EJ$4="",$B21=""),0,SUMIF('DADOS BRUTOS'!$A$3:$A$500,$B21,'DADOS BRUTOS'!BJ$3:BJ$500)+IF($C21="",0,SUMIF('DADOS BRUTOS'!$A$3:$A$500,$C21,'DADOS BRUTOS'!BJ$3:BJ$500)))</f>
        <v/>
      </c>
      <c r="EK21" s="132">
        <f>IF(OR(EK$4="",$B21=""),0,SUMIF('DADOS BRUTOS'!$A$3:$A$500,$B21,'DADOS BRUTOS'!BK$3:BK$500)+IF($C21="",0,SUMIF('DADOS BRUTOS'!$A$3:$A$500,$C21,'DADOS BRUTOS'!BK$3:BK$500)))</f>
        <v/>
      </c>
      <c r="EL21" s="132">
        <f>IF(OR(EL$4="",$B21=""),0,SUMIF('DADOS BRUTOS'!$A$3:$A$500,$B21,'DADOS BRUTOS'!BL$3:BL$500)+IF($C21="",0,SUMIF('DADOS BRUTOS'!$A$3:$A$500,$C21,'DADOS BRUTOS'!BL$3:BL$500)))</f>
        <v/>
      </c>
      <c r="EM21" s="132">
        <f>IF(OR(EM$4="",$B21=""),0,SUMIF('DADOS BRUTOS'!$A$3:$A$500,$B21,'DADOS BRUTOS'!BM$3:BM$500)+IF($C21="",0,SUMIF('DADOS BRUTOS'!$A$3:$A$500,$C21,'DADOS BRUTOS'!BM$3:BM$500)))</f>
        <v/>
      </c>
      <c r="EN21" s="132">
        <f>IF(OR(EN$4="",$B21=""),0,SUMIF('DADOS BRUTOS'!$A$3:$A$500,$B21,'DADOS BRUTOS'!BN$3:BN$500)+IF($C21="",0,SUMIF('DADOS BRUTOS'!$A$3:$A$500,$C21,'DADOS BRUTOS'!BN$3:BN$500)))</f>
        <v/>
      </c>
      <c r="EO21" s="132">
        <f>IF(OR(EO$4="",$B21=""),0,SUMIF('DADOS BRUTOS'!$A$3:$A$500,$B21,'DADOS BRUTOS'!BO$3:BO$500)+IF($C21="",0,SUMIF('DADOS BRUTOS'!$A$3:$A$500,$C21,'DADOS BRUTOS'!BO$3:BO$500)))</f>
        <v/>
      </c>
      <c r="EP21" s="132">
        <f>IF(OR(EP$4="",$B21=""),0,SUMIF('DADOS BRUTOS'!$A$3:$A$500,$B21,'DADOS BRUTOS'!BP$3:BP$500)+IF($C21="",0,SUMIF('DADOS BRUTOS'!$A$3:$A$500,$C21,'DADOS BRUTOS'!BP$3:BP$500)))</f>
        <v/>
      </c>
      <c r="EQ21" s="132">
        <f>IF(OR(EQ$4="",$B21=""),0,SUMIF('DADOS BRUTOS'!$A$3:$A$500,$B21,'DADOS BRUTOS'!BQ$3:BQ$500)+IF($C21="",0,SUMIF('DADOS BRUTOS'!$A$3:$A$500,$C21,'DADOS BRUTOS'!BQ$3:BQ$500)))</f>
        <v/>
      </c>
      <c r="ER21" s="132">
        <f>IF(OR(ER$4="",$B21=""),0,SUMIF('DADOS BRUTOS'!$A$3:$A$500,$B21,'DADOS BRUTOS'!BR$3:BR$500)+IF($C21="",0,SUMIF('DADOS BRUTOS'!$A$3:$A$500,$C21,'DADOS BRUTOS'!BR$3:BR$500)))</f>
        <v/>
      </c>
      <c r="ES21" s="132">
        <f>IF(OR(ES$4="",$B21=""),0,SUMIF('DADOS BRUTOS'!$A$3:$A$500,$B21,'DADOS BRUTOS'!BS$3:BS$500)+IF($C21="",0,SUMIF('DADOS BRUTOS'!$A$3:$A$500,$C21,'DADOS BRUTOS'!BS$3:BS$500)))</f>
        <v/>
      </c>
      <c r="ET21" s="132">
        <f>IF(OR(ET$4="",$B21=""),0,SUMIF('DADOS BRUTOS'!$A$3:$A$500,$B21,'DADOS BRUTOS'!BT$3:BT$500)+IF($C21="",0,SUMIF('DADOS BRUTOS'!$A$3:$A$500,$C21,'DADOS BRUTOS'!BT$3:BT$500)))</f>
        <v/>
      </c>
      <c r="EU21" s="132">
        <f>IF(OR(EU$4="",$B21=""),0,SUMIF('DADOS BRUTOS'!$A$3:$A$500,$B21,'DADOS BRUTOS'!BU$3:BU$500)+IF($C21="",0,SUMIF('DADOS BRUTOS'!$A$3:$A$500,$C21,'DADOS BRUTOS'!BU$3:BU$500)))</f>
        <v/>
      </c>
      <c r="EV21" s="132">
        <f>IF(OR(EV$4="",$B21=""),0,SUMIF('DADOS BRUTOS'!$A$3:$A$500,$B21,'DADOS BRUTOS'!BV$3:BV$500)+IF($C21="",0,SUMIF('DADOS BRUTOS'!$A$3:$A$500,$C21,'DADOS BRUTOS'!BV$3:BV$500)))</f>
        <v/>
      </c>
      <c r="EW21" s="132">
        <f>IF(OR(EW$4="",$B21=""),0,SUMIF('DADOS BRUTOS'!$A$3:$A$500,$B21,'DADOS BRUTOS'!BW$3:BW$500)+IF($C21="",0,SUMIF('DADOS BRUTOS'!$A$3:$A$500,$C21,'DADOS BRUTOS'!BW$3:BW$500)))</f>
        <v/>
      </c>
      <c r="EX21" s="132">
        <f>IF(OR(EX$4="",$B21=""),0,SUMIF('DADOS BRUTOS'!$A$3:$A$500,$B21,'DADOS BRUTOS'!BX$3:BX$500)+IF($C21="",0,SUMIF('DADOS BRUTOS'!$A$3:$A$500,$C21,'DADOS BRUTOS'!BX$3:BX$500)))</f>
        <v/>
      </c>
      <c r="EY21" s="132">
        <f>IF(OR(EY$4="",$B21=""),0,SUMIF('DADOS BRUTOS'!$A$3:$A$500,$B21,'DADOS BRUTOS'!BY$3:BY$500)+IF($C21="",0,SUMIF('DADOS BRUTOS'!$A$3:$A$500,$C21,'DADOS BRUTOS'!BY$3:BY$500)))</f>
        <v/>
      </c>
      <c r="EZ21" s="132">
        <f>IF(OR(EZ$4="",$B21=""),0,SUMIF('DADOS BRUTOS'!$A$3:$A$500,$B21,'DADOS BRUTOS'!BZ$3:BZ$500)+IF($C21="",0,SUMIF('DADOS BRUTOS'!$A$3:$A$500,$C21,'DADOS BRUTOS'!BZ$3:BZ$500)))</f>
        <v/>
      </c>
      <c r="FA21" s="132">
        <f>IF(OR(FA$4="",$B21=""),0,SUMIF('DADOS BRUTOS'!$A$3:$A$500,$B21,'DADOS BRUTOS'!CA$3:CA$500)+IF($C21="",0,SUMIF('DADOS BRUTOS'!$A$3:$A$500,$C21,'DADOS BRUTOS'!CA$3:CA$500)))</f>
        <v/>
      </c>
      <c r="FB21" s="132">
        <f>IF(OR(FB$4="",$B21=""),0,SUMIF('DADOS BRUTOS'!$A$3:$A$500,$B21,'DADOS BRUTOS'!CB$3:CB$500)+IF($C21="",0,SUMIF('DADOS BRUTOS'!$A$3:$A$500,$C21,'DADOS BRUTOS'!CB$3:CB$500)))</f>
        <v/>
      </c>
      <c r="FC21" s="132">
        <f>IF(OR(FC$4="",$B21=""),0,SUMIF('DADOS BRUTOS'!$A$3:$A$500,$B21,'DADOS BRUTOS'!CC$3:CC$500)+IF($C21="",0,SUMIF('DADOS BRUTOS'!$A$3:$A$500,$C21,'DADOS BRUTOS'!CC$3:CC$500)))</f>
        <v/>
      </c>
      <c r="FD21" s="132">
        <f>IF(OR(FD$4="",$B21=""),0,SUMIF('DADOS BRUTOS'!$A$3:$A$500,$B21,'DADOS BRUTOS'!CD$3:CD$500)+IF($C21="",0,SUMIF('DADOS BRUTOS'!$A$3:$A$500,$C21,'DADOS BRUTOS'!CD$3:CD$500)))</f>
        <v/>
      </c>
      <c r="FE21" s="132">
        <f>IF(OR(FE$4="",$B21=""),0,SUMIF('DADOS BRUTOS'!$A$3:$A$500,$B21,'DADOS BRUTOS'!CE$3:CE$500)+IF($C21="",0,SUMIF('DADOS BRUTOS'!$A$3:$A$500,$C21,'DADOS BRUTOS'!CE$3:CE$500)))</f>
        <v/>
      </c>
      <c r="FF21" s="132">
        <f>IF(OR(FF$4="",$B21=""),0,SUMIF('DADOS BRUTOS'!$A$3:$A$500,$B21,'DADOS BRUTOS'!CF$3:CF$500)+IF($C21="",0,SUMIF('DADOS BRUTOS'!$A$3:$A$500,$C21,'DADOS BRUTOS'!CF$3:CF$500)))</f>
        <v/>
      </c>
      <c r="FG21" s="132">
        <f>IF(OR(FG$4="",$B21=""),0,SUMIF('DADOS BRUTOS'!$A$3:$A$500,$B21,'DADOS BRUTOS'!CG$3:CG$500)+IF($C21="",0,SUMIF('DADOS BRUTOS'!$A$3:$A$500,$C21,'DADOS BRUTOS'!CG$3:CG$500)))</f>
        <v/>
      </c>
      <c r="FH21" s="132">
        <f>IF(OR(FH$4="",$B21=""),0,SUMIF('DADOS BRUTOS'!$A$3:$A$500,$B21,'DADOS BRUTOS'!CH$3:CH$500)+IF($C21="",0,SUMIF('DADOS BRUTOS'!$A$3:$A$500,$C21,'DADOS BRUTOS'!CH$3:CH$500)))</f>
        <v/>
      </c>
      <c r="FI21" s="132">
        <f>IF(OR(FI$4="",$B21=""),0,SUMIF('DADOS BRUTOS'!$A$3:$A$500,$B21,'DADOS BRUTOS'!CI$3:CI$500)+IF($C21="",0,SUMIF('DADOS BRUTOS'!$A$3:$A$500,$C21,'DADOS BRUTOS'!CI$3:CI$500)))</f>
        <v/>
      </c>
      <c r="FJ21" s="132">
        <f>IF(OR(FJ$4="",$B21=""),0,SUMIF('DADOS BRUTOS'!$A$3:$A$500,$B21,'DADOS BRUTOS'!CJ$3:CJ$500)+IF($C21="",0,SUMIF('DADOS BRUTOS'!$A$3:$A$500,$C21,'DADOS BRUTOS'!CJ$3:CJ$500)))</f>
        <v/>
      </c>
      <c r="FK21" s="132">
        <f>IF(OR(FK$4="",$B21=""),0,SUMIF('DADOS BRUTOS'!$A$3:$A$500,$B21,'DADOS BRUTOS'!CK$3:CK$500)+IF($C21="",0,SUMIF('DADOS BRUTOS'!$A$3:$A$500,$C21,'DADOS BRUTOS'!CK$3:CK$500)))</f>
        <v/>
      </c>
      <c r="FL21" s="132">
        <f>IF(OR(FL$4="",$B21=""),0,SUMIF('DADOS BRUTOS'!$A$3:$A$500,$B21,'DADOS BRUTOS'!CL$3:CL$500)+IF($C21="",0,SUMIF('DADOS BRUTOS'!$A$3:$A$500,$C21,'DADOS BRUTOS'!CL$3:CL$500)))</f>
        <v/>
      </c>
      <c r="FM21" s="132">
        <f>IF(OR(FM$4="",$B21=""),0,SUMIF('DADOS BRUTOS'!$A$3:$A$500,$B21,'DADOS BRUTOS'!CM$3:CM$500)+IF($C21="",0,SUMIF('DADOS BRUTOS'!$A$3:$A$500,$C21,'DADOS BRUTOS'!CM$3:CM$500)))</f>
        <v/>
      </c>
      <c r="FN21" s="132">
        <f>IF(OR(FN$4="",$B21=""),0,SUMIF('DADOS BRUTOS'!$A$3:$A$500,$B21,'DADOS BRUTOS'!CN$3:CN$500)+IF($C21="",0,SUMIF('DADOS BRUTOS'!$A$3:$A$500,$C21,'DADOS BRUTOS'!CN$3:CN$500)))</f>
        <v/>
      </c>
      <c r="FO21" s="132">
        <f>IF(OR(FO$4="",$B21=""),0,SUMIF('DADOS BRUTOS'!$A$3:$A$500,$B21,'DADOS BRUTOS'!CO$3:CO$500)+IF($C21="",0,SUMIF('DADOS BRUTOS'!$A$3:$A$500,$C21,'DADOS BRUTOS'!CO$3:CO$500)))</f>
        <v/>
      </c>
      <c r="FP21" s="132">
        <f>IF(OR(FP$4="",$B21=""),0,SUMIF('DADOS BRUTOS'!$A$3:$A$500,$B21,'DADOS BRUTOS'!CP$3:CP$500)+IF($C21="",0,SUMIF('DADOS BRUTOS'!$A$3:$A$500,$C21,'DADOS BRUTOS'!CP$3:CP$500)))</f>
        <v/>
      </c>
      <c r="FQ21" s="132">
        <f>IF(OR(FQ$4="",$B21=""),0,SUMIF('DADOS BRUTOS'!$A$3:$A$500,$B21,'DADOS BRUTOS'!CQ$3:CQ$500)+IF($C21="",0,SUMIF('DADOS BRUTOS'!$A$3:$A$500,$C21,'DADOS BRUTOS'!CQ$3:CQ$500)))</f>
        <v/>
      </c>
      <c r="FR21" s="132">
        <f>IF(OR(FR$4="",$B21=""),0,SUMIF('DADOS BRUTOS'!$A$3:$A$500,$B21,'DADOS BRUTOS'!CR$3:CR$500)+IF($C21="",0,SUMIF('DADOS BRUTOS'!$A$3:$A$500,$C21,'DADOS BRUTOS'!CR$3:CR$500)))</f>
        <v/>
      </c>
      <c r="FS21" s="132">
        <f>IF(OR(FS$4="",$B21=""),0,SUMIF('DADOS BRUTOS'!$A$3:$A$500,$B21,'DADOS BRUTOS'!CS$3:CS$500)+IF($C21="",0,SUMIF('DADOS BRUTOS'!$A$3:$A$500,$C21,'DADOS BRUTOS'!CS$3:CS$500)))</f>
        <v/>
      </c>
      <c r="FT21" s="132">
        <f>IF(OR(FT$4="",$B21=""),0,SUMIF('DADOS BRUTOS'!$A$3:$A$500,$B21,'DADOS BRUTOS'!CT$3:CT$500)+IF($C21="",0,SUMIF('DADOS BRUTOS'!$A$3:$A$500,$C21,'DADOS BRUTOS'!CT$3:CT$500)))</f>
        <v/>
      </c>
      <c r="FU21" s="132">
        <f>IF(OR(FU$4="",$B21=""),0,SUMIF('DADOS BRUTOS'!$A$3:$A$500,$B21,'DADOS BRUTOS'!CU$3:CU$500)+IF($C21="",0,SUMIF('DADOS BRUTOS'!$A$3:$A$500,$C21,'DADOS BRUTOS'!CU$3:CU$500)))</f>
        <v/>
      </c>
      <c r="FV21" s="132">
        <f>IF(OR(FV$4="",$B21=""),0,SUMIF('DADOS BRUTOS'!$A$3:$A$500,$B21,'DADOS BRUTOS'!CV$3:CV$500)+IF($C21="",0,SUMIF('DADOS BRUTOS'!$A$3:$A$500,$C21,'DADOS BRUTOS'!CV$3:CV$500)))</f>
        <v/>
      </c>
      <c r="FW21" s="132">
        <f>IF(OR(FW$4="",$B21=""),0,SUMIF('DADOS BRUTOS'!$A$3:$A$500,$B21,'DADOS BRUTOS'!CW$3:CW$500)+IF($C21="",0,SUMIF('DADOS BRUTOS'!$A$3:$A$500,$C21,'DADOS BRUTOS'!CW$3:CW$500)))</f>
        <v/>
      </c>
      <c r="FX21" s="132">
        <f>IF(OR(FX$4="",$B21=""),0,SUMIF('DADOS BRUTOS'!$A$3:$A$500,$B21,'DADOS BRUTOS'!CX$3:CX$500)+IF($C21="",0,SUMIF('DADOS BRUTOS'!$A$3:$A$500,$C21,'DADOS BRUTOS'!CX$3:CX$500)))</f>
        <v/>
      </c>
      <c r="FY21" s="132">
        <f>IF(OR(FY$4="",$B21=""),0,SUMIF('DADOS BRUTOS'!$A$3:$A$500,$B21,'DADOS BRUTOS'!CY$3:CY$500)+IF($C21="",0,SUMIF('DADOS BRUTOS'!$A$3:$A$500,$C21,'DADOS BRUTOS'!CY$3:CY$500)))</f>
        <v/>
      </c>
      <c r="FZ21" s="132">
        <f>IF(OR(FZ$4="",$B21=""),0,SUMIF('DADOS BRUTOS'!$A$3:$A$500,$B21,'DADOS BRUTOS'!CZ$3:CZ$500)+IF($C21="",0,SUMIF('DADOS BRUTOS'!$A$3:$A$500,$C21,'DADOS BRUTOS'!CZ$3:CZ$500)))</f>
        <v/>
      </c>
      <c r="GA21" s="132">
        <f>IF(OR(GA$4="",$B21=""),0,SUMIF('DADOS BRUTOS'!$A$3:$A$500,$B21,'DADOS BRUTOS'!DA$3:DA$500)+IF($C21="",0,SUMIF('DADOS BRUTOS'!$A$3:$A$500,$C21,'DADOS BRUTOS'!DA$3:DA$500)))</f>
        <v/>
      </c>
      <c r="GB21" s="132">
        <f>IF(OR(GB$4="",$B21=""),0,SUMIF('DADOS BRUTOS'!$A$3:$A$500,$B21,'DADOS BRUTOS'!DB$3:DB$500)+IF($C21="",0,SUMIF('DADOS BRUTOS'!$A$3:$A$500,$C21,'DADOS BRUTOS'!DB$3:DB$500)))</f>
        <v/>
      </c>
      <c r="GC21" s="132">
        <f>IF(OR(GC$4="",$B21=""),0,SUMIF('DADOS BRUTOS'!$A$3:$A$500,$B21,'DADOS BRUTOS'!DC$3:DC$500)+IF($C21="",0,SUMIF('DADOS BRUTOS'!$A$3:$A$500,$C21,'DADOS BRUTOS'!DC$3:DC$500)))</f>
        <v/>
      </c>
      <c r="GD21" s="132">
        <f>IF(OR(GD$4="",$B21=""),0,SUMIF('DADOS BRUTOS'!$A$3:$A$500,$B21,'DADOS BRUTOS'!DD$3:DD$500)+IF($C21="",0,SUMIF('DADOS BRUTOS'!$A$3:$A$500,$C21,'DADOS BRUTOS'!DD$3:DD$500)))</f>
        <v/>
      </c>
      <c r="GE21" s="132">
        <f>IF(OR(GE$4="",$B21=""),0,SUMIF('DADOS BRUTOS'!$A$3:$A$500,$B21,'DADOS BRUTOS'!DE$3:DE$500)+IF($C21="",0,SUMIF('DADOS BRUTOS'!$A$3:$A$500,$C21,'DADOS BRUTOS'!DE$3:DE$500)))</f>
        <v/>
      </c>
      <c r="GF21" s="132">
        <f>IF(OR(GF$4="",$B21=""),0,SUMIF('DADOS BRUTOS'!$A$3:$A$500,$B21,'DADOS BRUTOS'!DF$3:DF$500)+IF($C21="",0,SUMIF('DADOS BRUTOS'!$A$3:$A$500,$C21,'DADOS BRUTOS'!DF$3:DF$500)))</f>
        <v/>
      </c>
      <c r="GG21" s="132">
        <f>IF(OR(GG$4="",$B21=""),0,SUMIF('DADOS BRUTOS'!$A$3:$A$500,$B21,'DADOS BRUTOS'!DG$3:DG$500)+IF($C21="",0,SUMIF('DADOS BRUTOS'!$A$3:$A$500,$C21,'DADOS BRUTOS'!DG$3:DG$500)))</f>
        <v/>
      </c>
      <c r="GH21" s="132">
        <f>IF(OR(GH$4="",$B21=""),0,SUMIF('DADOS BRUTOS'!$A$3:$A$500,$B21,'DADOS BRUTOS'!DH$3:DH$500)+IF($C21="",0,SUMIF('DADOS BRUTOS'!$A$3:$A$500,$C21,'DADOS BRUTOS'!DH$3:DH$500)))</f>
        <v/>
      </c>
      <c r="GI21" s="132">
        <f>IF(OR(GI$4="",$B21=""),0,SUMIF('DADOS BRUTOS'!$A$3:$A$500,$B21,'DADOS BRUTOS'!DI$3:DI$500)+IF($C21="",0,SUMIF('DADOS BRUTOS'!$A$3:$A$500,$C21,'DADOS BRUTOS'!DI$3:DI$500)))</f>
        <v/>
      </c>
      <c r="GJ21" s="132">
        <f>IF(OR(GJ$4="",$B21=""),0,SUMIF('DADOS BRUTOS'!$A$3:$A$500,$B21,'DADOS BRUTOS'!DJ$3:DJ$500)+IF($C21="",0,SUMIF('DADOS BRUTOS'!$A$3:$A$500,$C21,'DADOS BRUTOS'!DJ$3:DJ$500)))</f>
        <v/>
      </c>
      <c r="GK21" s="132">
        <f>IF(OR(GK$4="",$B21=""),0,SUMIF('DADOS BRUTOS'!$A$3:$A$500,$B21,'DADOS BRUTOS'!DK$3:DK$500)+IF($C21="",0,SUMIF('DADOS BRUTOS'!$A$3:$A$500,$C21,'DADOS BRUTOS'!DK$3:DK$500)))</f>
        <v/>
      </c>
      <c r="GL21" s="132">
        <f>IF(OR(GL$4="",$B21=""),0,SUMIF('DADOS BRUTOS'!$A$3:$A$500,$B21,'DADOS BRUTOS'!DL$3:DL$500)+IF($C21="",0,SUMIF('DADOS BRUTOS'!$A$3:$A$500,$C21,'DADOS BRUTOS'!DL$3:DL$500)))</f>
        <v/>
      </c>
      <c r="GM21" s="132">
        <f>IF(OR(GM$4="",$B21=""),0,SUMIF('DADOS BRUTOS'!$A$3:$A$500,$B21,'DADOS BRUTOS'!DM$3:DM$500)+IF($C21="",0,SUMIF('DADOS BRUTOS'!$A$3:$A$500,$C21,'DADOS BRUTOS'!DM$3:DM$500)))</f>
        <v/>
      </c>
      <c r="GN21" s="132">
        <f>IF(OR(GN$4="",$B21=""),0,SUMIF('DADOS BRUTOS'!$A$3:$A$500,$B21,'DADOS BRUTOS'!DN$3:DN$500)+IF($C21="",0,SUMIF('DADOS BRUTOS'!$A$3:$A$500,$C21,'DADOS BRUTOS'!DN$3:DN$500)))</f>
        <v/>
      </c>
      <c r="GO21" s="132">
        <f>IF(OR(GO$4="",$B21=""),0,SUMIF('DADOS BRUTOS'!$A$3:$A$500,$B21,'DADOS BRUTOS'!DO$3:DO$500)+IF($C21="",0,SUMIF('DADOS BRUTOS'!$A$3:$A$500,$C21,'DADOS BRUTOS'!DO$3:DO$500)))</f>
        <v/>
      </c>
      <c r="GP21" s="132">
        <f>IF(OR(GP$4="",$B21=""),0,SUMIF('DADOS BRUTOS'!$A$3:$A$500,$B21,'DADOS BRUTOS'!DP$3:DP$500)+IF($C21="",0,SUMIF('DADOS BRUTOS'!$A$3:$A$500,$C21,'DADOS BRUTOS'!DP$3:DP$500)))</f>
        <v/>
      </c>
      <c r="GQ21" s="132">
        <f>IF(OR(GQ$4="",$B21=""),0,SUMIF('DADOS BRUTOS'!$A$3:$A$500,$B21,'DADOS BRUTOS'!DQ$3:DQ$500)+IF($C21="",0,SUMIF('DADOS BRUTOS'!$A$3:$A$500,$C21,'DADOS BRUTOS'!DQ$3:DQ$500)))</f>
        <v/>
      </c>
      <c r="GR21" s="132">
        <f>IF(OR(GR$4="",$B21=""),0,SUMIF('DADOS BRUTOS'!$A$3:$A$500,$B21,'DADOS BRUTOS'!DR$3:DR$500)+IF($C21="",0,SUMIF('DADOS BRUTOS'!$A$3:$A$500,$C21,'DADOS BRUTOS'!DR$3:DR$500)))</f>
        <v/>
      </c>
      <c r="GS21" s="132">
        <f>IF(OR(GS$4="",$B21=""),0,SUMIF('DADOS BRUTOS'!$A$3:$A$500,$B21,'DADOS BRUTOS'!DS$3:DS$500)+IF($C21="",0,SUMIF('DADOS BRUTOS'!$A$3:$A$500,$C21,'DADOS BRUTOS'!DS$3:DS$500)))</f>
        <v/>
      </c>
      <c r="GT21" s="132">
        <f>IF(OR(GT$4="",$B21=""),0,SUMIF('DADOS BRUTOS'!$A$3:$A$500,$B21,'DADOS BRUTOS'!DT$3:DT$500)+IF($C21="",0,SUMIF('DADOS BRUTOS'!$A$3:$A$500,$C21,'DADOS BRUTOS'!DT$3:DT$500)))</f>
        <v/>
      </c>
      <c r="GU21" s="132">
        <f>IF(OR(GU$4="",$B21=""),0,SUMIF('DADOS BRUTOS'!$A$3:$A$500,$B21,'DADOS BRUTOS'!DU$3:DU$500)+IF($C21="",0,SUMIF('DADOS BRUTOS'!$A$3:$A$500,$C21,'DADOS BRUTOS'!DU$3:DU$500)))</f>
        <v/>
      </c>
      <c r="GV21" s="132">
        <f>IF(OR(GV$4="",$B21=""),0,SUMIF('DADOS BRUTOS'!$A$3:$A$500,$B21,'DADOS BRUTOS'!DV$3:DV$500)+IF($C21="",0,SUMIF('DADOS BRUTOS'!$A$3:$A$500,$C21,'DADOS BRUTOS'!DV$3:DV$500)))</f>
        <v/>
      </c>
      <c r="GW21" s="132">
        <f>IF(OR(GW$4="",$B21=""),0,SUMIF('DADOS BRUTOS'!$A$3:$A$500,$B21,'DADOS BRUTOS'!DW$3:DW$500)+IF($C21="",0,SUMIF('DADOS BRUTOS'!$A$3:$A$500,$C21,'DADOS BRUTOS'!DW$3:DW$500)))</f>
        <v/>
      </c>
      <c r="GX21" s="132">
        <f>IF(OR(GX$4="",$B21=""),0,SUMIF('DADOS BRUTOS'!$A$3:$A$500,$B21,'DADOS BRUTOS'!DX$3:DX$500)+IF($C21="",0,SUMIF('DADOS BRUTOS'!$A$3:$A$500,$C21,'DADOS BRUTOS'!DX$3:DX$500)))</f>
        <v/>
      </c>
      <c r="GY21" s="132">
        <f>IF(OR(GY$4="",$B21=""),0,SUMIF('DADOS BRUTOS'!$A$3:$A$500,$B21,'DADOS BRUTOS'!DY$3:DY$500)+IF($C21="",0,SUMIF('DADOS BRUTOS'!$A$3:$A$500,$C21,'DADOS BRUTOS'!DY$3:DY$500)))</f>
        <v/>
      </c>
      <c r="GZ21" s="132">
        <f>IF(OR(GZ$4="",$B21=""),0,SUMIF('DADOS BRUTOS'!$A$3:$A$500,$B21,'DADOS BRUTOS'!DZ$3:DZ$500)+IF($C21="",0,SUMIF('DADOS BRUTOS'!$A$3:$A$500,$C21,'DADOS BRUTOS'!DZ$3:DZ$500)))</f>
        <v/>
      </c>
      <c r="HA21" s="132">
        <f>IF(OR(HA$4="",$B21=""),0,SUMIF('DADOS BRUTOS'!$A$3:$A$500,$B21,'DADOS BRUTOS'!EA$3:EA$500)+IF($C21="",0,SUMIF('DADOS BRUTOS'!$A$3:$A$500,$C21,'DADOS BRUTOS'!EA$3:EA$500)))</f>
        <v/>
      </c>
      <c r="HB21" s="132">
        <f>IF(OR(HB$4="",$B21=""),0,SUMIF('DADOS BRUTOS'!$A$3:$A$500,$B21,'DADOS BRUTOS'!EB$3:EB$500)+IF($C21="",0,SUMIF('DADOS BRUTOS'!$A$3:$A$500,$C21,'DADOS BRUTOS'!EB$3:EB$500)))</f>
        <v/>
      </c>
      <c r="HC21" s="132">
        <f>IF(OR(HC$4="",$B21=""),0,SUMIF('DADOS BRUTOS'!$A$3:$A$500,$B21,'DADOS BRUTOS'!EC$3:EC$500)+IF($C21="",0,SUMIF('DADOS BRUTOS'!$A$3:$A$500,$C21,'DADOS BRUTOS'!EC$3:EC$500)))</f>
        <v/>
      </c>
      <c r="HD21" s="132">
        <f>IF(OR(HD$4="",$B21=""),0,SUMIF('DADOS BRUTOS'!$A$3:$A$500,$B21,'DADOS BRUTOS'!ED$3:ED$500)+IF($C21="",0,SUMIF('DADOS BRUTOS'!$A$3:$A$500,$C21,'DADOS BRUTOS'!ED$3:ED$500)))</f>
        <v/>
      </c>
      <c r="HE21" s="132">
        <f>IF(OR(HE$4="",$B21=""),0,SUMIF('DADOS BRUTOS'!$A$3:$A$500,$B21,'DADOS BRUTOS'!EE$3:EE$500)+IF($C21="",0,SUMIF('DADOS BRUTOS'!$A$3:$A$500,$C21,'DADOS BRUTOS'!EE$3:EE$500)))</f>
        <v/>
      </c>
      <c r="HF21" s="132">
        <f>IF(OR(HF$4="",$B21=""),0,SUMIF('DADOS BRUTOS'!$A$3:$A$500,$B21,'DADOS BRUTOS'!EF$3:EF$500)+IF($C21="",0,SUMIF('DADOS BRUTOS'!$A$3:$A$500,$C21,'DADOS BRUTOS'!EF$3:EF$500)))</f>
        <v/>
      </c>
      <c r="HG21" s="132">
        <f>IF(OR(HG$4="",$B21=""),0,SUMIF('DADOS BRUTOS'!$A$3:$A$500,$B21,'DADOS BRUTOS'!EG$3:EG$500)+IF($C21="",0,SUMIF('DADOS BRUTOS'!$A$3:$A$500,$C21,'DADOS BRUTOS'!EG$3:EG$500)))</f>
        <v/>
      </c>
      <c r="HH21" s="132">
        <f>IF(OR(HH$4="",$B21=""),0,SUMIF('DADOS BRUTOS'!$A$3:$A$500,$B21,'DADOS BRUTOS'!EH$3:EH$500)+IF($C21="",0,SUMIF('DADOS BRUTOS'!$A$3:$A$500,$C21,'DADOS BRUTOS'!EH$3:EH$500)))</f>
        <v/>
      </c>
      <c r="HI21" s="132">
        <f>IF(OR(HI$4="",$B21=""),0,SUMIF('DADOS BRUTOS'!$A$3:$A$500,$B21,'DADOS BRUTOS'!EI$3:EI$500)+IF($C21="",0,SUMIF('DADOS BRUTOS'!$A$3:$A$500,$C21,'DADOS BRUTOS'!EI$3:EI$500)))</f>
        <v/>
      </c>
      <c r="HJ21" s="132">
        <f>IF(OR(HJ$4="",$B21=""),0,SUMIF('DADOS BRUTOS'!$A$3:$A$500,$B21,'DADOS BRUTOS'!EJ$3:EJ$500)+IF($C21="",0,SUMIF('DADOS BRUTOS'!$A$3:$A$500,$C21,'DADOS BRUTOS'!EJ$3:EJ$500)))</f>
        <v/>
      </c>
      <c r="HK21" s="132">
        <f>IF(OR(HK$4="",$B21=""),0,SUMIF('DADOS BRUTOS'!$A$3:$A$500,$B21,'DADOS BRUTOS'!EK$3:EK$500)+IF($C21="",0,SUMIF('DADOS BRUTOS'!$A$3:$A$500,$C21,'DADOS BRUTOS'!EK$3:EK$500)))</f>
        <v/>
      </c>
      <c r="HL21" s="132">
        <f>IF(OR(HL$4="",$B21=""),0,SUMIF('DADOS BRUTOS'!$A$3:$A$500,$B21,'DADOS BRUTOS'!EL$3:EL$500)+IF($C21="",0,SUMIF('DADOS BRUTOS'!$A$3:$A$500,$C21,'DADOS BRUTOS'!EL$3:EL$500)))</f>
        <v/>
      </c>
      <c r="HM21" s="132">
        <f>IF(OR(HM$4="",$B21=""),0,SUMIF('DADOS BRUTOS'!$A$3:$A$500,$B21,'DADOS BRUTOS'!EM$3:EM$500)+IF($C21="",0,SUMIF('DADOS BRUTOS'!$A$3:$A$500,$C21,'DADOS BRUTOS'!EM$3:EM$500)))</f>
        <v/>
      </c>
      <c r="HN21" s="132">
        <f>IF(OR(HN$4="",$B21=""),0,SUMIF('DADOS BRUTOS'!$A$3:$A$500,$B21,'DADOS BRUTOS'!EN$3:EN$500)+IF($C21="",0,SUMIF('DADOS BRUTOS'!$A$3:$A$500,$C21,'DADOS BRUTOS'!EN$3:EN$500)))</f>
        <v/>
      </c>
      <c r="HO21" s="132">
        <f>IF(OR(HO$4="",$B21=""),0,SUMIF('DADOS BRUTOS'!$A$3:$A$500,$B21,'DADOS BRUTOS'!EO$3:EO$500)+IF($C21="",0,SUMIF('DADOS BRUTOS'!$A$3:$A$500,$C21,'DADOS BRUTOS'!EO$3:EO$500)))</f>
        <v/>
      </c>
      <c r="HP21" s="132">
        <f>IF(OR(HP$4="",$B21=""),0,SUMIF('DADOS BRUTOS'!$A$3:$A$500,$B21,'DADOS BRUTOS'!EP$3:EP$500)+IF($C21="",0,SUMIF('DADOS BRUTOS'!$A$3:$A$500,$C21,'DADOS BRUTOS'!EP$3:EP$500)))</f>
        <v/>
      </c>
      <c r="HQ21" s="132">
        <f>IF(OR(HQ$4="",$B21=""),0,SUMIF('DADOS BRUTOS'!$A$3:$A$500,$B21,'DADOS BRUTOS'!EQ$3:EQ$500)+IF($C21="",0,SUMIF('DADOS BRUTOS'!$A$3:$A$500,$C21,'DADOS BRUTOS'!EQ$3:EQ$500)))</f>
        <v/>
      </c>
      <c r="HR21" s="132">
        <f>IF(OR(HR$4="",$B21=""),0,SUMIF('DADOS BRUTOS'!$A$3:$A$500,$B21,'DADOS BRUTOS'!ER$3:ER$500)+IF($C21="",0,SUMIF('DADOS BRUTOS'!$A$3:$A$500,$C21,'DADOS BRUTOS'!ER$3:ER$500)))</f>
        <v/>
      </c>
      <c r="HS21" s="132">
        <f>IF(OR(HS$4="",$B21=""),0,SUMIF('DADOS BRUTOS'!$A$3:$A$500,$B21,'DADOS BRUTOS'!ES$3:ES$500)+IF($C21="",0,SUMIF('DADOS BRUTOS'!$A$3:$A$500,$C21,'DADOS BRUTOS'!ES$3:ES$500)))</f>
        <v/>
      </c>
      <c r="HT21" s="132">
        <f>IF(OR(HT$4="",$B21=""),0,SUMIF('DADOS BRUTOS'!$A$3:$A$500,$B21,'DADOS BRUTOS'!ET$3:ET$500)+IF($C21="",0,SUMIF('DADOS BRUTOS'!$A$3:$A$500,$C21,'DADOS BRUTOS'!ET$3:ET$500)))</f>
        <v/>
      </c>
      <c r="HU21" s="132">
        <f>IF(OR(HU$4="",$B21=""),0,SUMIF('DADOS BRUTOS'!$A$3:$A$500,$B21,'DADOS BRUTOS'!EU$3:EU$500)+IF($C21="",0,SUMIF('DADOS BRUTOS'!$A$3:$A$500,$C21,'DADOS BRUTOS'!EU$3:EU$500)))</f>
        <v/>
      </c>
      <c r="HV21" s="132">
        <f>IF(OR(HV$4="",$B21=""),0,SUMIF('DADOS BRUTOS'!$A$3:$A$500,$B21,'DADOS BRUTOS'!EV$3:EV$500)+IF($C21="",0,SUMIF('DADOS BRUTOS'!$A$3:$A$500,$C21,'DADOS BRUTOS'!EV$3:EV$500)))</f>
        <v/>
      </c>
      <c r="HW21" s="132">
        <f>IF(OR(HW$4="",$B21=""),0,SUMIF('DADOS BRUTOS'!$A$3:$A$500,$B21,'DADOS BRUTOS'!EW$3:EW$500)+IF($C21="",0,SUMIF('DADOS BRUTOS'!$A$3:$A$500,$C21,'DADOS BRUTOS'!EW$3:EW$500)))</f>
        <v/>
      </c>
      <c r="HX21" s="132">
        <f>IF(OR(HX$4="",$B21=""),0,SUMIF('DADOS BRUTOS'!$A$3:$A$500,$B21,'DADOS BRUTOS'!EX$3:EX$500)+IF($C21="",0,SUMIF('DADOS BRUTOS'!$A$3:$A$500,$C21,'DADOS BRUTOS'!EX$3:EX$500)))</f>
        <v/>
      </c>
      <c r="HY21" s="132">
        <f>IF(OR(HY$4="",$B21=""),0,SUMIF('DADOS BRUTOS'!$A$3:$A$500,$B21,'DADOS BRUTOS'!EY$3:EY$500)+IF($C21="",0,SUMIF('DADOS BRUTOS'!$A$3:$A$500,$C21,'DADOS BRUTOS'!EY$3:EY$500)))</f>
        <v/>
      </c>
      <c r="HZ21" s="132">
        <f>IF(OR(HZ$4="",$B21=""),0,SUMIF('DADOS BRUTOS'!$A$3:$A$500,$B21,'DADOS BRUTOS'!EZ$3:EZ$500)+IF($C21="",0,SUMIF('DADOS BRUTOS'!$A$3:$A$500,$C21,'DADOS BRUTOS'!EZ$3:EZ$500)))</f>
        <v/>
      </c>
      <c r="IA21" s="132">
        <f>IF(OR(IA$4="",$B21=""),0,SUMIF('DADOS BRUTOS'!$A$3:$A$500,$B21,'DADOS BRUTOS'!FA$3:FA$500)+IF($C21="",0,SUMIF('DADOS BRUTOS'!$A$3:$A$500,$C21,'DADOS BRUTOS'!FA$3:FA$500)))</f>
        <v/>
      </c>
      <c r="IB21" s="132">
        <f>IF(OR(IB$4="",$B21=""),0,SUMIF('DADOS BRUTOS'!$A$3:$A$500,$B21,'DADOS BRUTOS'!FB$3:FB$500)+IF($C21="",0,SUMIF('DADOS BRUTOS'!$A$3:$A$500,$C21,'DADOS BRUTOS'!FB$3:FB$500)))</f>
        <v/>
      </c>
      <c r="IC21" s="132">
        <f>IF(OR(IC$4="",$B21=""),0,SUMIF('DADOS BRUTOS'!$A$3:$A$500,$B21,'DADOS BRUTOS'!FC$3:FC$500)+IF($C21="",0,SUMIF('DADOS BRUTOS'!$A$3:$A$500,$C21,'DADOS BRUTOS'!FC$3:FC$500)))</f>
        <v/>
      </c>
      <c r="ID21" s="132">
        <f>IF(OR(ID$4="",$B21=""),0,SUMIF('DADOS BRUTOS'!$A$3:$A$500,$B21,'DADOS BRUTOS'!FD$3:FD$500)+IF($C21="",0,SUMIF('DADOS BRUTOS'!$A$3:$A$500,$C21,'DADOS BRUTOS'!FD$3:FD$500)))</f>
        <v/>
      </c>
      <c r="IE21" s="132">
        <f>IF(OR(IE$4="",$B21=""),0,SUMIF('DADOS BRUTOS'!$A$3:$A$500,$B21,'DADOS BRUTOS'!FE$3:FE$500)+IF($C21="",0,SUMIF('DADOS BRUTOS'!$A$3:$A$500,$C21,'DADOS BRUTOS'!FE$3:FE$500)))</f>
        <v/>
      </c>
      <c r="IF21" s="132">
        <f>IF(OR(IF$4="",$B21=""),0,SUMIF('DADOS BRUTOS'!$A$3:$A$500,$B21,'DADOS BRUTOS'!FF$3:FF$500)+IF($C21="",0,SUMIF('DADOS BRUTOS'!$A$3:$A$500,$C21,'DADOS BRUTOS'!FF$3:FF$500)))</f>
        <v/>
      </c>
      <c r="IG21" s="132">
        <f>IF(OR(IG$4="",$B21=""),0,SUMIF('DADOS BRUTOS'!$A$3:$A$500,$B21,'DADOS BRUTOS'!FG$3:FG$500)+IF($C21="",0,SUMIF('DADOS BRUTOS'!$A$3:$A$500,$C21,'DADOS BRUTOS'!FG$3:FG$500)))</f>
        <v/>
      </c>
      <c r="IH21" s="132">
        <f>IF(OR(IH$4="",$B21=""),0,SUMIF('DADOS BRUTOS'!$A$3:$A$500,$B21,'DADOS BRUTOS'!FH$3:FH$500)+IF($C21="",0,SUMIF('DADOS BRUTOS'!$A$3:$A$500,$C21,'DADOS BRUTOS'!FH$3:FH$500)))</f>
        <v/>
      </c>
      <c r="II21" s="132">
        <f>IF(OR(II$4="",$B21=""),0,SUMIF('DADOS BRUTOS'!$A$3:$A$500,$B21,'DADOS BRUTOS'!FI$3:FI$500)+IF($C21="",0,SUMIF('DADOS BRUTOS'!$A$3:$A$500,$C21,'DADOS BRUTOS'!FI$3:FI$500)))</f>
        <v/>
      </c>
      <c r="IJ21" s="132">
        <f>IF(OR(IJ$4="",$B21=""),0,SUMIF('DADOS BRUTOS'!$A$3:$A$500,$B21,'DADOS BRUTOS'!FJ$3:FJ$500)+IF($C21="",0,SUMIF('DADOS BRUTOS'!$A$3:$A$500,$C21,'DADOS BRUTOS'!FJ$3:FJ$500)))</f>
        <v/>
      </c>
      <c r="IK21" s="132">
        <f>IF(OR(IK$4="",$B21=""),0,SUMIF('DADOS BRUTOS'!$A$3:$A$500,$B21,'DADOS BRUTOS'!FK$3:FK$500)+IF($C21="",0,SUMIF('DADOS BRUTOS'!$A$3:$A$500,$C21,'DADOS BRUTOS'!FK$3:FK$500)))</f>
        <v/>
      </c>
      <c r="IL21" s="132">
        <f>IF(OR(IL$4="",$B21=""),0,SUMIF('DADOS BRUTOS'!$A$3:$A$500,$B21,'DADOS BRUTOS'!FL$3:FL$500)+IF($C21="",0,SUMIF('DADOS BRUTOS'!$A$3:$A$500,$C21,'DADOS BRUTOS'!FL$3:FL$500)))</f>
        <v/>
      </c>
      <c r="IM21" s="132">
        <f>IF(OR(IM$4="",$B21=""),0,SUMIF('DADOS BRUTOS'!$A$3:$A$500,$B21,'DADOS BRUTOS'!FM$3:FM$500)+IF($C21="",0,SUMIF('DADOS BRUTOS'!$A$3:$A$500,$C21,'DADOS BRUTOS'!FM$3:FM$500)))</f>
        <v/>
      </c>
      <c r="IN21" s="132">
        <f>IF(OR(IN$4="",$B21=""),0,SUMIF('DADOS BRUTOS'!$A$3:$A$500,$B21,'DADOS BRUTOS'!FN$3:FN$500)+IF($C21="",0,SUMIF('DADOS BRUTOS'!$A$3:$A$500,$C21,'DADOS BRUTOS'!FN$3:FN$500)))</f>
        <v/>
      </c>
      <c r="IO21" s="132">
        <f>IF(OR(IO$4="",$B21=""),0,SUMIF('DADOS BRUTOS'!$A$3:$A$500,$B21,'DADOS BRUTOS'!FO$3:FO$500)+IF($C21="",0,SUMIF('DADOS BRUTOS'!$A$3:$A$500,$C21,'DADOS BRUTOS'!FO$3:FO$500)))</f>
        <v/>
      </c>
      <c r="IP21" s="132">
        <f>IF(OR(IP$4="",$B21=""),0,SUMIF('DADOS BRUTOS'!$A$3:$A$500,$B21,'DADOS BRUTOS'!FP$3:FP$500)+IF($C21="",0,SUMIF('DADOS BRUTOS'!$A$3:$A$500,$C21,'DADOS BRUTOS'!FP$3:FP$500)))</f>
        <v/>
      </c>
      <c r="IQ21" s="132">
        <f>IF(OR(IQ$4="",$B21=""),0,SUMIF('DADOS BRUTOS'!$A$3:$A$500,$B21,'DADOS BRUTOS'!FQ$3:FQ$500)+IF($C21="",0,SUMIF('DADOS BRUTOS'!$A$3:$A$500,$C21,'DADOS BRUTOS'!FQ$3:FQ$500)))</f>
        <v/>
      </c>
      <c r="IR21" s="132">
        <f>IF(OR(IR$4="",$B21=""),0,SUMIF('DADOS BRUTOS'!$A$3:$A$500,$B21,'DADOS BRUTOS'!FR$3:FR$500)+IF($C21="",0,SUMIF('DADOS BRUTOS'!$A$3:$A$500,$C21,'DADOS BRUTOS'!FR$3:FR$500)))</f>
        <v/>
      </c>
      <c r="IS21" s="132">
        <f>IF(OR(IS$4="",$B21=""),0,SUMIF('DADOS BRUTOS'!$A$3:$A$500,$B21,'DADOS BRUTOS'!FS$3:FS$500)+IF($C21="",0,SUMIF('DADOS BRUTOS'!$A$3:$A$500,$C21,'DADOS BRUTOS'!FS$3:FS$500)))</f>
        <v/>
      </c>
      <c r="IT21" s="132">
        <f>IF(OR(IT$4="",$B21=""),0,SUMIF('DADOS BRUTOS'!$A$3:$A$500,$B21,'DADOS BRUTOS'!FT$3:FT$500)+IF($C21="",0,SUMIF('DADOS BRUTOS'!$A$3:$A$500,$C21,'DADOS BRUTOS'!FT$3:FT$500)))</f>
        <v/>
      </c>
      <c r="IU21" s="132">
        <f>IF(OR(IU$4="",$B21=""),0,SUMIF('DADOS BRUTOS'!$A$3:$A$500,$B21,'DADOS BRUTOS'!FU$3:FU$500)+IF($C21="",0,SUMIF('DADOS BRUTOS'!$A$3:$A$500,$C21,'DADOS BRUTOS'!FU$3:FU$500)))</f>
        <v/>
      </c>
      <c r="IV21" s="132">
        <f>IF(OR(IV$4="",$B21=""),0,SUMIF('DADOS BRUTOS'!$A$3:$A$500,$B21,'DADOS BRUTOS'!FV$3:FV$500)+IF($C21="",0,SUMIF('DADOS BRUTOS'!$A$3:$A$500,$C21,'DADOS BRUTOS'!FV$3:FV$500)))</f>
        <v/>
      </c>
      <c r="IW21" s="132">
        <f>IF(OR(IW$4="",$B21=""),0,SUMIF('DADOS BRUTOS'!$A$3:$A$500,$B21,'DADOS BRUTOS'!FW$3:FW$500)+IF($C21="",0,SUMIF('DADOS BRUTOS'!$A$3:$A$500,$C21,'DADOS BRUTOS'!FW$3:FW$500)))</f>
        <v/>
      </c>
      <c r="IX21" s="132">
        <f>IF(OR(IX$4="",$B21=""),0,SUMIF('DADOS BRUTOS'!$A$3:$A$500,$B21,'DADOS BRUTOS'!FX$3:FX$500)+IF($C21="",0,SUMIF('DADOS BRUTOS'!$A$3:$A$500,$C21,'DADOS BRUTOS'!FX$3:FX$500)))</f>
        <v/>
      </c>
      <c r="IY21" s="132">
        <f>IF(OR(IY$4="",$B21=""),0,SUMIF('DADOS BRUTOS'!$A$3:$A$500,$B21,'DADOS BRUTOS'!FY$3:FY$500)+IF($C21="",0,SUMIF('DADOS BRUTOS'!$A$3:$A$500,$C21,'DADOS BRUTOS'!FY$3:FY$500)))</f>
        <v/>
      </c>
      <c r="IZ21" s="132">
        <f>IF(OR(IZ$4="",$B21=""),0,SUMIF('DADOS BRUTOS'!$A$3:$A$500,$B21,'DADOS BRUTOS'!FZ$3:FZ$500)+IF($C21="",0,SUMIF('DADOS BRUTOS'!$A$3:$A$500,$C21,'DADOS BRUTOS'!FZ$3:FZ$500)))</f>
        <v/>
      </c>
      <c r="JA21" s="132">
        <f>IF(OR(JA$4="",$B21=""),0,SUMIF('DADOS BRUTOS'!$A$3:$A$500,$B21,'DADOS BRUTOS'!GA$3:GA$500)+IF($C21="",0,SUMIF('DADOS BRUTOS'!$A$3:$A$500,$C21,'DADOS BRUTOS'!GA$3:GA$500)))</f>
        <v/>
      </c>
      <c r="JB21" s="132">
        <f>IF(OR(JB$4="",$B21=""),0,SUMIF('DADOS BRUTOS'!$A$3:$A$500,$B21,'DADOS BRUTOS'!GB$3:GB$500)+IF($C21="",0,SUMIF('DADOS BRUTOS'!$A$3:$A$500,$C21,'DADOS BRUTOS'!GB$3:GB$500)))</f>
        <v/>
      </c>
      <c r="JC21" s="132">
        <f>IF(OR(JC$4="",$B21=""),0,SUMIF('DADOS BRUTOS'!$A$3:$A$500,$B21,'DADOS BRUTOS'!GC$3:GC$500)+IF($C21="",0,SUMIF('DADOS BRUTOS'!$A$3:$A$500,$C21,'DADOS BRUTOS'!GC$3:GC$500)))</f>
        <v/>
      </c>
      <c r="JD21" s="132">
        <f>IF(OR(JD$4="",$B21=""),0,SUMIF('DADOS BRUTOS'!$A$3:$A$500,$B21,'DADOS BRUTOS'!GD$3:GD$500)+IF($C21="",0,SUMIF('DADOS BRUTOS'!$A$3:$A$500,$C21,'DADOS BRUTOS'!GD$3:GD$500)))</f>
        <v/>
      </c>
      <c r="JE21" s="132">
        <f>IF(OR(JE$4="",$B21=""),0,SUMIF('DADOS BRUTOS'!$A$3:$A$500,$B21,'DADOS BRUTOS'!GE$3:GE$500)+IF($C21="",0,SUMIF('DADOS BRUTOS'!$A$3:$A$500,$C21,'DADOS BRUTOS'!GE$3:GE$500)))</f>
        <v/>
      </c>
      <c r="JF21" s="132">
        <f>IF(OR(JF$4="",$B21=""),0,SUMIF('DADOS BRUTOS'!$A$3:$A$500,$B21,'DADOS BRUTOS'!GF$3:GF$500)+IF($C21="",0,SUMIF('DADOS BRUTOS'!$A$3:$A$500,$C21,'DADOS BRUTOS'!GF$3:GF$500)))</f>
        <v/>
      </c>
      <c r="JG21" s="132">
        <f>IF(OR(JG$4="",$B21=""),0,SUMIF('DADOS BRUTOS'!$A$3:$A$500,$B21,'DADOS BRUTOS'!GG$3:GG$500)+IF($C21="",0,SUMIF('DADOS BRUTOS'!$A$3:$A$500,$C21,'DADOS BRUTOS'!GG$3:GG$500)))</f>
        <v/>
      </c>
      <c r="JH21" s="132">
        <f>IF(OR(JH$4="",$B21=""),0,SUMIF('DADOS BRUTOS'!$A$3:$A$500,$B21,'DADOS BRUTOS'!GH$3:GH$500)+IF($C21="",0,SUMIF('DADOS BRUTOS'!$A$3:$A$500,$C21,'DADOS BRUTOS'!GH$3:GH$500)))</f>
        <v/>
      </c>
      <c r="JI21" s="132">
        <f>IF(OR(JI$4="",$B21=""),0,SUMIF('DADOS BRUTOS'!$A$3:$A$500,$B21,'DADOS BRUTOS'!GI$3:GI$500)+IF($C21="",0,SUMIF('DADOS BRUTOS'!$A$3:$A$500,$C21,'DADOS BRUTOS'!GI$3:GI$500)))</f>
        <v/>
      </c>
      <c r="JJ21" s="132">
        <f>IF(OR(JJ$4="",$B21=""),0,SUMIF('DADOS BRUTOS'!$A$3:$A$500,$B21,'DADOS BRUTOS'!GJ$3:GJ$500)+IF($C21="",0,SUMIF('DADOS BRUTOS'!$A$3:$A$500,$C21,'DADOS BRUTOS'!GJ$3:GJ$500)))</f>
        <v/>
      </c>
      <c r="JK21" s="132">
        <f>IF(OR(JK$4="",$B21=""),0,SUMIF('DADOS BRUTOS'!$A$3:$A$500,$B21,'DADOS BRUTOS'!GK$3:GK$500)+IF($C21="",0,SUMIF('DADOS BRUTOS'!$A$3:$A$500,$C21,'DADOS BRUTOS'!GK$3:GK$500)))</f>
        <v/>
      </c>
      <c r="JL21" s="132">
        <f>IF(OR(JL$4="",$B21=""),0,SUMIF('DADOS BRUTOS'!$A$3:$A$500,$B21,'DADOS BRUTOS'!GL$3:GL$500)+IF($C21="",0,SUMIF('DADOS BRUTOS'!$A$3:$A$500,$C21,'DADOS BRUTOS'!GL$3:GL$500)))</f>
        <v/>
      </c>
      <c r="JM21" s="132">
        <f>IF(OR(JM$4="",$B21=""),0,SUMIF('DADOS BRUTOS'!$A$3:$A$500,$B21,'DADOS BRUTOS'!GM$3:GM$500)+IF($C21="",0,SUMIF('DADOS BRUTOS'!$A$3:$A$500,$C21,'DADOS BRUTOS'!GM$3:GM$500)))</f>
        <v/>
      </c>
      <c r="JN21" s="132">
        <f>IF(OR(JN$4="",$B21=""),0,SUMIF('DADOS BRUTOS'!$A$3:$A$500,$B21,'DADOS BRUTOS'!GN$3:GN$500)+IF($C21="",0,SUMIF('DADOS BRUTOS'!$A$3:$A$500,$C21,'DADOS BRUTOS'!GN$3:GN$500)))</f>
        <v/>
      </c>
      <c r="JO21" s="132">
        <f>IF(OR(JO$4="",$B21=""),0,SUMIF('DADOS BRUTOS'!$A$3:$A$500,$B21,'DADOS BRUTOS'!GO$3:GO$500)+IF($C21="",0,SUMIF('DADOS BRUTOS'!$A$3:$A$500,$C21,'DADOS BRUTOS'!GO$3:GO$500)))</f>
        <v/>
      </c>
      <c r="JP21" s="132">
        <f>IF(OR(JP$4="",$B21=""),0,SUMIF('DADOS BRUTOS'!$A$3:$A$500,$B21,'DADOS BRUTOS'!GP$3:GP$500)+IF($C21="",0,SUMIF('DADOS BRUTOS'!$A$3:$A$500,$C21,'DADOS BRUTOS'!GP$3:GP$500)))</f>
        <v/>
      </c>
      <c r="JQ21" s="132">
        <f>IF(OR(JQ$4="",$B21=""),0,SUMIF('DADOS BRUTOS'!$A$3:$A$500,$B21,'DADOS BRUTOS'!GQ$3:GQ$500)+IF($C21="",0,SUMIF('DADOS BRUTOS'!$A$3:$A$500,$C21,'DADOS BRUTOS'!GQ$3:GQ$500)))</f>
        <v/>
      </c>
      <c r="JR21" s="132">
        <f>IF(OR(JR$4="",$B21=""),0,SUMIF('DADOS BRUTOS'!$A$3:$A$500,$B21,'DADOS BRUTOS'!GR$3:GR$500)+IF($C21="",0,SUMIF('DADOS BRUTOS'!$A$3:$A$500,$C21,'DADOS BRUTOS'!GR$3:GR$500)))</f>
        <v/>
      </c>
      <c r="JS21" s="132">
        <f>IF(OR(JS$4="",$B21=""),0,SUMIF('DADOS BRUTOS'!$A$3:$A$500,$B21,'DADOS BRUTOS'!GS$3:GS$500)+IF($C21="",0,SUMIF('DADOS BRUTOS'!$A$3:$A$500,$C21,'DADOS BRUTOS'!GS$3:GS$500)))</f>
        <v/>
      </c>
    </row>
    <row r="22">
      <c r="A22" s="61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BZ22" s="49">
        <f>SUMPRODUCT(($CB$4:$JS$4&lt;&gt;"")*($CB$4:$JS$4&lt;=$D$4),$CB22:$JS22,$CB$1:$JS$1)</f>
        <v/>
      </c>
      <c r="CB22" s="132">
        <f>IF(OR(CB$4="",$B22=""),0,SUMIF('DADOS BRUTOS'!$A$3:$A$500,$B22,'DADOS BRUTOS'!B$3:B$500)+IF($C22="",0,SUMIF('DADOS BRUTOS'!$A$3:$A$500,$C22,'DADOS BRUTOS'!B$3:B$500)))</f>
        <v/>
      </c>
      <c r="CC22" s="132">
        <f>IF(OR(CC$4="",$B22=""),0,SUMIF('DADOS BRUTOS'!$A$3:$A$500,$B22,'DADOS BRUTOS'!C$3:C$500)+IF($C22="",0,SUMIF('DADOS BRUTOS'!$A$3:$A$500,$C22,'DADOS BRUTOS'!C$3:C$500)))</f>
        <v/>
      </c>
      <c r="CD22" s="132">
        <f>IF(OR(CD$4="",$B22=""),0,SUMIF('DADOS BRUTOS'!$A$3:$A$500,$B22,'DADOS BRUTOS'!D$3:D$500)+IF($C22="",0,SUMIF('DADOS BRUTOS'!$A$3:$A$500,$C22,'DADOS BRUTOS'!D$3:D$500)))</f>
        <v/>
      </c>
      <c r="CE22" s="132">
        <f>IF(OR(CE$4="",$B22=""),0,SUMIF('DADOS BRUTOS'!$A$3:$A$500,$B22,'DADOS BRUTOS'!E$3:E$500)+IF($C22="",0,SUMIF('DADOS BRUTOS'!$A$3:$A$500,$C22,'DADOS BRUTOS'!E$3:E$500)))</f>
        <v/>
      </c>
      <c r="CF22" s="132">
        <f>IF(OR(CF$4="",$B22=""),0,SUMIF('DADOS BRUTOS'!$A$3:$A$500,$B22,'DADOS BRUTOS'!F$3:F$500)+IF($C22="",0,SUMIF('DADOS BRUTOS'!$A$3:$A$500,$C22,'DADOS BRUTOS'!F$3:F$500)))</f>
        <v/>
      </c>
      <c r="CG22" s="132">
        <f>IF(OR(CG$4="",$B22=""),0,SUMIF('DADOS BRUTOS'!$A$3:$A$500,$B22,'DADOS BRUTOS'!G$3:G$500)+IF($C22="",0,SUMIF('DADOS BRUTOS'!$A$3:$A$500,$C22,'DADOS BRUTOS'!G$3:G$500)))</f>
        <v/>
      </c>
      <c r="CH22" s="132">
        <f>IF(OR(CH$4="",$B22=""),0,SUMIF('DADOS BRUTOS'!$A$3:$A$500,$B22,'DADOS BRUTOS'!H$3:H$500)+IF($C22="",0,SUMIF('DADOS BRUTOS'!$A$3:$A$500,$C22,'DADOS BRUTOS'!H$3:H$500)))</f>
        <v/>
      </c>
      <c r="CI22" s="132">
        <f>IF(OR(CI$4="",$B22=""),0,SUMIF('DADOS BRUTOS'!$A$3:$A$500,$B22,'DADOS BRUTOS'!I$3:I$500)+IF($C22="",0,SUMIF('DADOS BRUTOS'!$A$3:$A$500,$C22,'DADOS BRUTOS'!I$3:I$500)))</f>
        <v/>
      </c>
      <c r="CJ22" s="132">
        <f>IF(OR(CJ$4="",$B22=""),0,SUMIF('DADOS BRUTOS'!$A$3:$A$500,$B22,'DADOS BRUTOS'!J$3:J$500)+IF($C22="",0,SUMIF('DADOS BRUTOS'!$A$3:$A$500,$C22,'DADOS BRUTOS'!J$3:J$500)))</f>
        <v/>
      </c>
      <c r="CK22" s="132">
        <f>IF(OR(CK$4="",$B22=""),0,SUMIF('DADOS BRUTOS'!$A$3:$A$500,$B22,'DADOS BRUTOS'!K$3:K$500)+IF($C22="",0,SUMIF('DADOS BRUTOS'!$A$3:$A$500,$C22,'DADOS BRUTOS'!K$3:K$500)))</f>
        <v/>
      </c>
      <c r="CL22" s="132">
        <f>IF(OR(CL$4="",$B22=""),0,SUMIF('DADOS BRUTOS'!$A$3:$A$500,$B22,'DADOS BRUTOS'!L$3:L$500)+IF($C22="",0,SUMIF('DADOS BRUTOS'!$A$3:$A$500,$C22,'DADOS BRUTOS'!L$3:L$500)))</f>
        <v/>
      </c>
      <c r="CM22" s="132">
        <f>IF(OR(CM$4="",$B22=""),0,SUMIF('DADOS BRUTOS'!$A$3:$A$500,$B22,'DADOS BRUTOS'!M$3:M$500)+IF($C22="",0,SUMIF('DADOS BRUTOS'!$A$3:$A$500,$C22,'DADOS BRUTOS'!M$3:M$500)))</f>
        <v/>
      </c>
      <c r="CN22" s="132">
        <f>IF(OR(CN$4="",$B22=""),0,SUMIF('DADOS BRUTOS'!$A$3:$A$500,$B22,'DADOS BRUTOS'!N$3:N$500)+IF($C22="",0,SUMIF('DADOS BRUTOS'!$A$3:$A$500,$C22,'DADOS BRUTOS'!N$3:N$500)))</f>
        <v/>
      </c>
      <c r="CO22" s="132">
        <f>IF(OR(CO$4="",$B22=""),0,SUMIF('DADOS BRUTOS'!$A$3:$A$500,$B22,'DADOS BRUTOS'!O$3:O$500)+IF($C22="",0,SUMIF('DADOS BRUTOS'!$A$3:$A$500,$C22,'DADOS BRUTOS'!O$3:O$500)))</f>
        <v/>
      </c>
      <c r="CP22" s="132">
        <f>IF(OR(CP$4="",$B22=""),0,SUMIF('DADOS BRUTOS'!$A$3:$A$500,$B22,'DADOS BRUTOS'!P$3:P$500)+IF($C22="",0,SUMIF('DADOS BRUTOS'!$A$3:$A$500,$C22,'DADOS BRUTOS'!P$3:P$500)))</f>
        <v/>
      </c>
      <c r="CQ22" s="132">
        <f>IF(OR(CQ$4="",$B22=""),0,SUMIF('DADOS BRUTOS'!$A$3:$A$500,$B22,'DADOS BRUTOS'!Q$3:Q$500)+IF($C22="",0,SUMIF('DADOS BRUTOS'!$A$3:$A$500,$C22,'DADOS BRUTOS'!Q$3:Q$500)))</f>
        <v/>
      </c>
      <c r="CR22" s="132">
        <f>IF(OR(CR$4="",$B22=""),0,SUMIF('DADOS BRUTOS'!$A$3:$A$500,$B22,'DADOS BRUTOS'!R$3:R$500)+IF($C22="",0,SUMIF('DADOS BRUTOS'!$A$3:$A$500,$C22,'DADOS BRUTOS'!R$3:R$500)))</f>
        <v/>
      </c>
      <c r="CS22" s="132">
        <f>IF(OR(CS$4="",$B22=""),0,SUMIF('DADOS BRUTOS'!$A$3:$A$500,$B22,'DADOS BRUTOS'!S$3:S$500)+IF($C22="",0,SUMIF('DADOS BRUTOS'!$A$3:$A$500,$C22,'DADOS BRUTOS'!S$3:S$500)))</f>
        <v/>
      </c>
      <c r="CT22" s="132">
        <f>IF(OR(CT$4="",$B22=""),0,SUMIF('DADOS BRUTOS'!$A$3:$A$500,$B22,'DADOS BRUTOS'!T$3:T$500)+IF($C22="",0,SUMIF('DADOS BRUTOS'!$A$3:$A$500,$C22,'DADOS BRUTOS'!T$3:T$500)))</f>
        <v/>
      </c>
      <c r="CU22" s="132">
        <f>IF(OR(CU$4="",$B22=""),0,SUMIF('DADOS BRUTOS'!$A$3:$A$500,$B22,'DADOS BRUTOS'!U$3:U$500)+IF($C22="",0,SUMIF('DADOS BRUTOS'!$A$3:$A$500,$C22,'DADOS BRUTOS'!U$3:U$500)))</f>
        <v/>
      </c>
      <c r="CV22" s="132">
        <f>IF(OR(CV$4="",$B22=""),0,SUMIF('DADOS BRUTOS'!$A$3:$A$500,$B22,'DADOS BRUTOS'!V$3:V$500)+IF($C22="",0,SUMIF('DADOS BRUTOS'!$A$3:$A$500,$C22,'DADOS BRUTOS'!V$3:V$500)))</f>
        <v/>
      </c>
      <c r="CW22" s="132">
        <f>IF(OR(CW$4="",$B22=""),0,SUMIF('DADOS BRUTOS'!$A$3:$A$500,$B22,'DADOS BRUTOS'!W$3:W$500)+IF($C22="",0,SUMIF('DADOS BRUTOS'!$A$3:$A$500,$C22,'DADOS BRUTOS'!W$3:W$500)))</f>
        <v/>
      </c>
      <c r="CX22" s="132">
        <f>IF(OR(CX$4="",$B22=""),0,SUMIF('DADOS BRUTOS'!$A$3:$A$500,$B22,'DADOS BRUTOS'!X$3:X$500)+IF($C22="",0,SUMIF('DADOS BRUTOS'!$A$3:$A$500,$C22,'DADOS BRUTOS'!X$3:X$500)))</f>
        <v/>
      </c>
      <c r="CY22" s="132">
        <f>IF(OR(CY$4="",$B22=""),0,SUMIF('DADOS BRUTOS'!$A$3:$A$500,$B22,'DADOS BRUTOS'!Y$3:Y$500)+IF($C22="",0,SUMIF('DADOS BRUTOS'!$A$3:$A$500,$C22,'DADOS BRUTOS'!Y$3:Y$500)))</f>
        <v/>
      </c>
      <c r="CZ22" s="132">
        <f>IF(OR(CZ$4="",$B22=""),0,SUMIF('DADOS BRUTOS'!$A$3:$A$500,$B22,'DADOS BRUTOS'!Z$3:Z$500)+IF($C22="",0,SUMIF('DADOS BRUTOS'!$A$3:$A$500,$C22,'DADOS BRUTOS'!Z$3:Z$500)))</f>
        <v/>
      </c>
      <c r="DA22" s="132">
        <f>IF(OR(DA$4="",$B22=""),0,SUMIF('DADOS BRUTOS'!$A$3:$A$500,$B22,'DADOS BRUTOS'!AA$3:AA$500)+IF($C22="",0,SUMIF('DADOS BRUTOS'!$A$3:$A$500,$C22,'DADOS BRUTOS'!AA$3:AA$500)))</f>
        <v/>
      </c>
      <c r="DB22" s="132">
        <f>IF(OR(DB$4="",$B22=""),0,SUMIF('DADOS BRUTOS'!$A$3:$A$500,$B22,'DADOS BRUTOS'!AB$3:AB$500)+IF($C22="",0,SUMIF('DADOS BRUTOS'!$A$3:$A$500,$C22,'DADOS BRUTOS'!AB$3:AB$500)))</f>
        <v/>
      </c>
      <c r="DC22" s="132">
        <f>IF(OR(DC$4="",$B22=""),0,SUMIF('DADOS BRUTOS'!$A$3:$A$500,$B22,'DADOS BRUTOS'!AC$3:AC$500)+IF($C22="",0,SUMIF('DADOS BRUTOS'!$A$3:$A$500,$C22,'DADOS BRUTOS'!AC$3:AC$500)))</f>
        <v/>
      </c>
      <c r="DD22" s="132">
        <f>IF(OR(DD$4="",$B22=""),0,SUMIF('DADOS BRUTOS'!$A$3:$A$500,$B22,'DADOS BRUTOS'!AD$3:AD$500)+IF($C22="",0,SUMIF('DADOS BRUTOS'!$A$3:$A$500,$C22,'DADOS BRUTOS'!AD$3:AD$500)))</f>
        <v/>
      </c>
      <c r="DE22" s="132">
        <f>IF(OR(DE$4="",$B22=""),0,SUMIF('DADOS BRUTOS'!$A$3:$A$500,$B22,'DADOS BRUTOS'!AE$3:AE$500)+IF($C22="",0,SUMIF('DADOS BRUTOS'!$A$3:$A$500,$C22,'DADOS BRUTOS'!AE$3:AE$500)))</f>
        <v/>
      </c>
      <c r="DF22" s="132">
        <f>IF(OR(DF$4="",$B22=""),0,SUMIF('DADOS BRUTOS'!$A$3:$A$500,$B22,'DADOS BRUTOS'!AF$3:AF$500)+IF($C22="",0,SUMIF('DADOS BRUTOS'!$A$3:$A$500,$C22,'DADOS BRUTOS'!AF$3:AF$500)))</f>
        <v/>
      </c>
      <c r="DG22" s="132">
        <f>IF(OR(DG$4="",$B22=""),0,SUMIF('DADOS BRUTOS'!$A$3:$A$500,$B22,'DADOS BRUTOS'!AG$3:AG$500)+IF($C22="",0,SUMIF('DADOS BRUTOS'!$A$3:$A$500,$C22,'DADOS BRUTOS'!AG$3:AG$500)))</f>
        <v/>
      </c>
      <c r="DH22" s="132">
        <f>IF(OR(DH$4="",$B22=""),0,SUMIF('DADOS BRUTOS'!$A$3:$A$500,$B22,'DADOS BRUTOS'!AH$3:AH$500)+IF($C22="",0,SUMIF('DADOS BRUTOS'!$A$3:$A$500,$C22,'DADOS BRUTOS'!AH$3:AH$500)))</f>
        <v/>
      </c>
      <c r="DI22" s="132">
        <f>IF(OR(DI$4="",$B22=""),0,SUMIF('DADOS BRUTOS'!$A$3:$A$500,$B22,'DADOS BRUTOS'!AI$3:AI$500)+IF($C22="",0,SUMIF('DADOS BRUTOS'!$A$3:$A$500,$C22,'DADOS BRUTOS'!AI$3:AI$500)))</f>
        <v/>
      </c>
      <c r="DJ22" s="132">
        <f>IF(OR(DJ$4="",$B22=""),0,SUMIF('DADOS BRUTOS'!$A$3:$A$500,$B22,'DADOS BRUTOS'!AJ$3:AJ$500)+IF($C22="",0,SUMIF('DADOS BRUTOS'!$A$3:$A$500,$C22,'DADOS BRUTOS'!AJ$3:AJ$500)))</f>
        <v/>
      </c>
      <c r="DK22" s="132">
        <f>IF(OR(DK$4="",$B22=""),0,SUMIF('DADOS BRUTOS'!$A$3:$A$500,$B22,'DADOS BRUTOS'!AK$3:AK$500)+IF($C22="",0,SUMIF('DADOS BRUTOS'!$A$3:$A$500,$C22,'DADOS BRUTOS'!AK$3:AK$500)))</f>
        <v/>
      </c>
      <c r="DL22" s="132">
        <f>IF(OR(DL$4="",$B22=""),0,SUMIF('DADOS BRUTOS'!$A$3:$A$500,$B22,'DADOS BRUTOS'!AL$3:AL$500)+IF($C22="",0,SUMIF('DADOS BRUTOS'!$A$3:$A$500,$C22,'DADOS BRUTOS'!AL$3:AL$500)))</f>
        <v/>
      </c>
      <c r="DM22" s="132">
        <f>IF(OR(DM$4="",$B22=""),0,SUMIF('DADOS BRUTOS'!$A$3:$A$500,$B22,'DADOS BRUTOS'!AM$3:AM$500)+IF($C22="",0,SUMIF('DADOS BRUTOS'!$A$3:$A$500,$C22,'DADOS BRUTOS'!AM$3:AM$500)))</f>
        <v/>
      </c>
      <c r="DN22" s="132">
        <f>IF(OR(DN$4="",$B22=""),0,SUMIF('DADOS BRUTOS'!$A$3:$A$500,$B22,'DADOS BRUTOS'!AN$3:AN$500)+IF($C22="",0,SUMIF('DADOS BRUTOS'!$A$3:$A$500,$C22,'DADOS BRUTOS'!AN$3:AN$500)))</f>
        <v/>
      </c>
      <c r="DO22" s="132">
        <f>IF(OR(DO$4="",$B22=""),0,SUMIF('DADOS BRUTOS'!$A$3:$A$500,$B22,'DADOS BRUTOS'!AO$3:AO$500)+IF($C22="",0,SUMIF('DADOS BRUTOS'!$A$3:$A$500,$C22,'DADOS BRUTOS'!AO$3:AO$500)))</f>
        <v/>
      </c>
      <c r="DP22" s="132">
        <f>IF(OR(DP$4="",$B22=""),0,SUMIF('DADOS BRUTOS'!$A$3:$A$500,$B22,'DADOS BRUTOS'!AP$3:AP$500)+IF($C22="",0,SUMIF('DADOS BRUTOS'!$A$3:$A$500,$C22,'DADOS BRUTOS'!AP$3:AP$500)))</f>
        <v/>
      </c>
      <c r="DQ22" s="132">
        <f>IF(OR(DQ$4="",$B22=""),0,SUMIF('DADOS BRUTOS'!$A$3:$A$500,$B22,'DADOS BRUTOS'!AQ$3:AQ$500)+IF($C22="",0,SUMIF('DADOS BRUTOS'!$A$3:$A$500,$C22,'DADOS BRUTOS'!AQ$3:AQ$500)))</f>
        <v/>
      </c>
      <c r="DR22" s="132">
        <f>IF(OR(DR$4="",$B22=""),0,SUMIF('DADOS BRUTOS'!$A$3:$A$500,$B22,'DADOS BRUTOS'!AR$3:AR$500)+IF($C22="",0,SUMIF('DADOS BRUTOS'!$A$3:$A$500,$C22,'DADOS BRUTOS'!AR$3:AR$500)))</f>
        <v/>
      </c>
      <c r="DS22" s="132">
        <f>IF(OR(DS$4="",$B22=""),0,SUMIF('DADOS BRUTOS'!$A$3:$A$500,$B22,'DADOS BRUTOS'!AS$3:AS$500)+IF($C22="",0,SUMIF('DADOS BRUTOS'!$A$3:$A$500,$C22,'DADOS BRUTOS'!AS$3:AS$500)))</f>
        <v/>
      </c>
      <c r="DT22" s="132">
        <f>IF(OR(DT$4="",$B22=""),0,SUMIF('DADOS BRUTOS'!$A$3:$A$500,$B22,'DADOS BRUTOS'!AT$3:AT$500)+IF($C22="",0,SUMIF('DADOS BRUTOS'!$A$3:$A$500,$C22,'DADOS BRUTOS'!AT$3:AT$500)))</f>
        <v/>
      </c>
      <c r="DU22" s="132">
        <f>IF(OR(DU$4="",$B22=""),0,SUMIF('DADOS BRUTOS'!$A$3:$A$500,$B22,'DADOS BRUTOS'!AU$3:AU$500)+IF($C22="",0,SUMIF('DADOS BRUTOS'!$A$3:$A$500,$C22,'DADOS BRUTOS'!AU$3:AU$500)))</f>
        <v/>
      </c>
      <c r="DV22" s="132">
        <f>IF(OR(DV$4="",$B22=""),0,SUMIF('DADOS BRUTOS'!$A$3:$A$500,$B22,'DADOS BRUTOS'!AV$3:AV$500)+IF($C22="",0,SUMIF('DADOS BRUTOS'!$A$3:$A$500,$C22,'DADOS BRUTOS'!AV$3:AV$500)))</f>
        <v/>
      </c>
      <c r="DW22" s="132">
        <f>IF(OR(DW$4="",$B22=""),0,SUMIF('DADOS BRUTOS'!$A$3:$A$500,$B22,'DADOS BRUTOS'!AW$3:AW$500)+IF($C22="",0,SUMIF('DADOS BRUTOS'!$A$3:$A$500,$C22,'DADOS BRUTOS'!AW$3:AW$500)))</f>
        <v/>
      </c>
      <c r="DX22" s="132">
        <f>IF(OR(DX$4="",$B22=""),0,SUMIF('DADOS BRUTOS'!$A$3:$A$500,$B22,'DADOS BRUTOS'!AX$3:AX$500)+IF($C22="",0,SUMIF('DADOS BRUTOS'!$A$3:$A$500,$C22,'DADOS BRUTOS'!AX$3:AX$500)))</f>
        <v/>
      </c>
      <c r="DY22" s="132">
        <f>IF(OR(DY$4="",$B22=""),0,SUMIF('DADOS BRUTOS'!$A$3:$A$500,$B22,'DADOS BRUTOS'!AY$3:AY$500)+IF($C22="",0,SUMIF('DADOS BRUTOS'!$A$3:$A$500,$C22,'DADOS BRUTOS'!AY$3:AY$500)))</f>
        <v/>
      </c>
      <c r="DZ22" s="132">
        <f>IF(OR(DZ$4="",$B22=""),0,SUMIF('DADOS BRUTOS'!$A$3:$A$500,$B22,'DADOS BRUTOS'!AZ$3:AZ$500)+IF($C22="",0,SUMIF('DADOS BRUTOS'!$A$3:$A$500,$C22,'DADOS BRUTOS'!AZ$3:AZ$500)))</f>
        <v/>
      </c>
      <c r="EA22" s="132">
        <f>IF(OR(EA$4="",$B22=""),0,SUMIF('DADOS BRUTOS'!$A$3:$A$500,$B22,'DADOS BRUTOS'!BA$3:BA$500)+IF($C22="",0,SUMIF('DADOS BRUTOS'!$A$3:$A$500,$C22,'DADOS BRUTOS'!BA$3:BA$500)))</f>
        <v/>
      </c>
      <c r="EB22" s="132">
        <f>IF(OR(EB$4="",$B22=""),0,SUMIF('DADOS BRUTOS'!$A$3:$A$500,$B22,'DADOS BRUTOS'!BB$3:BB$500)+IF($C22="",0,SUMIF('DADOS BRUTOS'!$A$3:$A$500,$C22,'DADOS BRUTOS'!BB$3:BB$500)))</f>
        <v/>
      </c>
      <c r="EC22" s="132">
        <f>IF(OR(EC$4="",$B22=""),0,SUMIF('DADOS BRUTOS'!$A$3:$A$500,$B22,'DADOS BRUTOS'!BC$3:BC$500)+IF($C22="",0,SUMIF('DADOS BRUTOS'!$A$3:$A$500,$C22,'DADOS BRUTOS'!BC$3:BC$500)))</f>
        <v/>
      </c>
      <c r="ED22" s="132">
        <f>IF(OR(ED$4="",$B22=""),0,SUMIF('DADOS BRUTOS'!$A$3:$A$500,$B22,'DADOS BRUTOS'!BD$3:BD$500)+IF($C22="",0,SUMIF('DADOS BRUTOS'!$A$3:$A$500,$C22,'DADOS BRUTOS'!BD$3:BD$500)))</f>
        <v/>
      </c>
      <c r="EE22" s="132">
        <f>IF(OR(EE$4="",$B22=""),0,SUMIF('DADOS BRUTOS'!$A$3:$A$500,$B22,'DADOS BRUTOS'!BE$3:BE$500)+IF($C22="",0,SUMIF('DADOS BRUTOS'!$A$3:$A$500,$C22,'DADOS BRUTOS'!BE$3:BE$500)))</f>
        <v/>
      </c>
      <c r="EF22" s="132">
        <f>IF(OR(EF$4="",$B22=""),0,SUMIF('DADOS BRUTOS'!$A$3:$A$500,$B22,'DADOS BRUTOS'!BF$3:BF$500)+IF($C22="",0,SUMIF('DADOS BRUTOS'!$A$3:$A$500,$C22,'DADOS BRUTOS'!BF$3:BF$500)))</f>
        <v/>
      </c>
      <c r="EG22" s="132">
        <f>IF(OR(EG$4="",$B22=""),0,SUMIF('DADOS BRUTOS'!$A$3:$A$500,$B22,'DADOS BRUTOS'!BG$3:BG$500)+IF($C22="",0,SUMIF('DADOS BRUTOS'!$A$3:$A$500,$C22,'DADOS BRUTOS'!BG$3:BG$500)))</f>
        <v/>
      </c>
      <c r="EH22" s="132">
        <f>IF(OR(EH$4="",$B22=""),0,SUMIF('DADOS BRUTOS'!$A$3:$A$500,$B22,'DADOS BRUTOS'!BH$3:BH$500)+IF($C22="",0,SUMIF('DADOS BRUTOS'!$A$3:$A$500,$C22,'DADOS BRUTOS'!BH$3:BH$500)))</f>
        <v/>
      </c>
      <c r="EI22" s="132">
        <f>IF(OR(EI$4="",$B22=""),0,SUMIF('DADOS BRUTOS'!$A$3:$A$500,$B22,'DADOS BRUTOS'!BI$3:BI$500)+IF($C22="",0,SUMIF('DADOS BRUTOS'!$A$3:$A$500,$C22,'DADOS BRUTOS'!BI$3:BI$500)))</f>
        <v/>
      </c>
      <c r="EJ22" s="132">
        <f>IF(OR(EJ$4="",$B22=""),0,SUMIF('DADOS BRUTOS'!$A$3:$A$500,$B22,'DADOS BRUTOS'!BJ$3:BJ$500)+IF($C22="",0,SUMIF('DADOS BRUTOS'!$A$3:$A$500,$C22,'DADOS BRUTOS'!BJ$3:BJ$500)))</f>
        <v/>
      </c>
      <c r="EK22" s="132">
        <f>IF(OR(EK$4="",$B22=""),0,SUMIF('DADOS BRUTOS'!$A$3:$A$500,$B22,'DADOS BRUTOS'!BK$3:BK$500)+IF($C22="",0,SUMIF('DADOS BRUTOS'!$A$3:$A$500,$C22,'DADOS BRUTOS'!BK$3:BK$500)))</f>
        <v/>
      </c>
      <c r="EL22" s="132">
        <f>IF(OR(EL$4="",$B22=""),0,SUMIF('DADOS BRUTOS'!$A$3:$A$500,$B22,'DADOS BRUTOS'!BL$3:BL$500)+IF($C22="",0,SUMIF('DADOS BRUTOS'!$A$3:$A$500,$C22,'DADOS BRUTOS'!BL$3:BL$500)))</f>
        <v/>
      </c>
      <c r="EM22" s="132">
        <f>IF(OR(EM$4="",$B22=""),0,SUMIF('DADOS BRUTOS'!$A$3:$A$500,$B22,'DADOS BRUTOS'!BM$3:BM$500)+IF($C22="",0,SUMIF('DADOS BRUTOS'!$A$3:$A$500,$C22,'DADOS BRUTOS'!BM$3:BM$500)))</f>
        <v/>
      </c>
      <c r="EN22" s="132">
        <f>IF(OR(EN$4="",$B22=""),0,SUMIF('DADOS BRUTOS'!$A$3:$A$500,$B22,'DADOS BRUTOS'!BN$3:BN$500)+IF($C22="",0,SUMIF('DADOS BRUTOS'!$A$3:$A$500,$C22,'DADOS BRUTOS'!BN$3:BN$500)))</f>
        <v/>
      </c>
      <c r="EO22" s="132">
        <f>IF(OR(EO$4="",$B22=""),0,SUMIF('DADOS BRUTOS'!$A$3:$A$500,$B22,'DADOS BRUTOS'!BO$3:BO$500)+IF($C22="",0,SUMIF('DADOS BRUTOS'!$A$3:$A$500,$C22,'DADOS BRUTOS'!BO$3:BO$500)))</f>
        <v/>
      </c>
      <c r="EP22" s="132">
        <f>IF(OR(EP$4="",$B22=""),0,SUMIF('DADOS BRUTOS'!$A$3:$A$500,$B22,'DADOS BRUTOS'!BP$3:BP$500)+IF($C22="",0,SUMIF('DADOS BRUTOS'!$A$3:$A$500,$C22,'DADOS BRUTOS'!BP$3:BP$500)))</f>
        <v/>
      </c>
      <c r="EQ22" s="132">
        <f>IF(OR(EQ$4="",$B22=""),0,SUMIF('DADOS BRUTOS'!$A$3:$A$500,$B22,'DADOS BRUTOS'!BQ$3:BQ$500)+IF($C22="",0,SUMIF('DADOS BRUTOS'!$A$3:$A$500,$C22,'DADOS BRUTOS'!BQ$3:BQ$500)))</f>
        <v/>
      </c>
      <c r="ER22" s="132">
        <f>IF(OR(ER$4="",$B22=""),0,SUMIF('DADOS BRUTOS'!$A$3:$A$500,$B22,'DADOS BRUTOS'!BR$3:BR$500)+IF($C22="",0,SUMIF('DADOS BRUTOS'!$A$3:$A$500,$C22,'DADOS BRUTOS'!BR$3:BR$500)))</f>
        <v/>
      </c>
      <c r="ES22" s="132">
        <f>IF(OR(ES$4="",$B22=""),0,SUMIF('DADOS BRUTOS'!$A$3:$A$500,$B22,'DADOS BRUTOS'!BS$3:BS$500)+IF($C22="",0,SUMIF('DADOS BRUTOS'!$A$3:$A$500,$C22,'DADOS BRUTOS'!BS$3:BS$500)))</f>
        <v/>
      </c>
      <c r="ET22" s="132">
        <f>IF(OR(ET$4="",$B22=""),0,SUMIF('DADOS BRUTOS'!$A$3:$A$500,$B22,'DADOS BRUTOS'!BT$3:BT$500)+IF($C22="",0,SUMIF('DADOS BRUTOS'!$A$3:$A$500,$C22,'DADOS BRUTOS'!BT$3:BT$500)))</f>
        <v/>
      </c>
      <c r="EU22" s="132">
        <f>IF(OR(EU$4="",$B22=""),0,SUMIF('DADOS BRUTOS'!$A$3:$A$500,$B22,'DADOS BRUTOS'!BU$3:BU$500)+IF($C22="",0,SUMIF('DADOS BRUTOS'!$A$3:$A$500,$C22,'DADOS BRUTOS'!BU$3:BU$500)))</f>
        <v/>
      </c>
      <c r="EV22" s="132">
        <f>IF(OR(EV$4="",$B22=""),0,SUMIF('DADOS BRUTOS'!$A$3:$A$500,$B22,'DADOS BRUTOS'!BV$3:BV$500)+IF($C22="",0,SUMIF('DADOS BRUTOS'!$A$3:$A$500,$C22,'DADOS BRUTOS'!BV$3:BV$500)))</f>
        <v/>
      </c>
      <c r="EW22" s="132">
        <f>IF(OR(EW$4="",$B22=""),0,SUMIF('DADOS BRUTOS'!$A$3:$A$500,$B22,'DADOS BRUTOS'!BW$3:BW$500)+IF($C22="",0,SUMIF('DADOS BRUTOS'!$A$3:$A$500,$C22,'DADOS BRUTOS'!BW$3:BW$500)))</f>
        <v/>
      </c>
      <c r="EX22" s="132">
        <f>IF(OR(EX$4="",$B22=""),0,SUMIF('DADOS BRUTOS'!$A$3:$A$500,$B22,'DADOS BRUTOS'!BX$3:BX$500)+IF($C22="",0,SUMIF('DADOS BRUTOS'!$A$3:$A$500,$C22,'DADOS BRUTOS'!BX$3:BX$500)))</f>
        <v/>
      </c>
      <c r="EY22" s="132">
        <f>IF(OR(EY$4="",$B22=""),0,SUMIF('DADOS BRUTOS'!$A$3:$A$500,$B22,'DADOS BRUTOS'!BY$3:BY$500)+IF($C22="",0,SUMIF('DADOS BRUTOS'!$A$3:$A$500,$C22,'DADOS BRUTOS'!BY$3:BY$500)))</f>
        <v/>
      </c>
      <c r="EZ22" s="132">
        <f>IF(OR(EZ$4="",$B22=""),0,SUMIF('DADOS BRUTOS'!$A$3:$A$500,$B22,'DADOS BRUTOS'!BZ$3:BZ$500)+IF($C22="",0,SUMIF('DADOS BRUTOS'!$A$3:$A$500,$C22,'DADOS BRUTOS'!BZ$3:BZ$500)))</f>
        <v/>
      </c>
      <c r="FA22" s="132">
        <f>IF(OR(FA$4="",$B22=""),0,SUMIF('DADOS BRUTOS'!$A$3:$A$500,$B22,'DADOS BRUTOS'!CA$3:CA$500)+IF($C22="",0,SUMIF('DADOS BRUTOS'!$A$3:$A$500,$C22,'DADOS BRUTOS'!CA$3:CA$500)))</f>
        <v/>
      </c>
      <c r="FB22" s="132">
        <f>IF(OR(FB$4="",$B22=""),0,SUMIF('DADOS BRUTOS'!$A$3:$A$500,$B22,'DADOS BRUTOS'!CB$3:CB$500)+IF($C22="",0,SUMIF('DADOS BRUTOS'!$A$3:$A$500,$C22,'DADOS BRUTOS'!CB$3:CB$500)))</f>
        <v/>
      </c>
      <c r="FC22" s="132">
        <f>IF(OR(FC$4="",$B22=""),0,SUMIF('DADOS BRUTOS'!$A$3:$A$500,$B22,'DADOS BRUTOS'!CC$3:CC$500)+IF($C22="",0,SUMIF('DADOS BRUTOS'!$A$3:$A$500,$C22,'DADOS BRUTOS'!CC$3:CC$500)))</f>
        <v/>
      </c>
      <c r="FD22" s="132">
        <f>IF(OR(FD$4="",$B22=""),0,SUMIF('DADOS BRUTOS'!$A$3:$A$500,$B22,'DADOS BRUTOS'!CD$3:CD$500)+IF($C22="",0,SUMIF('DADOS BRUTOS'!$A$3:$A$500,$C22,'DADOS BRUTOS'!CD$3:CD$500)))</f>
        <v/>
      </c>
      <c r="FE22" s="132">
        <f>IF(OR(FE$4="",$B22=""),0,SUMIF('DADOS BRUTOS'!$A$3:$A$500,$B22,'DADOS BRUTOS'!CE$3:CE$500)+IF($C22="",0,SUMIF('DADOS BRUTOS'!$A$3:$A$500,$C22,'DADOS BRUTOS'!CE$3:CE$500)))</f>
        <v/>
      </c>
      <c r="FF22" s="132">
        <f>IF(OR(FF$4="",$B22=""),0,SUMIF('DADOS BRUTOS'!$A$3:$A$500,$B22,'DADOS BRUTOS'!CF$3:CF$500)+IF($C22="",0,SUMIF('DADOS BRUTOS'!$A$3:$A$500,$C22,'DADOS BRUTOS'!CF$3:CF$500)))</f>
        <v/>
      </c>
      <c r="FG22" s="132">
        <f>IF(OR(FG$4="",$B22=""),0,SUMIF('DADOS BRUTOS'!$A$3:$A$500,$B22,'DADOS BRUTOS'!CG$3:CG$500)+IF($C22="",0,SUMIF('DADOS BRUTOS'!$A$3:$A$500,$C22,'DADOS BRUTOS'!CG$3:CG$500)))</f>
        <v/>
      </c>
      <c r="FH22" s="132">
        <f>IF(OR(FH$4="",$B22=""),0,SUMIF('DADOS BRUTOS'!$A$3:$A$500,$B22,'DADOS BRUTOS'!CH$3:CH$500)+IF($C22="",0,SUMIF('DADOS BRUTOS'!$A$3:$A$500,$C22,'DADOS BRUTOS'!CH$3:CH$500)))</f>
        <v/>
      </c>
      <c r="FI22" s="132">
        <f>IF(OR(FI$4="",$B22=""),0,SUMIF('DADOS BRUTOS'!$A$3:$A$500,$B22,'DADOS BRUTOS'!CI$3:CI$500)+IF($C22="",0,SUMIF('DADOS BRUTOS'!$A$3:$A$500,$C22,'DADOS BRUTOS'!CI$3:CI$500)))</f>
        <v/>
      </c>
      <c r="FJ22" s="132">
        <f>IF(OR(FJ$4="",$B22=""),0,SUMIF('DADOS BRUTOS'!$A$3:$A$500,$B22,'DADOS BRUTOS'!CJ$3:CJ$500)+IF($C22="",0,SUMIF('DADOS BRUTOS'!$A$3:$A$500,$C22,'DADOS BRUTOS'!CJ$3:CJ$500)))</f>
        <v/>
      </c>
      <c r="FK22" s="132">
        <f>IF(OR(FK$4="",$B22=""),0,SUMIF('DADOS BRUTOS'!$A$3:$A$500,$B22,'DADOS BRUTOS'!CK$3:CK$500)+IF($C22="",0,SUMIF('DADOS BRUTOS'!$A$3:$A$500,$C22,'DADOS BRUTOS'!CK$3:CK$500)))</f>
        <v/>
      </c>
      <c r="FL22" s="132">
        <f>IF(OR(FL$4="",$B22=""),0,SUMIF('DADOS BRUTOS'!$A$3:$A$500,$B22,'DADOS BRUTOS'!CL$3:CL$500)+IF($C22="",0,SUMIF('DADOS BRUTOS'!$A$3:$A$500,$C22,'DADOS BRUTOS'!CL$3:CL$500)))</f>
        <v/>
      </c>
      <c r="FM22" s="132">
        <f>IF(OR(FM$4="",$B22=""),0,SUMIF('DADOS BRUTOS'!$A$3:$A$500,$B22,'DADOS BRUTOS'!CM$3:CM$500)+IF($C22="",0,SUMIF('DADOS BRUTOS'!$A$3:$A$500,$C22,'DADOS BRUTOS'!CM$3:CM$500)))</f>
        <v/>
      </c>
      <c r="FN22" s="132">
        <f>IF(OR(FN$4="",$B22=""),0,SUMIF('DADOS BRUTOS'!$A$3:$A$500,$B22,'DADOS BRUTOS'!CN$3:CN$500)+IF($C22="",0,SUMIF('DADOS BRUTOS'!$A$3:$A$500,$C22,'DADOS BRUTOS'!CN$3:CN$500)))</f>
        <v/>
      </c>
      <c r="FO22" s="132">
        <f>IF(OR(FO$4="",$B22=""),0,SUMIF('DADOS BRUTOS'!$A$3:$A$500,$B22,'DADOS BRUTOS'!CO$3:CO$500)+IF($C22="",0,SUMIF('DADOS BRUTOS'!$A$3:$A$500,$C22,'DADOS BRUTOS'!CO$3:CO$500)))</f>
        <v/>
      </c>
      <c r="FP22" s="132">
        <f>IF(OR(FP$4="",$B22=""),0,SUMIF('DADOS BRUTOS'!$A$3:$A$500,$B22,'DADOS BRUTOS'!CP$3:CP$500)+IF($C22="",0,SUMIF('DADOS BRUTOS'!$A$3:$A$500,$C22,'DADOS BRUTOS'!CP$3:CP$500)))</f>
        <v/>
      </c>
      <c r="FQ22" s="132">
        <f>IF(OR(FQ$4="",$B22=""),0,SUMIF('DADOS BRUTOS'!$A$3:$A$500,$B22,'DADOS BRUTOS'!CQ$3:CQ$500)+IF($C22="",0,SUMIF('DADOS BRUTOS'!$A$3:$A$500,$C22,'DADOS BRUTOS'!CQ$3:CQ$500)))</f>
        <v/>
      </c>
      <c r="FR22" s="132">
        <f>IF(OR(FR$4="",$B22=""),0,SUMIF('DADOS BRUTOS'!$A$3:$A$500,$B22,'DADOS BRUTOS'!CR$3:CR$500)+IF($C22="",0,SUMIF('DADOS BRUTOS'!$A$3:$A$500,$C22,'DADOS BRUTOS'!CR$3:CR$500)))</f>
        <v/>
      </c>
      <c r="FS22" s="132">
        <f>IF(OR(FS$4="",$B22=""),0,SUMIF('DADOS BRUTOS'!$A$3:$A$500,$B22,'DADOS BRUTOS'!CS$3:CS$500)+IF($C22="",0,SUMIF('DADOS BRUTOS'!$A$3:$A$500,$C22,'DADOS BRUTOS'!CS$3:CS$500)))</f>
        <v/>
      </c>
      <c r="FT22" s="132">
        <f>IF(OR(FT$4="",$B22=""),0,SUMIF('DADOS BRUTOS'!$A$3:$A$500,$B22,'DADOS BRUTOS'!CT$3:CT$500)+IF($C22="",0,SUMIF('DADOS BRUTOS'!$A$3:$A$500,$C22,'DADOS BRUTOS'!CT$3:CT$500)))</f>
        <v/>
      </c>
      <c r="FU22" s="132">
        <f>IF(OR(FU$4="",$B22=""),0,SUMIF('DADOS BRUTOS'!$A$3:$A$500,$B22,'DADOS BRUTOS'!CU$3:CU$500)+IF($C22="",0,SUMIF('DADOS BRUTOS'!$A$3:$A$500,$C22,'DADOS BRUTOS'!CU$3:CU$500)))</f>
        <v/>
      </c>
      <c r="FV22" s="132">
        <f>IF(OR(FV$4="",$B22=""),0,SUMIF('DADOS BRUTOS'!$A$3:$A$500,$B22,'DADOS BRUTOS'!CV$3:CV$500)+IF($C22="",0,SUMIF('DADOS BRUTOS'!$A$3:$A$500,$C22,'DADOS BRUTOS'!CV$3:CV$500)))</f>
        <v/>
      </c>
      <c r="FW22" s="132">
        <f>IF(OR(FW$4="",$B22=""),0,SUMIF('DADOS BRUTOS'!$A$3:$A$500,$B22,'DADOS BRUTOS'!CW$3:CW$500)+IF($C22="",0,SUMIF('DADOS BRUTOS'!$A$3:$A$500,$C22,'DADOS BRUTOS'!CW$3:CW$500)))</f>
        <v/>
      </c>
      <c r="FX22" s="132">
        <f>IF(OR(FX$4="",$B22=""),0,SUMIF('DADOS BRUTOS'!$A$3:$A$500,$B22,'DADOS BRUTOS'!CX$3:CX$500)+IF($C22="",0,SUMIF('DADOS BRUTOS'!$A$3:$A$500,$C22,'DADOS BRUTOS'!CX$3:CX$500)))</f>
        <v/>
      </c>
      <c r="FY22" s="132">
        <f>IF(OR(FY$4="",$B22=""),0,SUMIF('DADOS BRUTOS'!$A$3:$A$500,$B22,'DADOS BRUTOS'!CY$3:CY$500)+IF($C22="",0,SUMIF('DADOS BRUTOS'!$A$3:$A$500,$C22,'DADOS BRUTOS'!CY$3:CY$500)))</f>
        <v/>
      </c>
      <c r="FZ22" s="132">
        <f>IF(OR(FZ$4="",$B22=""),0,SUMIF('DADOS BRUTOS'!$A$3:$A$500,$B22,'DADOS BRUTOS'!CZ$3:CZ$500)+IF($C22="",0,SUMIF('DADOS BRUTOS'!$A$3:$A$500,$C22,'DADOS BRUTOS'!CZ$3:CZ$500)))</f>
        <v/>
      </c>
      <c r="GA22" s="132">
        <f>IF(OR(GA$4="",$B22=""),0,SUMIF('DADOS BRUTOS'!$A$3:$A$500,$B22,'DADOS BRUTOS'!DA$3:DA$500)+IF($C22="",0,SUMIF('DADOS BRUTOS'!$A$3:$A$500,$C22,'DADOS BRUTOS'!DA$3:DA$500)))</f>
        <v/>
      </c>
      <c r="GB22" s="132">
        <f>IF(OR(GB$4="",$B22=""),0,SUMIF('DADOS BRUTOS'!$A$3:$A$500,$B22,'DADOS BRUTOS'!DB$3:DB$500)+IF($C22="",0,SUMIF('DADOS BRUTOS'!$A$3:$A$500,$C22,'DADOS BRUTOS'!DB$3:DB$500)))</f>
        <v/>
      </c>
      <c r="GC22" s="132">
        <f>IF(OR(GC$4="",$B22=""),0,SUMIF('DADOS BRUTOS'!$A$3:$A$500,$B22,'DADOS BRUTOS'!DC$3:DC$500)+IF($C22="",0,SUMIF('DADOS BRUTOS'!$A$3:$A$500,$C22,'DADOS BRUTOS'!DC$3:DC$500)))</f>
        <v/>
      </c>
      <c r="GD22" s="132">
        <f>IF(OR(GD$4="",$B22=""),0,SUMIF('DADOS BRUTOS'!$A$3:$A$500,$B22,'DADOS BRUTOS'!DD$3:DD$500)+IF($C22="",0,SUMIF('DADOS BRUTOS'!$A$3:$A$500,$C22,'DADOS BRUTOS'!DD$3:DD$500)))</f>
        <v/>
      </c>
      <c r="GE22" s="132">
        <f>IF(OR(GE$4="",$B22=""),0,SUMIF('DADOS BRUTOS'!$A$3:$A$500,$B22,'DADOS BRUTOS'!DE$3:DE$500)+IF($C22="",0,SUMIF('DADOS BRUTOS'!$A$3:$A$500,$C22,'DADOS BRUTOS'!DE$3:DE$500)))</f>
        <v/>
      </c>
      <c r="GF22" s="132">
        <f>IF(OR(GF$4="",$B22=""),0,SUMIF('DADOS BRUTOS'!$A$3:$A$500,$B22,'DADOS BRUTOS'!DF$3:DF$500)+IF($C22="",0,SUMIF('DADOS BRUTOS'!$A$3:$A$500,$C22,'DADOS BRUTOS'!DF$3:DF$500)))</f>
        <v/>
      </c>
      <c r="GG22" s="132">
        <f>IF(OR(GG$4="",$B22=""),0,SUMIF('DADOS BRUTOS'!$A$3:$A$500,$B22,'DADOS BRUTOS'!DG$3:DG$500)+IF($C22="",0,SUMIF('DADOS BRUTOS'!$A$3:$A$500,$C22,'DADOS BRUTOS'!DG$3:DG$500)))</f>
        <v/>
      </c>
      <c r="GH22" s="132">
        <f>IF(OR(GH$4="",$B22=""),0,SUMIF('DADOS BRUTOS'!$A$3:$A$500,$B22,'DADOS BRUTOS'!DH$3:DH$500)+IF($C22="",0,SUMIF('DADOS BRUTOS'!$A$3:$A$500,$C22,'DADOS BRUTOS'!DH$3:DH$500)))</f>
        <v/>
      </c>
      <c r="GI22" s="132">
        <f>IF(OR(GI$4="",$B22=""),0,SUMIF('DADOS BRUTOS'!$A$3:$A$500,$B22,'DADOS BRUTOS'!DI$3:DI$500)+IF($C22="",0,SUMIF('DADOS BRUTOS'!$A$3:$A$500,$C22,'DADOS BRUTOS'!DI$3:DI$500)))</f>
        <v/>
      </c>
      <c r="GJ22" s="132">
        <f>IF(OR(GJ$4="",$B22=""),0,SUMIF('DADOS BRUTOS'!$A$3:$A$500,$B22,'DADOS BRUTOS'!DJ$3:DJ$500)+IF($C22="",0,SUMIF('DADOS BRUTOS'!$A$3:$A$500,$C22,'DADOS BRUTOS'!DJ$3:DJ$500)))</f>
        <v/>
      </c>
      <c r="GK22" s="132">
        <f>IF(OR(GK$4="",$B22=""),0,SUMIF('DADOS BRUTOS'!$A$3:$A$500,$B22,'DADOS BRUTOS'!DK$3:DK$500)+IF($C22="",0,SUMIF('DADOS BRUTOS'!$A$3:$A$500,$C22,'DADOS BRUTOS'!DK$3:DK$500)))</f>
        <v/>
      </c>
      <c r="GL22" s="132">
        <f>IF(OR(GL$4="",$B22=""),0,SUMIF('DADOS BRUTOS'!$A$3:$A$500,$B22,'DADOS BRUTOS'!DL$3:DL$500)+IF($C22="",0,SUMIF('DADOS BRUTOS'!$A$3:$A$500,$C22,'DADOS BRUTOS'!DL$3:DL$500)))</f>
        <v/>
      </c>
      <c r="GM22" s="132">
        <f>IF(OR(GM$4="",$B22=""),0,SUMIF('DADOS BRUTOS'!$A$3:$A$500,$B22,'DADOS BRUTOS'!DM$3:DM$500)+IF($C22="",0,SUMIF('DADOS BRUTOS'!$A$3:$A$500,$C22,'DADOS BRUTOS'!DM$3:DM$500)))</f>
        <v/>
      </c>
      <c r="GN22" s="132">
        <f>IF(OR(GN$4="",$B22=""),0,SUMIF('DADOS BRUTOS'!$A$3:$A$500,$B22,'DADOS BRUTOS'!DN$3:DN$500)+IF($C22="",0,SUMIF('DADOS BRUTOS'!$A$3:$A$500,$C22,'DADOS BRUTOS'!DN$3:DN$500)))</f>
        <v/>
      </c>
      <c r="GO22" s="132">
        <f>IF(OR(GO$4="",$B22=""),0,SUMIF('DADOS BRUTOS'!$A$3:$A$500,$B22,'DADOS BRUTOS'!DO$3:DO$500)+IF($C22="",0,SUMIF('DADOS BRUTOS'!$A$3:$A$500,$C22,'DADOS BRUTOS'!DO$3:DO$500)))</f>
        <v/>
      </c>
      <c r="GP22" s="132">
        <f>IF(OR(GP$4="",$B22=""),0,SUMIF('DADOS BRUTOS'!$A$3:$A$500,$B22,'DADOS BRUTOS'!DP$3:DP$500)+IF($C22="",0,SUMIF('DADOS BRUTOS'!$A$3:$A$500,$C22,'DADOS BRUTOS'!DP$3:DP$500)))</f>
        <v/>
      </c>
      <c r="GQ22" s="132">
        <f>IF(OR(GQ$4="",$B22=""),0,SUMIF('DADOS BRUTOS'!$A$3:$A$500,$B22,'DADOS BRUTOS'!DQ$3:DQ$500)+IF($C22="",0,SUMIF('DADOS BRUTOS'!$A$3:$A$500,$C22,'DADOS BRUTOS'!DQ$3:DQ$500)))</f>
        <v/>
      </c>
      <c r="GR22" s="132">
        <f>IF(OR(GR$4="",$B22=""),0,SUMIF('DADOS BRUTOS'!$A$3:$A$500,$B22,'DADOS BRUTOS'!DR$3:DR$500)+IF($C22="",0,SUMIF('DADOS BRUTOS'!$A$3:$A$500,$C22,'DADOS BRUTOS'!DR$3:DR$500)))</f>
        <v/>
      </c>
      <c r="GS22" s="132">
        <f>IF(OR(GS$4="",$B22=""),0,SUMIF('DADOS BRUTOS'!$A$3:$A$500,$B22,'DADOS BRUTOS'!DS$3:DS$500)+IF($C22="",0,SUMIF('DADOS BRUTOS'!$A$3:$A$500,$C22,'DADOS BRUTOS'!DS$3:DS$500)))</f>
        <v/>
      </c>
      <c r="GT22" s="132">
        <f>IF(OR(GT$4="",$B22=""),0,SUMIF('DADOS BRUTOS'!$A$3:$A$500,$B22,'DADOS BRUTOS'!DT$3:DT$500)+IF($C22="",0,SUMIF('DADOS BRUTOS'!$A$3:$A$500,$C22,'DADOS BRUTOS'!DT$3:DT$500)))</f>
        <v/>
      </c>
      <c r="GU22" s="132">
        <f>IF(OR(GU$4="",$B22=""),0,SUMIF('DADOS BRUTOS'!$A$3:$A$500,$B22,'DADOS BRUTOS'!DU$3:DU$500)+IF($C22="",0,SUMIF('DADOS BRUTOS'!$A$3:$A$500,$C22,'DADOS BRUTOS'!DU$3:DU$500)))</f>
        <v/>
      </c>
      <c r="GV22" s="132">
        <f>IF(OR(GV$4="",$B22=""),0,SUMIF('DADOS BRUTOS'!$A$3:$A$500,$B22,'DADOS BRUTOS'!DV$3:DV$500)+IF($C22="",0,SUMIF('DADOS BRUTOS'!$A$3:$A$500,$C22,'DADOS BRUTOS'!DV$3:DV$500)))</f>
        <v/>
      </c>
      <c r="GW22" s="132">
        <f>IF(OR(GW$4="",$B22=""),0,SUMIF('DADOS BRUTOS'!$A$3:$A$500,$B22,'DADOS BRUTOS'!DW$3:DW$500)+IF($C22="",0,SUMIF('DADOS BRUTOS'!$A$3:$A$500,$C22,'DADOS BRUTOS'!DW$3:DW$500)))</f>
        <v/>
      </c>
      <c r="GX22" s="132">
        <f>IF(OR(GX$4="",$B22=""),0,SUMIF('DADOS BRUTOS'!$A$3:$A$500,$B22,'DADOS BRUTOS'!DX$3:DX$500)+IF($C22="",0,SUMIF('DADOS BRUTOS'!$A$3:$A$500,$C22,'DADOS BRUTOS'!DX$3:DX$500)))</f>
        <v/>
      </c>
      <c r="GY22" s="132">
        <f>IF(OR(GY$4="",$B22=""),0,SUMIF('DADOS BRUTOS'!$A$3:$A$500,$B22,'DADOS BRUTOS'!DY$3:DY$500)+IF($C22="",0,SUMIF('DADOS BRUTOS'!$A$3:$A$500,$C22,'DADOS BRUTOS'!DY$3:DY$500)))</f>
        <v/>
      </c>
      <c r="GZ22" s="132">
        <f>IF(OR(GZ$4="",$B22=""),0,SUMIF('DADOS BRUTOS'!$A$3:$A$500,$B22,'DADOS BRUTOS'!DZ$3:DZ$500)+IF($C22="",0,SUMIF('DADOS BRUTOS'!$A$3:$A$500,$C22,'DADOS BRUTOS'!DZ$3:DZ$500)))</f>
        <v/>
      </c>
      <c r="HA22" s="132">
        <f>IF(OR(HA$4="",$B22=""),0,SUMIF('DADOS BRUTOS'!$A$3:$A$500,$B22,'DADOS BRUTOS'!EA$3:EA$500)+IF($C22="",0,SUMIF('DADOS BRUTOS'!$A$3:$A$500,$C22,'DADOS BRUTOS'!EA$3:EA$500)))</f>
        <v/>
      </c>
      <c r="HB22" s="132">
        <f>IF(OR(HB$4="",$B22=""),0,SUMIF('DADOS BRUTOS'!$A$3:$A$500,$B22,'DADOS BRUTOS'!EB$3:EB$500)+IF($C22="",0,SUMIF('DADOS BRUTOS'!$A$3:$A$500,$C22,'DADOS BRUTOS'!EB$3:EB$500)))</f>
        <v/>
      </c>
      <c r="HC22" s="132">
        <f>IF(OR(HC$4="",$B22=""),0,SUMIF('DADOS BRUTOS'!$A$3:$A$500,$B22,'DADOS BRUTOS'!EC$3:EC$500)+IF($C22="",0,SUMIF('DADOS BRUTOS'!$A$3:$A$500,$C22,'DADOS BRUTOS'!EC$3:EC$500)))</f>
        <v/>
      </c>
      <c r="HD22" s="132">
        <f>IF(OR(HD$4="",$B22=""),0,SUMIF('DADOS BRUTOS'!$A$3:$A$500,$B22,'DADOS BRUTOS'!ED$3:ED$500)+IF($C22="",0,SUMIF('DADOS BRUTOS'!$A$3:$A$500,$C22,'DADOS BRUTOS'!ED$3:ED$500)))</f>
        <v/>
      </c>
      <c r="HE22" s="132">
        <f>IF(OR(HE$4="",$B22=""),0,SUMIF('DADOS BRUTOS'!$A$3:$A$500,$B22,'DADOS BRUTOS'!EE$3:EE$500)+IF($C22="",0,SUMIF('DADOS BRUTOS'!$A$3:$A$500,$C22,'DADOS BRUTOS'!EE$3:EE$500)))</f>
        <v/>
      </c>
      <c r="HF22" s="132">
        <f>IF(OR(HF$4="",$B22=""),0,SUMIF('DADOS BRUTOS'!$A$3:$A$500,$B22,'DADOS BRUTOS'!EF$3:EF$500)+IF($C22="",0,SUMIF('DADOS BRUTOS'!$A$3:$A$500,$C22,'DADOS BRUTOS'!EF$3:EF$500)))</f>
        <v/>
      </c>
      <c r="HG22" s="132">
        <f>IF(OR(HG$4="",$B22=""),0,SUMIF('DADOS BRUTOS'!$A$3:$A$500,$B22,'DADOS BRUTOS'!EG$3:EG$500)+IF($C22="",0,SUMIF('DADOS BRUTOS'!$A$3:$A$500,$C22,'DADOS BRUTOS'!EG$3:EG$500)))</f>
        <v/>
      </c>
      <c r="HH22" s="132">
        <f>IF(OR(HH$4="",$B22=""),0,SUMIF('DADOS BRUTOS'!$A$3:$A$500,$B22,'DADOS BRUTOS'!EH$3:EH$500)+IF($C22="",0,SUMIF('DADOS BRUTOS'!$A$3:$A$500,$C22,'DADOS BRUTOS'!EH$3:EH$500)))</f>
        <v/>
      </c>
      <c r="HI22" s="132">
        <f>IF(OR(HI$4="",$B22=""),0,SUMIF('DADOS BRUTOS'!$A$3:$A$500,$B22,'DADOS BRUTOS'!EI$3:EI$500)+IF($C22="",0,SUMIF('DADOS BRUTOS'!$A$3:$A$500,$C22,'DADOS BRUTOS'!EI$3:EI$500)))</f>
        <v/>
      </c>
      <c r="HJ22" s="132">
        <f>IF(OR(HJ$4="",$B22=""),0,SUMIF('DADOS BRUTOS'!$A$3:$A$500,$B22,'DADOS BRUTOS'!EJ$3:EJ$500)+IF($C22="",0,SUMIF('DADOS BRUTOS'!$A$3:$A$500,$C22,'DADOS BRUTOS'!EJ$3:EJ$500)))</f>
        <v/>
      </c>
      <c r="HK22" s="132">
        <f>IF(OR(HK$4="",$B22=""),0,SUMIF('DADOS BRUTOS'!$A$3:$A$500,$B22,'DADOS BRUTOS'!EK$3:EK$500)+IF($C22="",0,SUMIF('DADOS BRUTOS'!$A$3:$A$500,$C22,'DADOS BRUTOS'!EK$3:EK$500)))</f>
        <v/>
      </c>
      <c r="HL22" s="132">
        <f>IF(OR(HL$4="",$B22=""),0,SUMIF('DADOS BRUTOS'!$A$3:$A$500,$B22,'DADOS BRUTOS'!EL$3:EL$500)+IF($C22="",0,SUMIF('DADOS BRUTOS'!$A$3:$A$500,$C22,'DADOS BRUTOS'!EL$3:EL$500)))</f>
        <v/>
      </c>
      <c r="HM22" s="132">
        <f>IF(OR(HM$4="",$B22=""),0,SUMIF('DADOS BRUTOS'!$A$3:$A$500,$B22,'DADOS BRUTOS'!EM$3:EM$500)+IF($C22="",0,SUMIF('DADOS BRUTOS'!$A$3:$A$500,$C22,'DADOS BRUTOS'!EM$3:EM$500)))</f>
        <v/>
      </c>
      <c r="HN22" s="132">
        <f>IF(OR(HN$4="",$B22=""),0,SUMIF('DADOS BRUTOS'!$A$3:$A$500,$B22,'DADOS BRUTOS'!EN$3:EN$500)+IF($C22="",0,SUMIF('DADOS BRUTOS'!$A$3:$A$500,$C22,'DADOS BRUTOS'!EN$3:EN$500)))</f>
        <v/>
      </c>
      <c r="HO22" s="132">
        <f>IF(OR(HO$4="",$B22=""),0,SUMIF('DADOS BRUTOS'!$A$3:$A$500,$B22,'DADOS BRUTOS'!EO$3:EO$500)+IF($C22="",0,SUMIF('DADOS BRUTOS'!$A$3:$A$500,$C22,'DADOS BRUTOS'!EO$3:EO$500)))</f>
        <v/>
      </c>
      <c r="HP22" s="132">
        <f>IF(OR(HP$4="",$B22=""),0,SUMIF('DADOS BRUTOS'!$A$3:$A$500,$B22,'DADOS BRUTOS'!EP$3:EP$500)+IF($C22="",0,SUMIF('DADOS BRUTOS'!$A$3:$A$500,$C22,'DADOS BRUTOS'!EP$3:EP$500)))</f>
        <v/>
      </c>
      <c r="HQ22" s="132">
        <f>IF(OR(HQ$4="",$B22=""),0,SUMIF('DADOS BRUTOS'!$A$3:$A$500,$B22,'DADOS BRUTOS'!EQ$3:EQ$500)+IF($C22="",0,SUMIF('DADOS BRUTOS'!$A$3:$A$500,$C22,'DADOS BRUTOS'!EQ$3:EQ$500)))</f>
        <v/>
      </c>
      <c r="HR22" s="132">
        <f>IF(OR(HR$4="",$B22=""),0,SUMIF('DADOS BRUTOS'!$A$3:$A$500,$B22,'DADOS BRUTOS'!ER$3:ER$500)+IF($C22="",0,SUMIF('DADOS BRUTOS'!$A$3:$A$500,$C22,'DADOS BRUTOS'!ER$3:ER$500)))</f>
        <v/>
      </c>
      <c r="HS22" s="132">
        <f>IF(OR(HS$4="",$B22=""),0,SUMIF('DADOS BRUTOS'!$A$3:$A$500,$B22,'DADOS BRUTOS'!ES$3:ES$500)+IF($C22="",0,SUMIF('DADOS BRUTOS'!$A$3:$A$500,$C22,'DADOS BRUTOS'!ES$3:ES$500)))</f>
        <v/>
      </c>
      <c r="HT22" s="132">
        <f>IF(OR(HT$4="",$B22=""),0,SUMIF('DADOS BRUTOS'!$A$3:$A$500,$B22,'DADOS BRUTOS'!ET$3:ET$500)+IF($C22="",0,SUMIF('DADOS BRUTOS'!$A$3:$A$500,$C22,'DADOS BRUTOS'!ET$3:ET$500)))</f>
        <v/>
      </c>
      <c r="HU22" s="132">
        <f>IF(OR(HU$4="",$B22=""),0,SUMIF('DADOS BRUTOS'!$A$3:$A$500,$B22,'DADOS BRUTOS'!EU$3:EU$500)+IF($C22="",0,SUMIF('DADOS BRUTOS'!$A$3:$A$500,$C22,'DADOS BRUTOS'!EU$3:EU$500)))</f>
        <v/>
      </c>
      <c r="HV22" s="132">
        <f>IF(OR(HV$4="",$B22=""),0,SUMIF('DADOS BRUTOS'!$A$3:$A$500,$B22,'DADOS BRUTOS'!EV$3:EV$500)+IF($C22="",0,SUMIF('DADOS BRUTOS'!$A$3:$A$500,$C22,'DADOS BRUTOS'!EV$3:EV$500)))</f>
        <v/>
      </c>
      <c r="HW22" s="132">
        <f>IF(OR(HW$4="",$B22=""),0,SUMIF('DADOS BRUTOS'!$A$3:$A$500,$B22,'DADOS BRUTOS'!EW$3:EW$500)+IF($C22="",0,SUMIF('DADOS BRUTOS'!$A$3:$A$500,$C22,'DADOS BRUTOS'!EW$3:EW$500)))</f>
        <v/>
      </c>
      <c r="HX22" s="132">
        <f>IF(OR(HX$4="",$B22=""),0,SUMIF('DADOS BRUTOS'!$A$3:$A$500,$B22,'DADOS BRUTOS'!EX$3:EX$500)+IF($C22="",0,SUMIF('DADOS BRUTOS'!$A$3:$A$500,$C22,'DADOS BRUTOS'!EX$3:EX$500)))</f>
        <v/>
      </c>
      <c r="HY22" s="132">
        <f>IF(OR(HY$4="",$B22=""),0,SUMIF('DADOS BRUTOS'!$A$3:$A$500,$B22,'DADOS BRUTOS'!EY$3:EY$500)+IF($C22="",0,SUMIF('DADOS BRUTOS'!$A$3:$A$500,$C22,'DADOS BRUTOS'!EY$3:EY$500)))</f>
        <v/>
      </c>
      <c r="HZ22" s="132">
        <f>IF(OR(HZ$4="",$B22=""),0,SUMIF('DADOS BRUTOS'!$A$3:$A$500,$B22,'DADOS BRUTOS'!EZ$3:EZ$500)+IF($C22="",0,SUMIF('DADOS BRUTOS'!$A$3:$A$500,$C22,'DADOS BRUTOS'!EZ$3:EZ$500)))</f>
        <v/>
      </c>
      <c r="IA22" s="132">
        <f>IF(OR(IA$4="",$B22=""),0,SUMIF('DADOS BRUTOS'!$A$3:$A$500,$B22,'DADOS BRUTOS'!FA$3:FA$500)+IF($C22="",0,SUMIF('DADOS BRUTOS'!$A$3:$A$500,$C22,'DADOS BRUTOS'!FA$3:FA$500)))</f>
        <v/>
      </c>
      <c r="IB22" s="132">
        <f>IF(OR(IB$4="",$B22=""),0,SUMIF('DADOS BRUTOS'!$A$3:$A$500,$B22,'DADOS BRUTOS'!FB$3:FB$500)+IF($C22="",0,SUMIF('DADOS BRUTOS'!$A$3:$A$500,$C22,'DADOS BRUTOS'!FB$3:FB$500)))</f>
        <v/>
      </c>
      <c r="IC22" s="132">
        <f>IF(OR(IC$4="",$B22=""),0,SUMIF('DADOS BRUTOS'!$A$3:$A$500,$B22,'DADOS BRUTOS'!FC$3:FC$500)+IF($C22="",0,SUMIF('DADOS BRUTOS'!$A$3:$A$500,$C22,'DADOS BRUTOS'!FC$3:FC$500)))</f>
        <v/>
      </c>
      <c r="ID22" s="132">
        <f>IF(OR(ID$4="",$B22=""),0,SUMIF('DADOS BRUTOS'!$A$3:$A$500,$B22,'DADOS BRUTOS'!FD$3:FD$500)+IF($C22="",0,SUMIF('DADOS BRUTOS'!$A$3:$A$500,$C22,'DADOS BRUTOS'!FD$3:FD$500)))</f>
        <v/>
      </c>
      <c r="IE22" s="132">
        <f>IF(OR(IE$4="",$B22=""),0,SUMIF('DADOS BRUTOS'!$A$3:$A$500,$B22,'DADOS BRUTOS'!FE$3:FE$500)+IF($C22="",0,SUMIF('DADOS BRUTOS'!$A$3:$A$500,$C22,'DADOS BRUTOS'!FE$3:FE$500)))</f>
        <v/>
      </c>
      <c r="IF22" s="132">
        <f>IF(OR(IF$4="",$B22=""),0,SUMIF('DADOS BRUTOS'!$A$3:$A$500,$B22,'DADOS BRUTOS'!FF$3:FF$500)+IF($C22="",0,SUMIF('DADOS BRUTOS'!$A$3:$A$500,$C22,'DADOS BRUTOS'!FF$3:FF$500)))</f>
        <v/>
      </c>
      <c r="IG22" s="132">
        <f>IF(OR(IG$4="",$B22=""),0,SUMIF('DADOS BRUTOS'!$A$3:$A$500,$B22,'DADOS BRUTOS'!FG$3:FG$500)+IF($C22="",0,SUMIF('DADOS BRUTOS'!$A$3:$A$500,$C22,'DADOS BRUTOS'!FG$3:FG$500)))</f>
        <v/>
      </c>
      <c r="IH22" s="132">
        <f>IF(OR(IH$4="",$B22=""),0,SUMIF('DADOS BRUTOS'!$A$3:$A$500,$B22,'DADOS BRUTOS'!FH$3:FH$500)+IF($C22="",0,SUMIF('DADOS BRUTOS'!$A$3:$A$500,$C22,'DADOS BRUTOS'!FH$3:FH$500)))</f>
        <v/>
      </c>
      <c r="II22" s="132">
        <f>IF(OR(II$4="",$B22=""),0,SUMIF('DADOS BRUTOS'!$A$3:$A$500,$B22,'DADOS BRUTOS'!FI$3:FI$500)+IF($C22="",0,SUMIF('DADOS BRUTOS'!$A$3:$A$500,$C22,'DADOS BRUTOS'!FI$3:FI$500)))</f>
        <v/>
      </c>
      <c r="IJ22" s="132">
        <f>IF(OR(IJ$4="",$B22=""),0,SUMIF('DADOS BRUTOS'!$A$3:$A$500,$B22,'DADOS BRUTOS'!FJ$3:FJ$500)+IF($C22="",0,SUMIF('DADOS BRUTOS'!$A$3:$A$500,$C22,'DADOS BRUTOS'!FJ$3:FJ$500)))</f>
        <v/>
      </c>
      <c r="IK22" s="132">
        <f>IF(OR(IK$4="",$B22=""),0,SUMIF('DADOS BRUTOS'!$A$3:$A$500,$B22,'DADOS BRUTOS'!FK$3:FK$500)+IF($C22="",0,SUMIF('DADOS BRUTOS'!$A$3:$A$500,$C22,'DADOS BRUTOS'!FK$3:FK$500)))</f>
        <v/>
      </c>
      <c r="IL22" s="132">
        <f>IF(OR(IL$4="",$B22=""),0,SUMIF('DADOS BRUTOS'!$A$3:$A$500,$B22,'DADOS BRUTOS'!FL$3:FL$500)+IF($C22="",0,SUMIF('DADOS BRUTOS'!$A$3:$A$500,$C22,'DADOS BRUTOS'!FL$3:FL$500)))</f>
        <v/>
      </c>
      <c r="IM22" s="132">
        <f>IF(OR(IM$4="",$B22=""),0,SUMIF('DADOS BRUTOS'!$A$3:$A$500,$B22,'DADOS BRUTOS'!FM$3:FM$500)+IF($C22="",0,SUMIF('DADOS BRUTOS'!$A$3:$A$500,$C22,'DADOS BRUTOS'!FM$3:FM$500)))</f>
        <v/>
      </c>
      <c r="IN22" s="132">
        <f>IF(OR(IN$4="",$B22=""),0,SUMIF('DADOS BRUTOS'!$A$3:$A$500,$B22,'DADOS BRUTOS'!FN$3:FN$500)+IF($C22="",0,SUMIF('DADOS BRUTOS'!$A$3:$A$500,$C22,'DADOS BRUTOS'!FN$3:FN$500)))</f>
        <v/>
      </c>
      <c r="IO22" s="132">
        <f>IF(OR(IO$4="",$B22=""),0,SUMIF('DADOS BRUTOS'!$A$3:$A$500,$B22,'DADOS BRUTOS'!FO$3:FO$500)+IF($C22="",0,SUMIF('DADOS BRUTOS'!$A$3:$A$500,$C22,'DADOS BRUTOS'!FO$3:FO$500)))</f>
        <v/>
      </c>
      <c r="IP22" s="132">
        <f>IF(OR(IP$4="",$B22=""),0,SUMIF('DADOS BRUTOS'!$A$3:$A$500,$B22,'DADOS BRUTOS'!FP$3:FP$500)+IF($C22="",0,SUMIF('DADOS BRUTOS'!$A$3:$A$500,$C22,'DADOS BRUTOS'!FP$3:FP$500)))</f>
        <v/>
      </c>
      <c r="IQ22" s="132">
        <f>IF(OR(IQ$4="",$B22=""),0,SUMIF('DADOS BRUTOS'!$A$3:$A$500,$B22,'DADOS BRUTOS'!FQ$3:FQ$500)+IF($C22="",0,SUMIF('DADOS BRUTOS'!$A$3:$A$500,$C22,'DADOS BRUTOS'!FQ$3:FQ$500)))</f>
        <v/>
      </c>
      <c r="IR22" s="132">
        <f>IF(OR(IR$4="",$B22=""),0,SUMIF('DADOS BRUTOS'!$A$3:$A$500,$B22,'DADOS BRUTOS'!FR$3:FR$500)+IF($C22="",0,SUMIF('DADOS BRUTOS'!$A$3:$A$500,$C22,'DADOS BRUTOS'!FR$3:FR$500)))</f>
        <v/>
      </c>
      <c r="IS22" s="132">
        <f>IF(OR(IS$4="",$B22=""),0,SUMIF('DADOS BRUTOS'!$A$3:$A$500,$B22,'DADOS BRUTOS'!FS$3:FS$500)+IF($C22="",0,SUMIF('DADOS BRUTOS'!$A$3:$A$500,$C22,'DADOS BRUTOS'!FS$3:FS$500)))</f>
        <v/>
      </c>
      <c r="IT22" s="132">
        <f>IF(OR(IT$4="",$B22=""),0,SUMIF('DADOS BRUTOS'!$A$3:$A$500,$B22,'DADOS BRUTOS'!FT$3:FT$500)+IF($C22="",0,SUMIF('DADOS BRUTOS'!$A$3:$A$500,$C22,'DADOS BRUTOS'!FT$3:FT$500)))</f>
        <v/>
      </c>
      <c r="IU22" s="132">
        <f>IF(OR(IU$4="",$B22=""),0,SUMIF('DADOS BRUTOS'!$A$3:$A$500,$B22,'DADOS BRUTOS'!FU$3:FU$500)+IF($C22="",0,SUMIF('DADOS BRUTOS'!$A$3:$A$500,$C22,'DADOS BRUTOS'!FU$3:FU$500)))</f>
        <v/>
      </c>
      <c r="IV22" s="132">
        <f>IF(OR(IV$4="",$B22=""),0,SUMIF('DADOS BRUTOS'!$A$3:$A$500,$B22,'DADOS BRUTOS'!FV$3:FV$500)+IF($C22="",0,SUMIF('DADOS BRUTOS'!$A$3:$A$500,$C22,'DADOS BRUTOS'!FV$3:FV$500)))</f>
        <v/>
      </c>
      <c r="IW22" s="132">
        <f>IF(OR(IW$4="",$B22=""),0,SUMIF('DADOS BRUTOS'!$A$3:$A$500,$B22,'DADOS BRUTOS'!FW$3:FW$500)+IF($C22="",0,SUMIF('DADOS BRUTOS'!$A$3:$A$500,$C22,'DADOS BRUTOS'!FW$3:FW$500)))</f>
        <v/>
      </c>
      <c r="IX22" s="132">
        <f>IF(OR(IX$4="",$B22=""),0,SUMIF('DADOS BRUTOS'!$A$3:$A$500,$B22,'DADOS BRUTOS'!FX$3:FX$500)+IF($C22="",0,SUMIF('DADOS BRUTOS'!$A$3:$A$500,$C22,'DADOS BRUTOS'!FX$3:FX$500)))</f>
        <v/>
      </c>
      <c r="IY22" s="132">
        <f>IF(OR(IY$4="",$B22=""),0,SUMIF('DADOS BRUTOS'!$A$3:$A$500,$B22,'DADOS BRUTOS'!FY$3:FY$500)+IF($C22="",0,SUMIF('DADOS BRUTOS'!$A$3:$A$500,$C22,'DADOS BRUTOS'!FY$3:FY$500)))</f>
        <v/>
      </c>
      <c r="IZ22" s="132">
        <f>IF(OR(IZ$4="",$B22=""),0,SUMIF('DADOS BRUTOS'!$A$3:$A$500,$B22,'DADOS BRUTOS'!FZ$3:FZ$500)+IF($C22="",0,SUMIF('DADOS BRUTOS'!$A$3:$A$500,$C22,'DADOS BRUTOS'!FZ$3:FZ$500)))</f>
        <v/>
      </c>
      <c r="JA22" s="132">
        <f>IF(OR(JA$4="",$B22=""),0,SUMIF('DADOS BRUTOS'!$A$3:$A$500,$B22,'DADOS BRUTOS'!GA$3:GA$500)+IF($C22="",0,SUMIF('DADOS BRUTOS'!$A$3:$A$500,$C22,'DADOS BRUTOS'!GA$3:GA$500)))</f>
        <v/>
      </c>
      <c r="JB22" s="132">
        <f>IF(OR(JB$4="",$B22=""),0,SUMIF('DADOS BRUTOS'!$A$3:$A$500,$B22,'DADOS BRUTOS'!GB$3:GB$500)+IF($C22="",0,SUMIF('DADOS BRUTOS'!$A$3:$A$500,$C22,'DADOS BRUTOS'!GB$3:GB$500)))</f>
        <v/>
      </c>
      <c r="JC22" s="132">
        <f>IF(OR(JC$4="",$B22=""),0,SUMIF('DADOS BRUTOS'!$A$3:$A$500,$B22,'DADOS BRUTOS'!GC$3:GC$500)+IF($C22="",0,SUMIF('DADOS BRUTOS'!$A$3:$A$500,$C22,'DADOS BRUTOS'!GC$3:GC$500)))</f>
        <v/>
      </c>
      <c r="JD22" s="132">
        <f>IF(OR(JD$4="",$B22=""),0,SUMIF('DADOS BRUTOS'!$A$3:$A$500,$B22,'DADOS BRUTOS'!GD$3:GD$500)+IF($C22="",0,SUMIF('DADOS BRUTOS'!$A$3:$A$500,$C22,'DADOS BRUTOS'!GD$3:GD$500)))</f>
        <v/>
      </c>
      <c r="JE22" s="132">
        <f>IF(OR(JE$4="",$B22=""),0,SUMIF('DADOS BRUTOS'!$A$3:$A$500,$B22,'DADOS BRUTOS'!GE$3:GE$500)+IF($C22="",0,SUMIF('DADOS BRUTOS'!$A$3:$A$500,$C22,'DADOS BRUTOS'!GE$3:GE$500)))</f>
        <v/>
      </c>
      <c r="JF22" s="132">
        <f>IF(OR(JF$4="",$B22=""),0,SUMIF('DADOS BRUTOS'!$A$3:$A$500,$B22,'DADOS BRUTOS'!GF$3:GF$500)+IF($C22="",0,SUMIF('DADOS BRUTOS'!$A$3:$A$500,$C22,'DADOS BRUTOS'!GF$3:GF$500)))</f>
        <v/>
      </c>
      <c r="JG22" s="132">
        <f>IF(OR(JG$4="",$B22=""),0,SUMIF('DADOS BRUTOS'!$A$3:$A$500,$B22,'DADOS BRUTOS'!GG$3:GG$500)+IF($C22="",0,SUMIF('DADOS BRUTOS'!$A$3:$A$500,$C22,'DADOS BRUTOS'!GG$3:GG$500)))</f>
        <v/>
      </c>
      <c r="JH22" s="132">
        <f>IF(OR(JH$4="",$B22=""),0,SUMIF('DADOS BRUTOS'!$A$3:$A$500,$B22,'DADOS BRUTOS'!GH$3:GH$500)+IF($C22="",0,SUMIF('DADOS BRUTOS'!$A$3:$A$500,$C22,'DADOS BRUTOS'!GH$3:GH$500)))</f>
        <v/>
      </c>
      <c r="JI22" s="132">
        <f>IF(OR(JI$4="",$B22=""),0,SUMIF('DADOS BRUTOS'!$A$3:$A$500,$B22,'DADOS BRUTOS'!GI$3:GI$500)+IF($C22="",0,SUMIF('DADOS BRUTOS'!$A$3:$A$500,$C22,'DADOS BRUTOS'!GI$3:GI$500)))</f>
        <v/>
      </c>
      <c r="JJ22" s="132">
        <f>IF(OR(JJ$4="",$B22=""),0,SUMIF('DADOS BRUTOS'!$A$3:$A$500,$B22,'DADOS BRUTOS'!GJ$3:GJ$500)+IF($C22="",0,SUMIF('DADOS BRUTOS'!$A$3:$A$500,$C22,'DADOS BRUTOS'!GJ$3:GJ$500)))</f>
        <v/>
      </c>
      <c r="JK22" s="132">
        <f>IF(OR(JK$4="",$B22=""),0,SUMIF('DADOS BRUTOS'!$A$3:$A$500,$B22,'DADOS BRUTOS'!GK$3:GK$500)+IF($C22="",0,SUMIF('DADOS BRUTOS'!$A$3:$A$500,$C22,'DADOS BRUTOS'!GK$3:GK$500)))</f>
        <v/>
      </c>
      <c r="JL22" s="132">
        <f>IF(OR(JL$4="",$B22=""),0,SUMIF('DADOS BRUTOS'!$A$3:$A$500,$B22,'DADOS BRUTOS'!GL$3:GL$500)+IF($C22="",0,SUMIF('DADOS BRUTOS'!$A$3:$A$500,$C22,'DADOS BRUTOS'!GL$3:GL$500)))</f>
        <v/>
      </c>
      <c r="JM22" s="132">
        <f>IF(OR(JM$4="",$B22=""),0,SUMIF('DADOS BRUTOS'!$A$3:$A$500,$B22,'DADOS BRUTOS'!GM$3:GM$500)+IF($C22="",0,SUMIF('DADOS BRUTOS'!$A$3:$A$500,$C22,'DADOS BRUTOS'!GM$3:GM$500)))</f>
        <v/>
      </c>
      <c r="JN22" s="132">
        <f>IF(OR(JN$4="",$B22=""),0,SUMIF('DADOS BRUTOS'!$A$3:$A$500,$B22,'DADOS BRUTOS'!GN$3:GN$500)+IF($C22="",0,SUMIF('DADOS BRUTOS'!$A$3:$A$500,$C22,'DADOS BRUTOS'!GN$3:GN$500)))</f>
        <v/>
      </c>
      <c r="JO22" s="132">
        <f>IF(OR(JO$4="",$B22=""),0,SUMIF('DADOS BRUTOS'!$A$3:$A$500,$B22,'DADOS BRUTOS'!GO$3:GO$500)+IF($C22="",0,SUMIF('DADOS BRUTOS'!$A$3:$A$500,$C22,'DADOS BRUTOS'!GO$3:GO$500)))</f>
        <v/>
      </c>
      <c r="JP22" s="132">
        <f>IF(OR(JP$4="",$B22=""),0,SUMIF('DADOS BRUTOS'!$A$3:$A$500,$B22,'DADOS BRUTOS'!GP$3:GP$500)+IF($C22="",0,SUMIF('DADOS BRUTOS'!$A$3:$A$500,$C22,'DADOS BRUTOS'!GP$3:GP$500)))</f>
        <v/>
      </c>
      <c r="JQ22" s="132">
        <f>IF(OR(JQ$4="",$B22=""),0,SUMIF('DADOS BRUTOS'!$A$3:$A$500,$B22,'DADOS BRUTOS'!GQ$3:GQ$500)+IF($C22="",0,SUMIF('DADOS BRUTOS'!$A$3:$A$500,$C22,'DADOS BRUTOS'!GQ$3:GQ$500)))</f>
        <v/>
      </c>
      <c r="JR22" s="132">
        <f>IF(OR(JR$4="",$B22=""),0,SUMIF('DADOS BRUTOS'!$A$3:$A$500,$B22,'DADOS BRUTOS'!GR$3:GR$500)+IF($C22="",0,SUMIF('DADOS BRUTOS'!$A$3:$A$500,$C22,'DADOS BRUTOS'!GR$3:GR$500)))</f>
        <v/>
      </c>
      <c r="JS22" s="132">
        <f>IF(OR(JS$4="",$B22=""),0,SUMIF('DADOS BRUTOS'!$A$3:$A$500,$B22,'DADOS BRUTOS'!GS$3:GS$500)+IF($C22="",0,SUMIF('DADOS BRUTOS'!$A$3:$A$500,$C22,'DADOS BRUTOS'!GS$3:GS$500)))</f>
        <v/>
      </c>
    </row>
    <row r="23">
      <c r="A23" s="61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BZ23" s="49">
        <f>SUMPRODUCT(($CB$4:$JS$4&lt;&gt;"")*($CB$4:$JS$4&lt;=$D$4),$CB23:$JS23,$CB$1:$JS$1)</f>
        <v/>
      </c>
      <c r="CB23" s="132">
        <f>IF(OR(CB$4="",$B23=""),0,SUMIF('DADOS BRUTOS'!$A$3:$A$500,$B23,'DADOS BRUTOS'!B$3:B$500)+IF($C23="",0,SUMIF('DADOS BRUTOS'!$A$3:$A$500,$C23,'DADOS BRUTOS'!B$3:B$500)))</f>
        <v/>
      </c>
      <c r="CC23" s="132">
        <f>IF(OR(CC$4="",$B23=""),0,SUMIF('DADOS BRUTOS'!$A$3:$A$500,$B23,'DADOS BRUTOS'!C$3:C$500)+IF($C23="",0,SUMIF('DADOS BRUTOS'!$A$3:$A$500,$C23,'DADOS BRUTOS'!C$3:C$500)))</f>
        <v/>
      </c>
      <c r="CD23" s="132">
        <f>IF(OR(CD$4="",$B23=""),0,SUMIF('DADOS BRUTOS'!$A$3:$A$500,$B23,'DADOS BRUTOS'!D$3:D$500)+IF($C23="",0,SUMIF('DADOS BRUTOS'!$A$3:$A$500,$C23,'DADOS BRUTOS'!D$3:D$500)))</f>
        <v/>
      </c>
      <c r="CE23" s="132">
        <f>IF(OR(CE$4="",$B23=""),0,SUMIF('DADOS BRUTOS'!$A$3:$A$500,$B23,'DADOS BRUTOS'!E$3:E$500)+IF($C23="",0,SUMIF('DADOS BRUTOS'!$A$3:$A$500,$C23,'DADOS BRUTOS'!E$3:E$500)))</f>
        <v/>
      </c>
      <c r="CF23" s="132">
        <f>IF(OR(CF$4="",$B23=""),0,SUMIF('DADOS BRUTOS'!$A$3:$A$500,$B23,'DADOS BRUTOS'!F$3:F$500)+IF($C23="",0,SUMIF('DADOS BRUTOS'!$A$3:$A$500,$C23,'DADOS BRUTOS'!F$3:F$500)))</f>
        <v/>
      </c>
      <c r="CG23" s="132">
        <f>IF(OR(CG$4="",$B23=""),0,SUMIF('DADOS BRUTOS'!$A$3:$A$500,$B23,'DADOS BRUTOS'!G$3:G$500)+IF($C23="",0,SUMIF('DADOS BRUTOS'!$A$3:$A$500,$C23,'DADOS BRUTOS'!G$3:G$500)))</f>
        <v/>
      </c>
      <c r="CH23" s="132">
        <f>IF(OR(CH$4="",$B23=""),0,SUMIF('DADOS BRUTOS'!$A$3:$A$500,$B23,'DADOS BRUTOS'!H$3:H$500)+IF($C23="",0,SUMIF('DADOS BRUTOS'!$A$3:$A$500,$C23,'DADOS BRUTOS'!H$3:H$500)))</f>
        <v/>
      </c>
      <c r="CI23" s="132">
        <f>IF(OR(CI$4="",$B23=""),0,SUMIF('DADOS BRUTOS'!$A$3:$A$500,$B23,'DADOS BRUTOS'!I$3:I$500)+IF($C23="",0,SUMIF('DADOS BRUTOS'!$A$3:$A$500,$C23,'DADOS BRUTOS'!I$3:I$500)))</f>
        <v/>
      </c>
      <c r="CJ23" s="132">
        <f>IF(OR(CJ$4="",$B23=""),0,SUMIF('DADOS BRUTOS'!$A$3:$A$500,$B23,'DADOS BRUTOS'!J$3:J$500)+IF($C23="",0,SUMIF('DADOS BRUTOS'!$A$3:$A$500,$C23,'DADOS BRUTOS'!J$3:J$500)))</f>
        <v/>
      </c>
      <c r="CK23" s="132">
        <f>IF(OR(CK$4="",$B23=""),0,SUMIF('DADOS BRUTOS'!$A$3:$A$500,$B23,'DADOS BRUTOS'!K$3:K$500)+IF($C23="",0,SUMIF('DADOS BRUTOS'!$A$3:$A$500,$C23,'DADOS BRUTOS'!K$3:K$500)))</f>
        <v/>
      </c>
      <c r="CL23" s="132">
        <f>IF(OR(CL$4="",$B23=""),0,SUMIF('DADOS BRUTOS'!$A$3:$A$500,$B23,'DADOS BRUTOS'!L$3:L$500)+IF($C23="",0,SUMIF('DADOS BRUTOS'!$A$3:$A$500,$C23,'DADOS BRUTOS'!L$3:L$500)))</f>
        <v/>
      </c>
      <c r="CM23" s="132">
        <f>IF(OR(CM$4="",$B23=""),0,SUMIF('DADOS BRUTOS'!$A$3:$A$500,$B23,'DADOS BRUTOS'!M$3:M$500)+IF($C23="",0,SUMIF('DADOS BRUTOS'!$A$3:$A$500,$C23,'DADOS BRUTOS'!M$3:M$500)))</f>
        <v/>
      </c>
      <c r="CN23" s="132">
        <f>IF(OR(CN$4="",$B23=""),0,SUMIF('DADOS BRUTOS'!$A$3:$A$500,$B23,'DADOS BRUTOS'!N$3:N$500)+IF($C23="",0,SUMIF('DADOS BRUTOS'!$A$3:$A$500,$C23,'DADOS BRUTOS'!N$3:N$500)))</f>
        <v/>
      </c>
      <c r="CO23" s="132">
        <f>IF(OR(CO$4="",$B23=""),0,SUMIF('DADOS BRUTOS'!$A$3:$A$500,$B23,'DADOS BRUTOS'!O$3:O$500)+IF($C23="",0,SUMIF('DADOS BRUTOS'!$A$3:$A$500,$C23,'DADOS BRUTOS'!O$3:O$500)))</f>
        <v/>
      </c>
      <c r="CP23" s="132">
        <f>IF(OR(CP$4="",$B23=""),0,SUMIF('DADOS BRUTOS'!$A$3:$A$500,$B23,'DADOS BRUTOS'!P$3:P$500)+IF($C23="",0,SUMIF('DADOS BRUTOS'!$A$3:$A$500,$C23,'DADOS BRUTOS'!P$3:P$500)))</f>
        <v/>
      </c>
      <c r="CQ23" s="132">
        <f>IF(OR(CQ$4="",$B23=""),0,SUMIF('DADOS BRUTOS'!$A$3:$A$500,$B23,'DADOS BRUTOS'!Q$3:Q$500)+IF($C23="",0,SUMIF('DADOS BRUTOS'!$A$3:$A$500,$C23,'DADOS BRUTOS'!Q$3:Q$500)))</f>
        <v/>
      </c>
      <c r="CR23" s="132">
        <f>IF(OR(CR$4="",$B23=""),0,SUMIF('DADOS BRUTOS'!$A$3:$A$500,$B23,'DADOS BRUTOS'!R$3:R$500)+IF($C23="",0,SUMIF('DADOS BRUTOS'!$A$3:$A$500,$C23,'DADOS BRUTOS'!R$3:R$500)))</f>
        <v/>
      </c>
      <c r="CS23" s="132">
        <f>IF(OR(CS$4="",$B23=""),0,SUMIF('DADOS BRUTOS'!$A$3:$A$500,$B23,'DADOS BRUTOS'!S$3:S$500)+IF($C23="",0,SUMIF('DADOS BRUTOS'!$A$3:$A$500,$C23,'DADOS BRUTOS'!S$3:S$500)))</f>
        <v/>
      </c>
      <c r="CT23" s="132">
        <f>IF(OR(CT$4="",$B23=""),0,SUMIF('DADOS BRUTOS'!$A$3:$A$500,$B23,'DADOS BRUTOS'!T$3:T$500)+IF($C23="",0,SUMIF('DADOS BRUTOS'!$A$3:$A$500,$C23,'DADOS BRUTOS'!T$3:T$500)))</f>
        <v/>
      </c>
      <c r="CU23" s="132">
        <f>IF(OR(CU$4="",$B23=""),0,SUMIF('DADOS BRUTOS'!$A$3:$A$500,$B23,'DADOS BRUTOS'!U$3:U$500)+IF($C23="",0,SUMIF('DADOS BRUTOS'!$A$3:$A$500,$C23,'DADOS BRUTOS'!U$3:U$500)))</f>
        <v/>
      </c>
      <c r="CV23" s="132">
        <f>IF(OR(CV$4="",$B23=""),0,SUMIF('DADOS BRUTOS'!$A$3:$A$500,$B23,'DADOS BRUTOS'!V$3:V$500)+IF($C23="",0,SUMIF('DADOS BRUTOS'!$A$3:$A$500,$C23,'DADOS BRUTOS'!V$3:V$500)))</f>
        <v/>
      </c>
      <c r="CW23" s="132">
        <f>IF(OR(CW$4="",$B23=""),0,SUMIF('DADOS BRUTOS'!$A$3:$A$500,$B23,'DADOS BRUTOS'!W$3:W$500)+IF($C23="",0,SUMIF('DADOS BRUTOS'!$A$3:$A$500,$C23,'DADOS BRUTOS'!W$3:W$500)))</f>
        <v/>
      </c>
      <c r="CX23" s="132">
        <f>IF(OR(CX$4="",$B23=""),0,SUMIF('DADOS BRUTOS'!$A$3:$A$500,$B23,'DADOS BRUTOS'!X$3:X$500)+IF($C23="",0,SUMIF('DADOS BRUTOS'!$A$3:$A$500,$C23,'DADOS BRUTOS'!X$3:X$500)))</f>
        <v/>
      </c>
      <c r="CY23" s="132">
        <f>IF(OR(CY$4="",$B23=""),0,SUMIF('DADOS BRUTOS'!$A$3:$A$500,$B23,'DADOS BRUTOS'!Y$3:Y$500)+IF($C23="",0,SUMIF('DADOS BRUTOS'!$A$3:$A$500,$C23,'DADOS BRUTOS'!Y$3:Y$500)))</f>
        <v/>
      </c>
      <c r="CZ23" s="132">
        <f>IF(OR(CZ$4="",$B23=""),0,SUMIF('DADOS BRUTOS'!$A$3:$A$500,$B23,'DADOS BRUTOS'!Z$3:Z$500)+IF($C23="",0,SUMIF('DADOS BRUTOS'!$A$3:$A$500,$C23,'DADOS BRUTOS'!Z$3:Z$500)))</f>
        <v/>
      </c>
      <c r="DA23" s="132">
        <f>IF(OR(DA$4="",$B23=""),0,SUMIF('DADOS BRUTOS'!$A$3:$A$500,$B23,'DADOS BRUTOS'!AA$3:AA$500)+IF($C23="",0,SUMIF('DADOS BRUTOS'!$A$3:$A$500,$C23,'DADOS BRUTOS'!AA$3:AA$500)))</f>
        <v/>
      </c>
      <c r="DB23" s="132">
        <f>IF(OR(DB$4="",$B23=""),0,SUMIF('DADOS BRUTOS'!$A$3:$A$500,$B23,'DADOS BRUTOS'!AB$3:AB$500)+IF($C23="",0,SUMIF('DADOS BRUTOS'!$A$3:$A$500,$C23,'DADOS BRUTOS'!AB$3:AB$500)))</f>
        <v/>
      </c>
      <c r="DC23" s="132">
        <f>IF(OR(DC$4="",$B23=""),0,SUMIF('DADOS BRUTOS'!$A$3:$A$500,$B23,'DADOS BRUTOS'!AC$3:AC$500)+IF($C23="",0,SUMIF('DADOS BRUTOS'!$A$3:$A$500,$C23,'DADOS BRUTOS'!AC$3:AC$500)))</f>
        <v/>
      </c>
      <c r="DD23" s="132">
        <f>IF(OR(DD$4="",$B23=""),0,SUMIF('DADOS BRUTOS'!$A$3:$A$500,$B23,'DADOS BRUTOS'!AD$3:AD$500)+IF($C23="",0,SUMIF('DADOS BRUTOS'!$A$3:$A$500,$C23,'DADOS BRUTOS'!AD$3:AD$500)))</f>
        <v/>
      </c>
      <c r="DE23" s="132">
        <f>IF(OR(DE$4="",$B23=""),0,SUMIF('DADOS BRUTOS'!$A$3:$A$500,$B23,'DADOS BRUTOS'!AE$3:AE$500)+IF($C23="",0,SUMIF('DADOS BRUTOS'!$A$3:$A$500,$C23,'DADOS BRUTOS'!AE$3:AE$500)))</f>
        <v/>
      </c>
      <c r="DF23" s="132">
        <f>IF(OR(DF$4="",$B23=""),0,SUMIF('DADOS BRUTOS'!$A$3:$A$500,$B23,'DADOS BRUTOS'!AF$3:AF$500)+IF($C23="",0,SUMIF('DADOS BRUTOS'!$A$3:$A$500,$C23,'DADOS BRUTOS'!AF$3:AF$500)))</f>
        <v/>
      </c>
      <c r="DG23" s="132">
        <f>IF(OR(DG$4="",$B23=""),0,SUMIF('DADOS BRUTOS'!$A$3:$A$500,$B23,'DADOS BRUTOS'!AG$3:AG$500)+IF($C23="",0,SUMIF('DADOS BRUTOS'!$A$3:$A$500,$C23,'DADOS BRUTOS'!AG$3:AG$500)))</f>
        <v/>
      </c>
      <c r="DH23" s="132">
        <f>IF(OR(DH$4="",$B23=""),0,SUMIF('DADOS BRUTOS'!$A$3:$A$500,$B23,'DADOS BRUTOS'!AH$3:AH$500)+IF($C23="",0,SUMIF('DADOS BRUTOS'!$A$3:$A$500,$C23,'DADOS BRUTOS'!AH$3:AH$500)))</f>
        <v/>
      </c>
      <c r="DI23" s="132">
        <f>IF(OR(DI$4="",$B23=""),0,SUMIF('DADOS BRUTOS'!$A$3:$A$500,$B23,'DADOS BRUTOS'!AI$3:AI$500)+IF($C23="",0,SUMIF('DADOS BRUTOS'!$A$3:$A$500,$C23,'DADOS BRUTOS'!AI$3:AI$500)))</f>
        <v/>
      </c>
      <c r="DJ23" s="132">
        <f>IF(OR(DJ$4="",$B23=""),0,SUMIF('DADOS BRUTOS'!$A$3:$A$500,$B23,'DADOS BRUTOS'!AJ$3:AJ$500)+IF($C23="",0,SUMIF('DADOS BRUTOS'!$A$3:$A$500,$C23,'DADOS BRUTOS'!AJ$3:AJ$500)))</f>
        <v/>
      </c>
      <c r="DK23" s="132">
        <f>IF(OR(DK$4="",$B23=""),0,SUMIF('DADOS BRUTOS'!$A$3:$A$500,$B23,'DADOS BRUTOS'!AK$3:AK$500)+IF($C23="",0,SUMIF('DADOS BRUTOS'!$A$3:$A$500,$C23,'DADOS BRUTOS'!AK$3:AK$500)))</f>
        <v/>
      </c>
      <c r="DL23" s="132">
        <f>IF(OR(DL$4="",$B23=""),0,SUMIF('DADOS BRUTOS'!$A$3:$A$500,$B23,'DADOS BRUTOS'!AL$3:AL$500)+IF($C23="",0,SUMIF('DADOS BRUTOS'!$A$3:$A$500,$C23,'DADOS BRUTOS'!AL$3:AL$500)))</f>
        <v/>
      </c>
      <c r="DM23" s="132">
        <f>IF(OR(DM$4="",$B23=""),0,SUMIF('DADOS BRUTOS'!$A$3:$A$500,$B23,'DADOS BRUTOS'!AM$3:AM$500)+IF($C23="",0,SUMIF('DADOS BRUTOS'!$A$3:$A$500,$C23,'DADOS BRUTOS'!AM$3:AM$500)))</f>
        <v/>
      </c>
      <c r="DN23" s="132">
        <f>IF(OR(DN$4="",$B23=""),0,SUMIF('DADOS BRUTOS'!$A$3:$A$500,$B23,'DADOS BRUTOS'!AN$3:AN$500)+IF($C23="",0,SUMIF('DADOS BRUTOS'!$A$3:$A$500,$C23,'DADOS BRUTOS'!AN$3:AN$500)))</f>
        <v/>
      </c>
      <c r="DO23" s="132">
        <f>IF(OR(DO$4="",$B23=""),0,SUMIF('DADOS BRUTOS'!$A$3:$A$500,$B23,'DADOS BRUTOS'!AO$3:AO$500)+IF($C23="",0,SUMIF('DADOS BRUTOS'!$A$3:$A$500,$C23,'DADOS BRUTOS'!AO$3:AO$500)))</f>
        <v/>
      </c>
      <c r="DP23" s="132">
        <f>IF(OR(DP$4="",$B23=""),0,SUMIF('DADOS BRUTOS'!$A$3:$A$500,$B23,'DADOS BRUTOS'!AP$3:AP$500)+IF($C23="",0,SUMIF('DADOS BRUTOS'!$A$3:$A$500,$C23,'DADOS BRUTOS'!AP$3:AP$500)))</f>
        <v/>
      </c>
      <c r="DQ23" s="132">
        <f>IF(OR(DQ$4="",$B23=""),0,SUMIF('DADOS BRUTOS'!$A$3:$A$500,$B23,'DADOS BRUTOS'!AQ$3:AQ$500)+IF($C23="",0,SUMIF('DADOS BRUTOS'!$A$3:$A$500,$C23,'DADOS BRUTOS'!AQ$3:AQ$500)))</f>
        <v/>
      </c>
      <c r="DR23" s="132">
        <f>IF(OR(DR$4="",$B23=""),0,SUMIF('DADOS BRUTOS'!$A$3:$A$500,$B23,'DADOS BRUTOS'!AR$3:AR$500)+IF($C23="",0,SUMIF('DADOS BRUTOS'!$A$3:$A$500,$C23,'DADOS BRUTOS'!AR$3:AR$500)))</f>
        <v/>
      </c>
      <c r="DS23" s="132">
        <f>IF(OR(DS$4="",$B23=""),0,SUMIF('DADOS BRUTOS'!$A$3:$A$500,$B23,'DADOS BRUTOS'!AS$3:AS$500)+IF($C23="",0,SUMIF('DADOS BRUTOS'!$A$3:$A$500,$C23,'DADOS BRUTOS'!AS$3:AS$500)))</f>
        <v/>
      </c>
      <c r="DT23" s="132">
        <f>IF(OR(DT$4="",$B23=""),0,SUMIF('DADOS BRUTOS'!$A$3:$A$500,$B23,'DADOS BRUTOS'!AT$3:AT$500)+IF($C23="",0,SUMIF('DADOS BRUTOS'!$A$3:$A$500,$C23,'DADOS BRUTOS'!AT$3:AT$500)))</f>
        <v/>
      </c>
      <c r="DU23" s="132">
        <f>IF(OR(DU$4="",$B23=""),0,SUMIF('DADOS BRUTOS'!$A$3:$A$500,$B23,'DADOS BRUTOS'!AU$3:AU$500)+IF($C23="",0,SUMIF('DADOS BRUTOS'!$A$3:$A$500,$C23,'DADOS BRUTOS'!AU$3:AU$500)))</f>
        <v/>
      </c>
      <c r="DV23" s="132">
        <f>IF(OR(DV$4="",$B23=""),0,SUMIF('DADOS BRUTOS'!$A$3:$A$500,$B23,'DADOS BRUTOS'!AV$3:AV$500)+IF($C23="",0,SUMIF('DADOS BRUTOS'!$A$3:$A$500,$C23,'DADOS BRUTOS'!AV$3:AV$500)))</f>
        <v/>
      </c>
      <c r="DW23" s="132">
        <f>IF(OR(DW$4="",$B23=""),0,SUMIF('DADOS BRUTOS'!$A$3:$A$500,$B23,'DADOS BRUTOS'!AW$3:AW$500)+IF($C23="",0,SUMIF('DADOS BRUTOS'!$A$3:$A$500,$C23,'DADOS BRUTOS'!AW$3:AW$500)))</f>
        <v/>
      </c>
      <c r="DX23" s="132">
        <f>IF(OR(DX$4="",$B23=""),0,SUMIF('DADOS BRUTOS'!$A$3:$A$500,$B23,'DADOS BRUTOS'!AX$3:AX$500)+IF($C23="",0,SUMIF('DADOS BRUTOS'!$A$3:$A$500,$C23,'DADOS BRUTOS'!AX$3:AX$500)))</f>
        <v/>
      </c>
      <c r="DY23" s="132">
        <f>IF(OR(DY$4="",$B23=""),0,SUMIF('DADOS BRUTOS'!$A$3:$A$500,$B23,'DADOS BRUTOS'!AY$3:AY$500)+IF($C23="",0,SUMIF('DADOS BRUTOS'!$A$3:$A$500,$C23,'DADOS BRUTOS'!AY$3:AY$500)))</f>
        <v/>
      </c>
      <c r="DZ23" s="132">
        <f>IF(OR(DZ$4="",$B23=""),0,SUMIF('DADOS BRUTOS'!$A$3:$A$500,$B23,'DADOS BRUTOS'!AZ$3:AZ$500)+IF($C23="",0,SUMIF('DADOS BRUTOS'!$A$3:$A$500,$C23,'DADOS BRUTOS'!AZ$3:AZ$500)))</f>
        <v/>
      </c>
      <c r="EA23" s="132">
        <f>IF(OR(EA$4="",$B23=""),0,SUMIF('DADOS BRUTOS'!$A$3:$A$500,$B23,'DADOS BRUTOS'!BA$3:BA$500)+IF($C23="",0,SUMIF('DADOS BRUTOS'!$A$3:$A$500,$C23,'DADOS BRUTOS'!BA$3:BA$500)))</f>
        <v/>
      </c>
      <c r="EB23" s="132">
        <f>IF(OR(EB$4="",$B23=""),0,SUMIF('DADOS BRUTOS'!$A$3:$A$500,$B23,'DADOS BRUTOS'!BB$3:BB$500)+IF($C23="",0,SUMIF('DADOS BRUTOS'!$A$3:$A$500,$C23,'DADOS BRUTOS'!BB$3:BB$500)))</f>
        <v/>
      </c>
      <c r="EC23" s="132">
        <f>IF(OR(EC$4="",$B23=""),0,SUMIF('DADOS BRUTOS'!$A$3:$A$500,$B23,'DADOS BRUTOS'!BC$3:BC$500)+IF($C23="",0,SUMIF('DADOS BRUTOS'!$A$3:$A$500,$C23,'DADOS BRUTOS'!BC$3:BC$500)))</f>
        <v/>
      </c>
      <c r="ED23" s="132">
        <f>IF(OR(ED$4="",$B23=""),0,SUMIF('DADOS BRUTOS'!$A$3:$A$500,$B23,'DADOS BRUTOS'!BD$3:BD$500)+IF($C23="",0,SUMIF('DADOS BRUTOS'!$A$3:$A$500,$C23,'DADOS BRUTOS'!BD$3:BD$500)))</f>
        <v/>
      </c>
      <c r="EE23" s="132">
        <f>IF(OR(EE$4="",$B23=""),0,SUMIF('DADOS BRUTOS'!$A$3:$A$500,$B23,'DADOS BRUTOS'!BE$3:BE$500)+IF($C23="",0,SUMIF('DADOS BRUTOS'!$A$3:$A$500,$C23,'DADOS BRUTOS'!BE$3:BE$500)))</f>
        <v/>
      </c>
      <c r="EF23" s="132">
        <f>IF(OR(EF$4="",$B23=""),0,SUMIF('DADOS BRUTOS'!$A$3:$A$500,$B23,'DADOS BRUTOS'!BF$3:BF$500)+IF($C23="",0,SUMIF('DADOS BRUTOS'!$A$3:$A$500,$C23,'DADOS BRUTOS'!BF$3:BF$500)))</f>
        <v/>
      </c>
      <c r="EG23" s="132">
        <f>IF(OR(EG$4="",$B23=""),0,SUMIF('DADOS BRUTOS'!$A$3:$A$500,$B23,'DADOS BRUTOS'!BG$3:BG$500)+IF($C23="",0,SUMIF('DADOS BRUTOS'!$A$3:$A$500,$C23,'DADOS BRUTOS'!BG$3:BG$500)))</f>
        <v/>
      </c>
      <c r="EH23" s="132">
        <f>IF(OR(EH$4="",$B23=""),0,SUMIF('DADOS BRUTOS'!$A$3:$A$500,$B23,'DADOS BRUTOS'!BH$3:BH$500)+IF($C23="",0,SUMIF('DADOS BRUTOS'!$A$3:$A$500,$C23,'DADOS BRUTOS'!BH$3:BH$500)))</f>
        <v/>
      </c>
      <c r="EI23" s="132">
        <f>IF(OR(EI$4="",$B23=""),0,SUMIF('DADOS BRUTOS'!$A$3:$A$500,$B23,'DADOS BRUTOS'!BI$3:BI$500)+IF($C23="",0,SUMIF('DADOS BRUTOS'!$A$3:$A$500,$C23,'DADOS BRUTOS'!BI$3:BI$500)))</f>
        <v/>
      </c>
      <c r="EJ23" s="132">
        <f>IF(OR(EJ$4="",$B23=""),0,SUMIF('DADOS BRUTOS'!$A$3:$A$500,$B23,'DADOS BRUTOS'!BJ$3:BJ$500)+IF($C23="",0,SUMIF('DADOS BRUTOS'!$A$3:$A$500,$C23,'DADOS BRUTOS'!BJ$3:BJ$500)))</f>
        <v/>
      </c>
      <c r="EK23" s="132">
        <f>IF(OR(EK$4="",$B23=""),0,SUMIF('DADOS BRUTOS'!$A$3:$A$500,$B23,'DADOS BRUTOS'!BK$3:BK$500)+IF($C23="",0,SUMIF('DADOS BRUTOS'!$A$3:$A$500,$C23,'DADOS BRUTOS'!BK$3:BK$500)))</f>
        <v/>
      </c>
      <c r="EL23" s="132">
        <f>IF(OR(EL$4="",$B23=""),0,SUMIF('DADOS BRUTOS'!$A$3:$A$500,$B23,'DADOS BRUTOS'!BL$3:BL$500)+IF($C23="",0,SUMIF('DADOS BRUTOS'!$A$3:$A$500,$C23,'DADOS BRUTOS'!BL$3:BL$500)))</f>
        <v/>
      </c>
      <c r="EM23" s="132">
        <f>IF(OR(EM$4="",$B23=""),0,SUMIF('DADOS BRUTOS'!$A$3:$A$500,$B23,'DADOS BRUTOS'!BM$3:BM$500)+IF($C23="",0,SUMIF('DADOS BRUTOS'!$A$3:$A$500,$C23,'DADOS BRUTOS'!BM$3:BM$500)))</f>
        <v/>
      </c>
      <c r="EN23" s="132">
        <f>IF(OR(EN$4="",$B23=""),0,SUMIF('DADOS BRUTOS'!$A$3:$A$500,$B23,'DADOS BRUTOS'!BN$3:BN$500)+IF($C23="",0,SUMIF('DADOS BRUTOS'!$A$3:$A$500,$C23,'DADOS BRUTOS'!BN$3:BN$500)))</f>
        <v/>
      </c>
      <c r="EO23" s="132">
        <f>IF(OR(EO$4="",$B23=""),0,SUMIF('DADOS BRUTOS'!$A$3:$A$500,$B23,'DADOS BRUTOS'!BO$3:BO$500)+IF($C23="",0,SUMIF('DADOS BRUTOS'!$A$3:$A$500,$C23,'DADOS BRUTOS'!BO$3:BO$500)))</f>
        <v/>
      </c>
      <c r="EP23" s="132">
        <f>IF(OR(EP$4="",$B23=""),0,SUMIF('DADOS BRUTOS'!$A$3:$A$500,$B23,'DADOS BRUTOS'!BP$3:BP$500)+IF($C23="",0,SUMIF('DADOS BRUTOS'!$A$3:$A$500,$C23,'DADOS BRUTOS'!BP$3:BP$500)))</f>
        <v/>
      </c>
      <c r="EQ23" s="132">
        <f>IF(OR(EQ$4="",$B23=""),0,SUMIF('DADOS BRUTOS'!$A$3:$A$500,$B23,'DADOS BRUTOS'!BQ$3:BQ$500)+IF($C23="",0,SUMIF('DADOS BRUTOS'!$A$3:$A$500,$C23,'DADOS BRUTOS'!BQ$3:BQ$500)))</f>
        <v/>
      </c>
      <c r="ER23" s="132">
        <f>IF(OR(ER$4="",$B23=""),0,SUMIF('DADOS BRUTOS'!$A$3:$A$500,$B23,'DADOS BRUTOS'!BR$3:BR$500)+IF($C23="",0,SUMIF('DADOS BRUTOS'!$A$3:$A$500,$C23,'DADOS BRUTOS'!BR$3:BR$500)))</f>
        <v/>
      </c>
      <c r="ES23" s="132">
        <f>IF(OR(ES$4="",$B23=""),0,SUMIF('DADOS BRUTOS'!$A$3:$A$500,$B23,'DADOS BRUTOS'!BS$3:BS$500)+IF($C23="",0,SUMIF('DADOS BRUTOS'!$A$3:$A$500,$C23,'DADOS BRUTOS'!BS$3:BS$500)))</f>
        <v/>
      </c>
      <c r="ET23" s="132">
        <f>IF(OR(ET$4="",$B23=""),0,SUMIF('DADOS BRUTOS'!$A$3:$A$500,$B23,'DADOS BRUTOS'!BT$3:BT$500)+IF($C23="",0,SUMIF('DADOS BRUTOS'!$A$3:$A$500,$C23,'DADOS BRUTOS'!BT$3:BT$500)))</f>
        <v/>
      </c>
      <c r="EU23" s="132">
        <f>IF(OR(EU$4="",$B23=""),0,SUMIF('DADOS BRUTOS'!$A$3:$A$500,$B23,'DADOS BRUTOS'!BU$3:BU$500)+IF($C23="",0,SUMIF('DADOS BRUTOS'!$A$3:$A$500,$C23,'DADOS BRUTOS'!BU$3:BU$500)))</f>
        <v/>
      </c>
      <c r="EV23" s="132">
        <f>IF(OR(EV$4="",$B23=""),0,SUMIF('DADOS BRUTOS'!$A$3:$A$500,$B23,'DADOS BRUTOS'!BV$3:BV$500)+IF($C23="",0,SUMIF('DADOS BRUTOS'!$A$3:$A$500,$C23,'DADOS BRUTOS'!BV$3:BV$500)))</f>
        <v/>
      </c>
      <c r="EW23" s="132">
        <f>IF(OR(EW$4="",$B23=""),0,SUMIF('DADOS BRUTOS'!$A$3:$A$500,$B23,'DADOS BRUTOS'!BW$3:BW$500)+IF($C23="",0,SUMIF('DADOS BRUTOS'!$A$3:$A$500,$C23,'DADOS BRUTOS'!BW$3:BW$500)))</f>
        <v/>
      </c>
      <c r="EX23" s="132">
        <f>IF(OR(EX$4="",$B23=""),0,SUMIF('DADOS BRUTOS'!$A$3:$A$500,$B23,'DADOS BRUTOS'!BX$3:BX$500)+IF($C23="",0,SUMIF('DADOS BRUTOS'!$A$3:$A$500,$C23,'DADOS BRUTOS'!BX$3:BX$500)))</f>
        <v/>
      </c>
      <c r="EY23" s="132">
        <f>IF(OR(EY$4="",$B23=""),0,SUMIF('DADOS BRUTOS'!$A$3:$A$500,$B23,'DADOS BRUTOS'!BY$3:BY$500)+IF($C23="",0,SUMIF('DADOS BRUTOS'!$A$3:$A$500,$C23,'DADOS BRUTOS'!BY$3:BY$500)))</f>
        <v/>
      </c>
      <c r="EZ23" s="132">
        <f>IF(OR(EZ$4="",$B23=""),0,SUMIF('DADOS BRUTOS'!$A$3:$A$500,$B23,'DADOS BRUTOS'!BZ$3:BZ$500)+IF($C23="",0,SUMIF('DADOS BRUTOS'!$A$3:$A$500,$C23,'DADOS BRUTOS'!BZ$3:BZ$500)))</f>
        <v/>
      </c>
      <c r="FA23" s="132">
        <f>IF(OR(FA$4="",$B23=""),0,SUMIF('DADOS BRUTOS'!$A$3:$A$500,$B23,'DADOS BRUTOS'!CA$3:CA$500)+IF($C23="",0,SUMIF('DADOS BRUTOS'!$A$3:$A$500,$C23,'DADOS BRUTOS'!CA$3:CA$500)))</f>
        <v/>
      </c>
      <c r="FB23" s="132">
        <f>IF(OR(FB$4="",$B23=""),0,SUMIF('DADOS BRUTOS'!$A$3:$A$500,$B23,'DADOS BRUTOS'!CB$3:CB$500)+IF($C23="",0,SUMIF('DADOS BRUTOS'!$A$3:$A$500,$C23,'DADOS BRUTOS'!CB$3:CB$500)))</f>
        <v/>
      </c>
      <c r="FC23" s="132">
        <f>IF(OR(FC$4="",$B23=""),0,SUMIF('DADOS BRUTOS'!$A$3:$A$500,$B23,'DADOS BRUTOS'!CC$3:CC$500)+IF($C23="",0,SUMIF('DADOS BRUTOS'!$A$3:$A$500,$C23,'DADOS BRUTOS'!CC$3:CC$500)))</f>
        <v/>
      </c>
      <c r="FD23" s="132">
        <f>IF(OR(FD$4="",$B23=""),0,SUMIF('DADOS BRUTOS'!$A$3:$A$500,$B23,'DADOS BRUTOS'!CD$3:CD$500)+IF($C23="",0,SUMIF('DADOS BRUTOS'!$A$3:$A$500,$C23,'DADOS BRUTOS'!CD$3:CD$500)))</f>
        <v/>
      </c>
      <c r="FE23" s="132">
        <f>IF(OR(FE$4="",$B23=""),0,SUMIF('DADOS BRUTOS'!$A$3:$A$500,$B23,'DADOS BRUTOS'!CE$3:CE$500)+IF($C23="",0,SUMIF('DADOS BRUTOS'!$A$3:$A$500,$C23,'DADOS BRUTOS'!CE$3:CE$500)))</f>
        <v/>
      </c>
      <c r="FF23" s="132">
        <f>IF(OR(FF$4="",$B23=""),0,SUMIF('DADOS BRUTOS'!$A$3:$A$500,$B23,'DADOS BRUTOS'!CF$3:CF$500)+IF($C23="",0,SUMIF('DADOS BRUTOS'!$A$3:$A$500,$C23,'DADOS BRUTOS'!CF$3:CF$500)))</f>
        <v/>
      </c>
      <c r="FG23" s="132">
        <f>IF(OR(FG$4="",$B23=""),0,SUMIF('DADOS BRUTOS'!$A$3:$A$500,$B23,'DADOS BRUTOS'!CG$3:CG$500)+IF($C23="",0,SUMIF('DADOS BRUTOS'!$A$3:$A$500,$C23,'DADOS BRUTOS'!CG$3:CG$500)))</f>
        <v/>
      </c>
      <c r="FH23" s="132">
        <f>IF(OR(FH$4="",$B23=""),0,SUMIF('DADOS BRUTOS'!$A$3:$A$500,$B23,'DADOS BRUTOS'!CH$3:CH$500)+IF($C23="",0,SUMIF('DADOS BRUTOS'!$A$3:$A$500,$C23,'DADOS BRUTOS'!CH$3:CH$500)))</f>
        <v/>
      </c>
      <c r="FI23" s="132">
        <f>IF(OR(FI$4="",$B23=""),0,SUMIF('DADOS BRUTOS'!$A$3:$A$500,$B23,'DADOS BRUTOS'!CI$3:CI$500)+IF($C23="",0,SUMIF('DADOS BRUTOS'!$A$3:$A$500,$C23,'DADOS BRUTOS'!CI$3:CI$500)))</f>
        <v/>
      </c>
      <c r="FJ23" s="132">
        <f>IF(OR(FJ$4="",$B23=""),0,SUMIF('DADOS BRUTOS'!$A$3:$A$500,$B23,'DADOS BRUTOS'!CJ$3:CJ$500)+IF($C23="",0,SUMIF('DADOS BRUTOS'!$A$3:$A$500,$C23,'DADOS BRUTOS'!CJ$3:CJ$500)))</f>
        <v/>
      </c>
      <c r="FK23" s="132">
        <f>IF(OR(FK$4="",$B23=""),0,SUMIF('DADOS BRUTOS'!$A$3:$A$500,$B23,'DADOS BRUTOS'!CK$3:CK$500)+IF($C23="",0,SUMIF('DADOS BRUTOS'!$A$3:$A$500,$C23,'DADOS BRUTOS'!CK$3:CK$500)))</f>
        <v/>
      </c>
      <c r="FL23" s="132">
        <f>IF(OR(FL$4="",$B23=""),0,SUMIF('DADOS BRUTOS'!$A$3:$A$500,$B23,'DADOS BRUTOS'!CL$3:CL$500)+IF($C23="",0,SUMIF('DADOS BRUTOS'!$A$3:$A$500,$C23,'DADOS BRUTOS'!CL$3:CL$500)))</f>
        <v/>
      </c>
      <c r="FM23" s="132">
        <f>IF(OR(FM$4="",$B23=""),0,SUMIF('DADOS BRUTOS'!$A$3:$A$500,$B23,'DADOS BRUTOS'!CM$3:CM$500)+IF($C23="",0,SUMIF('DADOS BRUTOS'!$A$3:$A$500,$C23,'DADOS BRUTOS'!CM$3:CM$500)))</f>
        <v/>
      </c>
      <c r="FN23" s="132">
        <f>IF(OR(FN$4="",$B23=""),0,SUMIF('DADOS BRUTOS'!$A$3:$A$500,$B23,'DADOS BRUTOS'!CN$3:CN$500)+IF($C23="",0,SUMIF('DADOS BRUTOS'!$A$3:$A$500,$C23,'DADOS BRUTOS'!CN$3:CN$500)))</f>
        <v/>
      </c>
      <c r="FO23" s="132">
        <f>IF(OR(FO$4="",$B23=""),0,SUMIF('DADOS BRUTOS'!$A$3:$A$500,$B23,'DADOS BRUTOS'!CO$3:CO$500)+IF($C23="",0,SUMIF('DADOS BRUTOS'!$A$3:$A$500,$C23,'DADOS BRUTOS'!CO$3:CO$500)))</f>
        <v/>
      </c>
      <c r="FP23" s="132">
        <f>IF(OR(FP$4="",$B23=""),0,SUMIF('DADOS BRUTOS'!$A$3:$A$500,$B23,'DADOS BRUTOS'!CP$3:CP$500)+IF($C23="",0,SUMIF('DADOS BRUTOS'!$A$3:$A$500,$C23,'DADOS BRUTOS'!CP$3:CP$500)))</f>
        <v/>
      </c>
      <c r="FQ23" s="132">
        <f>IF(OR(FQ$4="",$B23=""),0,SUMIF('DADOS BRUTOS'!$A$3:$A$500,$B23,'DADOS BRUTOS'!CQ$3:CQ$500)+IF($C23="",0,SUMIF('DADOS BRUTOS'!$A$3:$A$500,$C23,'DADOS BRUTOS'!CQ$3:CQ$500)))</f>
        <v/>
      </c>
      <c r="FR23" s="132">
        <f>IF(OR(FR$4="",$B23=""),0,SUMIF('DADOS BRUTOS'!$A$3:$A$500,$B23,'DADOS BRUTOS'!CR$3:CR$500)+IF($C23="",0,SUMIF('DADOS BRUTOS'!$A$3:$A$500,$C23,'DADOS BRUTOS'!CR$3:CR$500)))</f>
        <v/>
      </c>
      <c r="FS23" s="132">
        <f>IF(OR(FS$4="",$B23=""),0,SUMIF('DADOS BRUTOS'!$A$3:$A$500,$B23,'DADOS BRUTOS'!CS$3:CS$500)+IF($C23="",0,SUMIF('DADOS BRUTOS'!$A$3:$A$500,$C23,'DADOS BRUTOS'!CS$3:CS$500)))</f>
        <v/>
      </c>
      <c r="FT23" s="132">
        <f>IF(OR(FT$4="",$B23=""),0,SUMIF('DADOS BRUTOS'!$A$3:$A$500,$B23,'DADOS BRUTOS'!CT$3:CT$500)+IF($C23="",0,SUMIF('DADOS BRUTOS'!$A$3:$A$500,$C23,'DADOS BRUTOS'!CT$3:CT$500)))</f>
        <v/>
      </c>
      <c r="FU23" s="132">
        <f>IF(OR(FU$4="",$B23=""),0,SUMIF('DADOS BRUTOS'!$A$3:$A$500,$B23,'DADOS BRUTOS'!CU$3:CU$500)+IF($C23="",0,SUMIF('DADOS BRUTOS'!$A$3:$A$500,$C23,'DADOS BRUTOS'!CU$3:CU$500)))</f>
        <v/>
      </c>
      <c r="FV23" s="132">
        <f>IF(OR(FV$4="",$B23=""),0,SUMIF('DADOS BRUTOS'!$A$3:$A$500,$B23,'DADOS BRUTOS'!CV$3:CV$500)+IF($C23="",0,SUMIF('DADOS BRUTOS'!$A$3:$A$500,$C23,'DADOS BRUTOS'!CV$3:CV$500)))</f>
        <v/>
      </c>
      <c r="FW23" s="132">
        <f>IF(OR(FW$4="",$B23=""),0,SUMIF('DADOS BRUTOS'!$A$3:$A$500,$B23,'DADOS BRUTOS'!CW$3:CW$500)+IF($C23="",0,SUMIF('DADOS BRUTOS'!$A$3:$A$500,$C23,'DADOS BRUTOS'!CW$3:CW$500)))</f>
        <v/>
      </c>
      <c r="FX23" s="132">
        <f>IF(OR(FX$4="",$B23=""),0,SUMIF('DADOS BRUTOS'!$A$3:$A$500,$B23,'DADOS BRUTOS'!CX$3:CX$500)+IF($C23="",0,SUMIF('DADOS BRUTOS'!$A$3:$A$500,$C23,'DADOS BRUTOS'!CX$3:CX$500)))</f>
        <v/>
      </c>
      <c r="FY23" s="132">
        <f>IF(OR(FY$4="",$B23=""),0,SUMIF('DADOS BRUTOS'!$A$3:$A$500,$B23,'DADOS BRUTOS'!CY$3:CY$500)+IF($C23="",0,SUMIF('DADOS BRUTOS'!$A$3:$A$500,$C23,'DADOS BRUTOS'!CY$3:CY$500)))</f>
        <v/>
      </c>
      <c r="FZ23" s="132">
        <f>IF(OR(FZ$4="",$B23=""),0,SUMIF('DADOS BRUTOS'!$A$3:$A$500,$B23,'DADOS BRUTOS'!CZ$3:CZ$500)+IF($C23="",0,SUMIF('DADOS BRUTOS'!$A$3:$A$500,$C23,'DADOS BRUTOS'!CZ$3:CZ$500)))</f>
        <v/>
      </c>
      <c r="GA23" s="132">
        <f>IF(OR(GA$4="",$B23=""),0,SUMIF('DADOS BRUTOS'!$A$3:$A$500,$B23,'DADOS BRUTOS'!DA$3:DA$500)+IF($C23="",0,SUMIF('DADOS BRUTOS'!$A$3:$A$500,$C23,'DADOS BRUTOS'!DA$3:DA$500)))</f>
        <v/>
      </c>
      <c r="GB23" s="132">
        <f>IF(OR(GB$4="",$B23=""),0,SUMIF('DADOS BRUTOS'!$A$3:$A$500,$B23,'DADOS BRUTOS'!DB$3:DB$500)+IF($C23="",0,SUMIF('DADOS BRUTOS'!$A$3:$A$500,$C23,'DADOS BRUTOS'!DB$3:DB$500)))</f>
        <v/>
      </c>
      <c r="GC23" s="132">
        <f>IF(OR(GC$4="",$B23=""),0,SUMIF('DADOS BRUTOS'!$A$3:$A$500,$B23,'DADOS BRUTOS'!DC$3:DC$500)+IF($C23="",0,SUMIF('DADOS BRUTOS'!$A$3:$A$500,$C23,'DADOS BRUTOS'!DC$3:DC$500)))</f>
        <v/>
      </c>
      <c r="GD23" s="132">
        <f>IF(OR(GD$4="",$B23=""),0,SUMIF('DADOS BRUTOS'!$A$3:$A$500,$B23,'DADOS BRUTOS'!DD$3:DD$500)+IF($C23="",0,SUMIF('DADOS BRUTOS'!$A$3:$A$500,$C23,'DADOS BRUTOS'!DD$3:DD$500)))</f>
        <v/>
      </c>
      <c r="GE23" s="132">
        <f>IF(OR(GE$4="",$B23=""),0,SUMIF('DADOS BRUTOS'!$A$3:$A$500,$B23,'DADOS BRUTOS'!DE$3:DE$500)+IF($C23="",0,SUMIF('DADOS BRUTOS'!$A$3:$A$500,$C23,'DADOS BRUTOS'!DE$3:DE$500)))</f>
        <v/>
      </c>
      <c r="GF23" s="132">
        <f>IF(OR(GF$4="",$B23=""),0,SUMIF('DADOS BRUTOS'!$A$3:$A$500,$B23,'DADOS BRUTOS'!DF$3:DF$500)+IF($C23="",0,SUMIF('DADOS BRUTOS'!$A$3:$A$500,$C23,'DADOS BRUTOS'!DF$3:DF$500)))</f>
        <v/>
      </c>
      <c r="GG23" s="132">
        <f>IF(OR(GG$4="",$B23=""),0,SUMIF('DADOS BRUTOS'!$A$3:$A$500,$B23,'DADOS BRUTOS'!DG$3:DG$500)+IF($C23="",0,SUMIF('DADOS BRUTOS'!$A$3:$A$500,$C23,'DADOS BRUTOS'!DG$3:DG$500)))</f>
        <v/>
      </c>
      <c r="GH23" s="132">
        <f>IF(OR(GH$4="",$B23=""),0,SUMIF('DADOS BRUTOS'!$A$3:$A$500,$B23,'DADOS BRUTOS'!DH$3:DH$500)+IF($C23="",0,SUMIF('DADOS BRUTOS'!$A$3:$A$500,$C23,'DADOS BRUTOS'!DH$3:DH$500)))</f>
        <v/>
      </c>
      <c r="GI23" s="132">
        <f>IF(OR(GI$4="",$B23=""),0,SUMIF('DADOS BRUTOS'!$A$3:$A$500,$B23,'DADOS BRUTOS'!DI$3:DI$500)+IF($C23="",0,SUMIF('DADOS BRUTOS'!$A$3:$A$500,$C23,'DADOS BRUTOS'!DI$3:DI$500)))</f>
        <v/>
      </c>
      <c r="GJ23" s="132">
        <f>IF(OR(GJ$4="",$B23=""),0,SUMIF('DADOS BRUTOS'!$A$3:$A$500,$B23,'DADOS BRUTOS'!DJ$3:DJ$500)+IF($C23="",0,SUMIF('DADOS BRUTOS'!$A$3:$A$500,$C23,'DADOS BRUTOS'!DJ$3:DJ$500)))</f>
        <v/>
      </c>
      <c r="GK23" s="132">
        <f>IF(OR(GK$4="",$B23=""),0,SUMIF('DADOS BRUTOS'!$A$3:$A$500,$B23,'DADOS BRUTOS'!DK$3:DK$500)+IF($C23="",0,SUMIF('DADOS BRUTOS'!$A$3:$A$500,$C23,'DADOS BRUTOS'!DK$3:DK$500)))</f>
        <v/>
      </c>
      <c r="GL23" s="132">
        <f>IF(OR(GL$4="",$B23=""),0,SUMIF('DADOS BRUTOS'!$A$3:$A$500,$B23,'DADOS BRUTOS'!DL$3:DL$500)+IF($C23="",0,SUMIF('DADOS BRUTOS'!$A$3:$A$500,$C23,'DADOS BRUTOS'!DL$3:DL$500)))</f>
        <v/>
      </c>
      <c r="GM23" s="132">
        <f>IF(OR(GM$4="",$B23=""),0,SUMIF('DADOS BRUTOS'!$A$3:$A$500,$B23,'DADOS BRUTOS'!DM$3:DM$500)+IF($C23="",0,SUMIF('DADOS BRUTOS'!$A$3:$A$500,$C23,'DADOS BRUTOS'!DM$3:DM$500)))</f>
        <v/>
      </c>
      <c r="GN23" s="132">
        <f>IF(OR(GN$4="",$B23=""),0,SUMIF('DADOS BRUTOS'!$A$3:$A$500,$B23,'DADOS BRUTOS'!DN$3:DN$500)+IF($C23="",0,SUMIF('DADOS BRUTOS'!$A$3:$A$500,$C23,'DADOS BRUTOS'!DN$3:DN$500)))</f>
        <v/>
      </c>
      <c r="GO23" s="132">
        <f>IF(OR(GO$4="",$B23=""),0,SUMIF('DADOS BRUTOS'!$A$3:$A$500,$B23,'DADOS BRUTOS'!DO$3:DO$500)+IF($C23="",0,SUMIF('DADOS BRUTOS'!$A$3:$A$500,$C23,'DADOS BRUTOS'!DO$3:DO$500)))</f>
        <v/>
      </c>
      <c r="GP23" s="132">
        <f>IF(OR(GP$4="",$B23=""),0,SUMIF('DADOS BRUTOS'!$A$3:$A$500,$B23,'DADOS BRUTOS'!DP$3:DP$500)+IF($C23="",0,SUMIF('DADOS BRUTOS'!$A$3:$A$500,$C23,'DADOS BRUTOS'!DP$3:DP$500)))</f>
        <v/>
      </c>
      <c r="GQ23" s="132">
        <f>IF(OR(GQ$4="",$B23=""),0,SUMIF('DADOS BRUTOS'!$A$3:$A$500,$B23,'DADOS BRUTOS'!DQ$3:DQ$500)+IF($C23="",0,SUMIF('DADOS BRUTOS'!$A$3:$A$500,$C23,'DADOS BRUTOS'!DQ$3:DQ$500)))</f>
        <v/>
      </c>
      <c r="GR23" s="132">
        <f>IF(OR(GR$4="",$B23=""),0,SUMIF('DADOS BRUTOS'!$A$3:$A$500,$B23,'DADOS BRUTOS'!DR$3:DR$500)+IF($C23="",0,SUMIF('DADOS BRUTOS'!$A$3:$A$500,$C23,'DADOS BRUTOS'!DR$3:DR$500)))</f>
        <v/>
      </c>
      <c r="GS23" s="132">
        <f>IF(OR(GS$4="",$B23=""),0,SUMIF('DADOS BRUTOS'!$A$3:$A$500,$B23,'DADOS BRUTOS'!DS$3:DS$500)+IF($C23="",0,SUMIF('DADOS BRUTOS'!$A$3:$A$500,$C23,'DADOS BRUTOS'!DS$3:DS$500)))</f>
        <v/>
      </c>
      <c r="GT23" s="132">
        <f>IF(OR(GT$4="",$B23=""),0,SUMIF('DADOS BRUTOS'!$A$3:$A$500,$B23,'DADOS BRUTOS'!DT$3:DT$500)+IF($C23="",0,SUMIF('DADOS BRUTOS'!$A$3:$A$500,$C23,'DADOS BRUTOS'!DT$3:DT$500)))</f>
        <v/>
      </c>
      <c r="GU23" s="132">
        <f>IF(OR(GU$4="",$B23=""),0,SUMIF('DADOS BRUTOS'!$A$3:$A$500,$B23,'DADOS BRUTOS'!DU$3:DU$500)+IF($C23="",0,SUMIF('DADOS BRUTOS'!$A$3:$A$500,$C23,'DADOS BRUTOS'!DU$3:DU$500)))</f>
        <v/>
      </c>
      <c r="GV23" s="132">
        <f>IF(OR(GV$4="",$B23=""),0,SUMIF('DADOS BRUTOS'!$A$3:$A$500,$B23,'DADOS BRUTOS'!DV$3:DV$500)+IF($C23="",0,SUMIF('DADOS BRUTOS'!$A$3:$A$500,$C23,'DADOS BRUTOS'!DV$3:DV$500)))</f>
        <v/>
      </c>
      <c r="GW23" s="132">
        <f>IF(OR(GW$4="",$B23=""),0,SUMIF('DADOS BRUTOS'!$A$3:$A$500,$B23,'DADOS BRUTOS'!DW$3:DW$500)+IF($C23="",0,SUMIF('DADOS BRUTOS'!$A$3:$A$500,$C23,'DADOS BRUTOS'!DW$3:DW$500)))</f>
        <v/>
      </c>
      <c r="GX23" s="132">
        <f>IF(OR(GX$4="",$B23=""),0,SUMIF('DADOS BRUTOS'!$A$3:$A$500,$B23,'DADOS BRUTOS'!DX$3:DX$500)+IF($C23="",0,SUMIF('DADOS BRUTOS'!$A$3:$A$500,$C23,'DADOS BRUTOS'!DX$3:DX$500)))</f>
        <v/>
      </c>
      <c r="GY23" s="132">
        <f>IF(OR(GY$4="",$B23=""),0,SUMIF('DADOS BRUTOS'!$A$3:$A$500,$B23,'DADOS BRUTOS'!DY$3:DY$500)+IF($C23="",0,SUMIF('DADOS BRUTOS'!$A$3:$A$500,$C23,'DADOS BRUTOS'!DY$3:DY$500)))</f>
        <v/>
      </c>
      <c r="GZ23" s="132">
        <f>IF(OR(GZ$4="",$B23=""),0,SUMIF('DADOS BRUTOS'!$A$3:$A$500,$B23,'DADOS BRUTOS'!DZ$3:DZ$500)+IF($C23="",0,SUMIF('DADOS BRUTOS'!$A$3:$A$500,$C23,'DADOS BRUTOS'!DZ$3:DZ$500)))</f>
        <v/>
      </c>
      <c r="HA23" s="132">
        <f>IF(OR(HA$4="",$B23=""),0,SUMIF('DADOS BRUTOS'!$A$3:$A$500,$B23,'DADOS BRUTOS'!EA$3:EA$500)+IF($C23="",0,SUMIF('DADOS BRUTOS'!$A$3:$A$500,$C23,'DADOS BRUTOS'!EA$3:EA$500)))</f>
        <v/>
      </c>
      <c r="HB23" s="132">
        <f>IF(OR(HB$4="",$B23=""),0,SUMIF('DADOS BRUTOS'!$A$3:$A$500,$B23,'DADOS BRUTOS'!EB$3:EB$500)+IF($C23="",0,SUMIF('DADOS BRUTOS'!$A$3:$A$500,$C23,'DADOS BRUTOS'!EB$3:EB$500)))</f>
        <v/>
      </c>
      <c r="HC23" s="132">
        <f>IF(OR(HC$4="",$B23=""),0,SUMIF('DADOS BRUTOS'!$A$3:$A$500,$B23,'DADOS BRUTOS'!EC$3:EC$500)+IF($C23="",0,SUMIF('DADOS BRUTOS'!$A$3:$A$500,$C23,'DADOS BRUTOS'!EC$3:EC$500)))</f>
        <v/>
      </c>
      <c r="HD23" s="132">
        <f>IF(OR(HD$4="",$B23=""),0,SUMIF('DADOS BRUTOS'!$A$3:$A$500,$B23,'DADOS BRUTOS'!ED$3:ED$500)+IF($C23="",0,SUMIF('DADOS BRUTOS'!$A$3:$A$500,$C23,'DADOS BRUTOS'!ED$3:ED$500)))</f>
        <v/>
      </c>
      <c r="HE23" s="132">
        <f>IF(OR(HE$4="",$B23=""),0,SUMIF('DADOS BRUTOS'!$A$3:$A$500,$B23,'DADOS BRUTOS'!EE$3:EE$500)+IF($C23="",0,SUMIF('DADOS BRUTOS'!$A$3:$A$500,$C23,'DADOS BRUTOS'!EE$3:EE$500)))</f>
        <v/>
      </c>
      <c r="HF23" s="132">
        <f>IF(OR(HF$4="",$B23=""),0,SUMIF('DADOS BRUTOS'!$A$3:$A$500,$B23,'DADOS BRUTOS'!EF$3:EF$500)+IF($C23="",0,SUMIF('DADOS BRUTOS'!$A$3:$A$500,$C23,'DADOS BRUTOS'!EF$3:EF$500)))</f>
        <v/>
      </c>
      <c r="HG23" s="132">
        <f>IF(OR(HG$4="",$B23=""),0,SUMIF('DADOS BRUTOS'!$A$3:$A$500,$B23,'DADOS BRUTOS'!EG$3:EG$500)+IF($C23="",0,SUMIF('DADOS BRUTOS'!$A$3:$A$500,$C23,'DADOS BRUTOS'!EG$3:EG$500)))</f>
        <v/>
      </c>
      <c r="HH23" s="132">
        <f>IF(OR(HH$4="",$B23=""),0,SUMIF('DADOS BRUTOS'!$A$3:$A$500,$B23,'DADOS BRUTOS'!EH$3:EH$500)+IF($C23="",0,SUMIF('DADOS BRUTOS'!$A$3:$A$500,$C23,'DADOS BRUTOS'!EH$3:EH$500)))</f>
        <v/>
      </c>
      <c r="HI23" s="132">
        <f>IF(OR(HI$4="",$B23=""),0,SUMIF('DADOS BRUTOS'!$A$3:$A$500,$B23,'DADOS BRUTOS'!EI$3:EI$500)+IF($C23="",0,SUMIF('DADOS BRUTOS'!$A$3:$A$500,$C23,'DADOS BRUTOS'!EI$3:EI$500)))</f>
        <v/>
      </c>
      <c r="HJ23" s="132">
        <f>IF(OR(HJ$4="",$B23=""),0,SUMIF('DADOS BRUTOS'!$A$3:$A$500,$B23,'DADOS BRUTOS'!EJ$3:EJ$500)+IF($C23="",0,SUMIF('DADOS BRUTOS'!$A$3:$A$500,$C23,'DADOS BRUTOS'!EJ$3:EJ$500)))</f>
        <v/>
      </c>
      <c r="HK23" s="132">
        <f>IF(OR(HK$4="",$B23=""),0,SUMIF('DADOS BRUTOS'!$A$3:$A$500,$B23,'DADOS BRUTOS'!EK$3:EK$500)+IF($C23="",0,SUMIF('DADOS BRUTOS'!$A$3:$A$500,$C23,'DADOS BRUTOS'!EK$3:EK$500)))</f>
        <v/>
      </c>
      <c r="HL23" s="132">
        <f>IF(OR(HL$4="",$B23=""),0,SUMIF('DADOS BRUTOS'!$A$3:$A$500,$B23,'DADOS BRUTOS'!EL$3:EL$500)+IF($C23="",0,SUMIF('DADOS BRUTOS'!$A$3:$A$500,$C23,'DADOS BRUTOS'!EL$3:EL$500)))</f>
        <v/>
      </c>
      <c r="HM23" s="132">
        <f>IF(OR(HM$4="",$B23=""),0,SUMIF('DADOS BRUTOS'!$A$3:$A$500,$B23,'DADOS BRUTOS'!EM$3:EM$500)+IF($C23="",0,SUMIF('DADOS BRUTOS'!$A$3:$A$500,$C23,'DADOS BRUTOS'!EM$3:EM$500)))</f>
        <v/>
      </c>
      <c r="HN23" s="132">
        <f>IF(OR(HN$4="",$B23=""),0,SUMIF('DADOS BRUTOS'!$A$3:$A$500,$B23,'DADOS BRUTOS'!EN$3:EN$500)+IF($C23="",0,SUMIF('DADOS BRUTOS'!$A$3:$A$500,$C23,'DADOS BRUTOS'!EN$3:EN$500)))</f>
        <v/>
      </c>
      <c r="HO23" s="132">
        <f>IF(OR(HO$4="",$B23=""),0,SUMIF('DADOS BRUTOS'!$A$3:$A$500,$B23,'DADOS BRUTOS'!EO$3:EO$500)+IF($C23="",0,SUMIF('DADOS BRUTOS'!$A$3:$A$500,$C23,'DADOS BRUTOS'!EO$3:EO$500)))</f>
        <v/>
      </c>
      <c r="HP23" s="132">
        <f>IF(OR(HP$4="",$B23=""),0,SUMIF('DADOS BRUTOS'!$A$3:$A$500,$B23,'DADOS BRUTOS'!EP$3:EP$500)+IF($C23="",0,SUMIF('DADOS BRUTOS'!$A$3:$A$500,$C23,'DADOS BRUTOS'!EP$3:EP$500)))</f>
        <v/>
      </c>
      <c r="HQ23" s="132">
        <f>IF(OR(HQ$4="",$B23=""),0,SUMIF('DADOS BRUTOS'!$A$3:$A$500,$B23,'DADOS BRUTOS'!EQ$3:EQ$500)+IF($C23="",0,SUMIF('DADOS BRUTOS'!$A$3:$A$500,$C23,'DADOS BRUTOS'!EQ$3:EQ$500)))</f>
        <v/>
      </c>
      <c r="HR23" s="132">
        <f>IF(OR(HR$4="",$B23=""),0,SUMIF('DADOS BRUTOS'!$A$3:$A$500,$B23,'DADOS BRUTOS'!ER$3:ER$500)+IF($C23="",0,SUMIF('DADOS BRUTOS'!$A$3:$A$500,$C23,'DADOS BRUTOS'!ER$3:ER$500)))</f>
        <v/>
      </c>
      <c r="HS23" s="132">
        <f>IF(OR(HS$4="",$B23=""),0,SUMIF('DADOS BRUTOS'!$A$3:$A$500,$B23,'DADOS BRUTOS'!ES$3:ES$500)+IF($C23="",0,SUMIF('DADOS BRUTOS'!$A$3:$A$500,$C23,'DADOS BRUTOS'!ES$3:ES$500)))</f>
        <v/>
      </c>
      <c r="HT23" s="132">
        <f>IF(OR(HT$4="",$B23=""),0,SUMIF('DADOS BRUTOS'!$A$3:$A$500,$B23,'DADOS BRUTOS'!ET$3:ET$500)+IF($C23="",0,SUMIF('DADOS BRUTOS'!$A$3:$A$500,$C23,'DADOS BRUTOS'!ET$3:ET$500)))</f>
        <v/>
      </c>
      <c r="HU23" s="132">
        <f>IF(OR(HU$4="",$B23=""),0,SUMIF('DADOS BRUTOS'!$A$3:$A$500,$B23,'DADOS BRUTOS'!EU$3:EU$500)+IF($C23="",0,SUMIF('DADOS BRUTOS'!$A$3:$A$500,$C23,'DADOS BRUTOS'!EU$3:EU$500)))</f>
        <v/>
      </c>
      <c r="HV23" s="132">
        <f>IF(OR(HV$4="",$B23=""),0,SUMIF('DADOS BRUTOS'!$A$3:$A$500,$B23,'DADOS BRUTOS'!EV$3:EV$500)+IF($C23="",0,SUMIF('DADOS BRUTOS'!$A$3:$A$500,$C23,'DADOS BRUTOS'!EV$3:EV$500)))</f>
        <v/>
      </c>
      <c r="HW23" s="132">
        <f>IF(OR(HW$4="",$B23=""),0,SUMIF('DADOS BRUTOS'!$A$3:$A$500,$B23,'DADOS BRUTOS'!EW$3:EW$500)+IF($C23="",0,SUMIF('DADOS BRUTOS'!$A$3:$A$500,$C23,'DADOS BRUTOS'!EW$3:EW$500)))</f>
        <v/>
      </c>
      <c r="HX23" s="132">
        <f>IF(OR(HX$4="",$B23=""),0,SUMIF('DADOS BRUTOS'!$A$3:$A$500,$B23,'DADOS BRUTOS'!EX$3:EX$500)+IF($C23="",0,SUMIF('DADOS BRUTOS'!$A$3:$A$500,$C23,'DADOS BRUTOS'!EX$3:EX$500)))</f>
        <v/>
      </c>
      <c r="HY23" s="132">
        <f>IF(OR(HY$4="",$B23=""),0,SUMIF('DADOS BRUTOS'!$A$3:$A$500,$B23,'DADOS BRUTOS'!EY$3:EY$500)+IF($C23="",0,SUMIF('DADOS BRUTOS'!$A$3:$A$500,$C23,'DADOS BRUTOS'!EY$3:EY$500)))</f>
        <v/>
      </c>
      <c r="HZ23" s="132">
        <f>IF(OR(HZ$4="",$B23=""),0,SUMIF('DADOS BRUTOS'!$A$3:$A$500,$B23,'DADOS BRUTOS'!EZ$3:EZ$500)+IF($C23="",0,SUMIF('DADOS BRUTOS'!$A$3:$A$500,$C23,'DADOS BRUTOS'!EZ$3:EZ$500)))</f>
        <v/>
      </c>
      <c r="IA23" s="132">
        <f>IF(OR(IA$4="",$B23=""),0,SUMIF('DADOS BRUTOS'!$A$3:$A$500,$B23,'DADOS BRUTOS'!FA$3:FA$500)+IF($C23="",0,SUMIF('DADOS BRUTOS'!$A$3:$A$500,$C23,'DADOS BRUTOS'!FA$3:FA$500)))</f>
        <v/>
      </c>
      <c r="IB23" s="132">
        <f>IF(OR(IB$4="",$B23=""),0,SUMIF('DADOS BRUTOS'!$A$3:$A$500,$B23,'DADOS BRUTOS'!FB$3:FB$500)+IF($C23="",0,SUMIF('DADOS BRUTOS'!$A$3:$A$500,$C23,'DADOS BRUTOS'!FB$3:FB$500)))</f>
        <v/>
      </c>
      <c r="IC23" s="132">
        <f>IF(OR(IC$4="",$B23=""),0,SUMIF('DADOS BRUTOS'!$A$3:$A$500,$B23,'DADOS BRUTOS'!FC$3:FC$500)+IF($C23="",0,SUMIF('DADOS BRUTOS'!$A$3:$A$500,$C23,'DADOS BRUTOS'!FC$3:FC$500)))</f>
        <v/>
      </c>
      <c r="ID23" s="132">
        <f>IF(OR(ID$4="",$B23=""),0,SUMIF('DADOS BRUTOS'!$A$3:$A$500,$B23,'DADOS BRUTOS'!FD$3:FD$500)+IF($C23="",0,SUMIF('DADOS BRUTOS'!$A$3:$A$500,$C23,'DADOS BRUTOS'!FD$3:FD$500)))</f>
        <v/>
      </c>
      <c r="IE23" s="132">
        <f>IF(OR(IE$4="",$B23=""),0,SUMIF('DADOS BRUTOS'!$A$3:$A$500,$B23,'DADOS BRUTOS'!FE$3:FE$500)+IF($C23="",0,SUMIF('DADOS BRUTOS'!$A$3:$A$500,$C23,'DADOS BRUTOS'!FE$3:FE$500)))</f>
        <v/>
      </c>
      <c r="IF23" s="132">
        <f>IF(OR(IF$4="",$B23=""),0,SUMIF('DADOS BRUTOS'!$A$3:$A$500,$B23,'DADOS BRUTOS'!FF$3:FF$500)+IF($C23="",0,SUMIF('DADOS BRUTOS'!$A$3:$A$500,$C23,'DADOS BRUTOS'!FF$3:FF$500)))</f>
        <v/>
      </c>
      <c r="IG23" s="132">
        <f>IF(OR(IG$4="",$B23=""),0,SUMIF('DADOS BRUTOS'!$A$3:$A$500,$B23,'DADOS BRUTOS'!FG$3:FG$500)+IF($C23="",0,SUMIF('DADOS BRUTOS'!$A$3:$A$500,$C23,'DADOS BRUTOS'!FG$3:FG$500)))</f>
        <v/>
      </c>
      <c r="IH23" s="132">
        <f>IF(OR(IH$4="",$B23=""),0,SUMIF('DADOS BRUTOS'!$A$3:$A$500,$B23,'DADOS BRUTOS'!FH$3:FH$500)+IF($C23="",0,SUMIF('DADOS BRUTOS'!$A$3:$A$500,$C23,'DADOS BRUTOS'!FH$3:FH$500)))</f>
        <v/>
      </c>
      <c r="II23" s="132">
        <f>IF(OR(II$4="",$B23=""),0,SUMIF('DADOS BRUTOS'!$A$3:$A$500,$B23,'DADOS BRUTOS'!FI$3:FI$500)+IF($C23="",0,SUMIF('DADOS BRUTOS'!$A$3:$A$500,$C23,'DADOS BRUTOS'!FI$3:FI$500)))</f>
        <v/>
      </c>
      <c r="IJ23" s="132">
        <f>IF(OR(IJ$4="",$B23=""),0,SUMIF('DADOS BRUTOS'!$A$3:$A$500,$B23,'DADOS BRUTOS'!FJ$3:FJ$500)+IF($C23="",0,SUMIF('DADOS BRUTOS'!$A$3:$A$500,$C23,'DADOS BRUTOS'!FJ$3:FJ$500)))</f>
        <v/>
      </c>
      <c r="IK23" s="132">
        <f>IF(OR(IK$4="",$B23=""),0,SUMIF('DADOS BRUTOS'!$A$3:$A$500,$B23,'DADOS BRUTOS'!FK$3:FK$500)+IF($C23="",0,SUMIF('DADOS BRUTOS'!$A$3:$A$500,$C23,'DADOS BRUTOS'!FK$3:FK$500)))</f>
        <v/>
      </c>
      <c r="IL23" s="132">
        <f>IF(OR(IL$4="",$B23=""),0,SUMIF('DADOS BRUTOS'!$A$3:$A$500,$B23,'DADOS BRUTOS'!FL$3:FL$500)+IF($C23="",0,SUMIF('DADOS BRUTOS'!$A$3:$A$500,$C23,'DADOS BRUTOS'!FL$3:FL$500)))</f>
        <v/>
      </c>
      <c r="IM23" s="132">
        <f>IF(OR(IM$4="",$B23=""),0,SUMIF('DADOS BRUTOS'!$A$3:$A$500,$B23,'DADOS BRUTOS'!FM$3:FM$500)+IF($C23="",0,SUMIF('DADOS BRUTOS'!$A$3:$A$500,$C23,'DADOS BRUTOS'!FM$3:FM$500)))</f>
        <v/>
      </c>
      <c r="IN23" s="132">
        <f>IF(OR(IN$4="",$B23=""),0,SUMIF('DADOS BRUTOS'!$A$3:$A$500,$B23,'DADOS BRUTOS'!FN$3:FN$500)+IF($C23="",0,SUMIF('DADOS BRUTOS'!$A$3:$A$500,$C23,'DADOS BRUTOS'!FN$3:FN$500)))</f>
        <v/>
      </c>
      <c r="IO23" s="132">
        <f>IF(OR(IO$4="",$B23=""),0,SUMIF('DADOS BRUTOS'!$A$3:$A$500,$B23,'DADOS BRUTOS'!FO$3:FO$500)+IF($C23="",0,SUMIF('DADOS BRUTOS'!$A$3:$A$500,$C23,'DADOS BRUTOS'!FO$3:FO$500)))</f>
        <v/>
      </c>
      <c r="IP23" s="132">
        <f>IF(OR(IP$4="",$B23=""),0,SUMIF('DADOS BRUTOS'!$A$3:$A$500,$B23,'DADOS BRUTOS'!FP$3:FP$500)+IF($C23="",0,SUMIF('DADOS BRUTOS'!$A$3:$A$500,$C23,'DADOS BRUTOS'!FP$3:FP$500)))</f>
        <v/>
      </c>
      <c r="IQ23" s="132">
        <f>IF(OR(IQ$4="",$B23=""),0,SUMIF('DADOS BRUTOS'!$A$3:$A$500,$B23,'DADOS BRUTOS'!FQ$3:FQ$500)+IF($C23="",0,SUMIF('DADOS BRUTOS'!$A$3:$A$500,$C23,'DADOS BRUTOS'!FQ$3:FQ$500)))</f>
        <v/>
      </c>
      <c r="IR23" s="132">
        <f>IF(OR(IR$4="",$B23=""),0,SUMIF('DADOS BRUTOS'!$A$3:$A$500,$B23,'DADOS BRUTOS'!FR$3:FR$500)+IF($C23="",0,SUMIF('DADOS BRUTOS'!$A$3:$A$500,$C23,'DADOS BRUTOS'!FR$3:FR$500)))</f>
        <v/>
      </c>
      <c r="IS23" s="132">
        <f>IF(OR(IS$4="",$B23=""),0,SUMIF('DADOS BRUTOS'!$A$3:$A$500,$B23,'DADOS BRUTOS'!FS$3:FS$500)+IF($C23="",0,SUMIF('DADOS BRUTOS'!$A$3:$A$500,$C23,'DADOS BRUTOS'!FS$3:FS$500)))</f>
        <v/>
      </c>
      <c r="IT23" s="132">
        <f>IF(OR(IT$4="",$B23=""),0,SUMIF('DADOS BRUTOS'!$A$3:$A$500,$B23,'DADOS BRUTOS'!FT$3:FT$500)+IF($C23="",0,SUMIF('DADOS BRUTOS'!$A$3:$A$500,$C23,'DADOS BRUTOS'!FT$3:FT$500)))</f>
        <v/>
      </c>
      <c r="IU23" s="132">
        <f>IF(OR(IU$4="",$B23=""),0,SUMIF('DADOS BRUTOS'!$A$3:$A$500,$B23,'DADOS BRUTOS'!FU$3:FU$500)+IF($C23="",0,SUMIF('DADOS BRUTOS'!$A$3:$A$500,$C23,'DADOS BRUTOS'!FU$3:FU$500)))</f>
        <v/>
      </c>
      <c r="IV23" s="132">
        <f>IF(OR(IV$4="",$B23=""),0,SUMIF('DADOS BRUTOS'!$A$3:$A$500,$B23,'DADOS BRUTOS'!FV$3:FV$500)+IF($C23="",0,SUMIF('DADOS BRUTOS'!$A$3:$A$500,$C23,'DADOS BRUTOS'!FV$3:FV$500)))</f>
        <v/>
      </c>
      <c r="IW23" s="132">
        <f>IF(OR(IW$4="",$B23=""),0,SUMIF('DADOS BRUTOS'!$A$3:$A$500,$B23,'DADOS BRUTOS'!FW$3:FW$500)+IF($C23="",0,SUMIF('DADOS BRUTOS'!$A$3:$A$500,$C23,'DADOS BRUTOS'!FW$3:FW$500)))</f>
        <v/>
      </c>
      <c r="IX23" s="132">
        <f>IF(OR(IX$4="",$B23=""),0,SUMIF('DADOS BRUTOS'!$A$3:$A$500,$B23,'DADOS BRUTOS'!FX$3:FX$500)+IF($C23="",0,SUMIF('DADOS BRUTOS'!$A$3:$A$500,$C23,'DADOS BRUTOS'!FX$3:FX$500)))</f>
        <v/>
      </c>
      <c r="IY23" s="132">
        <f>IF(OR(IY$4="",$B23=""),0,SUMIF('DADOS BRUTOS'!$A$3:$A$500,$B23,'DADOS BRUTOS'!FY$3:FY$500)+IF($C23="",0,SUMIF('DADOS BRUTOS'!$A$3:$A$500,$C23,'DADOS BRUTOS'!FY$3:FY$500)))</f>
        <v/>
      </c>
      <c r="IZ23" s="132">
        <f>IF(OR(IZ$4="",$B23=""),0,SUMIF('DADOS BRUTOS'!$A$3:$A$500,$B23,'DADOS BRUTOS'!FZ$3:FZ$500)+IF($C23="",0,SUMIF('DADOS BRUTOS'!$A$3:$A$500,$C23,'DADOS BRUTOS'!FZ$3:FZ$500)))</f>
        <v/>
      </c>
      <c r="JA23" s="132">
        <f>IF(OR(JA$4="",$B23=""),0,SUMIF('DADOS BRUTOS'!$A$3:$A$500,$B23,'DADOS BRUTOS'!GA$3:GA$500)+IF($C23="",0,SUMIF('DADOS BRUTOS'!$A$3:$A$500,$C23,'DADOS BRUTOS'!GA$3:GA$500)))</f>
        <v/>
      </c>
      <c r="JB23" s="132">
        <f>IF(OR(JB$4="",$B23=""),0,SUMIF('DADOS BRUTOS'!$A$3:$A$500,$B23,'DADOS BRUTOS'!GB$3:GB$500)+IF($C23="",0,SUMIF('DADOS BRUTOS'!$A$3:$A$500,$C23,'DADOS BRUTOS'!GB$3:GB$500)))</f>
        <v/>
      </c>
      <c r="JC23" s="132">
        <f>IF(OR(JC$4="",$B23=""),0,SUMIF('DADOS BRUTOS'!$A$3:$A$500,$B23,'DADOS BRUTOS'!GC$3:GC$500)+IF($C23="",0,SUMIF('DADOS BRUTOS'!$A$3:$A$500,$C23,'DADOS BRUTOS'!GC$3:GC$500)))</f>
        <v/>
      </c>
      <c r="JD23" s="132">
        <f>IF(OR(JD$4="",$B23=""),0,SUMIF('DADOS BRUTOS'!$A$3:$A$500,$B23,'DADOS BRUTOS'!GD$3:GD$500)+IF($C23="",0,SUMIF('DADOS BRUTOS'!$A$3:$A$500,$C23,'DADOS BRUTOS'!GD$3:GD$500)))</f>
        <v/>
      </c>
      <c r="JE23" s="132">
        <f>IF(OR(JE$4="",$B23=""),0,SUMIF('DADOS BRUTOS'!$A$3:$A$500,$B23,'DADOS BRUTOS'!GE$3:GE$500)+IF($C23="",0,SUMIF('DADOS BRUTOS'!$A$3:$A$500,$C23,'DADOS BRUTOS'!GE$3:GE$500)))</f>
        <v/>
      </c>
      <c r="JF23" s="132">
        <f>IF(OR(JF$4="",$B23=""),0,SUMIF('DADOS BRUTOS'!$A$3:$A$500,$B23,'DADOS BRUTOS'!GF$3:GF$500)+IF($C23="",0,SUMIF('DADOS BRUTOS'!$A$3:$A$500,$C23,'DADOS BRUTOS'!GF$3:GF$500)))</f>
        <v/>
      </c>
      <c r="JG23" s="132">
        <f>IF(OR(JG$4="",$B23=""),0,SUMIF('DADOS BRUTOS'!$A$3:$A$500,$B23,'DADOS BRUTOS'!GG$3:GG$500)+IF($C23="",0,SUMIF('DADOS BRUTOS'!$A$3:$A$500,$C23,'DADOS BRUTOS'!GG$3:GG$500)))</f>
        <v/>
      </c>
      <c r="JH23" s="132">
        <f>IF(OR(JH$4="",$B23=""),0,SUMIF('DADOS BRUTOS'!$A$3:$A$500,$B23,'DADOS BRUTOS'!GH$3:GH$500)+IF($C23="",0,SUMIF('DADOS BRUTOS'!$A$3:$A$500,$C23,'DADOS BRUTOS'!GH$3:GH$500)))</f>
        <v/>
      </c>
      <c r="JI23" s="132">
        <f>IF(OR(JI$4="",$B23=""),0,SUMIF('DADOS BRUTOS'!$A$3:$A$500,$B23,'DADOS BRUTOS'!GI$3:GI$500)+IF($C23="",0,SUMIF('DADOS BRUTOS'!$A$3:$A$500,$C23,'DADOS BRUTOS'!GI$3:GI$500)))</f>
        <v/>
      </c>
      <c r="JJ23" s="132">
        <f>IF(OR(JJ$4="",$B23=""),0,SUMIF('DADOS BRUTOS'!$A$3:$A$500,$B23,'DADOS BRUTOS'!GJ$3:GJ$500)+IF($C23="",0,SUMIF('DADOS BRUTOS'!$A$3:$A$500,$C23,'DADOS BRUTOS'!GJ$3:GJ$500)))</f>
        <v/>
      </c>
      <c r="JK23" s="132">
        <f>IF(OR(JK$4="",$B23=""),0,SUMIF('DADOS BRUTOS'!$A$3:$A$500,$B23,'DADOS BRUTOS'!GK$3:GK$500)+IF($C23="",0,SUMIF('DADOS BRUTOS'!$A$3:$A$500,$C23,'DADOS BRUTOS'!GK$3:GK$500)))</f>
        <v/>
      </c>
      <c r="JL23" s="132">
        <f>IF(OR(JL$4="",$B23=""),0,SUMIF('DADOS BRUTOS'!$A$3:$A$500,$B23,'DADOS BRUTOS'!GL$3:GL$500)+IF($C23="",0,SUMIF('DADOS BRUTOS'!$A$3:$A$500,$C23,'DADOS BRUTOS'!GL$3:GL$500)))</f>
        <v/>
      </c>
      <c r="JM23" s="132">
        <f>IF(OR(JM$4="",$B23=""),0,SUMIF('DADOS BRUTOS'!$A$3:$A$500,$B23,'DADOS BRUTOS'!GM$3:GM$500)+IF($C23="",0,SUMIF('DADOS BRUTOS'!$A$3:$A$500,$C23,'DADOS BRUTOS'!GM$3:GM$500)))</f>
        <v/>
      </c>
      <c r="JN23" s="132">
        <f>IF(OR(JN$4="",$B23=""),0,SUMIF('DADOS BRUTOS'!$A$3:$A$500,$B23,'DADOS BRUTOS'!GN$3:GN$500)+IF($C23="",0,SUMIF('DADOS BRUTOS'!$A$3:$A$500,$C23,'DADOS BRUTOS'!GN$3:GN$500)))</f>
        <v/>
      </c>
      <c r="JO23" s="132">
        <f>IF(OR(JO$4="",$B23=""),0,SUMIF('DADOS BRUTOS'!$A$3:$A$500,$B23,'DADOS BRUTOS'!GO$3:GO$500)+IF($C23="",0,SUMIF('DADOS BRUTOS'!$A$3:$A$500,$C23,'DADOS BRUTOS'!GO$3:GO$500)))</f>
        <v/>
      </c>
      <c r="JP23" s="132">
        <f>IF(OR(JP$4="",$B23=""),0,SUMIF('DADOS BRUTOS'!$A$3:$A$500,$B23,'DADOS BRUTOS'!GP$3:GP$500)+IF($C23="",0,SUMIF('DADOS BRUTOS'!$A$3:$A$500,$C23,'DADOS BRUTOS'!GP$3:GP$500)))</f>
        <v/>
      </c>
      <c r="JQ23" s="132">
        <f>IF(OR(JQ$4="",$B23=""),0,SUMIF('DADOS BRUTOS'!$A$3:$A$500,$B23,'DADOS BRUTOS'!GQ$3:GQ$500)+IF($C23="",0,SUMIF('DADOS BRUTOS'!$A$3:$A$500,$C23,'DADOS BRUTOS'!GQ$3:GQ$500)))</f>
        <v/>
      </c>
      <c r="JR23" s="132">
        <f>IF(OR(JR$4="",$B23=""),0,SUMIF('DADOS BRUTOS'!$A$3:$A$500,$B23,'DADOS BRUTOS'!GR$3:GR$500)+IF($C23="",0,SUMIF('DADOS BRUTOS'!$A$3:$A$500,$C23,'DADOS BRUTOS'!GR$3:GR$500)))</f>
        <v/>
      </c>
      <c r="JS23" s="132">
        <f>IF(OR(JS$4="",$B23=""),0,SUMIF('DADOS BRUTOS'!$A$3:$A$500,$B23,'DADOS BRUTOS'!GS$3:GS$500)+IF($C23="",0,SUMIF('DADOS BRUTOS'!$A$3:$A$500,$C23,'DADOS BRUTOS'!GS$3:GS$500)))</f>
        <v/>
      </c>
    </row>
    <row r="24">
      <c r="A24" s="61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BZ24" s="49">
        <f>SUMPRODUCT(($CB$4:$JS$4&lt;&gt;"")*($CB$4:$JS$4&lt;=$D$4),$CB24:$JS24,$CB$1:$JS$1)</f>
        <v/>
      </c>
      <c r="CB24" s="132">
        <f>IF(OR(CB$4="",$B24=""),0,SUMIF('DADOS BRUTOS'!$A$3:$A$500,$B24,'DADOS BRUTOS'!B$3:B$500)+IF($C24="",0,SUMIF('DADOS BRUTOS'!$A$3:$A$500,$C24,'DADOS BRUTOS'!B$3:B$500)))</f>
        <v/>
      </c>
      <c r="CC24" s="132">
        <f>IF(OR(CC$4="",$B24=""),0,SUMIF('DADOS BRUTOS'!$A$3:$A$500,$B24,'DADOS BRUTOS'!C$3:C$500)+IF($C24="",0,SUMIF('DADOS BRUTOS'!$A$3:$A$500,$C24,'DADOS BRUTOS'!C$3:C$500)))</f>
        <v/>
      </c>
      <c r="CD24" s="132">
        <f>IF(OR(CD$4="",$B24=""),0,SUMIF('DADOS BRUTOS'!$A$3:$A$500,$B24,'DADOS BRUTOS'!D$3:D$500)+IF($C24="",0,SUMIF('DADOS BRUTOS'!$A$3:$A$500,$C24,'DADOS BRUTOS'!D$3:D$500)))</f>
        <v/>
      </c>
      <c r="CE24" s="132">
        <f>IF(OR(CE$4="",$B24=""),0,SUMIF('DADOS BRUTOS'!$A$3:$A$500,$B24,'DADOS BRUTOS'!E$3:E$500)+IF($C24="",0,SUMIF('DADOS BRUTOS'!$A$3:$A$500,$C24,'DADOS BRUTOS'!E$3:E$500)))</f>
        <v/>
      </c>
      <c r="CF24" s="132">
        <f>IF(OR(CF$4="",$B24=""),0,SUMIF('DADOS BRUTOS'!$A$3:$A$500,$B24,'DADOS BRUTOS'!F$3:F$500)+IF($C24="",0,SUMIF('DADOS BRUTOS'!$A$3:$A$500,$C24,'DADOS BRUTOS'!F$3:F$500)))</f>
        <v/>
      </c>
      <c r="CG24" s="132">
        <f>IF(OR(CG$4="",$B24=""),0,SUMIF('DADOS BRUTOS'!$A$3:$A$500,$B24,'DADOS BRUTOS'!G$3:G$500)+IF($C24="",0,SUMIF('DADOS BRUTOS'!$A$3:$A$500,$C24,'DADOS BRUTOS'!G$3:G$500)))</f>
        <v/>
      </c>
      <c r="CH24" s="132">
        <f>IF(OR(CH$4="",$B24=""),0,SUMIF('DADOS BRUTOS'!$A$3:$A$500,$B24,'DADOS BRUTOS'!H$3:H$500)+IF($C24="",0,SUMIF('DADOS BRUTOS'!$A$3:$A$500,$C24,'DADOS BRUTOS'!H$3:H$500)))</f>
        <v/>
      </c>
      <c r="CI24" s="132">
        <f>IF(OR(CI$4="",$B24=""),0,SUMIF('DADOS BRUTOS'!$A$3:$A$500,$B24,'DADOS BRUTOS'!I$3:I$500)+IF($C24="",0,SUMIF('DADOS BRUTOS'!$A$3:$A$500,$C24,'DADOS BRUTOS'!I$3:I$500)))</f>
        <v/>
      </c>
      <c r="CJ24" s="132">
        <f>IF(OR(CJ$4="",$B24=""),0,SUMIF('DADOS BRUTOS'!$A$3:$A$500,$B24,'DADOS BRUTOS'!J$3:J$500)+IF($C24="",0,SUMIF('DADOS BRUTOS'!$A$3:$A$500,$C24,'DADOS BRUTOS'!J$3:J$500)))</f>
        <v/>
      </c>
      <c r="CK24" s="132">
        <f>IF(OR(CK$4="",$B24=""),0,SUMIF('DADOS BRUTOS'!$A$3:$A$500,$B24,'DADOS BRUTOS'!K$3:K$500)+IF($C24="",0,SUMIF('DADOS BRUTOS'!$A$3:$A$500,$C24,'DADOS BRUTOS'!K$3:K$500)))</f>
        <v/>
      </c>
      <c r="CL24" s="132">
        <f>IF(OR(CL$4="",$B24=""),0,SUMIF('DADOS BRUTOS'!$A$3:$A$500,$B24,'DADOS BRUTOS'!L$3:L$500)+IF($C24="",0,SUMIF('DADOS BRUTOS'!$A$3:$A$500,$C24,'DADOS BRUTOS'!L$3:L$500)))</f>
        <v/>
      </c>
      <c r="CM24" s="132">
        <f>IF(OR(CM$4="",$B24=""),0,SUMIF('DADOS BRUTOS'!$A$3:$A$500,$B24,'DADOS BRUTOS'!M$3:M$500)+IF($C24="",0,SUMIF('DADOS BRUTOS'!$A$3:$A$500,$C24,'DADOS BRUTOS'!M$3:M$500)))</f>
        <v/>
      </c>
      <c r="CN24" s="132">
        <f>IF(OR(CN$4="",$B24=""),0,SUMIF('DADOS BRUTOS'!$A$3:$A$500,$B24,'DADOS BRUTOS'!N$3:N$500)+IF($C24="",0,SUMIF('DADOS BRUTOS'!$A$3:$A$500,$C24,'DADOS BRUTOS'!N$3:N$500)))</f>
        <v/>
      </c>
      <c r="CO24" s="132">
        <f>IF(OR(CO$4="",$B24=""),0,SUMIF('DADOS BRUTOS'!$A$3:$A$500,$B24,'DADOS BRUTOS'!O$3:O$500)+IF($C24="",0,SUMIF('DADOS BRUTOS'!$A$3:$A$500,$C24,'DADOS BRUTOS'!O$3:O$500)))</f>
        <v/>
      </c>
      <c r="CP24" s="132">
        <f>IF(OR(CP$4="",$B24=""),0,SUMIF('DADOS BRUTOS'!$A$3:$A$500,$B24,'DADOS BRUTOS'!P$3:P$500)+IF($C24="",0,SUMIF('DADOS BRUTOS'!$A$3:$A$500,$C24,'DADOS BRUTOS'!P$3:P$500)))</f>
        <v/>
      </c>
      <c r="CQ24" s="132">
        <f>IF(OR(CQ$4="",$B24=""),0,SUMIF('DADOS BRUTOS'!$A$3:$A$500,$B24,'DADOS BRUTOS'!Q$3:Q$500)+IF($C24="",0,SUMIF('DADOS BRUTOS'!$A$3:$A$500,$C24,'DADOS BRUTOS'!Q$3:Q$500)))</f>
        <v/>
      </c>
      <c r="CR24" s="132">
        <f>IF(OR(CR$4="",$B24=""),0,SUMIF('DADOS BRUTOS'!$A$3:$A$500,$B24,'DADOS BRUTOS'!R$3:R$500)+IF($C24="",0,SUMIF('DADOS BRUTOS'!$A$3:$A$500,$C24,'DADOS BRUTOS'!R$3:R$500)))</f>
        <v/>
      </c>
      <c r="CS24" s="132">
        <f>IF(OR(CS$4="",$B24=""),0,SUMIF('DADOS BRUTOS'!$A$3:$A$500,$B24,'DADOS BRUTOS'!S$3:S$500)+IF($C24="",0,SUMIF('DADOS BRUTOS'!$A$3:$A$500,$C24,'DADOS BRUTOS'!S$3:S$500)))</f>
        <v/>
      </c>
      <c r="CT24" s="132">
        <f>IF(OR(CT$4="",$B24=""),0,SUMIF('DADOS BRUTOS'!$A$3:$A$500,$B24,'DADOS BRUTOS'!T$3:T$500)+IF($C24="",0,SUMIF('DADOS BRUTOS'!$A$3:$A$500,$C24,'DADOS BRUTOS'!T$3:T$500)))</f>
        <v/>
      </c>
      <c r="CU24" s="132">
        <f>IF(OR(CU$4="",$B24=""),0,SUMIF('DADOS BRUTOS'!$A$3:$A$500,$B24,'DADOS BRUTOS'!U$3:U$500)+IF($C24="",0,SUMIF('DADOS BRUTOS'!$A$3:$A$500,$C24,'DADOS BRUTOS'!U$3:U$500)))</f>
        <v/>
      </c>
      <c r="CV24" s="132">
        <f>IF(OR(CV$4="",$B24=""),0,SUMIF('DADOS BRUTOS'!$A$3:$A$500,$B24,'DADOS BRUTOS'!V$3:V$500)+IF($C24="",0,SUMIF('DADOS BRUTOS'!$A$3:$A$500,$C24,'DADOS BRUTOS'!V$3:V$500)))</f>
        <v/>
      </c>
      <c r="CW24" s="132">
        <f>IF(OR(CW$4="",$B24=""),0,SUMIF('DADOS BRUTOS'!$A$3:$A$500,$B24,'DADOS BRUTOS'!W$3:W$500)+IF($C24="",0,SUMIF('DADOS BRUTOS'!$A$3:$A$500,$C24,'DADOS BRUTOS'!W$3:W$500)))</f>
        <v/>
      </c>
      <c r="CX24" s="132">
        <f>IF(OR(CX$4="",$B24=""),0,SUMIF('DADOS BRUTOS'!$A$3:$A$500,$B24,'DADOS BRUTOS'!X$3:X$500)+IF($C24="",0,SUMIF('DADOS BRUTOS'!$A$3:$A$500,$C24,'DADOS BRUTOS'!X$3:X$500)))</f>
        <v/>
      </c>
      <c r="CY24" s="132">
        <f>IF(OR(CY$4="",$B24=""),0,SUMIF('DADOS BRUTOS'!$A$3:$A$500,$B24,'DADOS BRUTOS'!Y$3:Y$500)+IF($C24="",0,SUMIF('DADOS BRUTOS'!$A$3:$A$500,$C24,'DADOS BRUTOS'!Y$3:Y$500)))</f>
        <v/>
      </c>
      <c r="CZ24" s="132">
        <f>IF(OR(CZ$4="",$B24=""),0,SUMIF('DADOS BRUTOS'!$A$3:$A$500,$B24,'DADOS BRUTOS'!Z$3:Z$500)+IF($C24="",0,SUMIF('DADOS BRUTOS'!$A$3:$A$500,$C24,'DADOS BRUTOS'!Z$3:Z$500)))</f>
        <v/>
      </c>
      <c r="DA24" s="132">
        <f>IF(OR(DA$4="",$B24=""),0,SUMIF('DADOS BRUTOS'!$A$3:$A$500,$B24,'DADOS BRUTOS'!AA$3:AA$500)+IF($C24="",0,SUMIF('DADOS BRUTOS'!$A$3:$A$500,$C24,'DADOS BRUTOS'!AA$3:AA$500)))</f>
        <v/>
      </c>
      <c r="DB24" s="132">
        <f>IF(OR(DB$4="",$B24=""),0,SUMIF('DADOS BRUTOS'!$A$3:$A$500,$B24,'DADOS BRUTOS'!AB$3:AB$500)+IF($C24="",0,SUMIF('DADOS BRUTOS'!$A$3:$A$500,$C24,'DADOS BRUTOS'!AB$3:AB$500)))</f>
        <v/>
      </c>
      <c r="DC24" s="132">
        <f>IF(OR(DC$4="",$B24=""),0,SUMIF('DADOS BRUTOS'!$A$3:$A$500,$B24,'DADOS BRUTOS'!AC$3:AC$500)+IF($C24="",0,SUMIF('DADOS BRUTOS'!$A$3:$A$500,$C24,'DADOS BRUTOS'!AC$3:AC$500)))</f>
        <v/>
      </c>
      <c r="DD24" s="132">
        <f>IF(OR(DD$4="",$B24=""),0,SUMIF('DADOS BRUTOS'!$A$3:$A$500,$B24,'DADOS BRUTOS'!AD$3:AD$500)+IF($C24="",0,SUMIF('DADOS BRUTOS'!$A$3:$A$500,$C24,'DADOS BRUTOS'!AD$3:AD$500)))</f>
        <v/>
      </c>
      <c r="DE24" s="132">
        <f>IF(OR(DE$4="",$B24=""),0,SUMIF('DADOS BRUTOS'!$A$3:$A$500,$B24,'DADOS BRUTOS'!AE$3:AE$500)+IF($C24="",0,SUMIF('DADOS BRUTOS'!$A$3:$A$500,$C24,'DADOS BRUTOS'!AE$3:AE$500)))</f>
        <v/>
      </c>
      <c r="DF24" s="132">
        <f>IF(OR(DF$4="",$B24=""),0,SUMIF('DADOS BRUTOS'!$A$3:$A$500,$B24,'DADOS BRUTOS'!AF$3:AF$500)+IF($C24="",0,SUMIF('DADOS BRUTOS'!$A$3:$A$500,$C24,'DADOS BRUTOS'!AF$3:AF$500)))</f>
        <v/>
      </c>
      <c r="DG24" s="132">
        <f>IF(OR(DG$4="",$B24=""),0,SUMIF('DADOS BRUTOS'!$A$3:$A$500,$B24,'DADOS BRUTOS'!AG$3:AG$500)+IF($C24="",0,SUMIF('DADOS BRUTOS'!$A$3:$A$500,$C24,'DADOS BRUTOS'!AG$3:AG$500)))</f>
        <v/>
      </c>
      <c r="DH24" s="132">
        <f>IF(OR(DH$4="",$B24=""),0,SUMIF('DADOS BRUTOS'!$A$3:$A$500,$B24,'DADOS BRUTOS'!AH$3:AH$500)+IF($C24="",0,SUMIF('DADOS BRUTOS'!$A$3:$A$500,$C24,'DADOS BRUTOS'!AH$3:AH$500)))</f>
        <v/>
      </c>
      <c r="DI24" s="132">
        <f>IF(OR(DI$4="",$B24=""),0,SUMIF('DADOS BRUTOS'!$A$3:$A$500,$B24,'DADOS BRUTOS'!AI$3:AI$500)+IF($C24="",0,SUMIF('DADOS BRUTOS'!$A$3:$A$500,$C24,'DADOS BRUTOS'!AI$3:AI$500)))</f>
        <v/>
      </c>
      <c r="DJ24" s="132">
        <f>IF(OR(DJ$4="",$B24=""),0,SUMIF('DADOS BRUTOS'!$A$3:$A$500,$B24,'DADOS BRUTOS'!AJ$3:AJ$500)+IF($C24="",0,SUMIF('DADOS BRUTOS'!$A$3:$A$500,$C24,'DADOS BRUTOS'!AJ$3:AJ$500)))</f>
        <v/>
      </c>
      <c r="DK24" s="132">
        <f>IF(OR(DK$4="",$B24=""),0,SUMIF('DADOS BRUTOS'!$A$3:$A$500,$B24,'DADOS BRUTOS'!AK$3:AK$500)+IF($C24="",0,SUMIF('DADOS BRUTOS'!$A$3:$A$500,$C24,'DADOS BRUTOS'!AK$3:AK$500)))</f>
        <v/>
      </c>
      <c r="DL24" s="132">
        <f>IF(OR(DL$4="",$B24=""),0,SUMIF('DADOS BRUTOS'!$A$3:$A$500,$B24,'DADOS BRUTOS'!AL$3:AL$500)+IF($C24="",0,SUMIF('DADOS BRUTOS'!$A$3:$A$500,$C24,'DADOS BRUTOS'!AL$3:AL$500)))</f>
        <v/>
      </c>
      <c r="DM24" s="132">
        <f>IF(OR(DM$4="",$B24=""),0,SUMIF('DADOS BRUTOS'!$A$3:$A$500,$B24,'DADOS BRUTOS'!AM$3:AM$500)+IF($C24="",0,SUMIF('DADOS BRUTOS'!$A$3:$A$500,$C24,'DADOS BRUTOS'!AM$3:AM$500)))</f>
        <v/>
      </c>
      <c r="DN24" s="132">
        <f>IF(OR(DN$4="",$B24=""),0,SUMIF('DADOS BRUTOS'!$A$3:$A$500,$B24,'DADOS BRUTOS'!AN$3:AN$500)+IF($C24="",0,SUMIF('DADOS BRUTOS'!$A$3:$A$500,$C24,'DADOS BRUTOS'!AN$3:AN$500)))</f>
        <v/>
      </c>
      <c r="DO24" s="132">
        <f>IF(OR(DO$4="",$B24=""),0,SUMIF('DADOS BRUTOS'!$A$3:$A$500,$B24,'DADOS BRUTOS'!AO$3:AO$500)+IF($C24="",0,SUMIF('DADOS BRUTOS'!$A$3:$A$500,$C24,'DADOS BRUTOS'!AO$3:AO$500)))</f>
        <v/>
      </c>
      <c r="DP24" s="132">
        <f>IF(OR(DP$4="",$B24=""),0,SUMIF('DADOS BRUTOS'!$A$3:$A$500,$B24,'DADOS BRUTOS'!AP$3:AP$500)+IF($C24="",0,SUMIF('DADOS BRUTOS'!$A$3:$A$500,$C24,'DADOS BRUTOS'!AP$3:AP$500)))</f>
        <v/>
      </c>
      <c r="DQ24" s="132">
        <f>IF(OR(DQ$4="",$B24=""),0,SUMIF('DADOS BRUTOS'!$A$3:$A$500,$B24,'DADOS BRUTOS'!AQ$3:AQ$500)+IF($C24="",0,SUMIF('DADOS BRUTOS'!$A$3:$A$500,$C24,'DADOS BRUTOS'!AQ$3:AQ$500)))</f>
        <v/>
      </c>
      <c r="DR24" s="132">
        <f>IF(OR(DR$4="",$B24=""),0,SUMIF('DADOS BRUTOS'!$A$3:$A$500,$B24,'DADOS BRUTOS'!AR$3:AR$500)+IF($C24="",0,SUMIF('DADOS BRUTOS'!$A$3:$A$500,$C24,'DADOS BRUTOS'!AR$3:AR$500)))</f>
        <v/>
      </c>
      <c r="DS24" s="132">
        <f>IF(OR(DS$4="",$B24=""),0,SUMIF('DADOS BRUTOS'!$A$3:$A$500,$B24,'DADOS BRUTOS'!AS$3:AS$500)+IF($C24="",0,SUMIF('DADOS BRUTOS'!$A$3:$A$500,$C24,'DADOS BRUTOS'!AS$3:AS$500)))</f>
        <v/>
      </c>
      <c r="DT24" s="132">
        <f>IF(OR(DT$4="",$B24=""),0,SUMIF('DADOS BRUTOS'!$A$3:$A$500,$B24,'DADOS BRUTOS'!AT$3:AT$500)+IF($C24="",0,SUMIF('DADOS BRUTOS'!$A$3:$A$500,$C24,'DADOS BRUTOS'!AT$3:AT$500)))</f>
        <v/>
      </c>
      <c r="DU24" s="132">
        <f>IF(OR(DU$4="",$B24=""),0,SUMIF('DADOS BRUTOS'!$A$3:$A$500,$B24,'DADOS BRUTOS'!AU$3:AU$500)+IF($C24="",0,SUMIF('DADOS BRUTOS'!$A$3:$A$500,$C24,'DADOS BRUTOS'!AU$3:AU$500)))</f>
        <v/>
      </c>
      <c r="DV24" s="132">
        <f>IF(OR(DV$4="",$B24=""),0,SUMIF('DADOS BRUTOS'!$A$3:$A$500,$B24,'DADOS BRUTOS'!AV$3:AV$500)+IF($C24="",0,SUMIF('DADOS BRUTOS'!$A$3:$A$500,$C24,'DADOS BRUTOS'!AV$3:AV$500)))</f>
        <v/>
      </c>
      <c r="DW24" s="132">
        <f>IF(OR(DW$4="",$B24=""),0,SUMIF('DADOS BRUTOS'!$A$3:$A$500,$B24,'DADOS BRUTOS'!AW$3:AW$500)+IF($C24="",0,SUMIF('DADOS BRUTOS'!$A$3:$A$500,$C24,'DADOS BRUTOS'!AW$3:AW$500)))</f>
        <v/>
      </c>
      <c r="DX24" s="132">
        <f>IF(OR(DX$4="",$B24=""),0,SUMIF('DADOS BRUTOS'!$A$3:$A$500,$B24,'DADOS BRUTOS'!AX$3:AX$500)+IF($C24="",0,SUMIF('DADOS BRUTOS'!$A$3:$A$500,$C24,'DADOS BRUTOS'!AX$3:AX$500)))</f>
        <v/>
      </c>
      <c r="DY24" s="132">
        <f>IF(OR(DY$4="",$B24=""),0,SUMIF('DADOS BRUTOS'!$A$3:$A$500,$B24,'DADOS BRUTOS'!AY$3:AY$500)+IF($C24="",0,SUMIF('DADOS BRUTOS'!$A$3:$A$500,$C24,'DADOS BRUTOS'!AY$3:AY$500)))</f>
        <v/>
      </c>
      <c r="DZ24" s="132">
        <f>IF(OR(DZ$4="",$B24=""),0,SUMIF('DADOS BRUTOS'!$A$3:$A$500,$B24,'DADOS BRUTOS'!AZ$3:AZ$500)+IF($C24="",0,SUMIF('DADOS BRUTOS'!$A$3:$A$500,$C24,'DADOS BRUTOS'!AZ$3:AZ$500)))</f>
        <v/>
      </c>
      <c r="EA24" s="132">
        <f>IF(OR(EA$4="",$B24=""),0,SUMIF('DADOS BRUTOS'!$A$3:$A$500,$B24,'DADOS BRUTOS'!BA$3:BA$500)+IF($C24="",0,SUMIF('DADOS BRUTOS'!$A$3:$A$500,$C24,'DADOS BRUTOS'!BA$3:BA$500)))</f>
        <v/>
      </c>
      <c r="EB24" s="132">
        <f>IF(OR(EB$4="",$B24=""),0,SUMIF('DADOS BRUTOS'!$A$3:$A$500,$B24,'DADOS BRUTOS'!BB$3:BB$500)+IF($C24="",0,SUMIF('DADOS BRUTOS'!$A$3:$A$500,$C24,'DADOS BRUTOS'!BB$3:BB$500)))</f>
        <v/>
      </c>
      <c r="EC24" s="132">
        <f>IF(OR(EC$4="",$B24=""),0,SUMIF('DADOS BRUTOS'!$A$3:$A$500,$B24,'DADOS BRUTOS'!BC$3:BC$500)+IF($C24="",0,SUMIF('DADOS BRUTOS'!$A$3:$A$500,$C24,'DADOS BRUTOS'!BC$3:BC$500)))</f>
        <v/>
      </c>
      <c r="ED24" s="132">
        <f>IF(OR(ED$4="",$B24=""),0,SUMIF('DADOS BRUTOS'!$A$3:$A$500,$B24,'DADOS BRUTOS'!BD$3:BD$500)+IF($C24="",0,SUMIF('DADOS BRUTOS'!$A$3:$A$500,$C24,'DADOS BRUTOS'!BD$3:BD$500)))</f>
        <v/>
      </c>
      <c r="EE24" s="132">
        <f>IF(OR(EE$4="",$B24=""),0,SUMIF('DADOS BRUTOS'!$A$3:$A$500,$B24,'DADOS BRUTOS'!BE$3:BE$500)+IF($C24="",0,SUMIF('DADOS BRUTOS'!$A$3:$A$500,$C24,'DADOS BRUTOS'!BE$3:BE$500)))</f>
        <v/>
      </c>
      <c r="EF24" s="132">
        <f>IF(OR(EF$4="",$B24=""),0,SUMIF('DADOS BRUTOS'!$A$3:$A$500,$B24,'DADOS BRUTOS'!BF$3:BF$500)+IF($C24="",0,SUMIF('DADOS BRUTOS'!$A$3:$A$500,$C24,'DADOS BRUTOS'!BF$3:BF$500)))</f>
        <v/>
      </c>
      <c r="EG24" s="132">
        <f>IF(OR(EG$4="",$B24=""),0,SUMIF('DADOS BRUTOS'!$A$3:$A$500,$B24,'DADOS BRUTOS'!BG$3:BG$500)+IF($C24="",0,SUMIF('DADOS BRUTOS'!$A$3:$A$500,$C24,'DADOS BRUTOS'!BG$3:BG$500)))</f>
        <v/>
      </c>
      <c r="EH24" s="132">
        <f>IF(OR(EH$4="",$B24=""),0,SUMIF('DADOS BRUTOS'!$A$3:$A$500,$B24,'DADOS BRUTOS'!BH$3:BH$500)+IF($C24="",0,SUMIF('DADOS BRUTOS'!$A$3:$A$500,$C24,'DADOS BRUTOS'!BH$3:BH$500)))</f>
        <v/>
      </c>
      <c r="EI24" s="132">
        <f>IF(OR(EI$4="",$B24=""),0,SUMIF('DADOS BRUTOS'!$A$3:$A$500,$B24,'DADOS BRUTOS'!BI$3:BI$500)+IF($C24="",0,SUMIF('DADOS BRUTOS'!$A$3:$A$500,$C24,'DADOS BRUTOS'!BI$3:BI$500)))</f>
        <v/>
      </c>
      <c r="EJ24" s="132">
        <f>IF(OR(EJ$4="",$B24=""),0,SUMIF('DADOS BRUTOS'!$A$3:$A$500,$B24,'DADOS BRUTOS'!BJ$3:BJ$500)+IF($C24="",0,SUMIF('DADOS BRUTOS'!$A$3:$A$500,$C24,'DADOS BRUTOS'!BJ$3:BJ$500)))</f>
        <v/>
      </c>
      <c r="EK24" s="132">
        <f>IF(OR(EK$4="",$B24=""),0,SUMIF('DADOS BRUTOS'!$A$3:$A$500,$B24,'DADOS BRUTOS'!BK$3:BK$500)+IF($C24="",0,SUMIF('DADOS BRUTOS'!$A$3:$A$500,$C24,'DADOS BRUTOS'!BK$3:BK$500)))</f>
        <v/>
      </c>
      <c r="EL24" s="132">
        <f>IF(OR(EL$4="",$B24=""),0,SUMIF('DADOS BRUTOS'!$A$3:$A$500,$B24,'DADOS BRUTOS'!BL$3:BL$500)+IF($C24="",0,SUMIF('DADOS BRUTOS'!$A$3:$A$500,$C24,'DADOS BRUTOS'!BL$3:BL$500)))</f>
        <v/>
      </c>
      <c r="EM24" s="132">
        <f>IF(OR(EM$4="",$B24=""),0,SUMIF('DADOS BRUTOS'!$A$3:$A$500,$B24,'DADOS BRUTOS'!BM$3:BM$500)+IF($C24="",0,SUMIF('DADOS BRUTOS'!$A$3:$A$500,$C24,'DADOS BRUTOS'!BM$3:BM$500)))</f>
        <v/>
      </c>
      <c r="EN24" s="132">
        <f>IF(OR(EN$4="",$B24=""),0,SUMIF('DADOS BRUTOS'!$A$3:$A$500,$B24,'DADOS BRUTOS'!BN$3:BN$500)+IF($C24="",0,SUMIF('DADOS BRUTOS'!$A$3:$A$500,$C24,'DADOS BRUTOS'!BN$3:BN$500)))</f>
        <v/>
      </c>
      <c r="EO24" s="132">
        <f>IF(OR(EO$4="",$B24=""),0,SUMIF('DADOS BRUTOS'!$A$3:$A$500,$B24,'DADOS BRUTOS'!BO$3:BO$500)+IF($C24="",0,SUMIF('DADOS BRUTOS'!$A$3:$A$500,$C24,'DADOS BRUTOS'!BO$3:BO$500)))</f>
        <v/>
      </c>
      <c r="EP24" s="132">
        <f>IF(OR(EP$4="",$B24=""),0,SUMIF('DADOS BRUTOS'!$A$3:$A$500,$B24,'DADOS BRUTOS'!BP$3:BP$500)+IF($C24="",0,SUMIF('DADOS BRUTOS'!$A$3:$A$500,$C24,'DADOS BRUTOS'!BP$3:BP$500)))</f>
        <v/>
      </c>
      <c r="EQ24" s="132">
        <f>IF(OR(EQ$4="",$B24=""),0,SUMIF('DADOS BRUTOS'!$A$3:$A$500,$B24,'DADOS BRUTOS'!BQ$3:BQ$500)+IF($C24="",0,SUMIF('DADOS BRUTOS'!$A$3:$A$500,$C24,'DADOS BRUTOS'!BQ$3:BQ$500)))</f>
        <v/>
      </c>
      <c r="ER24" s="132">
        <f>IF(OR(ER$4="",$B24=""),0,SUMIF('DADOS BRUTOS'!$A$3:$A$500,$B24,'DADOS BRUTOS'!BR$3:BR$500)+IF($C24="",0,SUMIF('DADOS BRUTOS'!$A$3:$A$500,$C24,'DADOS BRUTOS'!BR$3:BR$500)))</f>
        <v/>
      </c>
      <c r="ES24" s="132">
        <f>IF(OR(ES$4="",$B24=""),0,SUMIF('DADOS BRUTOS'!$A$3:$A$500,$B24,'DADOS BRUTOS'!BS$3:BS$500)+IF($C24="",0,SUMIF('DADOS BRUTOS'!$A$3:$A$500,$C24,'DADOS BRUTOS'!BS$3:BS$500)))</f>
        <v/>
      </c>
      <c r="ET24" s="132">
        <f>IF(OR(ET$4="",$B24=""),0,SUMIF('DADOS BRUTOS'!$A$3:$A$500,$B24,'DADOS BRUTOS'!BT$3:BT$500)+IF($C24="",0,SUMIF('DADOS BRUTOS'!$A$3:$A$500,$C24,'DADOS BRUTOS'!BT$3:BT$500)))</f>
        <v/>
      </c>
      <c r="EU24" s="132">
        <f>IF(OR(EU$4="",$B24=""),0,SUMIF('DADOS BRUTOS'!$A$3:$A$500,$B24,'DADOS BRUTOS'!BU$3:BU$500)+IF($C24="",0,SUMIF('DADOS BRUTOS'!$A$3:$A$500,$C24,'DADOS BRUTOS'!BU$3:BU$500)))</f>
        <v/>
      </c>
      <c r="EV24" s="132">
        <f>IF(OR(EV$4="",$B24=""),0,SUMIF('DADOS BRUTOS'!$A$3:$A$500,$B24,'DADOS BRUTOS'!BV$3:BV$500)+IF($C24="",0,SUMIF('DADOS BRUTOS'!$A$3:$A$500,$C24,'DADOS BRUTOS'!BV$3:BV$500)))</f>
        <v/>
      </c>
      <c r="EW24" s="132">
        <f>IF(OR(EW$4="",$B24=""),0,SUMIF('DADOS BRUTOS'!$A$3:$A$500,$B24,'DADOS BRUTOS'!BW$3:BW$500)+IF($C24="",0,SUMIF('DADOS BRUTOS'!$A$3:$A$500,$C24,'DADOS BRUTOS'!BW$3:BW$500)))</f>
        <v/>
      </c>
      <c r="EX24" s="132">
        <f>IF(OR(EX$4="",$B24=""),0,SUMIF('DADOS BRUTOS'!$A$3:$A$500,$B24,'DADOS BRUTOS'!BX$3:BX$500)+IF($C24="",0,SUMIF('DADOS BRUTOS'!$A$3:$A$500,$C24,'DADOS BRUTOS'!BX$3:BX$500)))</f>
        <v/>
      </c>
      <c r="EY24" s="132">
        <f>IF(OR(EY$4="",$B24=""),0,SUMIF('DADOS BRUTOS'!$A$3:$A$500,$B24,'DADOS BRUTOS'!BY$3:BY$500)+IF($C24="",0,SUMIF('DADOS BRUTOS'!$A$3:$A$500,$C24,'DADOS BRUTOS'!BY$3:BY$500)))</f>
        <v/>
      </c>
      <c r="EZ24" s="132">
        <f>IF(OR(EZ$4="",$B24=""),0,SUMIF('DADOS BRUTOS'!$A$3:$A$500,$B24,'DADOS BRUTOS'!BZ$3:BZ$500)+IF($C24="",0,SUMIF('DADOS BRUTOS'!$A$3:$A$500,$C24,'DADOS BRUTOS'!BZ$3:BZ$500)))</f>
        <v/>
      </c>
      <c r="FA24" s="132">
        <f>IF(OR(FA$4="",$B24=""),0,SUMIF('DADOS BRUTOS'!$A$3:$A$500,$B24,'DADOS BRUTOS'!CA$3:CA$500)+IF($C24="",0,SUMIF('DADOS BRUTOS'!$A$3:$A$500,$C24,'DADOS BRUTOS'!CA$3:CA$500)))</f>
        <v/>
      </c>
      <c r="FB24" s="132">
        <f>IF(OR(FB$4="",$B24=""),0,SUMIF('DADOS BRUTOS'!$A$3:$A$500,$B24,'DADOS BRUTOS'!CB$3:CB$500)+IF($C24="",0,SUMIF('DADOS BRUTOS'!$A$3:$A$500,$C24,'DADOS BRUTOS'!CB$3:CB$500)))</f>
        <v/>
      </c>
      <c r="FC24" s="132">
        <f>IF(OR(FC$4="",$B24=""),0,SUMIF('DADOS BRUTOS'!$A$3:$A$500,$B24,'DADOS BRUTOS'!CC$3:CC$500)+IF($C24="",0,SUMIF('DADOS BRUTOS'!$A$3:$A$500,$C24,'DADOS BRUTOS'!CC$3:CC$500)))</f>
        <v/>
      </c>
      <c r="FD24" s="132">
        <f>IF(OR(FD$4="",$B24=""),0,SUMIF('DADOS BRUTOS'!$A$3:$A$500,$B24,'DADOS BRUTOS'!CD$3:CD$500)+IF($C24="",0,SUMIF('DADOS BRUTOS'!$A$3:$A$500,$C24,'DADOS BRUTOS'!CD$3:CD$500)))</f>
        <v/>
      </c>
      <c r="FE24" s="132">
        <f>IF(OR(FE$4="",$B24=""),0,SUMIF('DADOS BRUTOS'!$A$3:$A$500,$B24,'DADOS BRUTOS'!CE$3:CE$500)+IF($C24="",0,SUMIF('DADOS BRUTOS'!$A$3:$A$500,$C24,'DADOS BRUTOS'!CE$3:CE$500)))</f>
        <v/>
      </c>
      <c r="FF24" s="132">
        <f>IF(OR(FF$4="",$B24=""),0,SUMIF('DADOS BRUTOS'!$A$3:$A$500,$B24,'DADOS BRUTOS'!CF$3:CF$500)+IF($C24="",0,SUMIF('DADOS BRUTOS'!$A$3:$A$500,$C24,'DADOS BRUTOS'!CF$3:CF$500)))</f>
        <v/>
      </c>
      <c r="FG24" s="132">
        <f>IF(OR(FG$4="",$B24=""),0,SUMIF('DADOS BRUTOS'!$A$3:$A$500,$B24,'DADOS BRUTOS'!CG$3:CG$500)+IF($C24="",0,SUMIF('DADOS BRUTOS'!$A$3:$A$500,$C24,'DADOS BRUTOS'!CG$3:CG$500)))</f>
        <v/>
      </c>
      <c r="FH24" s="132">
        <f>IF(OR(FH$4="",$B24=""),0,SUMIF('DADOS BRUTOS'!$A$3:$A$500,$B24,'DADOS BRUTOS'!CH$3:CH$500)+IF($C24="",0,SUMIF('DADOS BRUTOS'!$A$3:$A$500,$C24,'DADOS BRUTOS'!CH$3:CH$500)))</f>
        <v/>
      </c>
      <c r="FI24" s="132">
        <f>IF(OR(FI$4="",$B24=""),0,SUMIF('DADOS BRUTOS'!$A$3:$A$500,$B24,'DADOS BRUTOS'!CI$3:CI$500)+IF($C24="",0,SUMIF('DADOS BRUTOS'!$A$3:$A$500,$C24,'DADOS BRUTOS'!CI$3:CI$500)))</f>
        <v/>
      </c>
      <c r="FJ24" s="132">
        <f>IF(OR(FJ$4="",$B24=""),0,SUMIF('DADOS BRUTOS'!$A$3:$A$500,$B24,'DADOS BRUTOS'!CJ$3:CJ$500)+IF($C24="",0,SUMIF('DADOS BRUTOS'!$A$3:$A$500,$C24,'DADOS BRUTOS'!CJ$3:CJ$500)))</f>
        <v/>
      </c>
      <c r="FK24" s="132">
        <f>IF(OR(FK$4="",$B24=""),0,SUMIF('DADOS BRUTOS'!$A$3:$A$500,$B24,'DADOS BRUTOS'!CK$3:CK$500)+IF($C24="",0,SUMIF('DADOS BRUTOS'!$A$3:$A$500,$C24,'DADOS BRUTOS'!CK$3:CK$500)))</f>
        <v/>
      </c>
      <c r="FL24" s="132">
        <f>IF(OR(FL$4="",$B24=""),0,SUMIF('DADOS BRUTOS'!$A$3:$A$500,$B24,'DADOS BRUTOS'!CL$3:CL$500)+IF($C24="",0,SUMIF('DADOS BRUTOS'!$A$3:$A$500,$C24,'DADOS BRUTOS'!CL$3:CL$500)))</f>
        <v/>
      </c>
      <c r="FM24" s="132">
        <f>IF(OR(FM$4="",$B24=""),0,SUMIF('DADOS BRUTOS'!$A$3:$A$500,$B24,'DADOS BRUTOS'!CM$3:CM$500)+IF($C24="",0,SUMIF('DADOS BRUTOS'!$A$3:$A$500,$C24,'DADOS BRUTOS'!CM$3:CM$500)))</f>
        <v/>
      </c>
      <c r="FN24" s="132">
        <f>IF(OR(FN$4="",$B24=""),0,SUMIF('DADOS BRUTOS'!$A$3:$A$500,$B24,'DADOS BRUTOS'!CN$3:CN$500)+IF($C24="",0,SUMIF('DADOS BRUTOS'!$A$3:$A$500,$C24,'DADOS BRUTOS'!CN$3:CN$500)))</f>
        <v/>
      </c>
      <c r="FO24" s="132">
        <f>IF(OR(FO$4="",$B24=""),0,SUMIF('DADOS BRUTOS'!$A$3:$A$500,$B24,'DADOS BRUTOS'!CO$3:CO$500)+IF($C24="",0,SUMIF('DADOS BRUTOS'!$A$3:$A$500,$C24,'DADOS BRUTOS'!CO$3:CO$500)))</f>
        <v/>
      </c>
      <c r="FP24" s="132">
        <f>IF(OR(FP$4="",$B24=""),0,SUMIF('DADOS BRUTOS'!$A$3:$A$500,$B24,'DADOS BRUTOS'!CP$3:CP$500)+IF($C24="",0,SUMIF('DADOS BRUTOS'!$A$3:$A$500,$C24,'DADOS BRUTOS'!CP$3:CP$500)))</f>
        <v/>
      </c>
      <c r="FQ24" s="132">
        <f>IF(OR(FQ$4="",$B24=""),0,SUMIF('DADOS BRUTOS'!$A$3:$A$500,$B24,'DADOS BRUTOS'!CQ$3:CQ$500)+IF($C24="",0,SUMIF('DADOS BRUTOS'!$A$3:$A$500,$C24,'DADOS BRUTOS'!CQ$3:CQ$500)))</f>
        <v/>
      </c>
      <c r="FR24" s="132">
        <f>IF(OR(FR$4="",$B24=""),0,SUMIF('DADOS BRUTOS'!$A$3:$A$500,$B24,'DADOS BRUTOS'!CR$3:CR$500)+IF($C24="",0,SUMIF('DADOS BRUTOS'!$A$3:$A$500,$C24,'DADOS BRUTOS'!CR$3:CR$500)))</f>
        <v/>
      </c>
      <c r="FS24" s="132">
        <f>IF(OR(FS$4="",$B24=""),0,SUMIF('DADOS BRUTOS'!$A$3:$A$500,$B24,'DADOS BRUTOS'!CS$3:CS$500)+IF($C24="",0,SUMIF('DADOS BRUTOS'!$A$3:$A$500,$C24,'DADOS BRUTOS'!CS$3:CS$500)))</f>
        <v/>
      </c>
      <c r="FT24" s="132">
        <f>IF(OR(FT$4="",$B24=""),0,SUMIF('DADOS BRUTOS'!$A$3:$A$500,$B24,'DADOS BRUTOS'!CT$3:CT$500)+IF($C24="",0,SUMIF('DADOS BRUTOS'!$A$3:$A$500,$C24,'DADOS BRUTOS'!CT$3:CT$500)))</f>
        <v/>
      </c>
      <c r="FU24" s="132">
        <f>IF(OR(FU$4="",$B24=""),0,SUMIF('DADOS BRUTOS'!$A$3:$A$500,$B24,'DADOS BRUTOS'!CU$3:CU$500)+IF($C24="",0,SUMIF('DADOS BRUTOS'!$A$3:$A$500,$C24,'DADOS BRUTOS'!CU$3:CU$500)))</f>
        <v/>
      </c>
      <c r="FV24" s="132">
        <f>IF(OR(FV$4="",$B24=""),0,SUMIF('DADOS BRUTOS'!$A$3:$A$500,$B24,'DADOS BRUTOS'!CV$3:CV$500)+IF($C24="",0,SUMIF('DADOS BRUTOS'!$A$3:$A$500,$C24,'DADOS BRUTOS'!CV$3:CV$500)))</f>
        <v/>
      </c>
      <c r="FW24" s="132">
        <f>IF(OR(FW$4="",$B24=""),0,SUMIF('DADOS BRUTOS'!$A$3:$A$500,$B24,'DADOS BRUTOS'!CW$3:CW$500)+IF($C24="",0,SUMIF('DADOS BRUTOS'!$A$3:$A$500,$C24,'DADOS BRUTOS'!CW$3:CW$500)))</f>
        <v/>
      </c>
      <c r="FX24" s="132">
        <f>IF(OR(FX$4="",$B24=""),0,SUMIF('DADOS BRUTOS'!$A$3:$A$500,$B24,'DADOS BRUTOS'!CX$3:CX$500)+IF($C24="",0,SUMIF('DADOS BRUTOS'!$A$3:$A$500,$C24,'DADOS BRUTOS'!CX$3:CX$500)))</f>
        <v/>
      </c>
      <c r="FY24" s="132">
        <f>IF(OR(FY$4="",$B24=""),0,SUMIF('DADOS BRUTOS'!$A$3:$A$500,$B24,'DADOS BRUTOS'!CY$3:CY$500)+IF($C24="",0,SUMIF('DADOS BRUTOS'!$A$3:$A$500,$C24,'DADOS BRUTOS'!CY$3:CY$500)))</f>
        <v/>
      </c>
      <c r="FZ24" s="132">
        <f>IF(OR(FZ$4="",$B24=""),0,SUMIF('DADOS BRUTOS'!$A$3:$A$500,$B24,'DADOS BRUTOS'!CZ$3:CZ$500)+IF($C24="",0,SUMIF('DADOS BRUTOS'!$A$3:$A$500,$C24,'DADOS BRUTOS'!CZ$3:CZ$500)))</f>
        <v/>
      </c>
      <c r="GA24" s="132">
        <f>IF(OR(GA$4="",$B24=""),0,SUMIF('DADOS BRUTOS'!$A$3:$A$500,$B24,'DADOS BRUTOS'!DA$3:DA$500)+IF($C24="",0,SUMIF('DADOS BRUTOS'!$A$3:$A$500,$C24,'DADOS BRUTOS'!DA$3:DA$500)))</f>
        <v/>
      </c>
      <c r="GB24" s="132">
        <f>IF(OR(GB$4="",$B24=""),0,SUMIF('DADOS BRUTOS'!$A$3:$A$500,$B24,'DADOS BRUTOS'!DB$3:DB$500)+IF($C24="",0,SUMIF('DADOS BRUTOS'!$A$3:$A$500,$C24,'DADOS BRUTOS'!DB$3:DB$500)))</f>
        <v/>
      </c>
      <c r="GC24" s="132">
        <f>IF(OR(GC$4="",$B24=""),0,SUMIF('DADOS BRUTOS'!$A$3:$A$500,$B24,'DADOS BRUTOS'!DC$3:DC$500)+IF($C24="",0,SUMIF('DADOS BRUTOS'!$A$3:$A$500,$C24,'DADOS BRUTOS'!DC$3:DC$500)))</f>
        <v/>
      </c>
      <c r="GD24" s="132">
        <f>IF(OR(GD$4="",$B24=""),0,SUMIF('DADOS BRUTOS'!$A$3:$A$500,$B24,'DADOS BRUTOS'!DD$3:DD$500)+IF($C24="",0,SUMIF('DADOS BRUTOS'!$A$3:$A$500,$C24,'DADOS BRUTOS'!DD$3:DD$500)))</f>
        <v/>
      </c>
      <c r="GE24" s="132">
        <f>IF(OR(GE$4="",$B24=""),0,SUMIF('DADOS BRUTOS'!$A$3:$A$500,$B24,'DADOS BRUTOS'!DE$3:DE$500)+IF($C24="",0,SUMIF('DADOS BRUTOS'!$A$3:$A$500,$C24,'DADOS BRUTOS'!DE$3:DE$500)))</f>
        <v/>
      </c>
      <c r="GF24" s="132">
        <f>IF(OR(GF$4="",$B24=""),0,SUMIF('DADOS BRUTOS'!$A$3:$A$500,$B24,'DADOS BRUTOS'!DF$3:DF$500)+IF($C24="",0,SUMIF('DADOS BRUTOS'!$A$3:$A$500,$C24,'DADOS BRUTOS'!DF$3:DF$500)))</f>
        <v/>
      </c>
      <c r="GG24" s="132">
        <f>IF(OR(GG$4="",$B24=""),0,SUMIF('DADOS BRUTOS'!$A$3:$A$500,$B24,'DADOS BRUTOS'!DG$3:DG$500)+IF($C24="",0,SUMIF('DADOS BRUTOS'!$A$3:$A$500,$C24,'DADOS BRUTOS'!DG$3:DG$500)))</f>
        <v/>
      </c>
      <c r="GH24" s="132">
        <f>IF(OR(GH$4="",$B24=""),0,SUMIF('DADOS BRUTOS'!$A$3:$A$500,$B24,'DADOS BRUTOS'!DH$3:DH$500)+IF($C24="",0,SUMIF('DADOS BRUTOS'!$A$3:$A$500,$C24,'DADOS BRUTOS'!DH$3:DH$500)))</f>
        <v/>
      </c>
      <c r="GI24" s="132">
        <f>IF(OR(GI$4="",$B24=""),0,SUMIF('DADOS BRUTOS'!$A$3:$A$500,$B24,'DADOS BRUTOS'!DI$3:DI$500)+IF($C24="",0,SUMIF('DADOS BRUTOS'!$A$3:$A$500,$C24,'DADOS BRUTOS'!DI$3:DI$500)))</f>
        <v/>
      </c>
      <c r="GJ24" s="132">
        <f>IF(OR(GJ$4="",$B24=""),0,SUMIF('DADOS BRUTOS'!$A$3:$A$500,$B24,'DADOS BRUTOS'!DJ$3:DJ$500)+IF($C24="",0,SUMIF('DADOS BRUTOS'!$A$3:$A$500,$C24,'DADOS BRUTOS'!DJ$3:DJ$500)))</f>
        <v/>
      </c>
      <c r="GK24" s="132">
        <f>IF(OR(GK$4="",$B24=""),0,SUMIF('DADOS BRUTOS'!$A$3:$A$500,$B24,'DADOS BRUTOS'!DK$3:DK$500)+IF($C24="",0,SUMIF('DADOS BRUTOS'!$A$3:$A$500,$C24,'DADOS BRUTOS'!DK$3:DK$500)))</f>
        <v/>
      </c>
      <c r="GL24" s="132">
        <f>IF(OR(GL$4="",$B24=""),0,SUMIF('DADOS BRUTOS'!$A$3:$A$500,$B24,'DADOS BRUTOS'!DL$3:DL$500)+IF($C24="",0,SUMIF('DADOS BRUTOS'!$A$3:$A$500,$C24,'DADOS BRUTOS'!DL$3:DL$500)))</f>
        <v/>
      </c>
      <c r="GM24" s="132">
        <f>IF(OR(GM$4="",$B24=""),0,SUMIF('DADOS BRUTOS'!$A$3:$A$500,$B24,'DADOS BRUTOS'!DM$3:DM$500)+IF($C24="",0,SUMIF('DADOS BRUTOS'!$A$3:$A$500,$C24,'DADOS BRUTOS'!DM$3:DM$500)))</f>
        <v/>
      </c>
      <c r="GN24" s="132">
        <f>IF(OR(GN$4="",$B24=""),0,SUMIF('DADOS BRUTOS'!$A$3:$A$500,$B24,'DADOS BRUTOS'!DN$3:DN$500)+IF($C24="",0,SUMIF('DADOS BRUTOS'!$A$3:$A$500,$C24,'DADOS BRUTOS'!DN$3:DN$500)))</f>
        <v/>
      </c>
      <c r="GO24" s="132">
        <f>IF(OR(GO$4="",$B24=""),0,SUMIF('DADOS BRUTOS'!$A$3:$A$500,$B24,'DADOS BRUTOS'!DO$3:DO$500)+IF($C24="",0,SUMIF('DADOS BRUTOS'!$A$3:$A$500,$C24,'DADOS BRUTOS'!DO$3:DO$500)))</f>
        <v/>
      </c>
      <c r="GP24" s="132">
        <f>IF(OR(GP$4="",$B24=""),0,SUMIF('DADOS BRUTOS'!$A$3:$A$500,$B24,'DADOS BRUTOS'!DP$3:DP$500)+IF($C24="",0,SUMIF('DADOS BRUTOS'!$A$3:$A$500,$C24,'DADOS BRUTOS'!DP$3:DP$500)))</f>
        <v/>
      </c>
      <c r="GQ24" s="132">
        <f>IF(OR(GQ$4="",$B24=""),0,SUMIF('DADOS BRUTOS'!$A$3:$A$500,$B24,'DADOS BRUTOS'!DQ$3:DQ$500)+IF($C24="",0,SUMIF('DADOS BRUTOS'!$A$3:$A$500,$C24,'DADOS BRUTOS'!DQ$3:DQ$500)))</f>
        <v/>
      </c>
      <c r="GR24" s="132">
        <f>IF(OR(GR$4="",$B24=""),0,SUMIF('DADOS BRUTOS'!$A$3:$A$500,$B24,'DADOS BRUTOS'!DR$3:DR$500)+IF($C24="",0,SUMIF('DADOS BRUTOS'!$A$3:$A$500,$C24,'DADOS BRUTOS'!DR$3:DR$500)))</f>
        <v/>
      </c>
      <c r="GS24" s="132">
        <f>IF(OR(GS$4="",$B24=""),0,SUMIF('DADOS BRUTOS'!$A$3:$A$500,$B24,'DADOS BRUTOS'!DS$3:DS$500)+IF($C24="",0,SUMIF('DADOS BRUTOS'!$A$3:$A$500,$C24,'DADOS BRUTOS'!DS$3:DS$500)))</f>
        <v/>
      </c>
      <c r="GT24" s="132">
        <f>IF(OR(GT$4="",$B24=""),0,SUMIF('DADOS BRUTOS'!$A$3:$A$500,$B24,'DADOS BRUTOS'!DT$3:DT$500)+IF($C24="",0,SUMIF('DADOS BRUTOS'!$A$3:$A$500,$C24,'DADOS BRUTOS'!DT$3:DT$500)))</f>
        <v/>
      </c>
      <c r="GU24" s="132">
        <f>IF(OR(GU$4="",$B24=""),0,SUMIF('DADOS BRUTOS'!$A$3:$A$500,$B24,'DADOS BRUTOS'!DU$3:DU$500)+IF($C24="",0,SUMIF('DADOS BRUTOS'!$A$3:$A$500,$C24,'DADOS BRUTOS'!DU$3:DU$500)))</f>
        <v/>
      </c>
      <c r="GV24" s="132">
        <f>IF(OR(GV$4="",$B24=""),0,SUMIF('DADOS BRUTOS'!$A$3:$A$500,$B24,'DADOS BRUTOS'!DV$3:DV$500)+IF($C24="",0,SUMIF('DADOS BRUTOS'!$A$3:$A$500,$C24,'DADOS BRUTOS'!DV$3:DV$500)))</f>
        <v/>
      </c>
      <c r="GW24" s="132">
        <f>IF(OR(GW$4="",$B24=""),0,SUMIF('DADOS BRUTOS'!$A$3:$A$500,$B24,'DADOS BRUTOS'!DW$3:DW$500)+IF($C24="",0,SUMIF('DADOS BRUTOS'!$A$3:$A$500,$C24,'DADOS BRUTOS'!DW$3:DW$500)))</f>
        <v/>
      </c>
      <c r="GX24" s="132">
        <f>IF(OR(GX$4="",$B24=""),0,SUMIF('DADOS BRUTOS'!$A$3:$A$500,$B24,'DADOS BRUTOS'!DX$3:DX$500)+IF($C24="",0,SUMIF('DADOS BRUTOS'!$A$3:$A$500,$C24,'DADOS BRUTOS'!DX$3:DX$500)))</f>
        <v/>
      </c>
      <c r="GY24" s="132">
        <f>IF(OR(GY$4="",$B24=""),0,SUMIF('DADOS BRUTOS'!$A$3:$A$500,$B24,'DADOS BRUTOS'!DY$3:DY$500)+IF($C24="",0,SUMIF('DADOS BRUTOS'!$A$3:$A$500,$C24,'DADOS BRUTOS'!DY$3:DY$500)))</f>
        <v/>
      </c>
      <c r="GZ24" s="132">
        <f>IF(OR(GZ$4="",$B24=""),0,SUMIF('DADOS BRUTOS'!$A$3:$A$500,$B24,'DADOS BRUTOS'!DZ$3:DZ$500)+IF($C24="",0,SUMIF('DADOS BRUTOS'!$A$3:$A$500,$C24,'DADOS BRUTOS'!DZ$3:DZ$500)))</f>
        <v/>
      </c>
      <c r="HA24" s="132">
        <f>IF(OR(HA$4="",$B24=""),0,SUMIF('DADOS BRUTOS'!$A$3:$A$500,$B24,'DADOS BRUTOS'!EA$3:EA$500)+IF($C24="",0,SUMIF('DADOS BRUTOS'!$A$3:$A$500,$C24,'DADOS BRUTOS'!EA$3:EA$500)))</f>
        <v/>
      </c>
      <c r="HB24" s="132">
        <f>IF(OR(HB$4="",$B24=""),0,SUMIF('DADOS BRUTOS'!$A$3:$A$500,$B24,'DADOS BRUTOS'!EB$3:EB$500)+IF($C24="",0,SUMIF('DADOS BRUTOS'!$A$3:$A$500,$C24,'DADOS BRUTOS'!EB$3:EB$500)))</f>
        <v/>
      </c>
      <c r="HC24" s="132">
        <f>IF(OR(HC$4="",$B24=""),0,SUMIF('DADOS BRUTOS'!$A$3:$A$500,$B24,'DADOS BRUTOS'!EC$3:EC$500)+IF($C24="",0,SUMIF('DADOS BRUTOS'!$A$3:$A$500,$C24,'DADOS BRUTOS'!EC$3:EC$500)))</f>
        <v/>
      </c>
      <c r="HD24" s="132">
        <f>IF(OR(HD$4="",$B24=""),0,SUMIF('DADOS BRUTOS'!$A$3:$A$500,$B24,'DADOS BRUTOS'!ED$3:ED$500)+IF($C24="",0,SUMIF('DADOS BRUTOS'!$A$3:$A$500,$C24,'DADOS BRUTOS'!ED$3:ED$500)))</f>
        <v/>
      </c>
      <c r="HE24" s="132">
        <f>IF(OR(HE$4="",$B24=""),0,SUMIF('DADOS BRUTOS'!$A$3:$A$500,$B24,'DADOS BRUTOS'!EE$3:EE$500)+IF($C24="",0,SUMIF('DADOS BRUTOS'!$A$3:$A$500,$C24,'DADOS BRUTOS'!EE$3:EE$500)))</f>
        <v/>
      </c>
      <c r="HF24" s="132">
        <f>IF(OR(HF$4="",$B24=""),0,SUMIF('DADOS BRUTOS'!$A$3:$A$500,$B24,'DADOS BRUTOS'!EF$3:EF$500)+IF($C24="",0,SUMIF('DADOS BRUTOS'!$A$3:$A$500,$C24,'DADOS BRUTOS'!EF$3:EF$500)))</f>
        <v/>
      </c>
      <c r="HG24" s="132">
        <f>IF(OR(HG$4="",$B24=""),0,SUMIF('DADOS BRUTOS'!$A$3:$A$500,$B24,'DADOS BRUTOS'!EG$3:EG$500)+IF($C24="",0,SUMIF('DADOS BRUTOS'!$A$3:$A$500,$C24,'DADOS BRUTOS'!EG$3:EG$500)))</f>
        <v/>
      </c>
      <c r="HH24" s="132">
        <f>IF(OR(HH$4="",$B24=""),0,SUMIF('DADOS BRUTOS'!$A$3:$A$500,$B24,'DADOS BRUTOS'!EH$3:EH$500)+IF($C24="",0,SUMIF('DADOS BRUTOS'!$A$3:$A$500,$C24,'DADOS BRUTOS'!EH$3:EH$500)))</f>
        <v/>
      </c>
      <c r="HI24" s="132">
        <f>IF(OR(HI$4="",$B24=""),0,SUMIF('DADOS BRUTOS'!$A$3:$A$500,$B24,'DADOS BRUTOS'!EI$3:EI$500)+IF($C24="",0,SUMIF('DADOS BRUTOS'!$A$3:$A$500,$C24,'DADOS BRUTOS'!EI$3:EI$500)))</f>
        <v/>
      </c>
      <c r="HJ24" s="132">
        <f>IF(OR(HJ$4="",$B24=""),0,SUMIF('DADOS BRUTOS'!$A$3:$A$500,$B24,'DADOS BRUTOS'!EJ$3:EJ$500)+IF($C24="",0,SUMIF('DADOS BRUTOS'!$A$3:$A$500,$C24,'DADOS BRUTOS'!EJ$3:EJ$500)))</f>
        <v/>
      </c>
      <c r="HK24" s="132">
        <f>IF(OR(HK$4="",$B24=""),0,SUMIF('DADOS BRUTOS'!$A$3:$A$500,$B24,'DADOS BRUTOS'!EK$3:EK$500)+IF($C24="",0,SUMIF('DADOS BRUTOS'!$A$3:$A$500,$C24,'DADOS BRUTOS'!EK$3:EK$500)))</f>
        <v/>
      </c>
      <c r="HL24" s="132">
        <f>IF(OR(HL$4="",$B24=""),0,SUMIF('DADOS BRUTOS'!$A$3:$A$500,$B24,'DADOS BRUTOS'!EL$3:EL$500)+IF($C24="",0,SUMIF('DADOS BRUTOS'!$A$3:$A$500,$C24,'DADOS BRUTOS'!EL$3:EL$500)))</f>
        <v/>
      </c>
      <c r="HM24" s="132">
        <f>IF(OR(HM$4="",$B24=""),0,SUMIF('DADOS BRUTOS'!$A$3:$A$500,$B24,'DADOS BRUTOS'!EM$3:EM$500)+IF($C24="",0,SUMIF('DADOS BRUTOS'!$A$3:$A$500,$C24,'DADOS BRUTOS'!EM$3:EM$500)))</f>
        <v/>
      </c>
      <c r="HN24" s="132">
        <f>IF(OR(HN$4="",$B24=""),0,SUMIF('DADOS BRUTOS'!$A$3:$A$500,$B24,'DADOS BRUTOS'!EN$3:EN$500)+IF($C24="",0,SUMIF('DADOS BRUTOS'!$A$3:$A$500,$C24,'DADOS BRUTOS'!EN$3:EN$500)))</f>
        <v/>
      </c>
      <c r="HO24" s="132">
        <f>IF(OR(HO$4="",$B24=""),0,SUMIF('DADOS BRUTOS'!$A$3:$A$500,$B24,'DADOS BRUTOS'!EO$3:EO$500)+IF($C24="",0,SUMIF('DADOS BRUTOS'!$A$3:$A$500,$C24,'DADOS BRUTOS'!EO$3:EO$500)))</f>
        <v/>
      </c>
      <c r="HP24" s="132">
        <f>IF(OR(HP$4="",$B24=""),0,SUMIF('DADOS BRUTOS'!$A$3:$A$500,$B24,'DADOS BRUTOS'!EP$3:EP$500)+IF($C24="",0,SUMIF('DADOS BRUTOS'!$A$3:$A$500,$C24,'DADOS BRUTOS'!EP$3:EP$500)))</f>
        <v/>
      </c>
      <c r="HQ24" s="132">
        <f>IF(OR(HQ$4="",$B24=""),0,SUMIF('DADOS BRUTOS'!$A$3:$A$500,$B24,'DADOS BRUTOS'!EQ$3:EQ$500)+IF($C24="",0,SUMIF('DADOS BRUTOS'!$A$3:$A$500,$C24,'DADOS BRUTOS'!EQ$3:EQ$500)))</f>
        <v/>
      </c>
      <c r="HR24" s="132">
        <f>IF(OR(HR$4="",$B24=""),0,SUMIF('DADOS BRUTOS'!$A$3:$A$500,$B24,'DADOS BRUTOS'!ER$3:ER$500)+IF($C24="",0,SUMIF('DADOS BRUTOS'!$A$3:$A$500,$C24,'DADOS BRUTOS'!ER$3:ER$500)))</f>
        <v/>
      </c>
      <c r="HS24" s="132">
        <f>IF(OR(HS$4="",$B24=""),0,SUMIF('DADOS BRUTOS'!$A$3:$A$500,$B24,'DADOS BRUTOS'!ES$3:ES$500)+IF($C24="",0,SUMIF('DADOS BRUTOS'!$A$3:$A$500,$C24,'DADOS BRUTOS'!ES$3:ES$500)))</f>
        <v/>
      </c>
      <c r="HT24" s="132">
        <f>IF(OR(HT$4="",$B24=""),0,SUMIF('DADOS BRUTOS'!$A$3:$A$500,$B24,'DADOS BRUTOS'!ET$3:ET$500)+IF($C24="",0,SUMIF('DADOS BRUTOS'!$A$3:$A$500,$C24,'DADOS BRUTOS'!ET$3:ET$500)))</f>
        <v/>
      </c>
      <c r="HU24" s="132">
        <f>IF(OR(HU$4="",$B24=""),0,SUMIF('DADOS BRUTOS'!$A$3:$A$500,$B24,'DADOS BRUTOS'!EU$3:EU$500)+IF($C24="",0,SUMIF('DADOS BRUTOS'!$A$3:$A$500,$C24,'DADOS BRUTOS'!EU$3:EU$500)))</f>
        <v/>
      </c>
      <c r="HV24" s="132">
        <f>IF(OR(HV$4="",$B24=""),0,SUMIF('DADOS BRUTOS'!$A$3:$A$500,$B24,'DADOS BRUTOS'!EV$3:EV$500)+IF($C24="",0,SUMIF('DADOS BRUTOS'!$A$3:$A$500,$C24,'DADOS BRUTOS'!EV$3:EV$500)))</f>
        <v/>
      </c>
      <c r="HW24" s="132">
        <f>IF(OR(HW$4="",$B24=""),0,SUMIF('DADOS BRUTOS'!$A$3:$A$500,$B24,'DADOS BRUTOS'!EW$3:EW$500)+IF($C24="",0,SUMIF('DADOS BRUTOS'!$A$3:$A$500,$C24,'DADOS BRUTOS'!EW$3:EW$500)))</f>
        <v/>
      </c>
      <c r="HX24" s="132">
        <f>IF(OR(HX$4="",$B24=""),0,SUMIF('DADOS BRUTOS'!$A$3:$A$500,$B24,'DADOS BRUTOS'!EX$3:EX$500)+IF($C24="",0,SUMIF('DADOS BRUTOS'!$A$3:$A$500,$C24,'DADOS BRUTOS'!EX$3:EX$500)))</f>
        <v/>
      </c>
      <c r="HY24" s="132">
        <f>IF(OR(HY$4="",$B24=""),0,SUMIF('DADOS BRUTOS'!$A$3:$A$500,$B24,'DADOS BRUTOS'!EY$3:EY$500)+IF($C24="",0,SUMIF('DADOS BRUTOS'!$A$3:$A$500,$C24,'DADOS BRUTOS'!EY$3:EY$500)))</f>
        <v/>
      </c>
      <c r="HZ24" s="132">
        <f>IF(OR(HZ$4="",$B24=""),0,SUMIF('DADOS BRUTOS'!$A$3:$A$500,$B24,'DADOS BRUTOS'!EZ$3:EZ$500)+IF($C24="",0,SUMIF('DADOS BRUTOS'!$A$3:$A$500,$C24,'DADOS BRUTOS'!EZ$3:EZ$500)))</f>
        <v/>
      </c>
      <c r="IA24" s="132">
        <f>IF(OR(IA$4="",$B24=""),0,SUMIF('DADOS BRUTOS'!$A$3:$A$500,$B24,'DADOS BRUTOS'!FA$3:FA$500)+IF($C24="",0,SUMIF('DADOS BRUTOS'!$A$3:$A$500,$C24,'DADOS BRUTOS'!FA$3:FA$500)))</f>
        <v/>
      </c>
      <c r="IB24" s="132">
        <f>IF(OR(IB$4="",$B24=""),0,SUMIF('DADOS BRUTOS'!$A$3:$A$500,$B24,'DADOS BRUTOS'!FB$3:FB$500)+IF($C24="",0,SUMIF('DADOS BRUTOS'!$A$3:$A$500,$C24,'DADOS BRUTOS'!FB$3:FB$500)))</f>
        <v/>
      </c>
      <c r="IC24" s="132">
        <f>IF(OR(IC$4="",$B24=""),0,SUMIF('DADOS BRUTOS'!$A$3:$A$500,$B24,'DADOS BRUTOS'!FC$3:FC$500)+IF($C24="",0,SUMIF('DADOS BRUTOS'!$A$3:$A$500,$C24,'DADOS BRUTOS'!FC$3:FC$500)))</f>
        <v/>
      </c>
      <c r="ID24" s="132">
        <f>IF(OR(ID$4="",$B24=""),0,SUMIF('DADOS BRUTOS'!$A$3:$A$500,$B24,'DADOS BRUTOS'!FD$3:FD$500)+IF($C24="",0,SUMIF('DADOS BRUTOS'!$A$3:$A$500,$C24,'DADOS BRUTOS'!FD$3:FD$500)))</f>
        <v/>
      </c>
      <c r="IE24" s="132">
        <f>IF(OR(IE$4="",$B24=""),0,SUMIF('DADOS BRUTOS'!$A$3:$A$500,$B24,'DADOS BRUTOS'!FE$3:FE$500)+IF($C24="",0,SUMIF('DADOS BRUTOS'!$A$3:$A$500,$C24,'DADOS BRUTOS'!FE$3:FE$500)))</f>
        <v/>
      </c>
      <c r="IF24" s="132">
        <f>IF(OR(IF$4="",$B24=""),0,SUMIF('DADOS BRUTOS'!$A$3:$A$500,$B24,'DADOS BRUTOS'!FF$3:FF$500)+IF($C24="",0,SUMIF('DADOS BRUTOS'!$A$3:$A$500,$C24,'DADOS BRUTOS'!FF$3:FF$500)))</f>
        <v/>
      </c>
      <c r="IG24" s="132">
        <f>IF(OR(IG$4="",$B24=""),0,SUMIF('DADOS BRUTOS'!$A$3:$A$500,$B24,'DADOS BRUTOS'!FG$3:FG$500)+IF($C24="",0,SUMIF('DADOS BRUTOS'!$A$3:$A$500,$C24,'DADOS BRUTOS'!FG$3:FG$500)))</f>
        <v/>
      </c>
      <c r="IH24" s="132">
        <f>IF(OR(IH$4="",$B24=""),0,SUMIF('DADOS BRUTOS'!$A$3:$A$500,$B24,'DADOS BRUTOS'!FH$3:FH$500)+IF($C24="",0,SUMIF('DADOS BRUTOS'!$A$3:$A$500,$C24,'DADOS BRUTOS'!FH$3:FH$500)))</f>
        <v/>
      </c>
      <c r="II24" s="132">
        <f>IF(OR(II$4="",$B24=""),0,SUMIF('DADOS BRUTOS'!$A$3:$A$500,$B24,'DADOS BRUTOS'!FI$3:FI$500)+IF($C24="",0,SUMIF('DADOS BRUTOS'!$A$3:$A$500,$C24,'DADOS BRUTOS'!FI$3:FI$500)))</f>
        <v/>
      </c>
      <c r="IJ24" s="132">
        <f>IF(OR(IJ$4="",$B24=""),0,SUMIF('DADOS BRUTOS'!$A$3:$A$500,$B24,'DADOS BRUTOS'!FJ$3:FJ$500)+IF($C24="",0,SUMIF('DADOS BRUTOS'!$A$3:$A$500,$C24,'DADOS BRUTOS'!FJ$3:FJ$500)))</f>
        <v/>
      </c>
      <c r="IK24" s="132">
        <f>IF(OR(IK$4="",$B24=""),0,SUMIF('DADOS BRUTOS'!$A$3:$A$500,$B24,'DADOS BRUTOS'!FK$3:FK$500)+IF($C24="",0,SUMIF('DADOS BRUTOS'!$A$3:$A$500,$C24,'DADOS BRUTOS'!FK$3:FK$500)))</f>
        <v/>
      </c>
      <c r="IL24" s="132">
        <f>IF(OR(IL$4="",$B24=""),0,SUMIF('DADOS BRUTOS'!$A$3:$A$500,$B24,'DADOS BRUTOS'!FL$3:FL$500)+IF($C24="",0,SUMIF('DADOS BRUTOS'!$A$3:$A$500,$C24,'DADOS BRUTOS'!FL$3:FL$500)))</f>
        <v/>
      </c>
      <c r="IM24" s="132">
        <f>IF(OR(IM$4="",$B24=""),0,SUMIF('DADOS BRUTOS'!$A$3:$A$500,$B24,'DADOS BRUTOS'!FM$3:FM$500)+IF($C24="",0,SUMIF('DADOS BRUTOS'!$A$3:$A$500,$C24,'DADOS BRUTOS'!FM$3:FM$500)))</f>
        <v/>
      </c>
      <c r="IN24" s="132">
        <f>IF(OR(IN$4="",$B24=""),0,SUMIF('DADOS BRUTOS'!$A$3:$A$500,$B24,'DADOS BRUTOS'!FN$3:FN$500)+IF($C24="",0,SUMIF('DADOS BRUTOS'!$A$3:$A$500,$C24,'DADOS BRUTOS'!FN$3:FN$500)))</f>
        <v/>
      </c>
      <c r="IO24" s="132">
        <f>IF(OR(IO$4="",$B24=""),0,SUMIF('DADOS BRUTOS'!$A$3:$A$500,$B24,'DADOS BRUTOS'!FO$3:FO$500)+IF($C24="",0,SUMIF('DADOS BRUTOS'!$A$3:$A$500,$C24,'DADOS BRUTOS'!FO$3:FO$500)))</f>
        <v/>
      </c>
      <c r="IP24" s="132">
        <f>IF(OR(IP$4="",$B24=""),0,SUMIF('DADOS BRUTOS'!$A$3:$A$500,$B24,'DADOS BRUTOS'!FP$3:FP$500)+IF($C24="",0,SUMIF('DADOS BRUTOS'!$A$3:$A$500,$C24,'DADOS BRUTOS'!FP$3:FP$500)))</f>
        <v/>
      </c>
      <c r="IQ24" s="132">
        <f>IF(OR(IQ$4="",$B24=""),0,SUMIF('DADOS BRUTOS'!$A$3:$A$500,$B24,'DADOS BRUTOS'!FQ$3:FQ$500)+IF($C24="",0,SUMIF('DADOS BRUTOS'!$A$3:$A$500,$C24,'DADOS BRUTOS'!FQ$3:FQ$500)))</f>
        <v/>
      </c>
      <c r="IR24" s="132">
        <f>IF(OR(IR$4="",$B24=""),0,SUMIF('DADOS BRUTOS'!$A$3:$A$500,$B24,'DADOS BRUTOS'!FR$3:FR$500)+IF($C24="",0,SUMIF('DADOS BRUTOS'!$A$3:$A$500,$C24,'DADOS BRUTOS'!FR$3:FR$500)))</f>
        <v/>
      </c>
      <c r="IS24" s="132">
        <f>IF(OR(IS$4="",$B24=""),0,SUMIF('DADOS BRUTOS'!$A$3:$A$500,$B24,'DADOS BRUTOS'!FS$3:FS$500)+IF($C24="",0,SUMIF('DADOS BRUTOS'!$A$3:$A$500,$C24,'DADOS BRUTOS'!FS$3:FS$500)))</f>
        <v/>
      </c>
      <c r="IT24" s="132">
        <f>IF(OR(IT$4="",$B24=""),0,SUMIF('DADOS BRUTOS'!$A$3:$A$500,$B24,'DADOS BRUTOS'!FT$3:FT$500)+IF($C24="",0,SUMIF('DADOS BRUTOS'!$A$3:$A$500,$C24,'DADOS BRUTOS'!FT$3:FT$500)))</f>
        <v/>
      </c>
      <c r="IU24" s="132">
        <f>IF(OR(IU$4="",$B24=""),0,SUMIF('DADOS BRUTOS'!$A$3:$A$500,$B24,'DADOS BRUTOS'!FU$3:FU$500)+IF($C24="",0,SUMIF('DADOS BRUTOS'!$A$3:$A$500,$C24,'DADOS BRUTOS'!FU$3:FU$500)))</f>
        <v/>
      </c>
      <c r="IV24" s="132">
        <f>IF(OR(IV$4="",$B24=""),0,SUMIF('DADOS BRUTOS'!$A$3:$A$500,$B24,'DADOS BRUTOS'!FV$3:FV$500)+IF($C24="",0,SUMIF('DADOS BRUTOS'!$A$3:$A$500,$C24,'DADOS BRUTOS'!FV$3:FV$500)))</f>
        <v/>
      </c>
      <c r="IW24" s="132">
        <f>IF(OR(IW$4="",$B24=""),0,SUMIF('DADOS BRUTOS'!$A$3:$A$500,$B24,'DADOS BRUTOS'!FW$3:FW$500)+IF($C24="",0,SUMIF('DADOS BRUTOS'!$A$3:$A$500,$C24,'DADOS BRUTOS'!FW$3:FW$500)))</f>
        <v/>
      </c>
      <c r="IX24" s="132">
        <f>IF(OR(IX$4="",$B24=""),0,SUMIF('DADOS BRUTOS'!$A$3:$A$500,$B24,'DADOS BRUTOS'!FX$3:FX$500)+IF($C24="",0,SUMIF('DADOS BRUTOS'!$A$3:$A$500,$C24,'DADOS BRUTOS'!FX$3:FX$500)))</f>
        <v/>
      </c>
      <c r="IY24" s="132">
        <f>IF(OR(IY$4="",$B24=""),0,SUMIF('DADOS BRUTOS'!$A$3:$A$500,$B24,'DADOS BRUTOS'!FY$3:FY$500)+IF($C24="",0,SUMIF('DADOS BRUTOS'!$A$3:$A$500,$C24,'DADOS BRUTOS'!FY$3:FY$500)))</f>
        <v/>
      </c>
      <c r="IZ24" s="132">
        <f>IF(OR(IZ$4="",$B24=""),0,SUMIF('DADOS BRUTOS'!$A$3:$A$500,$B24,'DADOS BRUTOS'!FZ$3:FZ$500)+IF($C24="",0,SUMIF('DADOS BRUTOS'!$A$3:$A$500,$C24,'DADOS BRUTOS'!FZ$3:FZ$500)))</f>
        <v/>
      </c>
      <c r="JA24" s="132">
        <f>IF(OR(JA$4="",$B24=""),0,SUMIF('DADOS BRUTOS'!$A$3:$A$500,$B24,'DADOS BRUTOS'!GA$3:GA$500)+IF($C24="",0,SUMIF('DADOS BRUTOS'!$A$3:$A$500,$C24,'DADOS BRUTOS'!GA$3:GA$500)))</f>
        <v/>
      </c>
      <c r="JB24" s="132">
        <f>IF(OR(JB$4="",$B24=""),0,SUMIF('DADOS BRUTOS'!$A$3:$A$500,$B24,'DADOS BRUTOS'!GB$3:GB$500)+IF($C24="",0,SUMIF('DADOS BRUTOS'!$A$3:$A$500,$C24,'DADOS BRUTOS'!GB$3:GB$500)))</f>
        <v/>
      </c>
      <c r="JC24" s="132">
        <f>IF(OR(JC$4="",$B24=""),0,SUMIF('DADOS BRUTOS'!$A$3:$A$500,$B24,'DADOS BRUTOS'!GC$3:GC$500)+IF($C24="",0,SUMIF('DADOS BRUTOS'!$A$3:$A$500,$C24,'DADOS BRUTOS'!GC$3:GC$500)))</f>
        <v/>
      </c>
      <c r="JD24" s="132">
        <f>IF(OR(JD$4="",$B24=""),0,SUMIF('DADOS BRUTOS'!$A$3:$A$500,$B24,'DADOS BRUTOS'!GD$3:GD$500)+IF($C24="",0,SUMIF('DADOS BRUTOS'!$A$3:$A$500,$C24,'DADOS BRUTOS'!GD$3:GD$500)))</f>
        <v/>
      </c>
      <c r="JE24" s="132">
        <f>IF(OR(JE$4="",$B24=""),0,SUMIF('DADOS BRUTOS'!$A$3:$A$500,$B24,'DADOS BRUTOS'!GE$3:GE$500)+IF($C24="",0,SUMIF('DADOS BRUTOS'!$A$3:$A$500,$C24,'DADOS BRUTOS'!GE$3:GE$500)))</f>
        <v/>
      </c>
      <c r="JF24" s="132">
        <f>IF(OR(JF$4="",$B24=""),0,SUMIF('DADOS BRUTOS'!$A$3:$A$500,$B24,'DADOS BRUTOS'!GF$3:GF$500)+IF($C24="",0,SUMIF('DADOS BRUTOS'!$A$3:$A$500,$C24,'DADOS BRUTOS'!GF$3:GF$500)))</f>
        <v/>
      </c>
      <c r="JG24" s="132">
        <f>IF(OR(JG$4="",$B24=""),0,SUMIF('DADOS BRUTOS'!$A$3:$A$500,$B24,'DADOS BRUTOS'!GG$3:GG$500)+IF($C24="",0,SUMIF('DADOS BRUTOS'!$A$3:$A$500,$C24,'DADOS BRUTOS'!GG$3:GG$500)))</f>
        <v/>
      </c>
      <c r="JH24" s="132">
        <f>IF(OR(JH$4="",$B24=""),0,SUMIF('DADOS BRUTOS'!$A$3:$A$500,$B24,'DADOS BRUTOS'!GH$3:GH$500)+IF($C24="",0,SUMIF('DADOS BRUTOS'!$A$3:$A$500,$C24,'DADOS BRUTOS'!GH$3:GH$500)))</f>
        <v/>
      </c>
      <c r="JI24" s="132">
        <f>IF(OR(JI$4="",$B24=""),0,SUMIF('DADOS BRUTOS'!$A$3:$A$500,$B24,'DADOS BRUTOS'!GI$3:GI$500)+IF($C24="",0,SUMIF('DADOS BRUTOS'!$A$3:$A$500,$C24,'DADOS BRUTOS'!GI$3:GI$500)))</f>
        <v/>
      </c>
      <c r="JJ24" s="132">
        <f>IF(OR(JJ$4="",$B24=""),0,SUMIF('DADOS BRUTOS'!$A$3:$A$500,$B24,'DADOS BRUTOS'!GJ$3:GJ$500)+IF($C24="",0,SUMIF('DADOS BRUTOS'!$A$3:$A$500,$C24,'DADOS BRUTOS'!GJ$3:GJ$500)))</f>
        <v/>
      </c>
      <c r="JK24" s="132">
        <f>IF(OR(JK$4="",$B24=""),0,SUMIF('DADOS BRUTOS'!$A$3:$A$500,$B24,'DADOS BRUTOS'!GK$3:GK$500)+IF($C24="",0,SUMIF('DADOS BRUTOS'!$A$3:$A$500,$C24,'DADOS BRUTOS'!GK$3:GK$500)))</f>
        <v/>
      </c>
      <c r="JL24" s="132">
        <f>IF(OR(JL$4="",$B24=""),0,SUMIF('DADOS BRUTOS'!$A$3:$A$500,$B24,'DADOS BRUTOS'!GL$3:GL$500)+IF($C24="",0,SUMIF('DADOS BRUTOS'!$A$3:$A$500,$C24,'DADOS BRUTOS'!GL$3:GL$500)))</f>
        <v/>
      </c>
      <c r="JM24" s="132">
        <f>IF(OR(JM$4="",$B24=""),0,SUMIF('DADOS BRUTOS'!$A$3:$A$500,$B24,'DADOS BRUTOS'!GM$3:GM$500)+IF($C24="",0,SUMIF('DADOS BRUTOS'!$A$3:$A$500,$C24,'DADOS BRUTOS'!GM$3:GM$500)))</f>
        <v/>
      </c>
      <c r="JN24" s="132">
        <f>IF(OR(JN$4="",$B24=""),0,SUMIF('DADOS BRUTOS'!$A$3:$A$500,$B24,'DADOS BRUTOS'!GN$3:GN$500)+IF($C24="",0,SUMIF('DADOS BRUTOS'!$A$3:$A$500,$C24,'DADOS BRUTOS'!GN$3:GN$500)))</f>
        <v/>
      </c>
      <c r="JO24" s="132">
        <f>IF(OR(JO$4="",$B24=""),0,SUMIF('DADOS BRUTOS'!$A$3:$A$500,$B24,'DADOS BRUTOS'!GO$3:GO$500)+IF($C24="",0,SUMIF('DADOS BRUTOS'!$A$3:$A$500,$C24,'DADOS BRUTOS'!GO$3:GO$500)))</f>
        <v/>
      </c>
      <c r="JP24" s="132">
        <f>IF(OR(JP$4="",$B24=""),0,SUMIF('DADOS BRUTOS'!$A$3:$A$500,$B24,'DADOS BRUTOS'!GP$3:GP$500)+IF($C24="",0,SUMIF('DADOS BRUTOS'!$A$3:$A$500,$C24,'DADOS BRUTOS'!GP$3:GP$500)))</f>
        <v/>
      </c>
      <c r="JQ24" s="132">
        <f>IF(OR(JQ$4="",$B24=""),0,SUMIF('DADOS BRUTOS'!$A$3:$A$500,$B24,'DADOS BRUTOS'!GQ$3:GQ$500)+IF($C24="",0,SUMIF('DADOS BRUTOS'!$A$3:$A$500,$C24,'DADOS BRUTOS'!GQ$3:GQ$500)))</f>
        <v/>
      </c>
      <c r="JR24" s="132">
        <f>IF(OR(JR$4="",$B24=""),0,SUMIF('DADOS BRUTOS'!$A$3:$A$500,$B24,'DADOS BRUTOS'!GR$3:GR$500)+IF($C24="",0,SUMIF('DADOS BRUTOS'!$A$3:$A$500,$C24,'DADOS BRUTOS'!GR$3:GR$500)))</f>
        <v/>
      </c>
      <c r="JS24" s="132">
        <f>IF(OR(JS$4="",$B24=""),0,SUMIF('DADOS BRUTOS'!$A$3:$A$500,$B24,'DADOS BRUTOS'!GS$3:GS$500)+IF($C24="",0,SUMIF('DADOS BRUTOS'!$A$3:$A$500,$C24,'DADOS BRUTOS'!GS$3:GS$500)))</f>
        <v/>
      </c>
    </row>
    <row r="25">
      <c r="A25" s="61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BZ25" s="49">
        <f>SUMPRODUCT(($CB$4:$JS$4&lt;&gt;"")*($CB$4:$JS$4&lt;=$D$4),$CB25:$JS25,$CB$1:$JS$1)</f>
        <v/>
      </c>
      <c r="CB25" s="132">
        <f>IF(OR(CB$4="",$B25=""),0,SUMIF('DADOS BRUTOS'!$A$3:$A$500,$B25,'DADOS BRUTOS'!B$3:B$500)+IF($C25="",0,SUMIF('DADOS BRUTOS'!$A$3:$A$500,$C25,'DADOS BRUTOS'!B$3:B$500)))</f>
        <v/>
      </c>
      <c r="CC25" s="132">
        <f>IF(OR(CC$4="",$B25=""),0,SUMIF('DADOS BRUTOS'!$A$3:$A$500,$B25,'DADOS BRUTOS'!C$3:C$500)+IF($C25="",0,SUMIF('DADOS BRUTOS'!$A$3:$A$500,$C25,'DADOS BRUTOS'!C$3:C$500)))</f>
        <v/>
      </c>
      <c r="CD25" s="132">
        <f>IF(OR(CD$4="",$B25=""),0,SUMIF('DADOS BRUTOS'!$A$3:$A$500,$B25,'DADOS BRUTOS'!D$3:D$500)+IF($C25="",0,SUMIF('DADOS BRUTOS'!$A$3:$A$500,$C25,'DADOS BRUTOS'!D$3:D$500)))</f>
        <v/>
      </c>
      <c r="CE25" s="132">
        <f>IF(OR(CE$4="",$B25=""),0,SUMIF('DADOS BRUTOS'!$A$3:$A$500,$B25,'DADOS BRUTOS'!E$3:E$500)+IF($C25="",0,SUMIF('DADOS BRUTOS'!$A$3:$A$500,$C25,'DADOS BRUTOS'!E$3:E$500)))</f>
        <v/>
      </c>
      <c r="CF25" s="132">
        <f>IF(OR(CF$4="",$B25=""),0,SUMIF('DADOS BRUTOS'!$A$3:$A$500,$B25,'DADOS BRUTOS'!F$3:F$500)+IF($C25="",0,SUMIF('DADOS BRUTOS'!$A$3:$A$500,$C25,'DADOS BRUTOS'!F$3:F$500)))</f>
        <v/>
      </c>
      <c r="CG25" s="132">
        <f>IF(OR(CG$4="",$B25=""),0,SUMIF('DADOS BRUTOS'!$A$3:$A$500,$B25,'DADOS BRUTOS'!G$3:G$500)+IF($C25="",0,SUMIF('DADOS BRUTOS'!$A$3:$A$500,$C25,'DADOS BRUTOS'!G$3:G$500)))</f>
        <v/>
      </c>
      <c r="CH25" s="132">
        <f>IF(OR(CH$4="",$B25=""),0,SUMIF('DADOS BRUTOS'!$A$3:$A$500,$B25,'DADOS BRUTOS'!H$3:H$500)+IF($C25="",0,SUMIF('DADOS BRUTOS'!$A$3:$A$500,$C25,'DADOS BRUTOS'!H$3:H$500)))</f>
        <v/>
      </c>
      <c r="CI25" s="132">
        <f>IF(OR(CI$4="",$B25=""),0,SUMIF('DADOS BRUTOS'!$A$3:$A$500,$B25,'DADOS BRUTOS'!I$3:I$500)+IF($C25="",0,SUMIF('DADOS BRUTOS'!$A$3:$A$500,$C25,'DADOS BRUTOS'!I$3:I$500)))</f>
        <v/>
      </c>
      <c r="CJ25" s="132">
        <f>IF(OR(CJ$4="",$B25=""),0,SUMIF('DADOS BRUTOS'!$A$3:$A$500,$B25,'DADOS BRUTOS'!J$3:J$500)+IF($C25="",0,SUMIF('DADOS BRUTOS'!$A$3:$A$500,$C25,'DADOS BRUTOS'!J$3:J$500)))</f>
        <v/>
      </c>
      <c r="CK25" s="132">
        <f>IF(OR(CK$4="",$B25=""),0,SUMIF('DADOS BRUTOS'!$A$3:$A$500,$B25,'DADOS BRUTOS'!K$3:K$500)+IF($C25="",0,SUMIF('DADOS BRUTOS'!$A$3:$A$500,$C25,'DADOS BRUTOS'!K$3:K$500)))</f>
        <v/>
      </c>
      <c r="CL25" s="132">
        <f>IF(OR(CL$4="",$B25=""),0,SUMIF('DADOS BRUTOS'!$A$3:$A$500,$B25,'DADOS BRUTOS'!L$3:L$500)+IF($C25="",0,SUMIF('DADOS BRUTOS'!$A$3:$A$500,$C25,'DADOS BRUTOS'!L$3:L$500)))</f>
        <v/>
      </c>
      <c r="CM25" s="132">
        <f>IF(OR(CM$4="",$B25=""),0,SUMIF('DADOS BRUTOS'!$A$3:$A$500,$B25,'DADOS BRUTOS'!M$3:M$500)+IF($C25="",0,SUMIF('DADOS BRUTOS'!$A$3:$A$500,$C25,'DADOS BRUTOS'!M$3:M$500)))</f>
        <v/>
      </c>
      <c r="CN25" s="132">
        <f>IF(OR(CN$4="",$B25=""),0,SUMIF('DADOS BRUTOS'!$A$3:$A$500,$B25,'DADOS BRUTOS'!N$3:N$500)+IF($C25="",0,SUMIF('DADOS BRUTOS'!$A$3:$A$500,$C25,'DADOS BRUTOS'!N$3:N$500)))</f>
        <v/>
      </c>
      <c r="CO25" s="132">
        <f>IF(OR(CO$4="",$B25=""),0,SUMIF('DADOS BRUTOS'!$A$3:$A$500,$B25,'DADOS BRUTOS'!O$3:O$500)+IF($C25="",0,SUMIF('DADOS BRUTOS'!$A$3:$A$500,$C25,'DADOS BRUTOS'!O$3:O$500)))</f>
        <v/>
      </c>
      <c r="CP25" s="132">
        <f>IF(OR(CP$4="",$B25=""),0,SUMIF('DADOS BRUTOS'!$A$3:$A$500,$B25,'DADOS BRUTOS'!P$3:P$500)+IF($C25="",0,SUMIF('DADOS BRUTOS'!$A$3:$A$500,$C25,'DADOS BRUTOS'!P$3:P$500)))</f>
        <v/>
      </c>
      <c r="CQ25" s="132">
        <f>IF(OR(CQ$4="",$B25=""),0,SUMIF('DADOS BRUTOS'!$A$3:$A$500,$B25,'DADOS BRUTOS'!Q$3:Q$500)+IF($C25="",0,SUMIF('DADOS BRUTOS'!$A$3:$A$500,$C25,'DADOS BRUTOS'!Q$3:Q$500)))</f>
        <v/>
      </c>
      <c r="CR25" s="132">
        <f>IF(OR(CR$4="",$B25=""),0,SUMIF('DADOS BRUTOS'!$A$3:$A$500,$B25,'DADOS BRUTOS'!R$3:R$500)+IF($C25="",0,SUMIF('DADOS BRUTOS'!$A$3:$A$500,$C25,'DADOS BRUTOS'!R$3:R$500)))</f>
        <v/>
      </c>
      <c r="CS25" s="132">
        <f>IF(OR(CS$4="",$B25=""),0,SUMIF('DADOS BRUTOS'!$A$3:$A$500,$B25,'DADOS BRUTOS'!S$3:S$500)+IF($C25="",0,SUMIF('DADOS BRUTOS'!$A$3:$A$500,$C25,'DADOS BRUTOS'!S$3:S$500)))</f>
        <v/>
      </c>
      <c r="CT25" s="132">
        <f>IF(OR(CT$4="",$B25=""),0,SUMIF('DADOS BRUTOS'!$A$3:$A$500,$B25,'DADOS BRUTOS'!T$3:T$500)+IF($C25="",0,SUMIF('DADOS BRUTOS'!$A$3:$A$500,$C25,'DADOS BRUTOS'!T$3:T$500)))</f>
        <v/>
      </c>
      <c r="CU25" s="132">
        <f>IF(OR(CU$4="",$B25=""),0,SUMIF('DADOS BRUTOS'!$A$3:$A$500,$B25,'DADOS BRUTOS'!U$3:U$500)+IF($C25="",0,SUMIF('DADOS BRUTOS'!$A$3:$A$500,$C25,'DADOS BRUTOS'!U$3:U$500)))</f>
        <v/>
      </c>
      <c r="CV25" s="132">
        <f>IF(OR(CV$4="",$B25=""),0,SUMIF('DADOS BRUTOS'!$A$3:$A$500,$B25,'DADOS BRUTOS'!V$3:V$500)+IF($C25="",0,SUMIF('DADOS BRUTOS'!$A$3:$A$500,$C25,'DADOS BRUTOS'!V$3:V$500)))</f>
        <v/>
      </c>
      <c r="CW25" s="132">
        <f>IF(OR(CW$4="",$B25=""),0,SUMIF('DADOS BRUTOS'!$A$3:$A$500,$B25,'DADOS BRUTOS'!W$3:W$500)+IF($C25="",0,SUMIF('DADOS BRUTOS'!$A$3:$A$500,$C25,'DADOS BRUTOS'!W$3:W$500)))</f>
        <v/>
      </c>
      <c r="CX25" s="132">
        <f>IF(OR(CX$4="",$B25=""),0,SUMIF('DADOS BRUTOS'!$A$3:$A$500,$B25,'DADOS BRUTOS'!X$3:X$500)+IF($C25="",0,SUMIF('DADOS BRUTOS'!$A$3:$A$500,$C25,'DADOS BRUTOS'!X$3:X$500)))</f>
        <v/>
      </c>
      <c r="CY25" s="132">
        <f>IF(OR(CY$4="",$B25=""),0,SUMIF('DADOS BRUTOS'!$A$3:$A$500,$B25,'DADOS BRUTOS'!Y$3:Y$500)+IF($C25="",0,SUMIF('DADOS BRUTOS'!$A$3:$A$500,$C25,'DADOS BRUTOS'!Y$3:Y$500)))</f>
        <v/>
      </c>
      <c r="CZ25" s="132">
        <f>IF(OR(CZ$4="",$B25=""),0,SUMIF('DADOS BRUTOS'!$A$3:$A$500,$B25,'DADOS BRUTOS'!Z$3:Z$500)+IF($C25="",0,SUMIF('DADOS BRUTOS'!$A$3:$A$500,$C25,'DADOS BRUTOS'!Z$3:Z$500)))</f>
        <v/>
      </c>
      <c r="DA25" s="132">
        <f>IF(OR(DA$4="",$B25=""),0,SUMIF('DADOS BRUTOS'!$A$3:$A$500,$B25,'DADOS BRUTOS'!AA$3:AA$500)+IF($C25="",0,SUMIF('DADOS BRUTOS'!$A$3:$A$500,$C25,'DADOS BRUTOS'!AA$3:AA$500)))</f>
        <v/>
      </c>
      <c r="DB25" s="132">
        <f>IF(OR(DB$4="",$B25=""),0,SUMIF('DADOS BRUTOS'!$A$3:$A$500,$B25,'DADOS BRUTOS'!AB$3:AB$500)+IF($C25="",0,SUMIF('DADOS BRUTOS'!$A$3:$A$500,$C25,'DADOS BRUTOS'!AB$3:AB$500)))</f>
        <v/>
      </c>
      <c r="DC25" s="132">
        <f>IF(OR(DC$4="",$B25=""),0,SUMIF('DADOS BRUTOS'!$A$3:$A$500,$B25,'DADOS BRUTOS'!AC$3:AC$500)+IF($C25="",0,SUMIF('DADOS BRUTOS'!$A$3:$A$500,$C25,'DADOS BRUTOS'!AC$3:AC$500)))</f>
        <v/>
      </c>
      <c r="DD25" s="132">
        <f>IF(OR(DD$4="",$B25=""),0,SUMIF('DADOS BRUTOS'!$A$3:$A$500,$B25,'DADOS BRUTOS'!AD$3:AD$500)+IF($C25="",0,SUMIF('DADOS BRUTOS'!$A$3:$A$500,$C25,'DADOS BRUTOS'!AD$3:AD$500)))</f>
        <v/>
      </c>
      <c r="DE25" s="132">
        <f>IF(OR(DE$4="",$B25=""),0,SUMIF('DADOS BRUTOS'!$A$3:$A$500,$B25,'DADOS BRUTOS'!AE$3:AE$500)+IF($C25="",0,SUMIF('DADOS BRUTOS'!$A$3:$A$500,$C25,'DADOS BRUTOS'!AE$3:AE$500)))</f>
        <v/>
      </c>
      <c r="DF25" s="132">
        <f>IF(OR(DF$4="",$B25=""),0,SUMIF('DADOS BRUTOS'!$A$3:$A$500,$B25,'DADOS BRUTOS'!AF$3:AF$500)+IF($C25="",0,SUMIF('DADOS BRUTOS'!$A$3:$A$500,$C25,'DADOS BRUTOS'!AF$3:AF$500)))</f>
        <v/>
      </c>
      <c r="DG25" s="132">
        <f>IF(OR(DG$4="",$B25=""),0,SUMIF('DADOS BRUTOS'!$A$3:$A$500,$B25,'DADOS BRUTOS'!AG$3:AG$500)+IF($C25="",0,SUMIF('DADOS BRUTOS'!$A$3:$A$500,$C25,'DADOS BRUTOS'!AG$3:AG$500)))</f>
        <v/>
      </c>
      <c r="DH25" s="132">
        <f>IF(OR(DH$4="",$B25=""),0,SUMIF('DADOS BRUTOS'!$A$3:$A$500,$B25,'DADOS BRUTOS'!AH$3:AH$500)+IF($C25="",0,SUMIF('DADOS BRUTOS'!$A$3:$A$500,$C25,'DADOS BRUTOS'!AH$3:AH$500)))</f>
        <v/>
      </c>
      <c r="DI25" s="132">
        <f>IF(OR(DI$4="",$B25=""),0,SUMIF('DADOS BRUTOS'!$A$3:$A$500,$B25,'DADOS BRUTOS'!AI$3:AI$500)+IF($C25="",0,SUMIF('DADOS BRUTOS'!$A$3:$A$500,$C25,'DADOS BRUTOS'!AI$3:AI$500)))</f>
        <v/>
      </c>
      <c r="DJ25" s="132">
        <f>IF(OR(DJ$4="",$B25=""),0,SUMIF('DADOS BRUTOS'!$A$3:$A$500,$B25,'DADOS BRUTOS'!AJ$3:AJ$500)+IF($C25="",0,SUMIF('DADOS BRUTOS'!$A$3:$A$500,$C25,'DADOS BRUTOS'!AJ$3:AJ$500)))</f>
        <v/>
      </c>
      <c r="DK25" s="132">
        <f>IF(OR(DK$4="",$B25=""),0,SUMIF('DADOS BRUTOS'!$A$3:$A$500,$B25,'DADOS BRUTOS'!AK$3:AK$500)+IF($C25="",0,SUMIF('DADOS BRUTOS'!$A$3:$A$500,$C25,'DADOS BRUTOS'!AK$3:AK$500)))</f>
        <v/>
      </c>
      <c r="DL25" s="132">
        <f>IF(OR(DL$4="",$B25=""),0,SUMIF('DADOS BRUTOS'!$A$3:$A$500,$B25,'DADOS BRUTOS'!AL$3:AL$500)+IF($C25="",0,SUMIF('DADOS BRUTOS'!$A$3:$A$500,$C25,'DADOS BRUTOS'!AL$3:AL$500)))</f>
        <v/>
      </c>
      <c r="DM25" s="132">
        <f>IF(OR(DM$4="",$B25=""),0,SUMIF('DADOS BRUTOS'!$A$3:$A$500,$B25,'DADOS BRUTOS'!AM$3:AM$500)+IF($C25="",0,SUMIF('DADOS BRUTOS'!$A$3:$A$500,$C25,'DADOS BRUTOS'!AM$3:AM$500)))</f>
        <v/>
      </c>
      <c r="DN25" s="132">
        <f>IF(OR(DN$4="",$B25=""),0,SUMIF('DADOS BRUTOS'!$A$3:$A$500,$B25,'DADOS BRUTOS'!AN$3:AN$500)+IF($C25="",0,SUMIF('DADOS BRUTOS'!$A$3:$A$500,$C25,'DADOS BRUTOS'!AN$3:AN$500)))</f>
        <v/>
      </c>
      <c r="DO25" s="132">
        <f>IF(OR(DO$4="",$B25=""),0,SUMIF('DADOS BRUTOS'!$A$3:$A$500,$B25,'DADOS BRUTOS'!AO$3:AO$500)+IF($C25="",0,SUMIF('DADOS BRUTOS'!$A$3:$A$500,$C25,'DADOS BRUTOS'!AO$3:AO$500)))</f>
        <v/>
      </c>
      <c r="DP25" s="132">
        <f>IF(OR(DP$4="",$B25=""),0,SUMIF('DADOS BRUTOS'!$A$3:$A$500,$B25,'DADOS BRUTOS'!AP$3:AP$500)+IF($C25="",0,SUMIF('DADOS BRUTOS'!$A$3:$A$500,$C25,'DADOS BRUTOS'!AP$3:AP$500)))</f>
        <v/>
      </c>
      <c r="DQ25" s="132">
        <f>IF(OR(DQ$4="",$B25=""),0,SUMIF('DADOS BRUTOS'!$A$3:$A$500,$B25,'DADOS BRUTOS'!AQ$3:AQ$500)+IF($C25="",0,SUMIF('DADOS BRUTOS'!$A$3:$A$500,$C25,'DADOS BRUTOS'!AQ$3:AQ$500)))</f>
        <v/>
      </c>
      <c r="DR25" s="132">
        <f>IF(OR(DR$4="",$B25=""),0,SUMIF('DADOS BRUTOS'!$A$3:$A$500,$B25,'DADOS BRUTOS'!AR$3:AR$500)+IF($C25="",0,SUMIF('DADOS BRUTOS'!$A$3:$A$500,$C25,'DADOS BRUTOS'!AR$3:AR$500)))</f>
        <v/>
      </c>
      <c r="DS25" s="132">
        <f>IF(OR(DS$4="",$B25=""),0,SUMIF('DADOS BRUTOS'!$A$3:$A$500,$B25,'DADOS BRUTOS'!AS$3:AS$500)+IF($C25="",0,SUMIF('DADOS BRUTOS'!$A$3:$A$500,$C25,'DADOS BRUTOS'!AS$3:AS$500)))</f>
        <v/>
      </c>
      <c r="DT25" s="132">
        <f>IF(OR(DT$4="",$B25=""),0,SUMIF('DADOS BRUTOS'!$A$3:$A$500,$B25,'DADOS BRUTOS'!AT$3:AT$500)+IF($C25="",0,SUMIF('DADOS BRUTOS'!$A$3:$A$500,$C25,'DADOS BRUTOS'!AT$3:AT$500)))</f>
        <v/>
      </c>
      <c r="DU25" s="132">
        <f>IF(OR(DU$4="",$B25=""),0,SUMIF('DADOS BRUTOS'!$A$3:$A$500,$B25,'DADOS BRUTOS'!AU$3:AU$500)+IF($C25="",0,SUMIF('DADOS BRUTOS'!$A$3:$A$500,$C25,'DADOS BRUTOS'!AU$3:AU$500)))</f>
        <v/>
      </c>
      <c r="DV25" s="132">
        <f>IF(OR(DV$4="",$B25=""),0,SUMIF('DADOS BRUTOS'!$A$3:$A$500,$B25,'DADOS BRUTOS'!AV$3:AV$500)+IF($C25="",0,SUMIF('DADOS BRUTOS'!$A$3:$A$500,$C25,'DADOS BRUTOS'!AV$3:AV$500)))</f>
        <v/>
      </c>
      <c r="DW25" s="132">
        <f>IF(OR(DW$4="",$B25=""),0,SUMIF('DADOS BRUTOS'!$A$3:$A$500,$B25,'DADOS BRUTOS'!AW$3:AW$500)+IF($C25="",0,SUMIF('DADOS BRUTOS'!$A$3:$A$500,$C25,'DADOS BRUTOS'!AW$3:AW$500)))</f>
        <v/>
      </c>
      <c r="DX25" s="132">
        <f>IF(OR(DX$4="",$B25=""),0,SUMIF('DADOS BRUTOS'!$A$3:$A$500,$B25,'DADOS BRUTOS'!AX$3:AX$500)+IF($C25="",0,SUMIF('DADOS BRUTOS'!$A$3:$A$500,$C25,'DADOS BRUTOS'!AX$3:AX$500)))</f>
        <v/>
      </c>
      <c r="DY25" s="132">
        <f>IF(OR(DY$4="",$B25=""),0,SUMIF('DADOS BRUTOS'!$A$3:$A$500,$B25,'DADOS BRUTOS'!AY$3:AY$500)+IF($C25="",0,SUMIF('DADOS BRUTOS'!$A$3:$A$500,$C25,'DADOS BRUTOS'!AY$3:AY$500)))</f>
        <v/>
      </c>
      <c r="DZ25" s="132">
        <f>IF(OR(DZ$4="",$B25=""),0,SUMIF('DADOS BRUTOS'!$A$3:$A$500,$B25,'DADOS BRUTOS'!AZ$3:AZ$500)+IF($C25="",0,SUMIF('DADOS BRUTOS'!$A$3:$A$500,$C25,'DADOS BRUTOS'!AZ$3:AZ$500)))</f>
        <v/>
      </c>
      <c r="EA25" s="132">
        <f>IF(OR(EA$4="",$B25=""),0,SUMIF('DADOS BRUTOS'!$A$3:$A$500,$B25,'DADOS BRUTOS'!BA$3:BA$500)+IF($C25="",0,SUMIF('DADOS BRUTOS'!$A$3:$A$500,$C25,'DADOS BRUTOS'!BA$3:BA$500)))</f>
        <v/>
      </c>
      <c r="EB25" s="132">
        <f>IF(OR(EB$4="",$B25=""),0,SUMIF('DADOS BRUTOS'!$A$3:$A$500,$B25,'DADOS BRUTOS'!BB$3:BB$500)+IF($C25="",0,SUMIF('DADOS BRUTOS'!$A$3:$A$500,$C25,'DADOS BRUTOS'!BB$3:BB$500)))</f>
        <v/>
      </c>
      <c r="EC25" s="132">
        <f>IF(OR(EC$4="",$B25=""),0,SUMIF('DADOS BRUTOS'!$A$3:$A$500,$B25,'DADOS BRUTOS'!BC$3:BC$500)+IF($C25="",0,SUMIF('DADOS BRUTOS'!$A$3:$A$500,$C25,'DADOS BRUTOS'!BC$3:BC$500)))</f>
        <v/>
      </c>
      <c r="ED25" s="132">
        <f>IF(OR(ED$4="",$B25=""),0,SUMIF('DADOS BRUTOS'!$A$3:$A$500,$B25,'DADOS BRUTOS'!BD$3:BD$500)+IF($C25="",0,SUMIF('DADOS BRUTOS'!$A$3:$A$500,$C25,'DADOS BRUTOS'!BD$3:BD$500)))</f>
        <v/>
      </c>
      <c r="EE25" s="132">
        <f>IF(OR(EE$4="",$B25=""),0,SUMIF('DADOS BRUTOS'!$A$3:$A$500,$B25,'DADOS BRUTOS'!BE$3:BE$500)+IF($C25="",0,SUMIF('DADOS BRUTOS'!$A$3:$A$500,$C25,'DADOS BRUTOS'!BE$3:BE$500)))</f>
        <v/>
      </c>
      <c r="EF25" s="132">
        <f>IF(OR(EF$4="",$B25=""),0,SUMIF('DADOS BRUTOS'!$A$3:$A$500,$B25,'DADOS BRUTOS'!BF$3:BF$500)+IF($C25="",0,SUMIF('DADOS BRUTOS'!$A$3:$A$500,$C25,'DADOS BRUTOS'!BF$3:BF$500)))</f>
        <v/>
      </c>
      <c r="EG25" s="132">
        <f>IF(OR(EG$4="",$B25=""),0,SUMIF('DADOS BRUTOS'!$A$3:$A$500,$B25,'DADOS BRUTOS'!BG$3:BG$500)+IF($C25="",0,SUMIF('DADOS BRUTOS'!$A$3:$A$500,$C25,'DADOS BRUTOS'!BG$3:BG$500)))</f>
        <v/>
      </c>
      <c r="EH25" s="132">
        <f>IF(OR(EH$4="",$B25=""),0,SUMIF('DADOS BRUTOS'!$A$3:$A$500,$B25,'DADOS BRUTOS'!BH$3:BH$500)+IF($C25="",0,SUMIF('DADOS BRUTOS'!$A$3:$A$500,$C25,'DADOS BRUTOS'!BH$3:BH$500)))</f>
        <v/>
      </c>
      <c r="EI25" s="132">
        <f>IF(OR(EI$4="",$B25=""),0,SUMIF('DADOS BRUTOS'!$A$3:$A$500,$B25,'DADOS BRUTOS'!BI$3:BI$500)+IF($C25="",0,SUMIF('DADOS BRUTOS'!$A$3:$A$500,$C25,'DADOS BRUTOS'!BI$3:BI$500)))</f>
        <v/>
      </c>
      <c r="EJ25" s="132">
        <f>IF(OR(EJ$4="",$B25=""),0,SUMIF('DADOS BRUTOS'!$A$3:$A$500,$B25,'DADOS BRUTOS'!BJ$3:BJ$500)+IF($C25="",0,SUMIF('DADOS BRUTOS'!$A$3:$A$500,$C25,'DADOS BRUTOS'!BJ$3:BJ$500)))</f>
        <v/>
      </c>
      <c r="EK25" s="132">
        <f>IF(OR(EK$4="",$B25=""),0,SUMIF('DADOS BRUTOS'!$A$3:$A$500,$B25,'DADOS BRUTOS'!BK$3:BK$500)+IF($C25="",0,SUMIF('DADOS BRUTOS'!$A$3:$A$500,$C25,'DADOS BRUTOS'!BK$3:BK$500)))</f>
        <v/>
      </c>
      <c r="EL25" s="132">
        <f>IF(OR(EL$4="",$B25=""),0,SUMIF('DADOS BRUTOS'!$A$3:$A$500,$B25,'DADOS BRUTOS'!BL$3:BL$500)+IF($C25="",0,SUMIF('DADOS BRUTOS'!$A$3:$A$500,$C25,'DADOS BRUTOS'!BL$3:BL$500)))</f>
        <v/>
      </c>
      <c r="EM25" s="132">
        <f>IF(OR(EM$4="",$B25=""),0,SUMIF('DADOS BRUTOS'!$A$3:$A$500,$B25,'DADOS BRUTOS'!BM$3:BM$500)+IF($C25="",0,SUMIF('DADOS BRUTOS'!$A$3:$A$500,$C25,'DADOS BRUTOS'!BM$3:BM$500)))</f>
        <v/>
      </c>
      <c r="EN25" s="132">
        <f>IF(OR(EN$4="",$B25=""),0,SUMIF('DADOS BRUTOS'!$A$3:$A$500,$B25,'DADOS BRUTOS'!BN$3:BN$500)+IF($C25="",0,SUMIF('DADOS BRUTOS'!$A$3:$A$500,$C25,'DADOS BRUTOS'!BN$3:BN$500)))</f>
        <v/>
      </c>
      <c r="EO25" s="132">
        <f>IF(OR(EO$4="",$B25=""),0,SUMIF('DADOS BRUTOS'!$A$3:$A$500,$B25,'DADOS BRUTOS'!BO$3:BO$500)+IF($C25="",0,SUMIF('DADOS BRUTOS'!$A$3:$A$500,$C25,'DADOS BRUTOS'!BO$3:BO$500)))</f>
        <v/>
      </c>
      <c r="EP25" s="132">
        <f>IF(OR(EP$4="",$B25=""),0,SUMIF('DADOS BRUTOS'!$A$3:$A$500,$B25,'DADOS BRUTOS'!BP$3:BP$500)+IF($C25="",0,SUMIF('DADOS BRUTOS'!$A$3:$A$500,$C25,'DADOS BRUTOS'!BP$3:BP$500)))</f>
        <v/>
      </c>
      <c r="EQ25" s="132">
        <f>IF(OR(EQ$4="",$B25=""),0,SUMIF('DADOS BRUTOS'!$A$3:$A$500,$B25,'DADOS BRUTOS'!BQ$3:BQ$500)+IF($C25="",0,SUMIF('DADOS BRUTOS'!$A$3:$A$500,$C25,'DADOS BRUTOS'!BQ$3:BQ$500)))</f>
        <v/>
      </c>
      <c r="ER25" s="132">
        <f>IF(OR(ER$4="",$B25=""),0,SUMIF('DADOS BRUTOS'!$A$3:$A$500,$B25,'DADOS BRUTOS'!BR$3:BR$500)+IF($C25="",0,SUMIF('DADOS BRUTOS'!$A$3:$A$500,$C25,'DADOS BRUTOS'!BR$3:BR$500)))</f>
        <v/>
      </c>
      <c r="ES25" s="132">
        <f>IF(OR(ES$4="",$B25=""),0,SUMIF('DADOS BRUTOS'!$A$3:$A$500,$B25,'DADOS BRUTOS'!BS$3:BS$500)+IF($C25="",0,SUMIF('DADOS BRUTOS'!$A$3:$A$500,$C25,'DADOS BRUTOS'!BS$3:BS$500)))</f>
        <v/>
      </c>
      <c r="ET25" s="132">
        <f>IF(OR(ET$4="",$B25=""),0,SUMIF('DADOS BRUTOS'!$A$3:$A$500,$B25,'DADOS BRUTOS'!BT$3:BT$500)+IF($C25="",0,SUMIF('DADOS BRUTOS'!$A$3:$A$500,$C25,'DADOS BRUTOS'!BT$3:BT$500)))</f>
        <v/>
      </c>
      <c r="EU25" s="132">
        <f>IF(OR(EU$4="",$B25=""),0,SUMIF('DADOS BRUTOS'!$A$3:$A$500,$B25,'DADOS BRUTOS'!BU$3:BU$500)+IF($C25="",0,SUMIF('DADOS BRUTOS'!$A$3:$A$500,$C25,'DADOS BRUTOS'!BU$3:BU$500)))</f>
        <v/>
      </c>
      <c r="EV25" s="132">
        <f>IF(OR(EV$4="",$B25=""),0,SUMIF('DADOS BRUTOS'!$A$3:$A$500,$B25,'DADOS BRUTOS'!BV$3:BV$500)+IF($C25="",0,SUMIF('DADOS BRUTOS'!$A$3:$A$500,$C25,'DADOS BRUTOS'!BV$3:BV$500)))</f>
        <v/>
      </c>
      <c r="EW25" s="132">
        <f>IF(OR(EW$4="",$B25=""),0,SUMIF('DADOS BRUTOS'!$A$3:$A$500,$B25,'DADOS BRUTOS'!BW$3:BW$500)+IF($C25="",0,SUMIF('DADOS BRUTOS'!$A$3:$A$500,$C25,'DADOS BRUTOS'!BW$3:BW$500)))</f>
        <v/>
      </c>
      <c r="EX25" s="132">
        <f>IF(OR(EX$4="",$B25=""),0,SUMIF('DADOS BRUTOS'!$A$3:$A$500,$B25,'DADOS BRUTOS'!BX$3:BX$500)+IF($C25="",0,SUMIF('DADOS BRUTOS'!$A$3:$A$500,$C25,'DADOS BRUTOS'!BX$3:BX$500)))</f>
        <v/>
      </c>
      <c r="EY25" s="132">
        <f>IF(OR(EY$4="",$B25=""),0,SUMIF('DADOS BRUTOS'!$A$3:$A$500,$B25,'DADOS BRUTOS'!BY$3:BY$500)+IF($C25="",0,SUMIF('DADOS BRUTOS'!$A$3:$A$500,$C25,'DADOS BRUTOS'!BY$3:BY$500)))</f>
        <v/>
      </c>
      <c r="EZ25" s="132">
        <f>IF(OR(EZ$4="",$B25=""),0,SUMIF('DADOS BRUTOS'!$A$3:$A$500,$B25,'DADOS BRUTOS'!BZ$3:BZ$500)+IF($C25="",0,SUMIF('DADOS BRUTOS'!$A$3:$A$500,$C25,'DADOS BRUTOS'!BZ$3:BZ$500)))</f>
        <v/>
      </c>
      <c r="FA25" s="132">
        <f>IF(OR(FA$4="",$B25=""),0,SUMIF('DADOS BRUTOS'!$A$3:$A$500,$B25,'DADOS BRUTOS'!CA$3:CA$500)+IF($C25="",0,SUMIF('DADOS BRUTOS'!$A$3:$A$500,$C25,'DADOS BRUTOS'!CA$3:CA$500)))</f>
        <v/>
      </c>
      <c r="FB25" s="132">
        <f>IF(OR(FB$4="",$B25=""),0,SUMIF('DADOS BRUTOS'!$A$3:$A$500,$B25,'DADOS BRUTOS'!CB$3:CB$500)+IF($C25="",0,SUMIF('DADOS BRUTOS'!$A$3:$A$500,$C25,'DADOS BRUTOS'!CB$3:CB$500)))</f>
        <v/>
      </c>
      <c r="FC25" s="132">
        <f>IF(OR(FC$4="",$B25=""),0,SUMIF('DADOS BRUTOS'!$A$3:$A$500,$B25,'DADOS BRUTOS'!CC$3:CC$500)+IF($C25="",0,SUMIF('DADOS BRUTOS'!$A$3:$A$500,$C25,'DADOS BRUTOS'!CC$3:CC$500)))</f>
        <v/>
      </c>
      <c r="FD25" s="132">
        <f>IF(OR(FD$4="",$B25=""),0,SUMIF('DADOS BRUTOS'!$A$3:$A$500,$B25,'DADOS BRUTOS'!CD$3:CD$500)+IF($C25="",0,SUMIF('DADOS BRUTOS'!$A$3:$A$500,$C25,'DADOS BRUTOS'!CD$3:CD$500)))</f>
        <v/>
      </c>
      <c r="FE25" s="132">
        <f>IF(OR(FE$4="",$B25=""),0,SUMIF('DADOS BRUTOS'!$A$3:$A$500,$B25,'DADOS BRUTOS'!CE$3:CE$500)+IF($C25="",0,SUMIF('DADOS BRUTOS'!$A$3:$A$500,$C25,'DADOS BRUTOS'!CE$3:CE$500)))</f>
        <v/>
      </c>
      <c r="FF25" s="132">
        <f>IF(OR(FF$4="",$B25=""),0,SUMIF('DADOS BRUTOS'!$A$3:$A$500,$B25,'DADOS BRUTOS'!CF$3:CF$500)+IF($C25="",0,SUMIF('DADOS BRUTOS'!$A$3:$A$500,$C25,'DADOS BRUTOS'!CF$3:CF$500)))</f>
        <v/>
      </c>
      <c r="FG25" s="132">
        <f>IF(OR(FG$4="",$B25=""),0,SUMIF('DADOS BRUTOS'!$A$3:$A$500,$B25,'DADOS BRUTOS'!CG$3:CG$500)+IF($C25="",0,SUMIF('DADOS BRUTOS'!$A$3:$A$500,$C25,'DADOS BRUTOS'!CG$3:CG$500)))</f>
        <v/>
      </c>
      <c r="FH25" s="132">
        <f>IF(OR(FH$4="",$B25=""),0,SUMIF('DADOS BRUTOS'!$A$3:$A$500,$B25,'DADOS BRUTOS'!CH$3:CH$500)+IF($C25="",0,SUMIF('DADOS BRUTOS'!$A$3:$A$500,$C25,'DADOS BRUTOS'!CH$3:CH$500)))</f>
        <v/>
      </c>
      <c r="FI25" s="132">
        <f>IF(OR(FI$4="",$B25=""),0,SUMIF('DADOS BRUTOS'!$A$3:$A$500,$B25,'DADOS BRUTOS'!CI$3:CI$500)+IF($C25="",0,SUMIF('DADOS BRUTOS'!$A$3:$A$500,$C25,'DADOS BRUTOS'!CI$3:CI$500)))</f>
        <v/>
      </c>
      <c r="FJ25" s="132">
        <f>IF(OR(FJ$4="",$B25=""),0,SUMIF('DADOS BRUTOS'!$A$3:$A$500,$B25,'DADOS BRUTOS'!CJ$3:CJ$500)+IF($C25="",0,SUMIF('DADOS BRUTOS'!$A$3:$A$500,$C25,'DADOS BRUTOS'!CJ$3:CJ$500)))</f>
        <v/>
      </c>
      <c r="FK25" s="132">
        <f>IF(OR(FK$4="",$B25=""),0,SUMIF('DADOS BRUTOS'!$A$3:$A$500,$B25,'DADOS BRUTOS'!CK$3:CK$500)+IF($C25="",0,SUMIF('DADOS BRUTOS'!$A$3:$A$500,$C25,'DADOS BRUTOS'!CK$3:CK$500)))</f>
        <v/>
      </c>
      <c r="FL25" s="132">
        <f>IF(OR(FL$4="",$B25=""),0,SUMIF('DADOS BRUTOS'!$A$3:$A$500,$B25,'DADOS BRUTOS'!CL$3:CL$500)+IF($C25="",0,SUMIF('DADOS BRUTOS'!$A$3:$A$500,$C25,'DADOS BRUTOS'!CL$3:CL$500)))</f>
        <v/>
      </c>
      <c r="FM25" s="132">
        <f>IF(OR(FM$4="",$B25=""),0,SUMIF('DADOS BRUTOS'!$A$3:$A$500,$B25,'DADOS BRUTOS'!CM$3:CM$500)+IF($C25="",0,SUMIF('DADOS BRUTOS'!$A$3:$A$500,$C25,'DADOS BRUTOS'!CM$3:CM$500)))</f>
        <v/>
      </c>
      <c r="FN25" s="132">
        <f>IF(OR(FN$4="",$B25=""),0,SUMIF('DADOS BRUTOS'!$A$3:$A$500,$B25,'DADOS BRUTOS'!CN$3:CN$500)+IF($C25="",0,SUMIF('DADOS BRUTOS'!$A$3:$A$500,$C25,'DADOS BRUTOS'!CN$3:CN$500)))</f>
        <v/>
      </c>
      <c r="FO25" s="132">
        <f>IF(OR(FO$4="",$B25=""),0,SUMIF('DADOS BRUTOS'!$A$3:$A$500,$B25,'DADOS BRUTOS'!CO$3:CO$500)+IF($C25="",0,SUMIF('DADOS BRUTOS'!$A$3:$A$500,$C25,'DADOS BRUTOS'!CO$3:CO$500)))</f>
        <v/>
      </c>
      <c r="FP25" s="132">
        <f>IF(OR(FP$4="",$B25=""),0,SUMIF('DADOS BRUTOS'!$A$3:$A$500,$B25,'DADOS BRUTOS'!CP$3:CP$500)+IF($C25="",0,SUMIF('DADOS BRUTOS'!$A$3:$A$500,$C25,'DADOS BRUTOS'!CP$3:CP$500)))</f>
        <v/>
      </c>
      <c r="FQ25" s="132">
        <f>IF(OR(FQ$4="",$B25=""),0,SUMIF('DADOS BRUTOS'!$A$3:$A$500,$B25,'DADOS BRUTOS'!CQ$3:CQ$500)+IF($C25="",0,SUMIF('DADOS BRUTOS'!$A$3:$A$500,$C25,'DADOS BRUTOS'!CQ$3:CQ$500)))</f>
        <v/>
      </c>
      <c r="FR25" s="132">
        <f>IF(OR(FR$4="",$B25=""),0,SUMIF('DADOS BRUTOS'!$A$3:$A$500,$B25,'DADOS BRUTOS'!CR$3:CR$500)+IF($C25="",0,SUMIF('DADOS BRUTOS'!$A$3:$A$500,$C25,'DADOS BRUTOS'!CR$3:CR$500)))</f>
        <v/>
      </c>
      <c r="FS25" s="132">
        <f>IF(OR(FS$4="",$B25=""),0,SUMIF('DADOS BRUTOS'!$A$3:$A$500,$B25,'DADOS BRUTOS'!CS$3:CS$500)+IF($C25="",0,SUMIF('DADOS BRUTOS'!$A$3:$A$500,$C25,'DADOS BRUTOS'!CS$3:CS$500)))</f>
        <v/>
      </c>
      <c r="FT25" s="132">
        <f>IF(OR(FT$4="",$B25=""),0,SUMIF('DADOS BRUTOS'!$A$3:$A$500,$B25,'DADOS BRUTOS'!CT$3:CT$500)+IF($C25="",0,SUMIF('DADOS BRUTOS'!$A$3:$A$500,$C25,'DADOS BRUTOS'!CT$3:CT$500)))</f>
        <v/>
      </c>
      <c r="FU25" s="132">
        <f>IF(OR(FU$4="",$B25=""),0,SUMIF('DADOS BRUTOS'!$A$3:$A$500,$B25,'DADOS BRUTOS'!CU$3:CU$500)+IF($C25="",0,SUMIF('DADOS BRUTOS'!$A$3:$A$500,$C25,'DADOS BRUTOS'!CU$3:CU$500)))</f>
        <v/>
      </c>
      <c r="FV25" s="132">
        <f>IF(OR(FV$4="",$B25=""),0,SUMIF('DADOS BRUTOS'!$A$3:$A$500,$B25,'DADOS BRUTOS'!CV$3:CV$500)+IF($C25="",0,SUMIF('DADOS BRUTOS'!$A$3:$A$500,$C25,'DADOS BRUTOS'!CV$3:CV$500)))</f>
        <v/>
      </c>
      <c r="FW25" s="132">
        <f>IF(OR(FW$4="",$B25=""),0,SUMIF('DADOS BRUTOS'!$A$3:$A$500,$B25,'DADOS BRUTOS'!CW$3:CW$500)+IF($C25="",0,SUMIF('DADOS BRUTOS'!$A$3:$A$500,$C25,'DADOS BRUTOS'!CW$3:CW$500)))</f>
        <v/>
      </c>
      <c r="FX25" s="132">
        <f>IF(OR(FX$4="",$B25=""),0,SUMIF('DADOS BRUTOS'!$A$3:$A$500,$B25,'DADOS BRUTOS'!CX$3:CX$500)+IF($C25="",0,SUMIF('DADOS BRUTOS'!$A$3:$A$500,$C25,'DADOS BRUTOS'!CX$3:CX$500)))</f>
        <v/>
      </c>
      <c r="FY25" s="132">
        <f>IF(OR(FY$4="",$B25=""),0,SUMIF('DADOS BRUTOS'!$A$3:$A$500,$B25,'DADOS BRUTOS'!CY$3:CY$500)+IF($C25="",0,SUMIF('DADOS BRUTOS'!$A$3:$A$500,$C25,'DADOS BRUTOS'!CY$3:CY$500)))</f>
        <v/>
      </c>
      <c r="FZ25" s="132">
        <f>IF(OR(FZ$4="",$B25=""),0,SUMIF('DADOS BRUTOS'!$A$3:$A$500,$B25,'DADOS BRUTOS'!CZ$3:CZ$500)+IF($C25="",0,SUMIF('DADOS BRUTOS'!$A$3:$A$500,$C25,'DADOS BRUTOS'!CZ$3:CZ$500)))</f>
        <v/>
      </c>
      <c r="GA25" s="132">
        <f>IF(OR(GA$4="",$B25=""),0,SUMIF('DADOS BRUTOS'!$A$3:$A$500,$B25,'DADOS BRUTOS'!DA$3:DA$500)+IF($C25="",0,SUMIF('DADOS BRUTOS'!$A$3:$A$500,$C25,'DADOS BRUTOS'!DA$3:DA$500)))</f>
        <v/>
      </c>
      <c r="GB25" s="132">
        <f>IF(OR(GB$4="",$B25=""),0,SUMIF('DADOS BRUTOS'!$A$3:$A$500,$B25,'DADOS BRUTOS'!DB$3:DB$500)+IF($C25="",0,SUMIF('DADOS BRUTOS'!$A$3:$A$500,$C25,'DADOS BRUTOS'!DB$3:DB$500)))</f>
        <v/>
      </c>
      <c r="GC25" s="132">
        <f>IF(OR(GC$4="",$B25=""),0,SUMIF('DADOS BRUTOS'!$A$3:$A$500,$B25,'DADOS BRUTOS'!DC$3:DC$500)+IF($C25="",0,SUMIF('DADOS BRUTOS'!$A$3:$A$500,$C25,'DADOS BRUTOS'!DC$3:DC$500)))</f>
        <v/>
      </c>
      <c r="GD25" s="132">
        <f>IF(OR(GD$4="",$B25=""),0,SUMIF('DADOS BRUTOS'!$A$3:$A$500,$B25,'DADOS BRUTOS'!DD$3:DD$500)+IF($C25="",0,SUMIF('DADOS BRUTOS'!$A$3:$A$500,$C25,'DADOS BRUTOS'!DD$3:DD$500)))</f>
        <v/>
      </c>
      <c r="GE25" s="132">
        <f>IF(OR(GE$4="",$B25=""),0,SUMIF('DADOS BRUTOS'!$A$3:$A$500,$B25,'DADOS BRUTOS'!DE$3:DE$500)+IF($C25="",0,SUMIF('DADOS BRUTOS'!$A$3:$A$500,$C25,'DADOS BRUTOS'!DE$3:DE$500)))</f>
        <v/>
      </c>
      <c r="GF25" s="132">
        <f>IF(OR(GF$4="",$B25=""),0,SUMIF('DADOS BRUTOS'!$A$3:$A$500,$B25,'DADOS BRUTOS'!DF$3:DF$500)+IF($C25="",0,SUMIF('DADOS BRUTOS'!$A$3:$A$500,$C25,'DADOS BRUTOS'!DF$3:DF$500)))</f>
        <v/>
      </c>
      <c r="GG25" s="132">
        <f>IF(OR(GG$4="",$B25=""),0,SUMIF('DADOS BRUTOS'!$A$3:$A$500,$B25,'DADOS BRUTOS'!DG$3:DG$500)+IF($C25="",0,SUMIF('DADOS BRUTOS'!$A$3:$A$500,$C25,'DADOS BRUTOS'!DG$3:DG$500)))</f>
        <v/>
      </c>
      <c r="GH25" s="132">
        <f>IF(OR(GH$4="",$B25=""),0,SUMIF('DADOS BRUTOS'!$A$3:$A$500,$B25,'DADOS BRUTOS'!DH$3:DH$500)+IF($C25="",0,SUMIF('DADOS BRUTOS'!$A$3:$A$500,$C25,'DADOS BRUTOS'!DH$3:DH$500)))</f>
        <v/>
      </c>
      <c r="GI25" s="132">
        <f>IF(OR(GI$4="",$B25=""),0,SUMIF('DADOS BRUTOS'!$A$3:$A$500,$B25,'DADOS BRUTOS'!DI$3:DI$500)+IF($C25="",0,SUMIF('DADOS BRUTOS'!$A$3:$A$500,$C25,'DADOS BRUTOS'!DI$3:DI$500)))</f>
        <v/>
      </c>
      <c r="GJ25" s="132">
        <f>IF(OR(GJ$4="",$B25=""),0,SUMIF('DADOS BRUTOS'!$A$3:$A$500,$B25,'DADOS BRUTOS'!DJ$3:DJ$500)+IF($C25="",0,SUMIF('DADOS BRUTOS'!$A$3:$A$500,$C25,'DADOS BRUTOS'!DJ$3:DJ$500)))</f>
        <v/>
      </c>
      <c r="GK25" s="132">
        <f>IF(OR(GK$4="",$B25=""),0,SUMIF('DADOS BRUTOS'!$A$3:$A$500,$B25,'DADOS BRUTOS'!DK$3:DK$500)+IF($C25="",0,SUMIF('DADOS BRUTOS'!$A$3:$A$500,$C25,'DADOS BRUTOS'!DK$3:DK$500)))</f>
        <v/>
      </c>
      <c r="GL25" s="132">
        <f>IF(OR(GL$4="",$B25=""),0,SUMIF('DADOS BRUTOS'!$A$3:$A$500,$B25,'DADOS BRUTOS'!DL$3:DL$500)+IF($C25="",0,SUMIF('DADOS BRUTOS'!$A$3:$A$500,$C25,'DADOS BRUTOS'!DL$3:DL$500)))</f>
        <v/>
      </c>
      <c r="GM25" s="132">
        <f>IF(OR(GM$4="",$B25=""),0,SUMIF('DADOS BRUTOS'!$A$3:$A$500,$B25,'DADOS BRUTOS'!DM$3:DM$500)+IF($C25="",0,SUMIF('DADOS BRUTOS'!$A$3:$A$500,$C25,'DADOS BRUTOS'!DM$3:DM$500)))</f>
        <v/>
      </c>
      <c r="GN25" s="132">
        <f>IF(OR(GN$4="",$B25=""),0,SUMIF('DADOS BRUTOS'!$A$3:$A$500,$B25,'DADOS BRUTOS'!DN$3:DN$500)+IF($C25="",0,SUMIF('DADOS BRUTOS'!$A$3:$A$500,$C25,'DADOS BRUTOS'!DN$3:DN$500)))</f>
        <v/>
      </c>
      <c r="GO25" s="132">
        <f>IF(OR(GO$4="",$B25=""),0,SUMIF('DADOS BRUTOS'!$A$3:$A$500,$B25,'DADOS BRUTOS'!DO$3:DO$500)+IF($C25="",0,SUMIF('DADOS BRUTOS'!$A$3:$A$500,$C25,'DADOS BRUTOS'!DO$3:DO$500)))</f>
        <v/>
      </c>
      <c r="GP25" s="132">
        <f>IF(OR(GP$4="",$B25=""),0,SUMIF('DADOS BRUTOS'!$A$3:$A$500,$B25,'DADOS BRUTOS'!DP$3:DP$500)+IF($C25="",0,SUMIF('DADOS BRUTOS'!$A$3:$A$500,$C25,'DADOS BRUTOS'!DP$3:DP$500)))</f>
        <v/>
      </c>
      <c r="GQ25" s="132">
        <f>IF(OR(GQ$4="",$B25=""),0,SUMIF('DADOS BRUTOS'!$A$3:$A$500,$B25,'DADOS BRUTOS'!DQ$3:DQ$500)+IF($C25="",0,SUMIF('DADOS BRUTOS'!$A$3:$A$500,$C25,'DADOS BRUTOS'!DQ$3:DQ$500)))</f>
        <v/>
      </c>
      <c r="GR25" s="132">
        <f>IF(OR(GR$4="",$B25=""),0,SUMIF('DADOS BRUTOS'!$A$3:$A$500,$B25,'DADOS BRUTOS'!DR$3:DR$500)+IF($C25="",0,SUMIF('DADOS BRUTOS'!$A$3:$A$500,$C25,'DADOS BRUTOS'!DR$3:DR$500)))</f>
        <v/>
      </c>
      <c r="GS25" s="132">
        <f>IF(OR(GS$4="",$B25=""),0,SUMIF('DADOS BRUTOS'!$A$3:$A$500,$B25,'DADOS BRUTOS'!DS$3:DS$500)+IF($C25="",0,SUMIF('DADOS BRUTOS'!$A$3:$A$500,$C25,'DADOS BRUTOS'!DS$3:DS$500)))</f>
        <v/>
      </c>
      <c r="GT25" s="132">
        <f>IF(OR(GT$4="",$B25=""),0,SUMIF('DADOS BRUTOS'!$A$3:$A$500,$B25,'DADOS BRUTOS'!DT$3:DT$500)+IF($C25="",0,SUMIF('DADOS BRUTOS'!$A$3:$A$500,$C25,'DADOS BRUTOS'!DT$3:DT$500)))</f>
        <v/>
      </c>
      <c r="GU25" s="132">
        <f>IF(OR(GU$4="",$B25=""),0,SUMIF('DADOS BRUTOS'!$A$3:$A$500,$B25,'DADOS BRUTOS'!DU$3:DU$500)+IF($C25="",0,SUMIF('DADOS BRUTOS'!$A$3:$A$500,$C25,'DADOS BRUTOS'!DU$3:DU$500)))</f>
        <v/>
      </c>
      <c r="GV25" s="132">
        <f>IF(OR(GV$4="",$B25=""),0,SUMIF('DADOS BRUTOS'!$A$3:$A$500,$B25,'DADOS BRUTOS'!DV$3:DV$500)+IF($C25="",0,SUMIF('DADOS BRUTOS'!$A$3:$A$500,$C25,'DADOS BRUTOS'!DV$3:DV$500)))</f>
        <v/>
      </c>
      <c r="GW25" s="132">
        <f>IF(OR(GW$4="",$B25=""),0,SUMIF('DADOS BRUTOS'!$A$3:$A$500,$B25,'DADOS BRUTOS'!DW$3:DW$500)+IF($C25="",0,SUMIF('DADOS BRUTOS'!$A$3:$A$500,$C25,'DADOS BRUTOS'!DW$3:DW$500)))</f>
        <v/>
      </c>
      <c r="GX25" s="132">
        <f>IF(OR(GX$4="",$B25=""),0,SUMIF('DADOS BRUTOS'!$A$3:$A$500,$B25,'DADOS BRUTOS'!DX$3:DX$500)+IF($C25="",0,SUMIF('DADOS BRUTOS'!$A$3:$A$500,$C25,'DADOS BRUTOS'!DX$3:DX$500)))</f>
        <v/>
      </c>
      <c r="GY25" s="132">
        <f>IF(OR(GY$4="",$B25=""),0,SUMIF('DADOS BRUTOS'!$A$3:$A$500,$B25,'DADOS BRUTOS'!DY$3:DY$500)+IF($C25="",0,SUMIF('DADOS BRUTOS'!$A$3:$A$500,$C25,'DADOS BRUTOS'!DY$3:DY$500)))</f>
        <v/>
      </c>
      <c r="GZ25" s="132">
        <f>IF(OR(GZ$4="",$B25=""),0,SUMIF('DADOS BRUTOS'!$A$3:$A$500,$B25,'DADOS BRUTOS'!DZ$3:DZ$500)+IF($C25="",0,SUMIF('DADOS BRUTOS'!$A$3:$A$500,$C25,'DADOS BRUTOS'!DZ$3:DZ$500)))</f>
        <v/>
      </c>
      <c r="HA25" s="132">
        <f>IF(OR(HA$4="",$B25=""),0,SUMIF('DADOS BRUTOS'!$A$3:$A$500,$B25,'DADOS BRUTOS'!EA$3:EA$500)+IF($C25="",0,SUMIF('DADOS BRUTOS'!$A$3:$A$500,$C25,'DADOS BRUTOS'!EA$3:EA$500)))</f>
        <v/>
      </c>
      <c r="HB25" s="132">
        <f>IF(OR(HB$4="",$B25=""),0,SUMIF('DADOS BRUTOS'!$A$3:$A$500,$B25,'DADOS BRUTOS'!EB$3:EB$500)+IF($C25="",0,SUMIF('DADOS BRUTOS'!$A$3:$A$500,$C25,'DADOS BRUTOS'!EB$3:EB$500)))</f>
        <v/>
      </c>
      <c r="HC25" s="132">
        <f>IF(OR(HC$4="",$B25=""),0,SUMIF('DADOS BRUTOS'!$A$3:$A$500,$B25,'DADOS BRUTOS'!EC$3:EC$500)+IF($C25="",0,SUMIF('DADOS BRUTOS'!$A$3:$A$500,$C25,'DADOS BRUTOS'!EC$3:EC$500)))</f>
        <v/>
      </c>
      <c r="HD25" s="132">
        <f>IF(OR(HD$4="",$B25=""),0,SUMIF('DADOS BRUTOS'!$A$3:$A$500,$B25,'DADOS BRUTOS'!ED$3:ED$500)+IF($C25="",0,SUMIF('DADOS BRUTOS'!$A$3:$A$500,$C25,'DADOS BRUTOS'!ED$3:ED$500)))</f>
        <v/>
      </c>
      <c r="HE25" s="132">
        <f>IF(OR(HE$4="",$B25=""),0,SUMIF('DADOS BRUTOS'!$A$3:$A$500,$B25,'DADOS BRUTOS'!EE$3:EE$500)+IF($C25="",0,SUMIF('DADOS BRUTOS'!$A$3:$A$500,$C25,'DADOS BRUTOS'!EE$3:EE$500)))</f>
        <v/>
      </c>
      <c r="HF25" s="132">
        <f>IF(OR(HF$4="",$B25=""),0,SUMIF('DADOS BRUTOS'!$A$3:$A$500,$B25,'DADOS BRUTOS'!EF$3:EF$500)+IF($C25="",0,SUMIF('DADOS BRUTOS'!$A$3:$A$500,$C25,'DADOS BRUTOS'!EF$3:EF$500)))</f>
        <v/>
      </c>
      <c r="HG25" s="132">
        <f>IF(OR(HG$4="",$B25=""),0,SUMIF('DADOS BRUTOS'!$A$3:$A$500,$B25,'DADOS BRUTOS'!EG$3:EG$500)+IF($C25="",0,SUMIF('DADOS BRUTOS'!$A$3:$A$500,$C25,'DADOS BRUTOS'!EG$3:EG$500)))</f>
        <v/>
      </c>
      <c r="HH25" s="132">
        <f>IF(OR(HH$4="",$B25=""),0,SUMIF('DADOS BRUTOS'!$A$3:$A$500,$B25,'DADOS BRUTOS'!EH$3:EH$500)+IF($C25="",0,SUMIF('DADOS BRUTOS'!$A$3:$A$500,$C25,'DADOS BRUTOS'!EH$3:EH$500)))</f>
        <v/>
      </c>
      <c r="HI25" s="132">
        <f>IF(OR(HI$4="",$B25=""),0,SUMIF('DADOS BRUTOS'!$A$3:$A$500,$B25,'DADOS BRUTOS'!EI$3:EI$500)+IF($C25="",0,SUMIF('DADOS BRUTOS'!$A$3:$A$500,$C25,'DADOS BRUTOS'!EI$3:EI$500)))</f>
        <v/>
      </c>
      <c r="HJ25" s="132">
        <f>IF(OR(HJ$4="",$B25=""),0,SUMIF('DADOS BRUTOS'!$A$3:$A$500,$B25,'DADOS BRUTOS'!EJ$3:EJ$500)+IF($C25="",0,SUMIF('DADOS BRUTOS'!$A$3:$A$500,$C25,'DADOS BRUTOS'!EJ$3:EJ$500)))</f>
        <v/>
      </c>
      <c r="HK25" s="132">
        <f>IF(OR(HK$4="",$B25=""),0,SUMIF('DADOS BRUTOS'!$A$3:$A$500,$B25,'DADOS BRUTOS'!EK$3:EK$500)+IF($C25="",0,SUMIF('DADOS BRUTOS'!$A$3:$A$500,$C25,'DADOS BRUTOS'!EK$3:EK$500)))</f>
        <v/>
      </c>
      <c r="HL25" s="132">
        <f>IF(OR(HL$4="",$B25=""),0,SUMIF('DADOS BRUTOS'!$A$3:$A$500,$B25,'DADOS BRUTOS'!EL$3:EL$500)+IF($C25="",0,SUMIF('DADOS BRUTOS'!$A$3:$A$500,$C25,'DADOS BRUTOS'!EL$3:EL$500)))</f>
        <v/>
      </c>
      <c r="HM25" s="132">
        <f>IF(OR(HM$4="",$B25=""),0,SUMIF('DADOS BRUTOS'!$A$3:$A$500,$B25,'DADOS BRUTOS'!EM$3:EM$500)+IF($C25="",0,SUMIF('DADOS BRUTOS'!$A$3:$A$500,$C25,'DADOS BRUTOS'!EM$3:EM$500)))</f>
        <v/>
      </c>
      <c r="HN25" s="132">
        <f>IF(OR(HN$4="",$B25=""),0,SUMIF('DADOS BRUTOS'!$A$3:$A$500,$B25,'DADOS BRUTOS'!EN$3:EN$500)+IF($C25="",0,SUMIF('DADOS BRUTOS'!$A$3:$A$500,$C25,'DADOS BRUTOS'!EN$3:EN$500)))</f>
        <v/>
      </c>
      <c r="HO25" s="132">
        <f>IF(OR(HO$4="",$B25=""),0,SUMIF('DADOS BRUTOS'!$A$3:$A$500,$B25,'DADOS BRUTOS'!EO$3:EO$500)+IF($C25="",0,SUMIF('DADOS BRUTOS'!$A$3:$A$500,$C25,'DADOS BRUTOS'!EO$3:EO$500)))</f>
        <v/>
      </c>
      <c r="HP25" s="132">
        <f>IF(OR(HP$4="",$B25=""),0,SUMIF('DADOS BRUTOS'!$A$3:$A$500,$B25,'DADOS BRUTOS'!EP$3:EP$500)+IF($C25="",0,SUMIF('DADOS BRUTOS'!$A$3:$A$500,$C25,'DADOS BRUTOS'!EP$3:EP$500)))</f>
        <v/>
      </c>
      <c r="HQ25" s="132">
        <f>IF(OR(HQ$4="",$B25=""),0,SUMIF('DADOS BRUTOS'!$A$3:$A$500,$B25,'DADOS BRUTOS'!EQ$3:EQ$500)+IF($C25="",0,SUMIF('DADOS BRUTOS'!$A$3:$A$500,$C25,'DADOS BRUTOS'!EQ$3:EQ$500)))</f>
        <v/>
      </c>
      <c r="HR25" s="132">
        <f>IF(OR(HR$4="",$B25=""),0,SUMIF('DADOS BRUTOS'!$A$3:$A$500,$B25,'DADOS BRUTOS'!ER$3:ER$500)+IF($C25="",0,SUMIF('DADOS BRUTOS'!$A$3:$A$500,$C25,'DADOS BRUTOS'!ER$3:ER$500)))</f>
        <v/>
      </c>
      <c r="HS25" s="132">
        <f>IF(OR(HS$4="",$B25=""),0,SUMIF('DADOS BRUTOS'!$A$3:$A$500,$B25,'DADOS BRUTOS'!ES$3:ES$500)+IF($C25="",0,SUMIF('DADOS BRUTOS'!$A$3:$A$500,$C25,'DADOS BRUTOS'!ES$3:ES$500)))</f>
        <v/>
      </c>
      <c r="HT25" s="132">
        <f>IF(OR(HT$4="",$B25=""),0,SUMIF('DADOS BRUTOS'!$A$3:$A$500,$B25,'DADOS BRUTOS'!ET$3:ET$500)+IF($C25="",0,SUMIF('DADOS BRUTOS'!$A$3:$A$500,$C25,'DADOS BRUTOS'!ET$3:ET$500)))</f>
        <v/>
      </c>
      <c r="HU25" s="132">
        <f>IF(OR(HU$4="",$B25=""),0,SUMIF('DADOS BRUTOS'!$A$3:$A$500,$B25,'DADOS BRUTOS'!EU$3:EU$500)+IF($C25="",0,SUMIF('DADOS BRUTOS'!$A$3:$A$500,$C25,'DADOS BRUTOS'!EU$3:EU$500)))</f>
        <v/>
      </c>
      <c r="HV25" s="132">
        <f>IF(OR(HV$4="",$B25=""),0,SUMIF('DADOS BRUTOS'!$A$3:$A$500,$B25,'DADOS BRUTOS'!EV$3:EV$500)+IF($C25="",0,SUMIF('DADOS BRUTOS'!$A$3:$A$500,$C25,'DADOS BRUTOS'!EV$3:EV$500)))</f>
        <v/>
      </c>
      <c r="HW25" s="132">
        <f>IF(OR(HW$4="",$B25=""),0,SUMIF('DADOS BRUTOS'!$A$3:$A$500,$B25,'DADOS BRUTOS'!EW$3:EW$500)+IF($C25="",0,SUMIF('DADOS BRUTOS'!$A$3:$A$500,$C25,'DADOS BRUTOS'!EW$3:EW$500)))</f>
        <v/>
      </c>
      <c r="HX25" s="132">
        <f>IF(OR(HX$4="",$B25=""),0,SUMIF('DADOS BRUTOS'!$A$3:$A$500,$B25,'DADOS BRUTOS'!EX$3:EX$500)+IF($C25="",0,SUMIF('DADOS BRUTOS'!$A$3:$A$500,$C25,'DADOS BRUTOS'!EX$3:EX$500)))</f>
        <v/>
      </c>
      <c r="HY25" s="132">
        <f>IF(OR(HY$4="",$B25=""),0,SUMIF('DADOS BRUTOS'!$A$3:$A$500,$B25,'DADOS BRUTOS'!EY$3:EY$500)+IF($C25="",0,SUMIF('DADOS BRUTOS'!$A$3:$A$500,$C25,'DADOS BRUTOS'!EY$3:EY$500)))</f>
        <v/>
      </c>
      <c r="HZ25" s="132">
        <f>IF(OR(HZ$4="",$B25=""),0,SUMIF('DADOS BRUTOS'!$A$3:$A$500,$B25,'DADOS BRUTOS'!EZ$3:EZ$500)+IF($C25="",0,SUMIF('DADOS BRUTOS'!$A$3:$A$500,$C25,'DADOS BRUTOS'!EZ$3:EZ$500)))</f>
        <v/>
      </c>
      <c r="IA25" s="132">
        <f>IF(OR(IA$4="",$B25=""),0,SUMIF('DADOS BRUTOS'!$A$3:$A$500,$B25,'DADOS BRUTOS'!FA$3:FA$500)+IF($C25="",0,SUMIF('DADOS BRUTOS'!$A$3:$A$500,$C25,'DADOS BRUTOS'!FA$3:FA$500)))</f>
        <v/>
      </c>
      <c r="IB25" s="132">
        <f>IF(OR(IB$4="",$B25=""),0,SUMIF('DADOS BRUTOS'!$A$3:$A$500,$B25,'DADOS BRUTOS'!FB$3:FB$500)+IF($C25="",0,SUMIF('DADOS BRUTOS'!$A$3:$A$500,$C25,'DADOS BRUTOS'!FB$3:FB$500)))</f>
        <v/>
      </c>
      <c r="IC25" s="132">
        <f>IF(OR(IC$4="",$B25=""),0,SUMIF('DADOS BRUTOS'!$A$3:$A$500,$B25,'DADOS BRUTOS'!FC$3:FC$500)+IF($C25="",0,SUMIF('DADOS BRUTOS'!$A$3:$A$500,$C25,'DADOS BRUTOS'!FC$3:FC$500)))</f>
        <v/>
      </c>
      <c r="ID25" s="132">
        <f>IF(OR(ID$4="",$B25=""),0,SUMIF('DADOS BRUTOS'!$A$3:$A$500,$B25,'DADOS BRUTOS'!FD$3:FD$500)+IF($C25="",0,SUMIF('DADOS BRUTOS'!$A$3:$A$500,$C25,'DADOS BRUTOS'!FD$3:FD$500)))</f>
        <v/>
      </c>
      <c r="IE25" s="132">
        <f>IF(OR(IE$4="",$B25=""),0,SUMIF('DADOS BRUTOS'!$A$3:$A$500,$B25,'DADOS BRUTOS'!FE$3:FE$500)+IF($C25="",0,SUMIF('DADOS BRUTOS'!$A$3:$A$500,$C25,'DADOS BRUTOS'!FE$3:FE$500)))</f>
        <v/>
      </c>
      <c r="IF25" s="132">
        <f>IF(OR(IF$4="",$B25=""),0,SUMIF('DADOS BRUTOS'!$A$3:$A$500,$B25,'DADOS BRUTOS'!FF$3:FF$500)+IF($C25="",0,SUMIF('DADOS BRUTOS'!$A$3:$A$500,$C25,'DADOS BRUTOS'!FF$3:FF$500)))</f>
        <v/>
      </c>
      <c r="IG25" s="132">
        <f>IF(OR(IG$4="",$B25=""),0,SUMIF('DADOS BRUTOS'!$A$3:$A$500,$B25,'DADOS BRUTOS'!FG$3:FG$500)+IF($C25="",0,SUMIF('DADOS BRUTOS'!$A$3:$A$500,$C25,'DADOS BRUTOS'!FG$3:FG$500)))</f>
        <v/>
      </c>
      <c r="IH25" s="132">
        <f>IF(OR(IH$4="",$B25=""),0,SUMIF('DADOS BRUTOS'!$A$3:$A$500,$B25,'DADOS BRUTOS'!FH$3:FH$500)+IF($C25="",0,SUMIF('DADOS BRUTOS'!$A$3:$A$500,$C25,'DADOS BRUTOS'!FH$3:FH$500)))</f>
        <v/>
      </c>
      <c r="II25" s="132">
        <f>IF(OR(II$4="",$B25=""),0,SUMIF('DADOS BRUTOS'!$A$3:$A$500,$B25,'DADOS BRUTOS'!FI$3:FI$500)+IF($C25="",0,SUMIF('DADOS BRUTOS'!$A$3:$A$500,$C25,'DADOS BRUTOS'!FI$3:FI$500)))</f>
        <v/>
      </c>
      <c r="IJ25" s="132">
        <f>IF(OR(IJ$4="",$B25=""),0,SUMIF('DADOS BRUTOS'!$A$3:$A$500,$B25,'DADOS BRUTOS'!FJ$3:FJ$500)+IF($C25="",0,SUMIF('DADOS BRUTOS'!$A$3:$A$500,$C25,'DADOS BRUTOS'!FJ$3:FJ$500)))</f>
        <v/>
      </c>
      <c r="IK25" s="132">
        <f>IF(OR(IK$4="",$B25=""),0,SUMIF('DADOS BRUTOS'!$A$3:$A$500,$B25,'DADOS BRUTOS'!FK$3:FK$500)+IF($C25="",0,SUMIF('DADOS BRUTOS'!$A$3:$A$500,$C25,'DADOS BRUTOS'!FK$3:FK$500)))</f>
        <v/>
      </c>
      <c r="IL25" s="132">
        <f>IF(OR(IL$4="",$B25=""),0,SUMIF('DADOS BRUTOS'!$A$3:$A$500,$B25,'DADOS BRUTOS'!FL$3:FL$500)+IF($C25="",0,SUMIF('DADOS BRUTOS'!$A$3:$A$500,$C25,'DADOS BRUTOS'!FL$3:FL$500)))</f>
        <v/>
      </c>
      <c r="IM25" s="132">
        <f>IF(OR(IM$4="",$B25=""),0,SUMIF('DADOS BRUTOS'!$A$3:$A$500,$B25,'DADOS BRUTOS'!FM$3:FM$500)+IF($C25="",0,SUMIF('DADOS BRUTOS'!$A$3:$A$500,$C25,'DADOS BRUTOS'!FM$3:FM$500)))</f>
        <v/>
      </c>
      <c r="IN25" s="132">
        <f>IF(OR(IN$4="",$B25=""),0,SUMIF('DADOS BRUTOS'!$A$3:$A$500,$B25,'DADOS BRUTOS'!FN$3:FN$500)+IF($C25="",0,SUMIF('DADOS BRUTOS'!$A$3:$A$500,$C25,'DADOS BRUTOS'!FN$3:FN$500)))</f>
        <v/>
      </c>
      <c r="IO25" s="132">
        <f>IF(OR(IO$4="",$B25=""),0,SUMIF('DADOS BRUTOS'!$A$3:$A$500,$B25,'DADOS BRUTOS'!FO$3:FO$500)+IF($C25="",0,SUMIF('DADOS BRUTOS'!$A$3:$A$500,$C25,'DADOS BRUTOS'!FO$3:FO$500)))</f>
        <v/>
      </c>
      <c r="IP25" s="132">
        <f>IF(OR(IP$4="",$B25=""),0,SUMIF('DADOS BRUTOS'!$A$3:$A$500,$B25,'DADOS BRUTOS'!FP$3:FP$500)+IF($C25="",0,SUMIF('DADOS BRUTOS'!$A$3:$A$500,$C25,'DADOS BRUTOS'!FP$3:FP$500)))</f>
        <v/>
      </c>
      <c r="IQ25" s="132">
        <f>IF(OR(IQ$4="",$B25=""),0,SUMIF('DADOS BRUTOS'!$A$3:$A$500,$B25,'DADOS BRUTOS'!FQ$3:FQ$500)+IF($C25="",0,SUMIF('DADOS BRUTOS'!$A$3:$A$500,$C25,'DADOS BRUTOS'!FQ$3:FQ$500)))</f>
        <v/>
      </c>
      <c r="IR25" s="132">
        <f>IF(OR(IR$4="",$B25=""),0,SUMIF('DADOS BRUTOS'!$A$3:$A$500,$B25,'DADOS BRUTOS'!FR$3:FR$500)+IF($C25="",0,SUMIF('DADOS BRUTOS'!$A$3:$A$500,$C25,'DADOS BRUTOS'!FR$3:FR$500)))</f>
        <v/>
      </c>
      <c r="IS25" s="132">
        <f>IF(OR(IS$4="",$B25=""),0,SUMIF('DADOS BRUTOS'!$A$3:$A$500,$B25,'DADOS BRUTOS'!FS$3:FS$500)+IF($C25="",0,SUMIF('DADOS BRUTOS'!$A$3:$A$500,$C25,'DADOS BRUTOS'!FS$3:FS$500)))</f>
        <v/>
      </c>
      <c r="IT25" s="132">
        <f>IF(OR(IT$4="",$B25=""),0,SUMIF('DADOS BRUTOS'!$A$3:$A$500,$B25,'DADOS BRUTOS'!FT$3:FT$500)+IF($C25="",0,SUMIF('DADOS BRUTOS'!$A$3:$A$500,$C25,'DADOS BRUTOS'!FT$3:FT$500)))</f>
        <v/>
      </c>
      <c r="IU25" s="132">
        <f>IF(OR(IU$4="",$B25=""),0,SUMIF('DADOS BRUTOS'!$A$3:$A$500,$B25,'DADOS BRUTOS'!FU$3:FU$500)+IF($C25="",0,SUMIF('DADOS BRUTOS'!$A$3:$A$500,$C25,'DADOS BRUTOS'!FU$3:FU$500)))</f>
        <v/>
      </c>
      <c r="IV25" s="132">
        <f>IF(OR(IV$4="",$B25=""),0,SUMIF('DADOS BRUTOS'!$A$3:$A$500,$B25,'DADOS BRUTOS'!FV$3:FV$500)+IF($C25="",0,SUMIF('DADOS BRUTOS'!$A$3:$A$500,$C25,'DADOS BRUTOS'!FV$3:FV$500)))</f>
        <v/>
      </c>
      <c r="IW25" s="132">
        <f>IF(OR(IW$4="",$B25=""),0,SUMIF('DADOS BRUTOS'!$A$3:$A$500,$B25,'DADOS BRUTOS'!FW$3:FW$500)+IF($C25="",0,SUMIF('DADOS BRUTOS'!$A$3:$A$500,$C25,'DADOS BRUTOS'!FW$3:FW$500)))</f>
        <v/>
      </c>
      <c r="IX25" s="132">
        <f>IF(OR(IX$4="",$B25=""),0,SUMIF('DADOS BRUTOS'!$A$3:$A$500,$B25,'DADOS BRUTOS'!FX$3:FX$500)+IF($C25="",0,SUMIF('DADOS BRUTOS'!$A$3:$A$500,$C25,'DADOS BRUTOS'!FX$3:FX$500)))</f>
        <v/>
      </c>
      <c r="IY25" s="132">
        <f>IF(OR(IY$4="",$B25=""),0,SUMIF('DADOS BRUTOS'!$A$3:$A$500,$B25,'DADOS BRUTOS'!FY$3:FY$500)+IF($C25="",0,SUMIF('DADOS BRUTOS'!$A$3:$A$500,$C25,'DADOS BRUTOS'!FY$3:FY$500)))</f>
        <v/>
      </c>
      <c r="IZ25" s="132">
        <f>IF(OR(IZ$4="",$B25=""),0,SUMIF('DADOS BRUTOS'!$A$3:$A$500,$B25,'DADOS BRUTOS'!FZ$3:FZ$500)+IF($C25="",0,SUMIF('DADOS BRUTOS'!$A$3:$A$500,$C25,'DADOS BRUTOS'!FZ$3:FZ$500)))</f>
        <v/>
      </c>
      <c r="JA25" s="132">
        <f>IF(OR(JA$4="",$B25=""),0,SUMIF('DADOS BRUTOS'!$A$3:$A$500,$B25,'DADOS BRUTOS'!GA$3:GA$500)+IF($C25="",0,SUMIF('DADOS BRUTOS'!$A$3:$A$500,$C25,'DADOS BRUTOS'!GA$3:GA$500)))</f>
        <v/>
      </c>
      <c r="JB25" s="132">
        <f>IF(OR(JB$4="",$B25=""),0,SUMIF('DADOS BRUTOS'!$A$3:$A$500,$B25,'DADOS BRUTOS'!GB$3:GB$500)+IF($C25="",0,SUMIF('DADOS BRUTOS'!$A$3:$A$500,$C25,'DADOS BRUTOS'!GB$3:GB$500)))</f>
        <v/>
      </c>
      <c r="JC25" s="132">
        <f>IF(OR(JC$4="",$B25=""),0,SUMIF('DADOS BRUTOS'!$A$3:$A$500,$B25,'DADOS BRUTOS'!GC$3:GC$500)+IF($C25="",0,SUMIF('DADOS BRUTOS'!$A$3:$A$500,$C25,'DADOS BRUTOS'!GC$3:GC$500)))</f>
        <v/>
      </c>
      <c r="JD25" s="132">
        <f>IF(OR(JD$4="",$B25=""),0,SUMIF('DADOS BRUTOS'!$A$3:$A$500,$B25,'DADOS BRUTOS'!GD$3:GD$500)+IF($C25="",0,SUMIF('DADOS BRUTOS'!$A$3:$A$500,$C25,'DADOS BRUTOS'!GD$3:GD$500)))</f>
        <v/>
      </c>
      <c r="JE25" s="132">
        <f>IF(OR(JE$4="",$B25=""),0,SUMIF('DADOS BRUTOS'!$A$3:$A$500,$B25,'DADOS BRUTOS'!GE$3:GE$500)+IF($C25="",0,SUMIF('DADOS BRUTOS'!$A$3:$A$500,$C25,'DADOS BRUTOS'!GE$3:GE$500)))</f>
        <v/>
      </c>
      <c r="JF25" s="132">
        <f>IF(OR(JF$4="",$B25=""),0,SUMIF('DADOS BRUTOS'!$A$3:$A$500,$B25,'DADOS BRUTOS'!GF$3:GF$500)+IF($C25="",0,SUMIF('DADOS BRUTOS'!$A$3:$A$500,$C25,'DADOS BRUTOS'!GF$3:GF$500)))</f>
        <v/>
      </c>
      <c r="JG25" s="132">
        <f>IF(OR(JG$4="",$B25=""),0,SUMIF('DADOS BRUTOS'!$A$3:$A$500,$B25,'DADOS BRUTOS'!GG$3:GG$500)+IF($C25="",0,SUMIF('DADOS BRUTOS'!$A$3:$A$500,$C25,'DADOS BRUTOS'!GG$3:GG$500)))</f>
        <v/>
      </c>
      <c r="JH25" s="132">
        <f>IF(OR(JH$4="",$B25=""),0,SUMIF('DADOS BRUTOS'!$A$3:$A$500,$B25,'DADOS BRUTOS'!GH$3:GH$500)+IF($C25="",0,SUMIF('DADOS BRUTOS'!$A$3:$A$500,$C25,'DADOS BRUTOS'!GH$3:GH$500)))</f>
        <v/>
      </c>
      <c r="JI25" s="132">
        <f>IF(OR(JI$4="",$B25=""),0,SUMIF('DADOS BRUTOS'!$A$3:$A$500,$B25,'DADOS BRUTOS'!GI$3:GI$500)+IF($C25="",0,SUMIF('DADOS BRUTOS'!$A$3:$A$500,$C25,'DADOS BRUTOS'!GI$3:GI$500)))</f>
        <v/>
      </c>
      <c r="JJ25" s="132">
        <f>IF(OR(JJ$4="",$B25=""),0,SUMIF('DADOS BRUTOS'!$A$3:$A$500,$B25,'DADOS BRUTOS'!GJ$3:GJ$500)+IF($C25="",0,SUMIF('DADOS BRUTOS'!$A$3:$A$500,$C25,'DADOS BRUTOS'!GJ$3:GJ$500)))</f>
        <v/>
      </c>
      <c r="JK25" s="132">
        <f>IF(OR(JK$4="",$B25=""),0,SUMIF('DADOS BRUTOS'!$A$3:$A$500,$B25,'DADOS BRUTOS'!GK$3:GK$500)+IF($C25="",0,SUMIF('DADOS BRUTOS'!$A$3:$A$500,$C25,'DADOS BRUTOS'!GK$3:GK$500)))</f>
        <v/>
      </c>
      <c r="JL25" s="132">
        <f>IF(OR(JL$4="",$B25=""),0,SUMIF('DADOS BRUTOS'!$A$3:$A$500,$B25,'DADOS BRUTOS'!GL$3:GL$500)+IF($C25="",0,SUMIF('DADOS BRUTOS'!$A$3:$A$500,$C25,'DADOS BRUTOS'!GL$3:GL$500)))</f>
        <v/>
      </c>
      <c r="JM25" s="132">
        <f>IF(OR(JM$4="",$B25=""),0,SUMIF('DADOS BRUTOS'!$A$3:$A$500,$B25,'DADOS BRUTOS'!GM$3:GM$500)+IF($C25="",0,SUMIF('DADOS BRUTOS'!$A$3:$A$500,$C25,'DADOS BRUTOS'!GM$3:GM$500)))</f>
        <v/>
      </c>
      <c r="JN25" s="132">
        <f>IF(OR(JN$4="",$B25=""),0,SUMIF('DADOS BRUTOS'!$A$3:$A$500,$B25,'DADOS BRUTOS'!GN$3:GN$500)+IF($C25="",0,SUMIF('DADOS BRUTOS'!$A$3:$A$500,$C25,'DADOS BRUTOS'!GN$3:GN$500)))</f>
        <v/>
      </c>
      <c r="JO25" s="132">
        <f>IF(OR(JO$4="",$B25=""),0,SUMIF('DADOS BRUTOS'!$A$3:$A$500,$B25,'DADOS BRUTOS'!GO$3:GO$500)+IF($C25="",0,SUMIF('DADOS BRUTOS'!$A$3:$A$500,$C25,'DADOS BRUTOS'!GO$3:GO$500)))</f>
        <v/>
      </c>
      <c r="JP25" s="132">
        <f>IF(OR(JP$4="",$B25=""),0,SUMIF('DADOS BRUTOS'!$A$3:$A$500,$B25,'DADOS BRUTOS'!GP$3:GP$500)+IF($C25="",0,SUMIF('DADOS BRUTOS'!$A$3:$A$500,$C25,'DADOS BRUTOS'!GP$3:GP$500)))</f>
        <v/>
      </c>
      <c r="JQ25" s="132">
        <f>IF(OR(JQ$4="",$B25=""),0,SUMIF('DADOS BRUTOS'!$A$3:$A$500,$B25,'DADOS BRUTOS'!GQ$3:GQ$500)+IF($C25="",0,SUMIF('DADOS BRUTOS'!$A$3:$A$500,$C25,'DADOS BRUTOS'!GQ$3:GQ$500)))</f>
        <v/>
      </c>
      <c r="JR25" s="132">
        <f>IF(OR(JR$4="",$B25=""),0,SUMIF('DADOS BRUTOS'!$A$3:$A$500,$B25,'DADOS BRUTOS'!GR$3:GR$500)+IF($C25="",0,SUMIF('DADOS BRUTOS'!$A$3:$A$500,$C25,'DADOS BRUTOS'!GR$3:GR$500)))</f>
        <v/>
      </c>
      <c r="JS25" s="132">
        <f>IF(OR(JS$4="",$B25=""),0,SUMIF('DADOS BRUTOS'!$A$3:$A$500,$B25,'DADOS BRUTOS'!GS$3:GS$500)+IF($C25="",0,SUMIF('DADOS BRUTOS'!$A$3:$A$500,$C25,'DADOS BRUTOS'!GS$3:GS$500)))</f>
        <v/>
      </c>
    </row>
    <row r="26">
      <c r="A26" s="61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BZ26" s="49">
        <f>SUMPRODUCT(($CB$4:$JS$4&lt;&gt;"")*($CB$4:$JS$4&lt;=$D$4),$CB26:$JS26,$CB$1:$JS$1)</f>
        <v/>
      </c>
      <c r="CB26" s="132">
        <f>IF(OR(CB$4="",$B26=""),0,SUMIF('DADOS BRUTOS'!$A$3:$A$500,$B26,'DADOS BRUTOS'!B$3:B$500)+IF($C26="",0,SUMIF('DADOS BRUTOS'!$A$3:$A$500,$C26,'DADOS BRUTOS'!B$3:B$500)))</f>
        <v/>
      </c>
      <c r="CC26" s="132">
        <f>IF(OR(CC$4="",$B26=""),0,SUMIF('DADOS BRUTOS'!$A$3:$A$500,$B26,'DADOS BRUTOS'!C$3:C$500)+IF($C26="",0,SUMIF('DADOS BRUTOS'!$A$3:$A$500,$C26,'DADOS BRUTOS'!C$3:C$500)))</f>
        <v/>
      </c>
      <c r="CD26" s="132">
        <f>IF(OR(CD$4="",$B26=""),0,SUMIF('DADOS BRUTOS'!$A$3:$A$500,$B26,'DADOS BRUTOS'!D$3:D$500)+IF($C26="",0,SUMIF('DADOS BRUTOS'!$A$3:$A$500,$C26,'DADOS BRUTOS'!D$3:D$500)))</f>
        <v/>
      </c>
      <c r="CE26" s="132">
        <f>IF(OR(CE$4="",$B26=""),0,SUMIF('DADOS BRUTOS'!$A$3:$A$500,$B26,'DADOS BRUTOS'!E$3:E$500)+IF($C26="",0,SUMIF('DADOS BRUTOS'!$A$3:$A$500,$C26,'DADOS BRUTOS'!E$3:E$500)))</f>
        <v/>
      </c>
      <c r="CF26" s="132">
        <f>IF(OR(CF$4="",$B26=""),0,SUMIF('DADOS BRUTOS'!$A$3:$A$500,$B26,'DADOS BRUTOS'!F$3:F$500)+IF($C26="",0,SUMIF('DADOS BRUTOS'!$A$3:$A$500,$C26,'DADOS BRUTOS'!F$3:F$500)))</f>
        <v/>
      </c>
      <c r="CG26" s="132">
        <f>IF(OR(CG$4="",$B26=""),0,SUMIF('DADOS BRUTOS'!$A$3:$A$500,$B26,'DADOS BRUTOS'!G$3:G$500)+IF($C26="",0,SUMIF('DADOS BRUTOS'!$A$3:$A$500,$C26,'DADOS BRUTOS'!G$3:G$500)))</f>
        <v/>
      </c>
      <c r="CH26" s="132">
        <f>IF(OR(CH$4="",$B26=""),0,SUMIF('DADOS BRUTOS'!$A$3:$A$500,$B26,'DADOS BRUTOS'!H$3:H$500)+IF($C26="",0,SUMIF('DADOS BRUTOS'!$A$3:$A$500,$C26,'DADOS BRUTOS'!H$3:H$500)))</f>
        <v/>
      </c>
      <c r="CI26" s="132">
        <f>IF(OR(CI$4="",$B26=""),0,SUMIF('DADOS BRUTOS'!$A$3:$A$500,$B26,'DADOS BRUTOS'!I$3:I$500)+IF($C26="",0,SUMIF('DADOS BRUTOS'!$A$3:$A$500,$C26,'DADOS BRUTOS'!I$3:I$500)))</f>
        <v/>
      </c>
      <c r="CJ26" s="132">
        <f>IF(OR(CJ$4="",$B26=""),0,SUMIF('DADOS BRUTOS'!$A$3:$A$500,$B26,'DADOS BRUTOS'!J$3:J$500)+IF($C26="",0,SUMIF('DADOS BRUTOS'!$A$3:$A$500,$C26,'DADOS BRUTOS'!J$3:J$500)))</f>
        <v/>
      </c>
      <c r="CK26" s="132">
        <f>IF(OR(CK$4="",$B26=""),0,SUMIF('DADOS BRUTOS'!$A$3:$A$500,$B26,'DADOS BRUTOS'!K$3:K$500)+IF($C26="",0,SUMIF('DADOS BRUTOS'!$A$3:$A$500,$C26,'DADOS BRUTOS'!K$3:K$500)))</f>
        <v/>
      </c>
      <c r="CL26" s="132">
        <f>IF(OR(CL$4="",$B26=""),0,SUMIF('DADOS BRUTOS'!$A$3:$A$500,$B26,'DADOS BRUTOS'!L$3:L$500)+IF($C26="",0,SUMIF('DADOS BRUTOS'!$A$3:$A$500,$C26,'DADOS BRUTOS'!L$3:L$500)))</f>
        <v/>
      </c>
      <c r="CM26" s="132">
        <f>IF(OR(CM$4="",$B26=""),0,SUMIF('DADOS BRUTOS'!$A$3:$A$500,$B26,'DADOS BRUTOS'!M$3:M$500)+IF($C26="",0,SUMIF('DADOS BRUTOS'!$A$3:$A$500,$C26,'DADOS BRUTOS'!M$3:M$500)))</f>
        <v/>
      </c>
      <c r="CN26" s="132">
        <f>IF(OR(CN$4="",$B26=""),0,SUMIF('DADOS BRUTOS'!$A$3:$A$500,$B26,'DADOS BRUTOS'!N$3:N$500)+IF($C26="",0,SUMIF('DADOS BRUTOS'!$A$3:$A$500,$C26,'DADOS BRUTOS'!N$3:N$500)))</f>
        <v/>
      </c>
      <c r="CO26" s="132">
        <f>IF(OR(CO$4="",$B26=""),0,SUMIF('DADOS BRUTOS'!$A$3:$A$500,$B26,'DADOS BRUTOS'!O$3:O$500)+IF($C26="",0,SUMIF('DADOS BRUTOS'!$A$3:$A$500,$C26,'DADOS BRUTOS'!O$3:O$500)))</f>
        <v/>
      </c>
      <c r="CP26" s="132">
        <f>IF(OR(CP$4="",$B26=""),0,SUMIF('DADOS BRUTOS'!$A$3:$A$500,$B26,'DADOS BRUTOS'!P$3:P$500)+IF($C26="",0,SUMIF('DADOS BRUTOS'!$A$3:$A$500,$C26,'DADOS BRUTOS'!P$3:P$500)))</f>
        <v/>
      </c>
      <c r="CQ26" s="132">
        <f>IF(OR(CQ$4="",$B26=""),0,SUMIF('DADOS BRUTOS'!$A$3:$A$500,$B26,'DADOS BRUTOS'!Q$3:Q$500)+IF($C26="",0,SUMIF('DADOS BRUTOS'!$A$3:$A$500,$C26,'DADOS BRUTOS'!Q$3:Q$500)))</f>
        <v/>
      </c>
      <c r="CR26" s="132">
        <f>IF(OR(CR$4="",$B26=""),0,SUMIF('DADOS BRUTOS'!$A$3:$A$500,$B26,'DADOS BRUTOS'!R$3:R$500)+IF($C26="",0,SUMIF('DADOS BRUTOS'!$A$3:$A$500,$C26,'DADOS BRUTOS'!R$3:R$500)))</f>
        <v/>
      </c>
      <c r="CS26" s="132">
        <f>IF(OR(CS$4="",$B26=""),0,SUMIF('DADOS BRUTOS'!$A$3:$A$500,$B26,'DADOS BRUTOS'!S$3:S$500)+IF($C26="",0,SUMIF('DADOS BRUTOS'!$A$3:$A$500,$C26,'DADOS BRUTOS'!S$3:S$500)))</f>
        <v/>
      </c>
      <c r="CT26" s="132">
        <f>IF(OR(CT$4="",$B26=""),0,SUMIF('DADOS BRUTOS'!$A$3:$A$500,$B26,'DADOS BRUTOS'!T$3:T$500)+IF($C26="",0,SUMIF('DADOS BRUTOS'!$A$3:$A$500,$C26,'DADOS BRUTOS'!T$3:T$500)))</f>
        <v/>
      </c>
      <c r="CU26" s="132">
        <f>IF(OR(CU$4="",$B26=""),0,SUMIF('DADOS BRUTOS'!$A$3:$A$500,$B26,'DADOS BRUTOS'!U$3:U$500)+IF($C26="",0,SUMIF('DADOS BRUTOS'!$A$3:$A$500,$C26,'DADOS BRUTOS'!U$3:U$500)))</f>
        <v/>
      </c>
      <c r="CV26" s="132">
        <f>IF(OR(CV$4="",$B26=""),0,SUMIF('DADOS BRUTOS'!$A$3:$A$500,$B26,'DADOS BRUTOS'!V$3:V$500)+IF($C26="",0,SUMIF('DADOS BRUTOS'!$A$3:$A$500,$C26,'DADOS BRUTOS'!V$3:V$500)))</f>
        <v/>
      </c>
      <c r="CW26" s="132">
        <f>IF(OR(CW$4="",$B26=""),0,SUMIF('DADOS BRUTOS'!$A$3:$A$500,$B26,'DADOS BRUTOS'!W$3:W$500)+IF($C26="",0,SUMIF('DADOS BRUTOS'!$A$3:$A$500,$C26,'DADOS BRUTOS'!W$3:W$500)))</f>
        <v/>
      </c>
      <c r="CX26" s="132">
        <f>IF(OR(CX$4="",$B26=""),0,SUMIF('DADOS BRUTOS'!$A$3:$A$500,$B26,'DADOS BRUTOS'!X$3:X$500)+IF($C26="",0,SUMIF('DADOS BRUTOS'!$A$3:$A$500,$C26,'DADOS BRUTOS'!X$3:X$500)))</f>
        <v/>
      </c>
      <c r="CY26" s="132">
        <f>IF(OR(CY$4="",$B26=""),0,SUMIF('DADOS BRUTOS'!$A$3:$A$500,$B26,'DADOS BRUTOS'!Y$3:Y$500)+IF($C26="",0,SUMIF('DADOS BRUTOS'!$A$3:$A$500,$C26,'DADOS BRUTOS'!Y$3:Y$500)))</f>
        <v/>
      </c>
      <c r="CZ26" s="132">
        <f>IF(OR(CZ$4="",$B26=""),0,SUMIF('DADOS BRUTOS'!$A$3:$A$500,$B26,'DADOS BRUTOS'!Z$3:Z$500)+IF($C26="",0,SUMIF('DADOS BRUTOS'!$A$3:$A$500,$C26,'DADOS BRUTOS'!Z$3:Z$500)))</f>
        <v/>
      </c>
      <c r="DA26" s="132">
        <f>IF(OR(DA$4="",$B26=""),0,SUMIF('DADOS BRUTOS'!$A$3:$A$500,$B26,'DADOS BRUTOS'!AA$3:AA$500)+IF($C26="",0,SUMIF('DADOS BRUTOS'!$A$3:$A$500,$C26,'DADOS BRUTOS'!AA$3:AA$500)))</f>
        <v/>
      </c>
      <c r="DB26" s="132">
        <f>IF(OR(DB$4="",$B26=""),0,SUMIF('DADOS BRUTOS'!$A$3:$A$500,$B26,'DADOS BRUTOS'!AB$3:AB$500)+IF($C26="",0,SUMIF('DADOS BRUTOS'!$A$3:$A$500,$C26,'DADOS BRUTOS'!AB$3:AB$500)))</f>
        <v/>
      </c>
      <c r="DC26" s="132">
        <f>IF(OR(DC$4="",$B26=""),0,SUMIF('DADOS BRUTOS'!$A$3:$A$500,$B26,'DADOS BRUTOS'!AC$3:AC$500)+IF($C26="",0,SUMIF('DADOS BRUTOS'!$A$3:$A$500,$C26,'DADOS BRUTOS'!AC$3:AC$500)))</f>
        <v/>
      </c>
      <c r="DD26" s="132">
        <f>IF(OR(DD$4="",$B26=""),0,SUMIF('DADOS BRUTOS'!$A$3:$A$500,$B26,'DADOS BRUTOS'!AD$3:AD$500)+IF($C26="",0,SUMIF('DADOS BRUTOS'!$A$3:$A$500,$C26,'DADOS BRUTOS'!AD$3:AD$500)))</f>
        <v/>
      </c>
      <c r="DE26" s="132">
        <f>IF(OR(DE$4="",$B26=""),0,SUMIF('DADOS BRUTOS'!$A$3:$A$500,$B26,'DADOS BRUTOS'!AE$3:AE$500)+IF($C26="",0,SUMIF('DADOS BRUTOS'!$A$3:$A$500,$C26,'DADOS BRUTOS'!AE$3:AE$500)))</f>
        <v/>
      </c>
      <c r="DF26" s="132">
        <f>IF(OR(DF$4="",$B26=""),0,SUMIF('DADOS BRUTOS'!$A$3:$A$500,$B26,'DADOS BRUTOS'!AF$3:AF$500)+IF($C26="",0,SUMIF('DADOS BRUTOS'!$A$3:$A$500,$C26,'DADOS BRUTOS'!AF$3:AF$500)))</f>
        <v/>
      </c>
      <c r="DG26" s="132">
        <f>IF(OR(DG$4="",$B26=""),0,SUMIF('DADOS BRUTOS'!$A$3:$A$500,$B26,'DADOS BRUTOS'!AG$3:AG$500)+IF($C26="",0,SUMIF('DADOS BRUTOS'!$A$3:$A$500,$C26,'DADOS BRUTOS'!AG$3:AG$500)))</f>
        <v/>
      </c>
      <c r="DH26" s="132">
        <f>IF(OR(DH$4="",$B26=""),0,SUMIF('DADOS BRUTOS'!$A$3:$A$500,$B26,'DADOS BRUTOS'!AH$3:AH$500)+IF($C26="",0,SUMIF('DADOS BRUTOS'!$A$3:$A$500,$C26,'DADOS BRUTOS'!AH$3:AH$500)))</f>
        <v/>
      </c>
      <c r="DI26" s="132">
        <f>IF(OR(DI$4="",$B26=""),0,SUMIF('DADOS BRUTOS'!$A$3:$A$500,$B26,'DADOS BRUTOS'!AI$3:AI$500)+IF($C26="",0,SUMIF('DADOS BRUTOS'!$A$3:$A$500,$C26,'DADOS BRUTOS'!AI$3:AI$500)))</f>
        <v/>
      </c>
      <c r="DJ26" s="132">
        <f>IF(OR(DJ$4="",$B26=""),0,SUMIF('DADOS BRUTOS'!$A$3:$A$500,$B26,'DADOS BRUTOS'!AJ$3:AJ$500)+IF($C26="",0,SUMIF('DADOS BRUTOS'!$A$3:$A$500,$C26,'DADOS BRUTOS'!AJ$3:AJ$500)))</f>
        <v/>
      </c>
      <c r="DK26" s="132">
        <f>IF(OR(DK$4="",$B26=""),0,SUMIF('DADOS BRUTOS'!$A$3:$A$500,$B26,'DADOS BRUTOS'!AK$3:AK$500)+IF($C26="",0,SUMIF('DADOS BRUTOS'!$A$3:$A$500,$C26,'DADOS BRUTOS'!AK$3:AK$500)))</f>
        <v/>
      </c>
      <c r="DL26" s="132">
        <f>IF(OR(DL$4="",$B26=""),0,SUMIF('DADOS BRUTOS'!$A$3:$A$500,$B26,'DADOS BRUTOS'!AL$3:AL$500)+IF($C26="",0,SUMIF('DADOS BRUTOS'!$A$3:$A$500,$C26,'DADOS BRUTOS'!AL$3:AL$500)))</f>
        <v/>
      </c>
      <c r="DM26" s="132">
        <f>IF(OR(DM$4="",$B26=""),0,SUMIF('DADOS BRUTOS'!$A$3:$A$500,$B26,'DADOS BRUTOS'!AM$3:AM$500)+IF($C26="",0,SUMIF('DADOS BRUTOS'!$A$3:$A$500,$C26,'DADOS BRUTOS'!AM$3:AM$500)))</f>
        <v/>
      </c>
      <c r="DN26" s="132">
        <f>IF(OR(DN$4="",$B26=""),0,SUMIF('DADOS BRUTOS'!$A$3:$A$500,$B26,'DADOS BRUTOS'!AN$3:AN$500)+IF($C26="",0,SUMIF('DADOS BRUTOS'!$A$3:$A$500,$C26,'DADOS BRUTOS'!AN$3:AN$500)))</f>
        <v/>
      </c>
      <c r="DO26" s="132">
        <f>IF(OR(DO$4="",$B26=""),0,SUMIF('DADOS BRUTOS'!$A$3:$A$500,$B26,'DADOS BRUTOS'!AO$3:AO$500)+IF($C26="",0,SUMIF('DADOS BRUTOS'!$A$3:$A$500,$C26,'DADOS BRUTOS'!AO$3:AO$500)))</f>
        <v/>
      </c>
      <c r="DP26" s="132">
        <f>IF(OR(DP$4="",$B26=""),0,SUMIF('DADOS BRUTOS'!$A$3:$A$500,$B26,'DADOS BRUTOS'!AP$3:AP$500)+IF($C26="",0,SUMIF('DADOS BRUTOS'!$A$3:$A$500,$C26,'DADOS BRUTOS'!AP$3:AP$500)))</f>
        <v/>
      </c>
      <c r="DQ26" s="132">
        <f>IF(OR(DQ$4="",$B26=""),0,SUMIF('DADOS BRUTOS'!$A$3:$A$500,$B26,'DADOS BRUTOS'!AQ$3:AQ$500)+IF($C26="",0,SUMIF('DADOS BRUTOS'!$A$3:$A$500,$C26,'DADOS BRUTOS'!AQ$3:AQ$500)))</f>
        <v/>
      </c>
      <c r="DR26" s="132">
        <f>IF(OR(DR$4="",$B26=""),0,SUMIF('DADOS BRUTOS'!$A$3:$A$500,$B26,'DADOS BRUTOS'!AR$3:AR$500)+IF($C26="",0,SUMIF('DADOS BRUTOS'!$A$3:$A$500,$C26,'DADOS BRUTOS'!AR$3:AR$500)))</f>
        <v/>
      </c>
      <c r="DS26" s="132">
        <f>IF(OR(DS$4="",$B26=""),0,SUMIF('DADOS BRUTOS'!$A$3:$A$500,$B26,'DADOS BRUTOS'!AS$3:AS$500)+IF($C26="",0,SUMIF('DADOS BRUTOS'!$A$3:$A$500,$C26,'DADOS BRUTOS'!AS$3:AS$500)))</f>
        <v/>
      </c>
      <c r="DT26" s="132">
        <f>IF(OR(DT$4="",$B26=""),0,SUMIF('DADOS BRUTOS'!$A$3:$A$500,$B26,'DADOS BRUTOS'!AT$3:AT$500)+IF($C26="",0,SUMIF('DADOS BRUTOS'!$A$3:$A$500,$C26,'DADOS BRUTOS'!AT$3:AT$500)))</f>
        <v/>
      </c>
      <c r="DU26" s="132">
        <f>IF(OR(DU$4="",$B26=""),0,SUMIF('DADOS BRUTOS'!$A$3:$A$500,$B26,'DADOS BRUTOS'!AU$3:AU$500)+IF($C26="",0,SUMIF('DADOS BRUTOS'!$A$3:$A$500,$C26,'DADOS BRUTOS'!AU$3:AU$500)))</f>
        <v/>
      </c>
      <c r="DV26" s="132">
        <f>IF(OR(DV$4="",$B26=""),0,SUMIF('DADOS BRUTOS'!$A$3:$A$500,$B26,'DADOS BRUTOS'!AV$3:AV$500)+IF($C26="",0,SUMIF('DADOS BRUTOS'!$A$3:$A$500,$C26,'DADOS BRUTOS'!AV$3:AV$500)))</f>
        <v/>
      </c>
      <c r="DW26" s="132">
        <f>IF(OR(DW$4="",$B26=""),0,SUMIF('DADOS BRUTOS'!$A$3:$A$500,$B26,'DADOS BRUTOS'!AW$3:AW$500)+IF($C26="",0,SUMIF('DADOS BRUTOS'!$A$3:$A$500,$C26,'DADOS BRUTOS'!AW$3:AW$500)))</f>
        <v/>
      </c>
      <c r="DX26" s="132">
        <f>IF(OR(DX$4="",$B26=""),0,SUMIF('DADOS BRUTOS'!$A$3:$A$500,$B26,'DADOS BRUTOS'!AX$3:AX$500)+IF($C26="",0,SUMIF('DADOS BRUTOS'!$A$3:$A$500,$C26,'DADOS BRUTOS'!AX$3:AX$500)))</f>
        <v/>
      </c>
      <c r="DY26" s="132">
        <f>IF(OR(DY$4="",$B26=""),0,SUMIF('DADOS BRUTOS'!$A$3:$A$500,$B26,'DADOS BRUTOS'!AY$3:AY$500)+IF($C26="",0,SUMIF('DADOS BRUTOS'!$A$3:$A$500,$C26,'DADOS BRUTOS'!AY$3:AY$500)))</f>
        <v/>
      </c>
      <c r="DZ26" s="132">
        <f>IF(OR(DZ$4="",$B26=""),0,SUMIF('DADOS BRUTOS'!$A$3:$A$500,$B26,'DADOS BRUTOS'!AZ$3:AZ$500)+IF($C26="",0,SUMIF('DADOS BRUTOS'!$A$3:$A$500,$C26,'DADOS BRUTOS'!AZ$3:AZ$500)))</f>
        <v/>
      </c>
      <c r="EA26" s="132">
        <f>IF(OR(EA$4="",$B26=""),0,SUMIF('DADOS BRUTOS'!$A$3:$A$500,$B26,'DADOS BRUTOS'!BA$3:BA$500)+IF($C26="",0,SUMIF('DADOS BRUTOS'!$A$3:$A$500,$C26,'DADOS BRUTOS'!BA$3:BA$500)))</f>
        <v/>
      </c>
      <c r="EB26" s="132">
        <f>IF(OR(EB$4="",$B26=""),0,SUMIF('DADOS BRUTOS'!$A$3:$A$500,$B26,'DADOS BRUTOS'!BB$3:BB$500)+IF($C26="",0,SUMIF('DADOS BRUTOS'!$A$3:$A$500,$C26,'DADOS BRUTOS'!BB$3:BB$500)))</f>
        <v/>
      </c>
      <c r="EC26" s="132">
        <f>IF(OR(EC$4="",$B26=""),0,SUMIF('DADOS BRUTOS'!$A$3:$A$500,$B26,'DADOS BRUTOS'!BC$3:BC$500)+IF($C26="",0,SUMIF('DADOS BRUTOS'!$A$3:$A$500,$C26,'DADOS BRUTOS'!BC$3:BC$500)))</f>
        <v/>
      </c>
      <c r="ED26" s="132">
        <f>IF(OR(ED$4="",$B26=""),0,SUMIF('DADOS BRUTOS'!$A$3:$A$500,$B26,'DADOS BRUTOS'!BD$3:BD$500)+IF($C26="",0,SUMIF('DADOS BRUTOS'!$A$3:$A$500,$C26,'DADOS BRUTOS'!BD$3:BD$500)))</f>
        <v/>
      </c>
      <c r="EE26" s="132">
        <f>IF(OR(EE$4="",$B26=""),0,SUMIF('DADOS BRUTOS'!$A$3:$A$500,$B26,'DADOS BRUTOS'!BE$3:BE$500)+IF($C26="",0,SUMIF('DADOS BRUTOS'!$A$3:$A$500,$C26,'DADOS BRUTOS'!BE$3:BE$500)))</f>
        <v/>
      </c>
      <c r="EF26" s="132">
        <f>IF(OR(EF$4="",$B26=""),0,SUMIF('DADOS BRUTOS'!$A$3:$A$500,$B26,'DADOS BRUTOS'!BF$3:BF$500)+IF($C26="",0,SUMIF('DADOS BRUTOS'!$A$3:$A$500,$C26,'DADOS BRUTOS'!BF$3:BF$500)))</f>
        <v/>
      </c>
      <c r="EG26" s="132">
        <f>IF(OR(EG$4="",$B26=""),0,SUMIF('DADOS BRUTOS'!$A$3:$A$500,$B26,'DADOS BRUTOS'!BG$3:BG$500)+IF($C26="",0,SUMIF('DADOS BRUTOS'!$A$3:$A$500,$C26,'DADOS BRUTOS'!BG$3:BG$500)))</f>
        <v/>
      </c>
      <c r="EH26" s="132">
        <f>IF(OR(EH$4="",$B26=""),0,SUMIF('DADOS BRUTOS'!$A$3:$A$500,$B26,'DADOS BRUTOS'!BH$3:BH$500)+IF($C26="",0,SUMIF('DADOS BRUTOS'!$A$3:$A$500,$C26,'DADOS BRUTOS'!BH$3:BH$500)))</f>
        <v/>
      </c>
      <c r="EI26" s="132">
        <f>IF(OR(EI$4="",$B26=""),0,SUMIF('DADOS BRUTOS'!$A$3:$A$500,$B26,'DADOS BRUTOS'!BI$3:BI$500)+IF($C26="",0,SUMIF('DADOS BRUTOS'!$A$3:$A$500,$C26,'DADOS BRUTOS'!BI$3:BI$500)))</f>
        <v/>
      </c>
      <c r="EJ26" s="132">
        <f>IF(OR(EJ$4="",$B26=""),0,SUMIF('DADOS BRUTOS'!$A$3:$A$500,$B26,'DADOS BRUTOS'!BJ$3:BJ$500)+IF($C26="",0,SUMIF('DADOS BRUTOS'!$A$3:$A$500,$C26,'DADOS BRUTOS'!BJ$3:BJ$500)))</f>
        <v/>
      </c>
      <c r="EK26" s="132">
        <f>IF(OR(EK$4="",$B26=""),0,SUMIF('DADOS BRUTOS'!$A$3:$A$500,$B26,'DADOS BRUTOS'!BK$3:BK$500)+IF($C26="",0,SUMIF('DADOS BRUTOS'!$A$3:$A$500,$C26,'DADOS BRUTOS'!BK$3:BK$500)))</f>
        <v/>
      </c>
      <c r="EL26" s="132">
        <f>IF(OR(EL$4="",$B26=""),0,SUMIF('DADOS BRUTOS'!$A$3:$A$500,$B26,'DADOS BRUTOS'!BL$3:BL$500)+IF($C26="",0,SUMIF('DADOS BRUTOS'!$A$3:$A$500,$C26,'DADOS BRUTOS'!BL$3:BL$500)))</f>
        <v/>
      </c>
      <c r="EM26" s="132">
        <f>IF(OR(EM$4="",$B26=""),0,SUMIF('DADOS BRUTOS'!$A$3:$A$500,$B26,'DADOS BRUTOS'!BM$3:BM$500)+IF($C26="",0,SUMIF('DADOS BRUTOS'!$A$3:$A$500,$C26,'DADOS BRUTOS'!BM$3:BM$500)))</f>
        <v/>
      </c>
      <c r="EN26" s="132">
        <f>IF(OR(EN$4="",$B26=""),0,SUMIF('DADOS BRUTOS'!$A$3:$A$500,$B26,'DADOS BRUTOS'!BN$3:BN$500)+IF($C26="",0,SUMIF('DADOS BRUTOS'!$A$3:$A$500,$C26,'DADOS BRUTOS'!BN$3:BN$500)))</f>
        <v/>
      </c>
      <c r="EO26" s="132">
        <f>IF(OR(EO$4="",$B26=""),0,SUMIF('DADOS BRUTOS'!$A$3:$A$500,$B26,'DADOS BRUTOS'!BO$3:BO$500)+IF($C26="",0,SUMIF('DADOS BRUTOS'!$A$3:$A$500,$C26,'DADOS BRUTOS'!BO$3:BO$500)))</f>
        <v/>
      </c>
      <c r="EP26" s="132">
        <f>IF(OR(EP$4="",$B26=""),0,SUMIF('DADOS BRUTOS'!$A$3:$A$500,$B26,'DADOS BRUTOS'!BP$3:BP$500)+IF($C26="",0,SUMIF('DADOS BRUTOS'!$A$3:$A$500,$C26,'DADOS BRUTOS'!BP$3:BP$500)))</f>
        <v/>
      </c>
      <c r="EQ26" s="132">
        <f>IF(OR(EQ$4="",$B26=""),0,SUMIF('DADOS BRUTOS'!$A$3:$A$500,$B26,'DADOS BRUTOS'!BQ$3:BQ$500)+IF($C26="",0,SUMIF('DADOS BRUTOS'!$A$3:$A$500,$C26,'DADOS BRUTOS'!BQ$3:BQ$500)))</f>
        <v/>
      </c>
      <c r="ER26" s="132">
        <f>IF(OR(ER$4="",$B26=""),0,SUMIF('DADOS BRUTOS'!$A$3:$A$500,$B26,'DADOS BRUTOS'!BR$3:BR$500)+IF($C26="",0,SUMIF('DADOS BRUTOS'!$A$3:$A$500,$C26,'DADOS BRUTOS'!BR$3:BR$500)))</f>
        <v/>
      </c>
      <c r="ES26" s="132">
        <f>IF(OR(ES$4="",$B26=""),0,SUMIF('DADOS BRUTOS'!$A$3:$A$500,$B26,'DADOS BRUTOS'!BS$3:BS$500)+IF($C26="",0,SUMIF('DADOS BRUTOS'!$A$3:$A$500,$C26,'DADOS BRUTOS'!BS$3:BS$500)))</f>
        <v/>
      </c>
      <c r="ET26" s="132">
        <f>IF(OR(ET$4="",$B26=""),0,SUMIF('DADOS BRUTOS'!$A$3:$A$500,$B26,'DADOS BRUTOS'!BT$3:BT$500)+IF($C26="",0,SUMIF('DADOS BRUTOS'!$A$3:$A$500,$C26,'DADOS BRUTOS'!BT$3:BT$500)))</f>
        <v/>
      </c>
      <c r="EU26" s="132">
        <f>IF(OR(EU$4="",$B26=""),0,SUMIF('DADOS BRUTOS'!$A$3:$A$500,$B26,'DADOS BRUTOS'!BU$3:BU$500)+IF($C26="",0,SUMIF('DADOS BRUTOS'!$A$3:$A$500,$C26,'DADOS BRUTOS'!BU$3:BU$500)))</f>
        <v/>
      </c>
      <c r="EV26" s="132">
        <f>IF(OR(EV$4="",$B26=""),0,SUMIF('DADOS BRUTOS'!$A$3:$A$500,$B26,'DADOS BRUTOS'!BV$3:BV$500)+IF($C26="",0,SUMIF('DADOS BRUTOS'!$A$3:$A$500,$C26,'DADOS BRUTOS'!BV$3:BV$500)))</f>
        <v/>
      </c>
      <c r="EW26" s="132">
        <f>IF(OR(EW$4="",$B26=""),0,SUMIF('DADOS BRUTOS'!$A$3:$A$500,$B26,'DADOS BRUTOS'!BW$3:BW$500)+IF($C26="",0,SUMIF('DADOS BRUTOS'!$A$3:$A$500,$C26,'DADOS BRUTOS'!BW$3:BW$500)))</f>
        <v/>
      </c>
      <c r="EX26" s="132">
        <f>IF(OR(EX$4="",$B26=""),0,SUMIF('DADOS BRUTOS'!$A$3:$A$500,$B26,'DADOS BRUTOS'!BX$3:BX$500)+IF($C26="",0,SUMIF('DADOS BRUTOS'!$A$3:$A$500,$C26,'DADOS BRUTOS'!BX$3:BX$500)))</f>
        <v/>
      </c>
      <c r="EY26" s="132">
        <f>IF(OR(EY$4="",$B26=""),0,SUMIF('DADOS BRUTOS'!$A$3:$A$500,$B26,'DADOS BRUTOS'!BY$3:BY$500)+IF($C26="",0,SUMIF('DADOS BRUTOS'!$A$3:$A$500,$C26,'DADOS BRUTOS'!BY$3:BY$500)))</f>
        <v/>
      </c>
      <c r="EZ26" s="132">
        <f>IF(OR(EZ$4="",$B26=""),0,SUMIF('DADOS BRUTOS'!$A$3:$A$500,$B26,'DADOS BRUTOS'!BZ$3:BZ$500)+IF($C26="",0,SUMIF('DADOS BRUTOS'!$A$3:$A$500,$C26,'DADOS BRUTOS'!BZ$3:BZ$500)))</f>
        <v/>
      </c>
      <c r="FA26" s="132">
        <f>IF(OR(FA$4="",$B26=""),0,SUMIF('DADOS BRUTOS'!$A$3:$A$500,$B26,'DADOS BRUTOS'!CA$3:CA$500)+IF($C26="",0,SUMIF('DADOS BRUTOS'!$A$3:$A$500,$C26,'DADOS BRUTOS'!CA$3:CA$500)))</f>
        <v/>
      </c>
      <c r="FB26" s="132">
        <f>IF(OR(FB$4="",$B26=""),0,SUMIF('DADOS BRUTOS'!$A$3:$A$500,$B26,'DADOS BRUTOS'!CB$3:CB$500)+IF($C26="",0,SUMIF('DADOS BRUTOS'!$A$3:$A$500,$C26,'DADOS BRUTOS'!CB$3:CB$500)))</f>
        <v/>
      </c>
      <c r="FC26" s="132">
        <f>IF(OR(FC$4="",$B26=""),0,SUMIF('DADOS BRUTOS'!$A$3:$A$500,$B26,'DADOS BRUTOS'!CC$3:CC$500)+IF($C26="",0,SUMIF('DADOS BRUTOS'!$A$3:$A$500,$C26,'DADOS BRUTOS'!CC$3:CC$500)))</f>
        <v/>
      </c>
      <c r="FD26" s="132">
        <f>IF(OR(FD$4="",$B26=""),0,SUMIF('DADOS BRUTOS'!$A$3:$A$500,$B26,'DADOS BRUTOS'!CD$3:CD$500)+IF($C26="",0,SUMIF('DADOS BRUTOS'!$A$3:$A$500,$C26,'DADOS BRUTOS'!CD$3:CD$500)))</f>
        <v/>
      </c>
      <c r="FE26" s="132">
        <f>IF(OR(FE$4="",$B26=""),0,SUMIF('DADOS BRUTOS'!$A$3:$A$500,$B26,'DADOS BRUTOS'!CE$3:CE$500)+IF($C26="",0,SUMIF('DADOS BRUTOS'!$A$3:$A$500,$C26,'DADOS BRUTOS'!CE$3:CE$500)))</f>
        <v/>
      </c>
      <c r="FF26" s="132">
        <f>IF(OR(FF$4="",$B26=""),0,SUMIF('DADOS BRUTOS'!$A$3:$A$500,$B26,'DADOS BRUTOS'!CF$3:CF$500)+IF($C26="",0,SUMIF('DADOS BRUTOS'!$A$3:$A$500,$C26,'DADOS BRUTOS'!CF$3:CF$500)))</f>
        <v/>
      </c>
      <c r="FG26" s="132">
        <f>IF(OR(FG$4="",$B26=""),0,SUMIF('DADOS BRUTOS'!$A$3:$A$500,$B26,'DADOS BRUTOS'!CG$3:CG$500)+IF($C26="",0,SUMIF('DADOS BRUTOS'!$A$3:$A$500,$C26,'DADOS BRUTOS'!CG$3:CG$500)))</f>
        <v/>
      </c>
      <c r="FH26" s="132">
        <f>IF(OR(FH$4="",$B26=""),0,SUMIF('DADOS BRUTOS'!$A$3:$A$500,$B26,'DADOS BRUTOS'!CH$3:CH$500)+IF($C26="",0,SUMIF('DADOS BRUTOS'!$A$3:$A$500,$C26,'DADOS BRUTOS'!CH$3:CH$500)))</f>
        <v/>
      </c>
      <c r="FI26" s="132">
        <f>IF(OR(FI$4="",$B26=""),0,SUMIF('DADOS BRUTOS'!$A$3:$A$500,$B26,'DADOS BRUTOS'!CI$3:CI$500)+IF($C26="",0,SUMIF('DADOS BRUTOS'!$A$3:$A$500,$C26,'DADOS BRUTOS'!CI$3:CI$500)))</f>
        <v/>
      </c>
      <c r="FJ26" s="132">
        <f>IF(OR(FJ$4="",$B26=""),0,SUMIF('DADOS BRUTOS'!$A$3:$A$500,$B26,'DADOS BRUTOS'!CJ$3:CJ$500)+IF($C26="",0,SUMIF('DADOS BRUTOS'!$A$3:$A$500,$C26,'DADOS BRUTOS'!CJ$3:CJ$500)))</f>
        <v/>
      </c>
      <c r="FK26" s="132">
        <f>IF(OR(FK$4="",$B26=""),0,SUMIF('DADOS BRUTOS'!$A$3:$A$500,$B26,'DADOS BRUTOS'!CK$3:CK$500)+IF($C26="",0,SUMIF('DADOS BRUTOS'!$A$3:$A$500,$C26,'DADOS BRUTOS'!CK$3:CK$500)))</f>
        <v/>
      </c>
      <c r="FL26" s="132">
        <f>IF(OR(FL$4="",$B26=""),0,SUMIF('DADOS BRUTOS'!$A$3:$A$500,$B26,'DADOS BRUTOS'!CL$3:CL$500)+IF($C26="",0,SUMIF('DADOS BRUTOS'!$A$3:$A$500,$C26,'DADOS BRUTOS'!CL$3:CL$500)))</f>
        <v/>
      </c>
      <c r="FM26" s="132">
        <f>IF(OR(FM$4="",$B26=""),0,SUMIF('DADOS BRUTOS'!$A$3:$A$500,$B26,'DADOS BRUTOS'!CM$3:CM$500)+IF($C26="",0,SUMIF('DADOS BRUTOS'!$A$3:$A$500,$C26,'DADOS BRUTOS'!CM$3:CM$500)))</f>
        <v/>
      </c>
      <c r="FN26" s="132">
        <f>IF(OR(FN$4="",$B26=""),0,SUMIF('DADOS BRUTOS'!$A$3:$A$500,$B26,'DADOS BRUTOS'!CN$3:CN$500)+IF($C26="",0,SUMIF('DADOS BRUTOS'!$A$3:$A$500,$C26,'DADOS BRUTOS'!CN$3:CN$500)))</f>
        <v/>
      </c>
      <c r="FO26" s="132">
        <f>IF(OR(FO$4="",$B26=""),0,SUMIF('DADOS BRUTOS'!$A$3:$A$500,$B26,'DADOS BRUTOS'!CO$3:CO$500)+IF($C26="",0,SUMIF('DADOS BRUTOS'!$A$3:$A$500,$C26,'DADOS BRUTOS'!CO$3:CO$500)))</f>
        <v/>
      </c>
      <c r="FP26" s="132">
        <f>IF(OR(FP$4="",$B26=""),0,SUMIF('DADOS BRUTOS'!$A$3:$A$500,$B26,'DADOS BRUTOS'!CP$3:CP$500)+IF($C26="",0,SUMIF('DADOS BRUTOS'!$A$3:$A$500,$C26,'DADOS BRUTOS'!CP$3:CP$500)))</f>
        <v/>
      </c>
      <c r="FQ26" s="132">
        <f>IF(OR(FQ$4="",$B26=""),0,SUMIF('DADOS BRUTOS'!$A$3:$A$500,$B26,'DADOS BRUTOS'!CQ$3:CQ$500)+IF($C26="",0,SUMIF('DADOS BRUTOS'!$A$3:$A$500,$C26,'DADOS BRUTOS'!CQ$3:CQ$500)))</f>
        <v/>
      </c>
      <c r="FR26" s="132">
        <f>IF(OR(FR$4="",$B26=""),0,SUMIF('DADOS BRUTOS'!$A$3:$A$500,$B26,'DADOS BRUTOS'!CR$3:CR$500)+IF($C26="",0,SUMIF('DADOS BRUTOS'!$A$3:$A$500,$C26,'DADOS BRUTOS'!CR$3:CR$500)))</f>
        <v/>
      </c>
      <c r="FS26" s="132">
        <f>IF(OR(FS$4="",$B26=""),0,SUMIF('DADOS BRUTOS'!$A$3:$A$500,$B26,'DADOS BRUTOS'!CS$3:CS$500)+IF($C26="",0,SUMIF('DADOS BRUTOS'!$A$3:$A$500,$C26,'DADOS BRUTOS'!CS$3:CS$500)))</f>
        <v/>
      </c>
      <c r="FT26" s="132">
        <f>IF(OR(FT$4="",$B26=""),0,SUMIF('DADOS BRUTOS'!$A$3:$A$500,$B26,'DADOS BRUTOS'!CT$3:CT$500)+IF($C26="",0,SUMIF('DADOS BRUTOS'!$A$3:$A$500,$C26,'DADOS BRUTOS'!CT$3:CT$500)))</f>
        <v/>
      </c>
      <c r="FU26" s="132">
        <f>IF(OR(FU$4="",$B26=""),0,SUMIF('DADOS BRUTOS'!$A$3:$A$500,$B26,'DADOS BRUTOS'!CU$3:CU$500)+IF($C26="",0,SUMIF('DADOS BRUTOS'!$A$3:$A$500,$C26,'DADOS BRUTOS'!CU$3:CU$500)))</f>
        <v/>
      </c>
      <c r="FV26" s="132">
        <f>IF(OR(FV$4="",$B26=""),0,SUMIF('DADOS BRUTOS'!$A$3:$A$500,$B26,'DADOS BRUTOS'!CV$3:CV$500)+IF($C26="",0,SUMIF('DADOS BRUTOS'!$A$3:$A$500,$C26,'DADOS BRUTOS'!CV$3:CV$500)))</f>
        <v/>
      </c>
      <c r="FW26" s="132">
        <f>IF(OR(FW$4="",$B26=""),0,SUMIF('DADOS BRUTOS'!$A$3:$A$500,$B26,'DADOS BRUTOS'!CW$3:CW$500)+IF($C26="",0,SUMIF('DADOS BRUTOS'!$A$3:$A$500,$C26,'DADOS BRUTOS'!CW$3:CW$500)))</f>
        <v/>
      </c>
      <c r="FX26" s="132">
        <f>IF(OR(FX$4="",$B26=""),0,SUMIF('DADOS BRUTOS'!$A$3:$A$500,$B26,'DADOS BRUTOS'!CX$3:CX$500)+IF($C26="",0,SUMIF('DADOS BRUTOS'!$A$3:$A$500,$C26,'DADOS BRUTOS'!CX$3:CX$500)))</f>
        <v/>
      </c>
      <c r="FY26" s="132">
        <f>IF(OR(FY$4="",$B26=""),0,SUMIF('DADOS BRUTOS'!$A$3:$A$500,$B26,'DADOS BRUTOS'!CY$3:CY$500)+IF($C26="",0,SUMIF('DADOS BRUTOS'!$A$3:$A$500,$C26,'DADOS BRUTOS'!CY$3:CY$500)))</f>
        <v/>
      </c>
      <c r="FZ26" s="132">
        <f>IF(OR(FZ$4="",$B26=""),0,SUMIF('DADOS BRUTOS'!$A$3:$A$500,$B26,'DADOS BRUTOS'!CZ$3:CZ$500)+IF($C26="",0,SUMIF('DADOS BRUTOS'!$A$3:$A$500,$C26,'DADOS BRUTOS'!CZ$3:CZ$500)))</f>
        <v/>
      </c>
      <c r="GA26" s="132">
        <f>IF(OR(GA$4="",$B26=""),0,SUMIF('DADOS BRUTOS'!$A$3:$A$500,$B26,'DADOS BRUTOS'!DA$3:DA$500)+IF($C26="",0,SUMIF('DADOS BRUTOS'!$A$3:$A$500,$C26,'DADOS BRUTOS'!DA$3:DA$500)))</f>
        <v/>
      </c>
      <c r="GB26" s="132">
        <f>IF(OR(GB$4="",$B26=""),0,SUMIF('DADOS BRUTOS'!$A$3:$A$500,$B26,'DADOS BRUTOS'!DB$3:DB$500)+IF($C26="",0,SUMIF('DADOS BRUTOS'!$A$3:$A$500,$C26,'DADOS BRUTOS'!DB$3:DB$500)))</f>
        <v/>
      </c>
      <c r="GC26" s="132">
        <f>IF(OR(GC$4="",$B26=""),0,SUMIF('DADOS BRUTOS'!$A$3:$A$500,$B26,'DADOS BRUTOS'!DC$3:DC$500)+IF($C26="",0,SUMIF('DADOS BRUTOS'!$A$3:$A$500,$C26,'DADOS BRUTOS'!DC$3:DC$500)))</f>
        <v/>
      </c>
      <c r="GD26" s="132">
        <f>IF(OR(GD$4="",$B26=""),0,SUMIF('DADOS BRUTOS'!$A$3:$A$500,$B26,'DADOS BRUTOS'!DD$3:DD$500)+IF($C26="",0,SUMIF('DADOS BRUTOS'!$A$3:$A$500,$C26,'DADOS BRUTOS'!DD$3:DD$500)))</f>
        <v/>
      </c>
      <c r="GE26" s="132">
        <f>IF(OR(GE$4="",$B26=""),0,SUMIF('DADOS BRUTOS'!$A$3:$A$500,$B26,'DADOS BRUTOS'!DE$3:DE$500)+IF($C26="",0,SUMIF('DADOS BRUTOS'!$A$3:$A$500,$C26,'DADOS BRUTOS'!DE$3:DE$500)))</f>
        <v/>
      </c>
      <c r="GF26" s="132">
        <f>IF(OR(GF$4="",$B26=""),0,SUMIF('DADOS BRUTOS'!$A$3:$A$500,$B26,'DADOS BRUTOS'!DF$3:DF$500)+IF($C26="",0,SUMIF('DADOS BRUTOS'!$A$3:$A$500,$C26,'DADOS BRUTOS'!DF$3:DF$500)))</f>
        <v/>
      </c>
      <c r="GG26" s="132">
        <f>IF(OR(GG$4="",$B26=""),0,SUMIF('DADOS BRUTOS'!$A$3:$A$500,$B26,'DADOS BRUTOS'!DG$3:DG$500)+IF($C26="",0,SUMIF('DADOS BRUTOS'!$A$3:$A$500,$C26,'DADOS BRUTOS'!DG$3:DG$500)))</f>
        <v/>
      </c>
      <c r="GH26" s="132">
        <f>IF(OR(GH$4="",$B26=""),0,SUMIF('DADOS BRUTOS'!$A$3:$A$500,$B26,'DADOS BRUTOS'!DH$3:DH$500)+IF($C26="",0,SUMIF('DADOS BRUTOS'!$A$3:$A$500,$C26,'DADOS BRUTOS'!DH$3:DH$500)))</f>
        <v/>
      </c>
      <c r="GI26" s="132">
        <f>IF(OR(GI$4="",$B26=""),0,SUMIF('DADOS BRUTOS'!$A$3:$A$500,$B26,'DADOS BRUTOS'!DI$3:DI$500)+IF($C26="",0,SUMIF('DADOS BRUTOS'!$A$3:$A$500,$C26,'DADOS BRUTOS'!DI$3:DI$500)))</f>
        <v/>
      </c>
      <c r="GJ26" s="132">
        <f>IF(OR(GJ$4="",$B26=""),0,SUMIF('DADOS BRUTOS'!$A$3:$A$500,$B26,'DADOS BRUTOS'!DJ$3:DJ$500)+IF($C26="",0,SUMIF('DADOS BRUTOS'!$A$3:$A$500,$C26,'DADOS BRUTOS'!DJ$3:DJ$500)))</f>
        <v/>
      </c>
      <c r="GK26" s="132">
        <f>IF(OR(GK$4="",$B26=""),0,SUMIF('DADOS BRUTOS'!$A$3:$A$500,$B26,'DADOS BRUTOS'!DK$3:DK$500)+IF($C26="",0,SUMIF('DADOS BRUTOS'!$A$3:$A$500,$C26,'DADOS BRUTOS'!DK$3:DK$500)))</f>
        <v/>
      </c>
      <c r="GL26" s="132">
        <f>IF(OR(GL$4="",$B26=""),0,SUMIF('DADOS BRUTOS'!$A$3:$A$500,$B26,'DADOS BRUTOS'!DL$3:DL$500)+IF($C26="",0,SUMIF('DADOS BRUTOS'!$A$3:$A$500,$C26,'DADOS BRUTOS'!DL$3:DL$500)))</f>
        <v/>
      </c>
      <c r="GM26" s="132">
        <f>IF(OR(GM$4="",$B26=""),0,SUMIF('DADOS BRUTOS'!$A$3:$A$500,$B26,'DADOS BRUTOS'!DM$3:DM$500)+IF($C26="",0,SUMIF('DADOS BRUTOS'!$A$3:$A$500,$C26,'DADOS BRUTOS'!DM$3:DM$500)))</f>
        <v/>
      </c>
      <c r="GN26" s="132">
        <f>IF(OR(GN$4="",$B26=""),0,SUMIF('DADOS BRUTOS'!$A$3:$A$500,$B26,'DADOS BRUTOS'!DN$3:DN$500)+IF($C26="",0,SUMIF('DADOS BRUTOS'!$A$3:$A$500,$C26,'DADOS BRUTOS'!DN$3:DN$500)))</f>
        <v/>
      </c>
      <c r="GO26" s="132">
        <f>IF(OR(GO$4="",$B26=""),0,SUMIF('DADOS BRUTOS'!$A$3:$A$500,$B26,'DADOS BRUTOS'!DO$3:DO$500)+IF($C26="",0,SUMIF('DADOS BRUTOS'!$A$3:$A$500,$C26,'DADOS BRUTOS'!DO$3:DO$500)))</f>
        <v/>
      </c>
      <c r="GP26" s="132">
        <f>IF(OR(GP$4="",$B26=""),0,SUMIF('DADOS BRUTOS'!$A$3:$A$500,$B26,'DADOS BRUTOS'!DP$3:DP$500)+IF($C26="",0,SUMIF('DADOS BRUTOS'!$A$3:$A$500,$C26,'DADOS BRUTOS'!DP$3:DP$500)))</f>
        <v/>
      </c>
      <c r="GQ26" s="132">
        <f>IF(OR(GQ$4="",$B26=""),0,SUMIF('DADOS BRUTOS'!$A$3:$A$500,$B26,'DADOS BRUTOS'!DQ$3:DQ$500)+IF($C26="",0,SUMIF('DADOS BRUTOS'!$A$3:$A$500,$C26,'DADOS BRUTOS'!DQ$3:DQ$500)))</f>
        <v/>
      </c>
      <c r="GR26" s="132">
        <f>IF(OR(GR$4="",$B26=""),0,SUMIF('DADOS BRUTOS'!$A$3:$A$500,$B26,'DADOS BRUTOS'!DR$3:DR$500)+IF($C26="",0,SUMIF('DADOS BRUTOS'!$A$3:$A$500,$C26,'DADOS BRUTOS'!DR$3:DR$500)))</f>
        <v/>
      </c>
      <c r="GS26" s="132">
        <f>IF(OR(GS$4="",$B26=""),0,SUMIF('DADOS BRUTOS'!$A$3:$A$500,$B26,'DADOS BRUTOS'!DS$3:DS$500)+IF($C26="",0,SUMIF('DADOS BRUTOS'!$A$3:$A$500,$C26,'DADOS BRUTOS'!DS$3:DS$500)))</f>
        <v/>
      </c>
      <c r="GT26" s="132">
        <f>IF(OR(GT$4="",$B26=""),0,SUMIF('DADOS BRUTOS'!$A$3:$A$500,$B26,'DADOS BRUTOS'!DT$3:DT$500)+IF($C26="",0,SUMIF('DADOS BRUTOS'!$A$3:$A$500,$C26,'DADOS BRUTOS'!DT$3:DT$500)))</f>
        <v/>
      </c>
      <c r="GU26" s="132">
        <f>IF(OR(GU$4="",$B26=""),0,SUMIF('DADOS BRUTOS'!$A$3:$A$500,$B26,'DADOS BRUTOS'!DU$3:DU$500)+IF($C26="",0,SUMIF('DADOS BRUTOS'!$A$3:$A$500,$C26,'DADOS BRUTOS'!DU$3:DU$500)))</f>
        <v/>
      </c>
      <c r="GV26" s="132">
        <f>IF(OR(GV$4="",$B26=""),0,SUMIF('DADOS BRUTOS'!$A$3:$A$500,$B26,'DADOS BRUTOS'!DV$3:DV$500)+IF($C26="",0,SUMIF('DADOS BRUTOS'!$A$3:$A$500,$C26,'DADOS BRUTOS'!DV$3:DV$500)))</f>
        <v/>
      </c>
      <c r="GW26" s="132">
        <f>IF(OR(GW$4="",$B26=""),0,SUMIF('DADOS BRUTOS'!$A$3:$A$500,$B26,'DADOS BRUTOS'!DW$3:DW$500)+IF($C26="",0,SUMIF('DADOS BRUTOS'!$A$3:$A$500,$C26,'DADOS BRUTOS'!DW$3:DW$500)))</f>
        <v/>
      </c>
      <c r="GX26" s="132">
        <f>IF(OR(GX$4="",$B26=""),0,SUMIF('DADOS BRUTOS'!$A$3:$A$500,$B26,'DADOS BRUTOS'!DX$3:DX$500)+IF($C26="",0,SUMIF('DADOS BRUTOS'!$A$3:$A$500,$C26,'DADOS BRUTOS'!DX$3:DX$500)))</f>
        <v/>
      </c>
      <c r="GY26" s="132">
        <f>IF(OR(GY$4="",$B26=""),0,SUMIF('DADOS BRUTOS'!$A$3:$A$500,$B26,'DADOS BRUTOS'!DY$3:DY$500)+IF($C26="",0,SUMIF('DADOS BRUTOS'!$A$3:$A$500,$C26,'DADOS BRUTOS'!DY$3:DY$500)))</f>
        <v/>
      </c>
      <c r="GZ26" s="132">
        <f>IF(OR(GZ$4="",$B26=""),0,SUMIF('DADOS BRUTOS'!$A$3:$A$500,$B26,'DADOS BRUTOS'!DZ$3:DZ$500)+IF($C26="",0,SUMIF('DADOS BRUTOS'!$A$3:$A$500,$C26,'DADOS BRUTOS'!DZ$3:DZ$500)))</f>
        <v/>
      </c>
      <c r="HA26" s="132">
        <f>IF(OR(HA$4="",$B26=""),0,SUMIF('DADOS BRUTOS'!$A$3:$A$500,$B26,'DADOS BRUTOS'!EA$3:EA$500)+IF($C26="",0,SUMIF('DADOS BRUTOS'!$A$3:$A$500,$C26,'DADOS BRUTOS'!EA$3:EA$500)))</f>
        <v/>
      </c>
      <c r="HB26" s="132">
        <f>IF(OR(HB$4="",$B26=""),0,SUMIF('DADOS BRUTOS'!$A$3:$A$500,$B26,'DADOS BRUTOS'!EB$3:EB$500)+IF($C26="",0,SUMIF('DADOS BRUTOS'!$A$3:$A$500,$C26,'DADOS BRUTOS'!EB$3:EB$500)))</f>
        <v/>
      </c>
      <c r="HC26" s="132">
        <f>IF(OR(HC$4="",$B26=""),0,SUMIF('DADOS BRUTOS'!$A$3:$A$500,$B26,'DADOS BRUTOS'!EC$3:EC$500)+IF($C26="",0,SUMIF('DADOS BRUTOS'!$A$3:$A$500,$C26,'DADOS BRUTOS'!EC$3:EC$500)))</f>
        <v/>
      </c>
      <c r="HD26" s="132">
        <f>IF(OR(HD$4="",$B26=""),0,SUMIF('DADOS BRUTOS'!$A$3:$A$500,$B26,'DADOS BRUTOS'!ED$3:ED$500)+IF($C26="",0,SUMIF('DADOS BRUTOS'!$A$3:$A$500,$C26,'DADOS BRUTOS'!ED$3:ED$500)))</f>
        <v/>
      </c>
      <c r="HE26" s="132">
        <f>IF(OR(HE$4="",$B26=""),0,SUMIF('DADOS BRUTOS'!$A$3:$A$500,$B26,'DADOS BRUTOS'!EE$3:EE$500)+IF($C26="",0,SUMIF('DADOS BRUTOS'!$A$3:$A$500,$C26,'DADOS BRUTOS'!EE$3:EE$500)))</f>
        <v/>
      </c>
      <c r="HF26" s="132">
        <f>IF(OR(HF$4="",$B26=""),0,SUMIF('DADOS BRUTOS'!$A$3:$A$500,$B26,'DADOS BRUTOS'!EF$3:EF$500)+IF($C26="",0,SUMIF('DADOS BRUTOS'!$A$3:$A$500,$C26,'DADOS BRUTOS'!EF$3:EF$500)))</f>
        <v/>
      </c>
      <c r="HG26" s="132">
        <f>IF(OR(HG$4="",$B26=""),0,SUMIF('DADOS BRUTOS'!$A$3:$A$500,$B26,'DADOS BRUTOS'!EG$3:EG$500)+IF($C26="",0,SUMIF('DADOS BRUTOS'!$A$3:$A$500,$C26,'DADOS BRUTOS'!EG$3:EG$500)))</f>
        <v/>
      </c>
      <c r="HH26" s="132">
        <f>IF(OR(HH$4="",$B26=""),0,SUMIF('DADOS BRUTOS'!$A$3:$A$500,$B26,'DADOS BRUTOS'!EH$3:EH$500)+IF($C26="",0,SUMIF('DADOS BRUTOS'!$A$3:$A$500,$C26,'DADOS BRUTOS'!EH$3:EH$500)))</f>
        <v/>
      </c>
      <c r="HI26" s="132">
        <f>IF(OR(HI$4="",$B26=""),0,SUMIF('DADOS BRUTOS'!$A$3:$A$500,$B26,'DADOS BRUTOS'!EI$3:EI$500)+IF($C26="",0,SUMIF('DADOS BRUTOS'!$A$3:$A$500,$C26,'DADOS BRUTOS'!EI$3:EI$500)))</f>
        <v/>
      </c>
      <c r="HJ26" s="132">
        <f>IF(OR(HJ$4="",$B26=""),0,SUMIF('DADOS BRUTOS'!$A$3:$A$500,$B26,'DADOS BRUTOS'!EJ$3:EJ$500)+IF($C26="",0,SUMIF('DADOS BRUTOS'!$A$3:$A$500,$C26,'DADOS BRUTOS'!EJ$3:EJ$500)))</f>
        <v/>
      </c>
      <c r="HK26" s="132">
        <f>IF(OR(HK$4="",$B26=""),0,SUMIF('DADOS BRUTOS'!$A$3:$A$500,$B26,'DADOS BRUTOS'!EK$3:EK$500)+IF($C26="",0,SUMIF('DADOS BRUTOS'!$A$3:$A$500,$C26,'DADOS BRUTOS'!EK$3:EK$500)))</f>
        <v/>
      </c>
      <c r="HL26" s="132">
        <f>IF(OR(HL$4="",$B26=""),0,SUMIF('DADOS BRUTOS'!$A$3:$A$500,$B26,'DADOS BRUTOS'!EL$3:EL$500)+IF($C26="",0,SUMIF('DADOS BRUTOS'!$A$3:$A$500,$C26,'DADOS BRUTOS'!EL$3:EL$500)))</f>
        <v/>
      </c>
      <c r="HM26" s="132">
        <f>IF(OR(HM$4="",$B26=""),0,SUMIF('DADOS BRUTOS'!$A$3:$A$500,$B26,'DADOS BRUTOS'!EM$3:EM$500)+IF($C26="",0,SUMIF('DADOS BRUTOS'!$A$3:$A$500,$C26,'DADOS BRUTOS'!EM$3:EM$500)))</f>
        <v/>
      </c>
      <c r="HN26" s="132">
        <f>IF(OR(HN$4="",$B26=""),0,SUMIF('DADOS BRUTOS'!$A$3:$A$500,$B26,'DADOS BRUTOS'!EN$3:EN$500)+IF($C26="",0,SUMIF('DADOS BRUTOS'!$A$3:$A$500,$C26,'DADOS BRUTOS'!EN$3:EN$500)))</f>
        <v/>
      </c>
      <c r="HO26" s="132">
        <f>IF(OR(HO$4="",$B26=""),0,SUMIF('DADOS BRUTOS'!$A$3:$A$500,$B26,'DADOS BRUTOS'!EO$3:EO$500)+IF($C26="",0,SUMIF('DADOS BRUTOS'!$A$3:$A$500,$C26,'DADOS BRUTOS'!EO$3:EO$500)))</f>
        <v/>
      </c>
      <c r="HP26" s="132">
        <f>IF(OR(HP$4="",$B26=""),0,SUMIF('DADOS BRUTOS'!$A$3:$A$500,$B26,'DADOS BRUTOS'!EP$3:EP$500)+IF($C26="",0,SUMIF('DADOS BRUTOS'!$A$3:$A$500,$C26,'DADOS BRUTOS'!EP$3:EP$500)))</f>
        <v/>
      </c>
      <c r="HQ26" s="132">
        <f>IF(OR(HQ$4="",$B26=""),0,SUMIF('DADOS BRUTOS'!$A$3:$A$500,$B26,'DADOS BRUTOS'!EQ$3:EQ$500)+IF($C26="",0,SUMIF('DADOS BRUTOS'!$A$3:$A$500,$C26,'DADOS BRUTOS'!EQ$3:EQ$500)))</f>
        <v/>
      </c>
      <c r="HR26" s="132">
        <f>IF(OR(HR$4="",$B26=""),0,SUMIF('DADOS BRUTOS'!$A$3:$A$500,$B26,'DADOS BRUTOS'!ER$3:ER$500)+IF($C26="",0,SUMIF('DADOS BRUTOS'!$A$3:$A$500,$C26,'DADOS BRUTOS'!ER$3:ER$500)))</f>
        <v/>
      </c>
      <c r="HS26" s="132">
        <f>IF(OR(HS$4="",$B26=""),0,SUMIF('DADOS BRUTOS'!$A$3:$A$500,$B26,'DADOS BRUTOS'!ES$3:ES$500)+IF($C26="",0,SUMIF('DADOS BRUTOS'!$A$3:$A$500,$C26,'DADOS BRUTOS'!ES$3:ES$500)))</f>
        <v/>
      </c>
      <c r="HT26" s="132">
        <f>IF(OR(HT$4="",$B26=""),0,SUMIF('DADOS BRUTOS'!$A$3:$A$500,$B26,'DADOS BRUTOS'!ET$3:ET$500)+IF($C26="",0,SUMIF('DADOS BRUTOS'!$A$3:$A$500,$C26,'DADOS BRUTOS'!ET$3:ET$500)))</f>
        <v/>
      </c>
      <c r="HU26" s="132">
        <f>IF(OR(HU$4="",$B26=""),0,SUMIF('DADOS BRUTOS'!$A$3:$A$500,$B26,'DADOS BRUTOS'!EU$3:EU$500)+IF($C26="",0,SUMIF('DADOS BRUTOS'!$A$3:$A$500,$C26,'DADOS BRUTOS'!EU$3:EU$500)))</f>
        <v/>
      </c>
      <c r="HV26" s="132">
        <f>IF(OR(HV$4="",$B26=""),0,SUMIF('DADOS BRUTOS'!$A$3:$A$500,$B26,'DADOS BRUTOS'!EV$3:EV$500)+IF($C26="",0,SUMIF('DADOS BRUTOS'!$A$3:$A$500,$C26,'DADOS BRUTOS'!EV$3:EV$500)))</f>
        <v/>
      </c>
      <c r="HW26" s="132">
        <f>IF(OR(HW$4="",$B26=""),0,SUMIF('DADOS BRUTOS'!$A$3:$A$500,$B26,'DADOS BRUTOS'!EW$3:EW$500)+IF($C26="",0,SUMIF('DADOS BRUTOS'!$A$3:$A$500,$C26,'DADOS BRUTOS'!EW$3:EW$500)))</f>
        <v/>
      </c>
      <c r="HX26" s="132">
        <f>IF(OR(HX$4="",$B26=""),0,SUMIF('DADOS BRUTOS'!$A$3:$A$500,$B26,'DADOS BRUTOS'!EX$3:EX$500)+IF($C26="",0,SUMIF('DADOS BRUTOS'!$A$3:$A$500,$C26,'DADOS BRUTOS'!EX$3:EX$500)))</f>
        <v/>
      </c>
      <c r="HY26" s="132">
        <f>IF(OR(HY$4="",$B26=""),0,SUMIF('DADOS BRUTOS'!$A$3:$A$500,$B26,'DADOS BRUTOS'!EY$3:EY$500)+IF($C26="",0,SUMIF('DADOS BRUTOS'!$A$3:$A$500,$C26,'DADOS BRUTOS'!EY$3:EY$500)))</f>
        <v/>
      </c>
      <c r="HZ26" s="132">
        <f>IF(OR(HZ$4="",$B26=""),0,SUMIF('DADOS BRUTOS'!$A$3:$A$500,$B26,'DADOS BRUTOS'!EZ$3:EZ$500)+IF($C26="",0,SUMIF('DADOS BRUTOS'!$A$3:$A$500,$C26,'DADOS BRUTOS'!EZ$3:EZ$500)))</f>
        <v/>
      </c>
      <c r="IA26" s="132">
        <f>IF(OR(IA$4="",$B26=""),0,SUMIF('DADOS BRUTOS'!$A$3:$A$500,$B26,'DADOS BRUTOS'!FA$3:FA$500)+IF($C26="",0,SUMIF('DADOS BRUTOS'!$A$3:$A$500,$C26,'DADOS BRUTOS'!FA$3:FA$500)))</f>
        <v/>
      </c>
      <c r="IB26" s="132">
        <f>IF(OR(IB$4="",$B26=""),0,SUMIF('DADOS BRUTOS'!$A$3:$A$500,$B26,'DADOS BRUTOS'!FB$3:FB$500)+IF($C26="",0,SUMIF('DADOS BRUTOS'!$A$3:$A$500,$C26,'DADOS BRUTOS'!FB$3:FB$500)))</f>
        <v/>
      </c>
      <c r="IC26" s="132">
        <f>IF(OR(IC$4="",$B26=""),0,SUMIF('DADOS BRUTOS'!$A$3:$A$500,$B26,'DADOS BRUTOS'!FC$3:FC$500)+IF($C26="",0,SUMIF('DADOS BRUTOS'!$A$3:$A$500,$C26,'DADOS BRUTOS'!FC$3:FC$500)))</f>
        <v/>
      </c>
      <c r="ID26" s="132">
        <f>IF(OR(ID$4="",$B26=""),0,SUMIF('DADOS BRUTOS'!$A$3:$A$500,$B26,'DADOS BRUTOS'!FD$3:FD$500)+IF($C26="",0,SUMIF('DADOS BRUTOS'!$A$3:$A$500,$C26,'DADOS BRUTOS'!FD$3:FD$500)))</f>
        <v/>
      </c>
      <c r="IE26" s="132">
        <f>IF(OR(IE$4="",$B26=""),0,SUMIF('DADOS BRUTOS'!$A$3:$A$500,$B26,'DADOS BRUTOS'!FE$3:FE$500)+IF($C26="",0,SUMIF('DADOS BRUTOS'!$A$3:$A$500,$C26,'DADOS BRUTOS'!FE$3:FE$500)))</f>
        <v/>
      </c>
      <c r="IF26" s="132">
        <f>IF(OR(IF$4="",$B26=""),0,SUMIF('DADOS BRUTOS'!$A$3:$A$500,$B26,'DADOS BRUTOS'!FF$3:FF$500)+IF($C26="",0,SUMIF('DADOS BRUTOS'!$A$3:$A$500,$C26,'DADOS BRUTOS'!FF$3:FF$500)))</f>
        <v/>
      </c>
      <c r="IG26" s="132">
        <f>IF(OR(IG$4="",$B26=""),0,SUMIF('DADOS BRUTOS'!$A$3:$A$500,$B26,'DADOS BRUTOS'!FG$3:FG$500)+IF($C26="",0,SUMIF('DADOS BRUTOS'!$A$3:$A$500,$C26,'DADOS BRUTOS'!FG$3:FG$500)))</f>
        <v/>
      </c>
      <c r="IH26" s="132">
        <f>IF(OR(IH$4="",$B26=""),0,SUMIF('DADOS BRUTOS'!$A$3:$A$500,$B26,'DADOS BRUTOS'!FH$3:FH$500)+IF($C26="",0,SUMIF('DADOS BRUTOS'!$A$3:$A$500,$C26,'DADOS BRUTOS'!FH$3:FH$500)))</f>
        <v/>
      </c>
      <c r="II26" s="132">
        <f>IF(OR(II$4="",$B26=""),0,SUMIF('DADOS BRUTOS'!$A$3:$A$500,$B26,'DADOS BRUTOS'!FI$3:FI$500)+IF($C26="",0,SUMIF('DADOS BRUTOS'!$A$3:$A$500,$C26,'DADOS BRUTOS'!FI$3:FI$500)))</f>
        <v/>
      </c>
      <c r="IJ26" s="132">
        <f>IF(OR(IJ$4="",$B26=""),0,SUMIF('DADOS BRUTOS'!$A$3:$A$500,$B26,'DADOS BRUTOS'!FJ$3:FJ$500)+IF($C26="",0,SUMIF('DADOS BRUTOS'!$A$3:$A$500,$C26,'DADOS BRUTOS'!FJ$3:FJ$500)))</f>
        <v/>
      </c>
      <c r="IK26" s="132">
        <f>IF(OR(IK$4="",$B26=""),0,SUMIF('DADOS BRUTOS'!$A$3:$A$500,$B26,'DADOS BRUTOS'!FK$3:FK$500)+IF($C26="",0,SUMIF('DADOS BRUTOS'!$A$3:$A$500,$C26,'DADOS BRUTOS'!FK$3:FK$500)))</f>
        <v/>
      </c>
      <c r="IL26" s="132">
        <f>IF(OR(IL$4="",$B26=""),0,SUMIF('DADOS BRUTOS'!$A$3:$A$500,$B26,'DADOS BRUTOS'!FL$3:FL$500)+IF($C26="",0,SUMIF('DADOS BRUTOS'!$A$3:$A$500,$C26,'DADOS BRUTOS'!FL$3:FL$500)))</f>
        <v/>
      </c>
      <c r="IM26" s="132">
        <f>IF(OR(IM$4="",$B26=""),0,SUMIF('DADOS BRUTOS'!$A$3:$A$500,$B26,'DADOS BRUTOS'!FM$3:FM$500)+IF($C26="",0,SUMIF('DADOS BRUTOS'!$A$3:$A$500,$C26,'DADOS BRUTOS'!FM$3:FM$500)))</f>
        <v/>
      </c>
      <c r="IN26" s="132">
        <f>IF(OR(IN$4="",$B26=""),0,SUMIF('DADOS BRUTOS'!$A$3:$A$500,$B26,'DADOS BRUTOS'!FN$3:FN$500)+IF($C26="",0,SUMIF('DADOS BRUTOS'!$A$3:$A$500,$C26,'DADOS BRUTOS'!FN$3:FN$500)))</f>
        <v/>
      </c>
      <c r="IO26" s="132">
        <f>IF(OR(IO$4="",$B26=""),0,SUMIF('DADOS BRUTOS'!$A$3:$A$500,$B26,'DADOS BRUTOS'!FO$3:FO$500)+IF($C26="",0,SUMIF('DADOS BRUTOS'!$A$3:$A$500,$C26,'DADOS BRUTOS'!FO$3:FO$500)))</f>
        <v/>
      </c>
      <c r="IP26" s="132">
        <f>IF(OR(IP$4="",$B26=""),0,SUMIF('DADOS BRUTOS'!$A$3:$A$500,$B26,'DADOS BRUTOS'!FP$3:FP$500)+IF($C26="",0,SUMIF('DADOS BRUTOS'!$A$3:$A$500,$C26,'DADOS BRUTOS'!FP$3:FP$500)))</f>
        <v/>
      </c>
      <c r="IQ26" s="132">
        <f>IF(OR(IQ$4="",$B26=""),0,SUMIF('DADOS BRUTOS'!$A$3:$A$500,$B26,'DADOS BRUTOS'!FQ$3:FQ$500)+IF($C26="",0,SUMIF('DADOS BRUTOS'!$A$3:$A$500,$C26,'DADOS BRUTOS'!FQ$3:FQ$500)))</f>
        <v/>
      </c>
      <c r="IR26" s="132">
        <f>IF(OR(IR$4="",$B26=""),0,SUMIF('DADOS BRUTOS'!$A$3:$A$500,$B26,'DADOS BRUTOS'!FR$3:FR$500)+IF($C26="",0,SUMIF('DADOS BRUTOS'!$A$3:$A$500,$C26,'DADOS BRUTOS'!FR$3:FR$500)))</f>
        <v/>
      </c>
      <c r="IS26" s="132">
        <f>IF(OR(IS$4="",$B26=""),0,SUMIF('DADOS BRUTOS'!$A$3:$A$500,$B26,'DADOS BRUTOS'!FS$3:FS$500)+IF($C26="",0,SUMIF('DADOS BRUTOS'!$A$3:$A$500,$C26,'DADOS BRUTOS'!FS$3:FS$500)))</f>
        <v/>
      </c>
      <c r="IT26" s="132">
        <f>IF(OR(IT$4="",$B26=""),0,SUMIF('DADOS BRUTOS'!$A$3:$A$500,$B26,'DADOS BRUTOS'!FT$3:FT$500)+IF($C26="",0,SUMIF('DADOS BRUTOS'!$A$3:$A$500,$C26,'DADOS BRUTOS'!FT$3:FT$500)))</f>
        <v/>
      </c>
      <c r="IU26" s="132">
        <f>IF(OR(IU$4="",$B26=""),0,SUMIF('DADOS BRUTOS'!$A$3:$A$500,$B26,'DADOS BRUTOS'!FU$3:FU$500)+IF($C26="",0,SUMIF('DADOS BRUTOS'!$A$3:$A$500,$C26,'DADOS BRUTOS'!FU$3:FU$500)))</f>
        <v/>
      </c>
      <c r="IV26" s="132">
        <f>IF(OR(IV$4="",$B26=""),0,SUMIF('DADOS BRUTOS'!$A$3:$A$500,$B26,'DADOS BRUTOS'!FV$3:FV$500)+IF($C26="",0,SUMIF('DADOS BRUTOS'!$A$3:$A$500,$C26,'DADOS BRUTOS'!FV$3:FV$500)))</f>
        <v/>
      </c>
      <c r="IW26" s="132">
        <f>IF(OR(IW$4="",$B26=""),0,SUMIF('DADOS BRUTOS'!$A$3:$A$500,$B26,'DADOS BRUTOS'!FW$3:FW$500)+IF($C26="",0,SUMIF('DADOS BRUTOS'!$A$3:$A$500,$C26,'DADOS BRUTOS'!FW$3:FW$500)))</f>
        <v/>
      </c>
      <c r="IX26" s="132">
        <f>IF(OR(IX$4="",$B26=""),0,SUMIF('DADOS BRUTOS'!$A$3:$A$500,$B26,'DADOS BRUTOS'!FX$3:FX$500)+IF($C26="",0,SUMIF('DADOS BRUTOS'!$A$3:$A$500,$C26,'DADOS BRUTOS'!FX$3:FX$500)))</f>
        <v/>
      </c>
      <c r="IY26" s="132">
        <f>IF(OR(IY$4="",$B26=""),0,SUMIF('DADOS BRUTOS'!$A$3:$A$500,$B26,'DADOS BRUTOS'!FY$3:FY$500)+IF($C26="",0,SUMIF('DADOS BRUTOS'!$A$3:$A$500,$C26,'DADOS BRUTOS'!FY$3:FY$500)))</f>
        <v/>
      </c>
      <c r="IZ26" s="132">
        <f>IF(OR(IZ$4="",$B26=""),0,SUMIF('DADOS BRUTOS'!$A$3:$A$500,$B26,'DADOS BRUTOS'!FZ$3:FZ$500)+IF($C26="",0,SUMIF('DADOS BRUTOS'!$A$3:$A$500,$C26,'DADOS BRUTOS'!FZ$3:FZ$500)))</f>
        <v/>
      </c>
      <c r="JA26" s="132">
        <f>IF(OR(JA$4="",$B26=""),0,SUMIF('DADOS BRUTOS'!$A$3:$A$500,$B26,'DADOS BRUTOS'!GA$3:GA$500)+IF($C26="",0,SUMIF('DADOS BRUTOS'!$A$3:$A$500,$C26,'DADOS BRUTOS'!GA$3:GA$500)))</f>
        <v/>
      </c>
      <c r="JB26" s="132">
        <f>IF(OR(JB$4="",$B26=""),0,SUMIF('DADOS BRUTOS'!$A$3:$A$500,$B26,'DADOS BRUTOS'!GB$3:GB$500)+IF($C26="",0,SUMIF('DADOS BRUTOS'!$A$3:$A$500,$C26,'DADOS BRUTOS'!GB$3:GB$500)))</f>
        <v/>
      </c>
      <c r="JC26" s="132">
        <f>IF(OR(JC$4="",$B26=""),0,SUMIF('DADOS BRUTOS'!$A$3:$A$500,$B26,'DADOS BRUTOS'!GC$3:GC$500)+IF($C26="",0,SUMIF('DADOS BRUTOS'!$A$3:$A$500,$C26,'DADOS BRUTOS'!GC$3:GC$500)))</f>
        <v/>
      </c>
      <c r="JD26" s="132">
        <f>IF(OR(JD$4="",$B26=""),0,SUMIF('DADOS BRUTOS'!$A$3:$A$500,$B26,'DADOS BRUTOS'!GD$3:GD$500)+IF($C26="",0,SUMIF('DADOS BRUTOS'!$A$3:$A$500,$C26,'DADOS BRUTOS'!GD$3:GD$500)))</f>
        <v/>
      </c>
      <c r="JE26" s="132">
        <f>IF(OR(JE$4="",$B26=""),0,SUMIF('DADOS BRUTOS'!$A$3:$A$500,$B26,'DADOS BRUTOS'!GE$3:GE$500)+IF($C26="",0,SUMIF('DADOS BRUTOS'!$A$3:$A$500,$C26,'DADOS BRUTOS'!GE$3:GE$500)))</f>
        <v/>
      </c>
      <c r="JF26" s="132">
        <f>IF(OR(JF$4="",$B26=""),0,SUMIF('DADOS BRUTOS'!$A$3:$A$500,$B26,'DADOS BRUTOS'!GF$3:GF$500)+IF($C26="",0,SUMIF('DADOS BRUTOS'!$A$3:$A$500,$C26,'DADOS BRUTOS'!GF$3:GF$500)))</f>
        <v/>
      </c>
      <c r="JG26" s="132">
        <f>IF(OR(JG$4="",$B26=""),0,SUMIF('DADOS BRUTOS'!$A$3:$A$500,$B26,'DADOS BRUTOS'!GG$3:GG$500)+IF($C26="",0,SUMIF('DADOS BRUTOS'!$A$3:$A$500,$C26,'DADOS BRUTOS'!GG$3:GG$500)))</f>
        <v/>
      </c>
      <c r="JH26" s="132">
        <f>IF(OR(JH$4="",$B26=""),0,SUMIF('DADOS BRUTOS'!$A$3:$A$500,$B26,'DADOS BRUTOS'!GH$3:GH$500)+IF($C26="",0,SUMIF('DADOS BRUTOS'!$A$3:$A$500,$C26,'DADOS BRUTOS'!GH$3:GH$500)))</f>
        <v/>
      </c>
      <c r="JI26" s="132">
        <f>IF(OR(JI$4="",$B26=""),0,SUMIF('DADOS BRUTOS'!$A$3:$A$500,$B26,'DADOS BRUTOS'!GI$3:GI$500)+IF($C26="",0,SUMIF('DADOS BRUTOS'!$A$3:$A$500,$C26,'DADOS BRUTOS'!GI$3:GI$500)))</f>
        <v/>
      </c>
      <c r="JJ26" s="132">
        <f>IF(OR(JJ$4="",$B26=""),0,SUMIF('DADOS BRUTOS'!$A$3:$A$500,$B26,'DADOS BRUTOS'!GJ$3:GJ$500)+IF($C26="",0,SUMIF('DADOS BRUTOS'!$A$3:$A$500,$C26,'DADOS BRUTOS'!GJ$3:GJ$500)))</f>
        <v/>
      </c>
      <c r="JK26" s="132">
        <f>IF(OR(JK$4="",$B26=""),0,SUMIF('DADOS BRUTOS'!$A$3:$A$500,$B26,'DADOS BRUTOS'!GK$3:GK$500)+IF($C26="",0,SUMIF('DADOS BRUTOS'!$A$3:$A$500,$C26,'DADOS BRUTOS'!GK$3:GK$500)))</f>
        <v/>
      </c>
      <c r="JL26" s="132">
        <f>IF(OR(JL$4="",$B26=""),0,SUMIF('DADOS BRUTOS'!$A$3:$A$500,$B26,'DADOS BRUTOS'!GL$3:GL$500)+IF($C26="",0,SUMIF('DADOS BRUTOS'!$A$3:$A$500,$C26,'DADOS BRUTOS'!GL$3:GL$500)))</f>
        <v/>
      </c>
      <c r="JM26" s="132">
        <f>IF(OR(JM$4="",$B26=""),0,SUMIF('DADOS BRUTOS'!$A$3:$A$500,$B26,'DADOS BRUTOS'!GM$3:GM$500)+IF($C26="",0,SUMIF('DADOS BRUTOS'!$A$3:$A$500,$C26,'DADOS BRUTOS'!GM$3:GM$500)))</f>
        <v/>
      </c>
      <c r="JN26" s="132">
        <f>IF(OR(JN$4="",$B26=""),0,SUMIF('DADOS BRUTOS'!$A$3:$A$500,$B26,'DADOS BRUTOS'!GN$3:GN$500)+IF($C26="",0,SUMIF('DADOS BRUTOS'!$A$3:$A$500,$C26,'DADOS BRUTOS'!GN$3:GN$500)))</f>
        <v/>
      </c>
      <c r="JO26" s="132">
        <f>IF(OR(JO$4="",$B26=""),0,SUMIF('DADOS BRUTOS'!$A$3:$A$500,$B26,'DADOS BRUTOS'!GO$3:GO$500)+IF($C26="",0,SUMIF('DADOS BRUTOS'!$A$3:$A$500,$C26,'DADOS BRUTOS'!GO$3:GO$500)))</f>
        <v/>
      </c>
      <c r="JP26" s="132">
        <f>IF(OR(JP$4="",$B26=""),0,SUMIF('DADOS BRUTOS'!$A$3:$A$500,$B26,'DADOS BRUTOS'!GP$3:GP$500)+IF($C26="",0,SUMIF('DADOS BRUTOS'!$A$3:$A$500,$C26,'DADOS BRUTOS'!GP$3:GP$500)))</f>
        <v/>
      </c>
      <c r="JQ26" s="132">
        <f>IF(OR(JQ$4="",$B26=""),0,SUMIF('DADOS BRUTOS'!$A$3:$A$500,$B26,'DADOS BRUTOS'!GQ$3:GQ$500)+IF($C26="",0,SUMIF('DADOS BRUTOS'!$A$3:$A$500,$C26,'DADOS BRUTOS'!GQ$3:GQ$500)))</f>
        <v/>
      </c>
      <c r="JR26" s="132">
        <f>IF(OR(JR$4="",$B26=""),0,SUMIF('DADOS BRUTOS'!$A$3:$A$500,$B26,'DADOS BRUTOS'!GR$3:GR$500)+IF($C26="",0,SUMIF('DADOS BRUTOS'!$A$3:$A$500,$C26,'DADOS BRUTOS'!GR$3:GR$500)))</f>
        <v/>
      </c>
      <c r="JS26" s="132">
        <f>IF(OR(JS$4="",$B26=""),0,SUMIF('DADOS BRUTOS'!$A$3:$A$500,$B26,'DADOS BRUTOS'!GS$3:GS$500)+IF($C26="",0,SUMIF('DADOS BRUTOS'!$A$3:$A$500,$C26,'DADOS BRUTOS'!GS$3:GS$500)))</f>
        <v/>
      </c>
    </row>
    <row r="27">
      <c r="A27" s="61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BZ27" s="49">
        <f>SUMPRODUCT(($CB$4:$JS$4&lt;&gt;"")*($CB$4:$JS$4&lt;=$D$4),$CB27:$JS27,$CB$1:$JS$1)</f>
        <v/>
      </c>
      <c r="CB27" s="132">
        <f>IF(OR(CB$4="",$B27=""),0,SUMIF('DADOS BRUTOS'!$A$3:$A$500,$B27,'DADOS BRUTOS'!B$3:B$500)+IF($C27="",0,SUMIF('DADOS BRUTOS'!$A$3:$A$500,$C27,'DADOS BRUTOS'!B$3:B$500)))</f>
        <v/>
      </c>
      <c r="CC27" s="132">
        <f>IF(OR(CC$4="",$B27=""),0,SUMIF('DADOS BRUTOS'!$A$3:$A$500,$B27,'DADOS BRUTOS'!C$3:C$500)+IF($C27="",0,SUMIF('DADOS BRUTOS'!$A$3:$A$500,$C27,'DADOS BRUTOS'!C$3:C$500)))</f>
        <v/>
      </c>
      <c r="CD27" s="132">
        <f>IF(OR(CD$4="",$B27=""),0,SUMIF('DADOS BRUTOS'!$A$3:$A$500,$B27,'DADOS BRUTOS'!D$3:D$500)+IF($C27="",0,SUMIF('DADOS BRUTOS'!$A$3:$A$500,$C27,'DADOS BRUTOS'!D$3:D$500)))</f>
        <v/>
      </c>
      <c r="CE27" s="132">
        <f>IF(OR(CE$4="",$B27=""),0,SUMIF('DADOS BRUTOS'!$A$3:$A$500,$B27,'DADOS BRUTOS'!E$3:E$500)+IF($C27="",0,SUMIF('DADOS BRUTOS'!$A$3:$A$500,$C27,'DADOS BRUTOS'!E$3:E$500)))</f>
        <v/>
      </c>
      <c r="CF27" s="132">
        <f>IF(OR(CF$4="",$B27=""),0,SUMIF('DADOS BRUTOS'!$A$3:$A$500,$B27,'DADOS BRUTOS'!F$3:F$500)+IF($C27="",0,SUMIF('DADOS BRUTOS'!$A$3:$A$500,$C27,'DADOS BRUTOS'!F$3:F$500)))</f>
        <v/>
      </c>
      <c r="CG27" s="132">
        <f>IF(OR(CG$4="",$B27=""),0,SUMIF('DADOS BRUTOS'!$A$3:$A$500,$B27,'DADOS BRUTOS'!G$3:G$500)+IF($C27="",0,SUMIF('DADOS BRUTOS'!$A$3:$A$500,$C27,'DADOS BRUTOS'!G$3:G$500)))</f>
        <v/>
      </c>
      <c r="CH27" s="132">
        <f>IF(OR(CH$4="",$B27=""),0,SUMIF('DADOS BRUTOS'!$A$3:$A$500,$B27,'DADOS BRUTOS'!H$3:H$500)+IF($C27="",0,SUMIF('DADOS BRUTOS'!$A$3:$A$500,$C27,'DADOS BRUTOS'!H$3:H$500)))</f>
        <v/>
      </c>
      <c r="CI27" s="132">
        <f>IF(OR(CI$4="",$B27=""),0,SUMIF('DADOS BRUTOS'!$A$3:$A$500,$B27,'DADOS BRUTOS'!I$3:I$500)+IF($C27="",0,SUMIF('DADOS BRUTOS'!$A$3:$A$500,$C27,'DADOS BRUTOS'!I$3:I$500)))</f>
        <v/>
      </c>
      <c r="CJ27" s="132">
        <f>IF(OR(CJ$4="",$B27=""),0,SUMIF('DADOS BRUTOS'!$A$3:$A$500,$B27,'DADOS BRUTOS'!J$3:J$500)+IF($C27="",0,SUMIF('DADOS BRUTOS'!$A$3:$A$500,$C27,'DADOS BRUTOS'!J$3:J$500)))</f>
        <v/>
      </c>
      <c r="CK27" s="132">
        <f>IF(OR(CK$4="",$B27=""),0,SUMIF('DADOS BRUTOS'!$A$3:$A$500,$B27,'DADOS BRUTOS'!K$3:K$500)+IF($C27="",0,SUMIF('DADOS BRUTOS'!$A$3:$A$500,$C27,'DADOS BRUTOS'!K$3:K$500)))</f>
        <v/>
      </c>
      <c r="CL27" s="132">
        <f>IF(OR(CL$4="",$B27=""),0,SUMIF('DADOS BRUTOS'!$A$3:$A$500,$B27,'DADOS BRUTOS'!L$3:L$500)+IF($C27="",0,SUMIF('DADOS BRUTOS'!$A$3:$A$500,$C27,'DADOS BRUTOS'!L$3:L$500)))</f>
        <v/>
      </c>
      <c r="CM27" s="132">
        <f>IF(OR(CM$4="",$B27=""),0,SUMIF('DADOS BRUTOS'!$A$3:$A$500,$B27,'DADOS BRUTOS'!M$3:M$500)+IF($C27="",0,SUMIF('DADOS BRUTOS'!$A$3:$A$500,$C27,'DADOS BRUTOS'!M$3:M$500)))</f>
        <v/>
      </c>
      <c r="CN27" s="132">
        <f>IF(OR(CN$4="",$B27=""),0,SUMIF('DADOS BRUTOS'!$A$3:$A$500,$B27,'DADOS BRUTOS'!N$3:N$500)+IF($C27="",0,SUMIF('DADOS BRUTOS'!$A$3:$A$500,$C27,'DADOS BRUTOS'!N$3:N$500)))</f>
        <v/>
      </c>
      <c r="CO27" s="132">
        <f>IF(OR(CO$4="",$B27=""),0,SUMIF('DADOS BRUTOS'!$A$3:$A$500,$B27,'DADOS BRUTOS'!O$3:O$500)+IF($C27="",0,SUMIF('DADOS BRUTOS'!$A$3:$A$500,$C27,'DADOS BRUTOS'!O$3:O$500)))</f>
        <v/>
      </c>
      <c r="CP27" s="132">
        <f>IF(OR(CP$4="",$B27=""),0,SUMIF('DADOS BRUTOS'!$A$3:$A$500,$B27,'DADOS BRUTOS'!P$3:P$500)+IF($C27="",0,SUMIF('DADOS BRUTOS'!$A$3:$A$500,$C27,'DADOS BRUTOS'!P$3:P$500)))</f>
        <v/>
      </c>
      <c r="CQ27" s="132">
        <f>IF(OR(CQ$4="",$B27=""),0,SUMIF('DADOS BRUTOS'!$A$3:$A$500,$B27,'DADOS BRUTOS'!Q$3:Q$500)+IF($C27="",0,SUMIF('DADOS BRUTOS'!$A$3:$A$500,$C27,'DADOS BRUTOS'!Q$3:Q$500)))</f>
        <v/>
      </c>
      <c r="CR27" s="132">
        <f>IF(OR(CR$4="",$B27=""),0,SUMIF('DADOS BRUTOS'!$A$3:$A$500,$B27,'DADOS BRUTOS'!R$3:R$500)+IF($C27="",0,SUMIF('DADOS BRUTOS'!$A$3:$A$500,$C27,'DADOS BRUTOS'!R$3:R$500)))</f>
        <v/>
      </c>
      <c r="CS27" s="132">
        <f>IF(OR(CS$4="",$B27=""),0,SUMIF('DADOS BRUTOS'!$A$3:$A$500,$B27,'DADOS BRUTOS'!S$3:S$500)+IF($C27="",0,SUMIF('DADOS BRUTOS'!$A$3:$A$500,$C27,'DADOS BRUTOS'!S$3:S$500)))</f>
        <v/>
      </c>
      <c r="CT27" s="132">
        <f>IF(OR(CT$4="",$B27=""),0,SUMIF('DADOS BRUTOS'!$A$3:$A$500,$B27,'DADOS BRUTOS'!T$3:T$500)+IF($C27="",0,SUMIF('DADOS BRUTOS'!$A$3:$A$500,$C27,'DADOS BRUTOS'!T$3:T$500)))</f>
        <v/>
      </c>
      <c r="CU27" s="132">
        <f>IF(OR(CU$4="",$B27=""),0,SUMIF('DADOS BRUTOS'!$A$3:$A$500,$B27,'DADOS BRUTOS'!U$3:U$500)+IF($C27="",0,SUMIF('DADOS BRUTOS'!$A$3:$A$500,$C27,'DADOS BRUTOS'!U$3:U$500)))</f>
        <v/>
      </c>
      <c r="CV27" s="132">
        <f>IF(OR(CV$4="",$B27=""),0,SUMIF('DADOS BRUTOS'!$A$3:$A$500,$B27,'DADOS BRUTOS'!V$3:V$500)+IF($C27="",0,SUMIF('DADOS BRUTOS'!$A$3:$A$500,$C27,'DADOS BRUTOS'!V$3:V$500)))</f>
        <v/>
      </c>
      <c r="CW27" s="132">
        <f>IF(OR(CW$4="",$B27=""),0,SUMIF('DADOS BRUTOS'!$A$3:$A$500,$B27,'DADOS BRUTOS'!W$3:W$500)+IF($C27="",0,SUMIF('DADOS BRUTOS'!$A$3:$A$500,$C27,'DADOS BRUTOS'!W$3:W$500)))</f>
        <v/>
      </c>
      <c r="CX27" s="132">
        <f>IF(OR(CX$4="",$B27=""),0,SUMIF('DADOS BRUTOS'!$A$3:$A$500,$B27,'DADOS BRUTOS'!X$3:X$500)+IF($C27="",0,SUMIF('DADOS BRUTOS'!$A$3:$A$500,$C27,'DADOS BRUTOS'!X$3:X$500)))</f>
        <v/>
      </c>
      <c r="CY27" s="132">
        <f>IF(OR(CY$4="",$B27=""),0,SUMIF('DADOS BRUTOS'!$A$3:$A$500,$B27,'DADOS BRUTOS'!Y$3:Y$500)+IF($C27="",0,SUMIF('DADOS BRUTOS'!$A$3:$A$500,$C27,'DADOS BRUTOS'!Y$3:Y$500)))</f>
        <v/>
      </c>
      <c r="CZ27" s="132">
        <f>IF(OR(CZ$4="",$B27=""),0,SUMIF('DADOS BRUTOS'!$A$3:$A$500,$B27,'DADOS BRUTOS'!Z$3:Z$500)+IF($C27="",0,SUMIF('DADOS BRUTOS'!$A$3:$A$500,$C27,'DADOS BRUTOS'!Z$3:Z$500)))</f>
        <v/>
      </c>
      <c r="DA27" s="132">
        <f>IF(OR(DA$4="",$B27=""),0,SUMIF('DADOS BRUTOS'!$A$3:$A$500,$B27,'DADOS BRUTOS'!AA$3:AA$500)+IF($C27="",0,SUMIF('DADOS BRUTOS'!$A$3:$A$500,$C27,'DADOS BRUTOS'!AA$3:AA$500)))</f>
        <v/>
      </c>
      <c r="DB27" s="132">
        <f>IF(OR(DB$4="",$B27=""),0,SUMIF('DADOS BRUTOS'!$A$3:$A$500,$B27,'DADOS BRUTOS'!AB$3:AB$500)+IF($C27="",0,SUMIF('DADOS BRUTOS'!$A$3:$A$500,$C27,'DADOS BRUTOS'!AB$3:AB$500)))</f>
        <v/>
      </c>
      <c r="DC27" s="132">
        <f>IF(OR(DC$4="",$B27=""),0,SUMIF('DADOS BRUTOS'!$A$3:$A$500,$B27,'DADOS BRUTOS'!AC$3:AC$500)+IF($C27="",0,SUMIF('DADOS BRUTOS'!$A$3:$A$500,$C27,'DADOS BRUTOS'!AC$3:AC$500)))</f>
        <v/>
      </c>
      <c r="DD27" s="132">
        <f>IF(OR(DD$4="",$B27=""),0,SUMIF('DADOS BRUTOS'!$A$3:$A$500,$B27,'DADOS BRUTOS'!AD$3:AD$500)+IF($C27="",0,SUMIF('DADOS BRUTOS'!$A$3:$A$500,$C27,'DADOS BRUTOS'!AD$3:AD$500)))</f>
        <v/>
      </c>
      <c r="DE27" s="132">
        <f>IF(OR(DE$4="",$B27=""),0,SUMIF('DADOS BRUTOS'!$A$3:$A$500,$B27,'DADOS BRUTOS'!AE$3:AE$500)+IF($C27="",0,SUMIF('DADOS BRUTOS'!$A$3:$A$500,$C27,'DADOS BRUTOS'!AE$3:AE$500)))</f>
        <v/>
      </c>
      <c r="DF27" s="132">
        <f>IF(OR(DF$4="",$B27=""),0,SUMIF('DADOS BRUTOS'!$A$3:$A$500,$B27,'DADOS BRUTOS'!AF$3:AF$500)+IF($C27="",0,SUMIF('DADOS BRUTOS'!$A$3:$A$500,$C27,'DADOS BRUTOS'!AF$3:AF$500)))</f>
        <v/>
      </c>
      <c r="DG27" s="132">
        <f>IF(OR(DG$4="",$B27=""),0,SUMIF('DADOS BRUTOS'!$A$3:$A$500,$B27,'DADOS BRUTOS'!AG$3:AG$500)+IF($C27="",0,SUMIF('DADOS BRUTOS'!$A$3:$A$500,$C27,'DADOS BRUTOS'!AG$3:AG$500)))</f>
        <v/>
      </c>
      <c r="DH27" s="132">
        <f>IF(OR(DH$4="",$B27=""),0,SUMIF('DADOS BRUTOS'!$A$3:$A$500,$B27,'DADOS BRUTOS'!AH$3:AH$500)+IF($C27="",0,SUMIF('DADOS BRUTOS'!$A$3:$A$500,$C27,'DADOS BRUTOS'!AH$3:AH$500)))</f>
        <v/>
      </c>
      <c r="DI27" s="132">
        <f>IF(OR(DI$4="",$B27=""),0,SUMIF('DADOS BRUTOS'!$A$3:$A$500,$B27,'DADOS BRUTOS'!AI$3:AI$500)+IF($C27="",0,SUMIF('DADOS BRUTOS'!$A$3:$A$500,$C27,'DADOS BRUTOS'!AI$3:AI$500)))</f>
        <v/>
      </c>
      <c r="DJ27" s="132">
        <f>IF(OR(DJ$4="",$B27=""),0,SUMIF('DADOS BRUTOS'!$A$3:$A$500,$B27,'DADOS BRUTOS'!AJ$3:AJ$500)+IF($C27="",0,SUMIF('DADOS BRUTOS'!$A$3:$A$500,$C27,'DADOS BRUTOS'!AJ$3:AJ$500)))</f>
        <v/>
      </c>
      <c r="DK27" s="132">
        <f>IF(OR(DK$4="",$B27=""),0,SUMIF('DADOS BRUTOS'!$A$3:$A$500,$B27,'DADOS BRUTOS'!AK$3:AK$500)+IF($C27="",0,SUMIF('DADOS BRUTOS'!$A$3:$A$500,$C27,'DADOS BRUTOS'!AK$3:AK$500)))</f>
        <v/>
      </c>
      <c r="DL27" s="132">
        <f>IF(OR(DL$4="",$B27=""),0,SUMIF('DADOS BRUTOS'!$A$3:$A$500,$B27,'DADOS BRUTOS'!AL$3:AL$500)+IF($C27="",0,SUMIF('DADOS BRUTOS'!$A$3:$A$500,$C27,'DADOS BRUTOS'!AL$3:AL$500)))</f>
        <v/>
      </c>
      <c r="DM27" s="132">
        <f>IF(OR(DM$4="",$B27=""),0,SUMIF('DADOS BRUTOS'!$A$3:$A$500,$B27,'DADOS BRUTOS'!AM$3:AM$500)+IF($C27="",0,SUMIF('DADOS BRUTOS'!$A$3:$A$500,$C27,'DADOS BRUTOS'!AM$3:AM$500)))</f>
        <v/>
      </c>
      <c r="DN27" s="132">
        <f>IF(OR(DN$4="",$B27=""),0,SUMIF('DADOS BRUTOS'!$A$3:$A$500,$B27,'DADOS BRUTOS'!AN$3:AN$500)+IF($C27="",0,SUMIF('DADOS BRUTOS'!$A$3:$A$500,$C27,'DADOS BRUTOS'!AN$3:AN$500)))</f>
        <v/>
      </c>
      <c r="DO27" s="132">
        <f>IF(OR(DO$4="",$B27=""),0,SUMIF('DADOS BRUTOS'!$A$3:$A$500,$B27,'DADOS BRUTOS'!AO$3:AO$500)+IF($C27="",0,SUMIF('DADOS BRUTOS'!$A$3:$A$500,$C27,'DADOS BRUTOS'!AO$3:AO$500)))</f>
        <v/>
      </c>
      <c r="DP27" s="132">
        <f>IF(OR(DP$4="",$B27=""),0,SUMIF('DADOS BRUTOS'!$A$3:$A$500,$B27,'DADOS BRUTOS'!AP$3:AP$500)+IF($C27="",0,SUMIF('DADOS BRUTOS'!$A$3:$A$500,$C27,'DADOS BRUTOS'!AP$3:AP$500)))</f>
        <v/>
      </c>
      <c r="DQ27" s="132">
        <f>IF(OR(DQ$4="",$B27=""),0,SUMIF('DADOS BRUTOS'!$A$3:$A$500,$B27,'DADOS BRUTOS'!AQ$3:AQ$500)+IF($C27="",0,SUMIF('DADOS BRUTOS'!$A$3:$A$500,$C27,'DADOS BRUTOS'!AQ$3:AQ$500)))</f>
        <v/>
      </c>
      <c r="DR27" s="132">
        <f>IF(OR(DR$4="",$B27=""),0,SUMIF('DADOS BRUTOS'!$A$3:$A$500,$B27,'DADOS BRUTOS'!AR$3:AR$500)+IF($C27="",0,SUMIF('DADOS BRUTOS'!$A$3:$A$500,$C27,'DADOS BRUTOS'!AR$3:AR$500)))</f>
        <v/>
      </c>
      <c r="DS27" s="132">
        <f>IF(OR(DS$4="",$B27=""),0,SUMIF('DADOS BRUTOS'!$A$3:$A$500,$B27,'DADOS BRUTOS'!AS$3:AS$500)+IF($C27="",0,SUMIF('DADOS BRUTOS'!$A$3:$A$500,$C27,'DADOS BRUTOS'!AS$3:AS$500)))</f>
        <v/>
      </c>
      <c r="DT27" s="132">
        <f>IF(OR(DT$4="",$B27=""),0,SUMIF('DADOS BRUTOS'!$A$3:$A$500,$B27,'DADOS BRUTOS'!AT$3:AT$500)+IF($C27="",0,SUMIF('DADOS BRUTOS'!$A$3:$A$500,$C27,'DADOS BRUTOS'!AT$3:AT$500)))</f>
        <v/>
      </c>
      <c r="DU27" s="132">
        <f>IF(OR(DU$4="",$B27=""),0,SUMIF('DADOS BRUTOS'!$A$3:$A$500,$B27,'DADOS BRUTOS'!AU$3:AU$500)+IF($C27="",0,SUMIF('DADOS BRUTOS'!$A$3:$A$500,$C27,'DADOS BRUTOS'!AU$3:AU$500)))</f>
        <v/>
      </c>
      <c r="DV27" s="132">
        <f>IF(OR(DV$4="",$B27=""),0,SUMIF('DADOS BRUTOS'!$A$3:$A$500,$B27,'DADOS BRUTOS'!AV$3:AV$500)+IF($C27="",0,SUMIF('DADOS BRUTOS'!$A$3:$A$500,$C27,'DADOS BRUTOS'!AV$3:AV$500)))</f>
        <v/>
      </c>
      <c r="DW27" s="132">
        <f>IF(OR(DW$4="",$B27=""),0,SUMIF('DADOS BRUTOS'!$A$3:$A$500,$B27,'DADOS BRUTOS'!AW$3:AW$500)+IF($C27="",0,SUMIF('DADOS BRUTOS'!$A$3:$A$500,$C27,'DADOS BRUTOS'!AW$3:AW$500)))</f>
        <v/>
      </c>
      <c r="DX27" s="132">
        <f>IF(OR(DX$4="",$B27=""),0,SUMIF('DADOS BRUTOS'!$A$3:$A$500,$B27,'DADOS BRUTOS'!AX$3:AX$500)+IF($C27="",0,SUMIF('DADOS BRUTOS'!$A$3:$A$500,$C27,'DADOS BRUTOS'!AX$3:AX$500)))</f>
        <v/>
      </c>
      <c r="DY27" s="132">
        <f>IF(OR(DY$4="",$B27=""),0,SUMIF('DADOS BRUTOS'!$A$3:$A$500,$B27,'DADOS BRUTOS'!AY$3:AY$500)+IF($C27="",0,SUMIF('DADOS BRUTOS'!$A$3:$A$500,$C27,'DADOS BRUTOS'!AY$3:AY$500)))</f>
        <v/>
      </c>
      <c r="DZ27" s="132">
        <f>IF(OR(DZ$4="",$B27=""),0,SUMIF('DADOS BRUTOS'!$A$3:$A$500,$B27,'DADOS BRUTOS'!AZ$3:AZ$500)+IF($C27="",0,SUMIF('DADOS BRUTOS'!$A$3:$A$500,$C27,'DADOS BRUTOS'!AZ$3:AZ$500)))</f>
        <v/>
      </c>
      <c r="EA27" s="132">
        <f>IF(OR(EA$4="",$B27=""),0,SUMIF('DADOS BRUTOS'!$A$3:$A$500,$B27,'DADOS BRUTOS'!BA$3:BA$500)+IF($C27="",0,SUMIF('DADOS BRUTOS'!$A$3:$A$500,$C27,'DADOS BRUTOS'!BA$3:BA$500)))</f>
        <v/>
      </c>
      <c r="EB27" s="132">
        <f>IF(OR(EB$4="",$B27=""),0,SUMIF('DADOS BRUTOS'!$A$3:$A$500,$B27,'DADOS BRUTOS'!BB$3:BB$500)+IF($C27="",0,SUMIF('DADOS BRUTOS'!$A$3:$A$500,$C27,'DADOS BRUTOS'!BB$3:BB$500)))</f>
        <v/>
      </c>
      <c r="EC27" s="132">
        <f>IF(OR(EC$4="",$B27=""),0,SUMIF('DADOS BRUTOS'!$A$3:$A$500,$B27,'DADOS BRUTOS'!BC$3:BC$500)+IF($C27="",0,SUMIF('DADOS BRUTOS'!$A$3:$A$500,$C27,'DADOS BRUTOS'!BC$3:BC$500)))</f>
        <v/>
      </c>
      <c r="ED27" s="132">
        <f>IF(OR(ED$4="",$B27=""),0,SUMIF('DADOS BRUTOS'!$A$3:$A$500,$B27,'DADOS BRUTOS'!BD$3:BD$500)+IF($C27="",0,SUMIF('DADOS BRUTOS'!$A$3:$A$500,$C27,'DADOS BRUTOS'!BD$3:BD$500)))</f>
        <v/>
      </c>
      <c r="EE27" s="132">
        <f>IF(OR(EE$4="",$B27=""),0,SUMIF('DADOS BRUTOS'!$A$3:$A$500,$B27,'DADOS BRUTOS'!BE$3:BE$500)+IF($C27="",0,SUMIF('DADOS BRUTOS'!$A$3:$A$500,$C27,'DADOS BRUTOS'!BE$3:BE$500)))</f>
        <v/>
      </c>
      <c r="EF27" s="132">
        <f>IF(OR(EF$4="",$B27=""),0,SUMIF('DADOS BRUTOS'!$A$3:$A$500,$B27,'DADOS BRUTOS'!BF$3:BF$500)+IF($C27="",0,SUMIF('DADOS BRUTOS'!$A$3:$A$500,$C27,'DADOS BRUTOS'!BF$3:BF$500)))</f>
        <v/>
      </c>
      <c r="EG27" s="132">
        <f>IF(OR(EG$4="",$B27=""),0,SUMIF('DADOS BRUTOS'!$A$3:$A$500,$B27,'DADOS BRUTOS'!BG$3:BG$500)+IF($C27="",0,SUMIF('DADOS BRUTOS'!$A$3:$A$500,$C27,'DADOS BRUTOS'!BG$3:BG$500)))</f>
        <v/>
      </c>
      <c r="EH27" s="132">
        <f>IF(OR(EH$4="",$B27=""),0,SUMIF('DADOS BRUTOS'!$A$3:$A$500,$B27,'DADOS BRUTOS'!BH$3:BH$500)+IF($C27="",0,SUMIF('DADOS BRUTOS'!$A$3:$A$500,$C27,'DADOS BRUTOS'!BH$3:BH$500)))</f>
        <v/>
      </c>
      <c r="EI27" s="132">
        <f>IF(OR(EI$4="",$B27=""),0,SUMIF('DADOS BRUTOS'!$A$3:$A$500,$B27,'DADOS BRUTOS'!BI$3:BI$500)+IF($C27="",0,SUMIF('DADOS BRUTOS'!$A$3:$A$500,$C27,'DADOS BRUTOS'!BI$3:BI$500)))</f>
        <v/>
      </c>
      <c r="EJ27" s="132">
        <f>IF(OR(EJ$4="",$B27=""),0,SUMIF('DADOS BRUTOS'!$A$3:$A$500,$B27,'DADOS BRUTOS'!BJ$3:BJ$500)+IF($C27="",0,SUMIF('DADOS BRUTOS'!$A$3:$A$500,$C27,'DADOS BRUTOS'!BJ$3:BJ$500)))</f>
        <v/>
      </c>
      <c r="EK27" s="132">
        <f>IF(OR(EK$4="",$B27=""),0,SUMIF('DADOS BRUTOS'!$A$3:$A$500,$B27,'DADOS BRUTOS'!BK$3:BK$500)+IF($C27="",0,SUMIF('DADOS BRUTOS'!$A$3:$A$500,$C27,'DADOS BRUTOS'!BK$3:BK$500)))</f>
        <v/>
      </c>
      <c r="EL27" s="132">
        <f>IF(OR(EL$4="",$B27=""),0,SUMIF('DADOS BRUTOS'!$A$3:$A$500,$B27,'DADOS BRUTOS'!BL$3:BL$500)+IF($C27="",0,SUMIF('DADOS BRUTOS'!$A$3:$A$500,$C27,'DADOS BRUTOS'!BL$3:BL$500)))</f>
        <v/>
      </c>
      <c r="EM27" s="132">
        <f>IF(OR(EM$4="",$B27=""),0,SUMIF('DADOS BRUTOS'!$A$3:$A$500,$B27,'DADOS BRUTOS'!BM$3:BM$500)+IF($C27="",0,SUMIF('DADOS BRUTOS'!$A$3:$A$500,$C27,'DADOS BRUTOS'!BM$3:BM$500)))</f>
        <v/>
      </c>
      <c r="EN27" s="132">
        <f>IF(OR(EN$4="",$B27=""),0,SUMIF('DADOS BRUTOS'!$A$3:$A$500,$B27,'DADOS BRUTOS'!BN$3:BN$500)+IF($C27="",0,SUMIF('DADOS BRUTOS'!$A$3:$A$500,$C27,'DADOS BRUTOS'!BN$3:BN$500)))</f>
        <v/>
      </c>
      <c r="EO27" s="132">
        <f>IF(OR(EO$4="",$B27=""),0,SUMIF('DADOS BRUTOS'!$A$3:$A$500,$B27,'DADOS BRUTOS'!BO$3:BO$500)+IF($C27="",0,SUMIF('DADOS BRUTOS'!$A$3:$A$500,$C27,'DADOS BRUTOS'!BO$3:BO$500)))</f>
        <v/>
      </c>
      <c r="EP27" s="132">
        <f>IF(OR(EP$4="",$B27=""),0,SUMIF('DADOS BRUTOS'!$A$3:$A$500,$B27,'DADOS BRUTOS'!BP$3:BP$500)+IF($C27="",0,SUMIF('DADOS BRUTOS'!$A$3:$A$500,$C27,'DADOS BRUTOS'!BP$3:BP$500)))</f>
        <v/>
      </c>
      <c r="EQ27" s="132">
        <f>IF(OR(EQ$4="",$B27=""),0,SUMIF('DADOS BRUTOS'!$A$3:$A$500,$B27,'DADOS BRUTOS'!BQ$3:BQ$500)+IF($C27="",0,SUMIF('DADOS BRUTOS'!$A$3:$A$500,$C27,'DADOS BRUTOS'!BQ$3:BQ$500)))</f>
        <v/>
      </c>
      <c r="ER27" s="132">
        <f>IF(OR(ER$4="",$B27=""),0,SUMIF('DADOS BRUTOS'!$A$3:$A$500,$B27,'DADOS BRUTOS'!BR$3:BR$500)+IF($C27="",0,SUMIF('DADOS BRUTOS'!$A$3:$A$500,$C27,'DADOS BRUTOS'!BR$3:BR$500)))</f>
        <v/>
      </c>
      <c r="ES27" s="132">
        <f>IF(OR(ES$4="",$B27=""),0,SUMIF('DADOS BRUTOS'!$A$3:$A$500,$B27,'DADOS BRUTOS'!BS$3:BS$500)+IF($C27="",0,SUMIF('DADOS BRUTOS'!$A$3:$A$500,$C27,'DADOS BRUTOS'!BS$3:BS$500)))</f>
        <v/>
      </c>
      <c r="ET27" s="132">
        <f>IF(OR(ET$4="",$B27=""),0,SUMIF('DADOS BRUTOS'!$A$3:$A$500,$B27,'DADOS BRUTOS'!BT$3:BT$500)+IF($C27="",0,SUMIF('DADOS BRUTOS'!$A$3:$A$500,$C27,'DADOS BRUTOS'!BT$3:BT$500)))</f>
        <v/>
      </c>
      <c r="EU27" s="132">
        <f>IF(OR(EU$4="",$B27=""),0,SUMIF('DADOS BRUTOS'!$A$3:$A$500,$B27,'DADOS BRUTOS'!BU$3:BU$500)+IF($C27="",0,SUMIF('DADOS BRUTOS'!$A$3:$A$500,$C27,'DADOS BRUTOS'!BU$3:BU$500)))</f>
        <v/>
      </c>
      <c r="EV27" s="132">
        <f>IF(OR(EV$4="",$B27=""),0,SUMIF('DADOS BRUTOS'!$A$3:$A$500,$B27,'DADOS BRUTOS'!BV$3:BV$500)+IF($C27="",0,SUMIF('DADOS BRUTOS'!$A$3:$A$500,$C27,'DADOS BRUTOS'!BV$3:BV$500)))</f>
        <v/>
      </c>
      <c r="EW27" s="132">
        <f>IF(OR(EW$4="",$B27=""),0,SUMIF('DADOS BRUTOS'!$A$3:$A$500,$B27,'DADOS BRUTOS'!BW$3:BW$500)+IF($C27="",0,SUMIF('DADOS BRUTOS'!$A$3:$A$500,$C27,'DADOS BRUTOS'!BW$3:BW$500)))</f>
        <v/>
      </c>
      <c r="EX27" s="132">
        <f>IF(OR(EX$4="",$B27=""),0,SUMIF('DADOS BRUTOS'!$A$3:$A$500,$B27,'DADOS BRUTOS'!BX$3:BX$500)+IF($C27="",0,SUMIF('DADOS BRUTOS'!$A$3:$A$500,$C27,'DADOS BRUTOS'!BX$3:BX$500)))</f>
        <v/>
      </c>
      <c r="EY27" s="132">
        <f>IF(OR(EY$4="",$B27=""),0,SUMIF('DADOS BRUTOS'!$A$3:$A$500,$B27,'DADOS BRUTOS'!BY$3:BY$500)+IF($C27="",0,SUMIF('DADOS BRUTOS'!$A$3:$A$500,$C27,'DADOS BRUTOS'!BY$3:BY$500)))</f>
        <v/>
      </c>
      <c r="EZ27" s="132">
        <f>IF(OR(EZ$4="",$B27=""),0,SUMIF('DADOS BRUTOS'!$A$3:$A$500,$B27,'DADOS BRUTOS'!BZ$3:BZ$500)+IF($C27="",0,SUMIF('DADOS BRUTOS'!$A$3:$A$500,$C27,'DADOS BRUTOS'!BZ$3:BZ$500)))</f>
        <v/>
      </c>
      <c r="FA27" s="132">
        <f>IF(OR(FA$4="",$B27=""),0,SUMIF('DADOS BRUTOS'!$A$3:$A$500,$B27,'DADOS BRUTOS'!CA$3:CA$500)+IF($C27="",0,SUMIF('DADOS BRUTOS'!$A$3:$A$500,$C27,'DADOS BRUTOS'!CA$3:CA$500)))</f>
        <v/>
      </c>
      <c r="FB27" s="132">
        <f>IF(OR(FB$4="",$B27=""),0,SUMIF('DADOS BRUTOS'!$A$3:$A$500,$B27,'DADOS BRUTOS'!CB$3:CB$500)+IF($C27="",0,SUMIF('DADOS BRUTOS'!$A$3:$A$500,$C27,'DADOS BRUTOS'!CB$3:CB$500)))</f>
        <v/>
      </c>
      <c r="FC27" s="132">
        <f>IF(OR(FC$4="",$B27=""),0,SUMIF('DADOS BRUTOS'!$A$3:$A$500,$B27,'DADOS BRUTOS'!CC$3:CC$500)+IF($C27="",0,SUMIF('DADOS BRUTOS'!$A$3:$A$500,$C27,'DADOS BRUTOS'!CC$3:CC$500)))</f>
        <v/>
      </c>
      <c r="FD27" s="132">
        <f>IF(OR(FD$4="",$B27=""),0,SUMIF('DADOS BRUTOS'!$A$3:$A$500,$B27,'DADOS BRUTOS'!CD$3:CD$500)+IF($C27="",0,SUMIF('DADOS BRUTOS'!$A$3:$A$500,$C27,'DADOS BRUTOS'!CD$3:CD$500)))</f>
        <v/>
      </c>
      <c r="FE27" s="132">
        <f>IF(OR(FE$4="",$B27=""),0,SUMIF('DADOS BRUTOS'!$A$3:$A$500,$B27,'DADOS BRUTOS'!CE$3:CE$500)+IF($C27="",0,SUMIF('DADOS BRUTOS'!$A$3:$A$500,$C27,'DADOS BRUTOS'!CE$3:CE$500)))</f>
        <v/>
      </c>
      <c r="FF27" s="132">
        <f>IF(OR(FF$4="",$B27=""),0,SUMIF('DADOS BRUTOS'!$A$3:$A$500,$B27,'DADOS BRUTOS'!CF$3:CF$500)+IF($C27="",0,SUMIF('DADOS BRUTOS'!$A$3:$A$500,$C27,'DADOS BRUTOS'!CF$3:CF$500)))</f>
        <v/>
      </c>
      <c r="FG27" s="132">
        <f>IF(OR(FG$4="",$B27=""),0,SUMIF('DADOS BRUTOS'!$A$3:$A$500,$B27,'DADOS BRUTOS'!CG$3:CG$500)+IF($C27="",0,SUMIF('DADOS BRUTOS'!$A$3:$A$500,$C27,'DADOS BRUTOS'!CG$3:CG$500)))</f>
        <v/>
      </c>
      <c r="FH27" s="132">
        <f>IF(OR(FH$4="",$B27=""),0,SUMIF('DADOS BRUTOS'!$A$3:$A$500,$B27,'DADOS BRUTOS'!CH$3:CH$500)+IF($C27="",0,SUMIF('DADOS BRUTOS'!$A$3:$A$500,$C27,'DADOS BRUTOS'!CH$3:CH$500)))</f>
        <v/>
      </c>
      <c r="FI27" s="132">
        <f>IF(OR(FI$4="",$B27=""),0,SUMIF('DADOS BRUTOS'!$A$3:$A$500,$B27,'DADOS BRUTOS'!CI$3:CI$500)+IF($C27="",0,SUMIF('DADOS BRUTOS'!$A$3:$A$500,$C27,'DADOS BRUTOS'!CI$3:CI$500)))</f>
        <v/>
      </c>
      <c r="FJ27" s="132">
        <f>IF(OR(FJ$4="",$B27=""),0,SUMIF('DADOS BRUTOS'!$A$3:$A$500,$B27,'DADOS BRUTOS'!CJ$3:CJ$500)+IF($C27="",0,SUMIF('DADOS BRUTOS'!$A$3:$A$500,$C27,'DADOS BRUTOS'!CJ$3:CJ$500)))</f>
        <v/>
      </c>
      <c r="FK27" s="132">
        <f>IF(OR(FK$4="",$B27=""),0,SUMIF('DADOS BRUTOS'!$A$3:$A$500,$B27,'DADOS BRUTOS'!CK$3:CK$500)+IF($C27="",0,SUMIF('DADOS BRUTOS'!$A$3:$A$500,$C27,'DADOS BRUTOS'!CK$3:CK$500)))</f>
        <v/>
      </c>
      <c r="FL27" s="132">
        <f>IF(OR(FL$4="",$B27=""),0,SUMIF('DADOS BRUTOS'!$A$3:$A$500,$B27,'DADOS BRUTOS'!CL$3:CL$500)+IF($C27="",0,SUMIF('DADOS BRUTOS'!$A$3:$A$500,$C27,'DADOS BRUTOS'!CL$3:CL$500)))</f>
        <v/>
      </c>
      <c r="FM27" s="132">
        <f>IF(OR(FM$4="",$B27=""),0,SUMIF('DADOS BRUTOS'!$A$3:$A$500,$B27,'DADOS BRUTOS'!CM$3:CM$500)+IF($C27="",0,SUMIF('DADOS BRUTOS'!$A$3:$A$500,$C27,'DADOS BRUTOS'!CM$3:CM$500)))</f>
        <v/>
      </c>
      <c r="FN27" s="132">
        <f>IF(OR(FN$4="",$B27=""),0,SUMIF('DADOS BRUTOS'!$A$3:$A$500,$B27,'DADOS BRUTOS'!CN$3:CN$500)+IF($C27="",0,SUMIF('DADOS BRUTOS'!$A$3:$A$500,$C27,'DADOS BRUTOS'!CN$3:CN$500)))</f>
        <v/>
      </c>
      <c r="FO27" s="132">
        <f>IF(OR(FO$4="",$B27=""),0,SUMIF('DADOS BRUTOS'!$A$3:$A$500,$B27,'DADOS BRUTOS'!CO$3:CO$500)+IF($C27="",0,SUMIF('DADOS BRUTOS'!$A$3:$A$500,$C27,'DADOS BRUTOS'!CO$3:CO$500)))</f>
        <v/>
      </c>
      <c r="FP27" s="132">
        <f>IF(OR(FP$4="",$B27=""),0,SUMIF('DADOS BRUTOS'!$A$3:$A$500,$B27,'DADOS BRUTOS'!CP$3:CP$500)+IF($C27="",0,SUMIF('DADOS BRUTOS'!$A$3:$A$500,$C27,'DADOS BRUTOS'!CP$3:CP$500)))</f>
        <v/>
      </c>
      <c r="FQ27" s="132">
        <f>IF(OR(FQ$4="",$B27=""),0,SUMIF('DADOS BRUTOS'!$A$3:$A$500,$B27,'DADOS BRUTOS'!CQ$3:CQ$500)+IF($C27="",0,SUMIF('DADOS BRUTOS'!$A$3:$A$500,$C27,'DADOS BRUTOS'!CQ$3:CQ$500)))</f>
        <v/>
      </c>
      <c r="FR27" s="132">
        <f>IF(OR(FR$4="",$B27=""),0,SUMIF('DADOS BRUTOS'!$A$3:$A$500,$B27,'DADOS BRUTOS'!CR$3:CR$500)+IF($C27="",0,SUMIF('DADOS BRUTOS'!$A$3:$A$500,$C27,'DADOS BRUTOS'!CR$3:CR$500)))</f>
        <v/>
      </c>
      <c r="FS27" s="132">
        <f>IF(OR(FS$4="",$B27=""),0,SUMIF('DADOS BRUTOS'!$A$3:$A$500,$B27,'DADOS BRUTOS'!CS$3:CS$500)+IF($C27="",0,SUMIF('DADOS BRUTOS'!$A$3:$A$500,$C27,'DADOS BRUTOS'!CS$3:CS$500)))</f>
        <v/>
      </c>
      <c r="FT27" s="132">
        <f>IF(OR(FT$4="",$B27=""),0,SUMIF('DADOS BRUTOS'!$A$3:$A$500,$B27,'DADOS BRUTOS'!CT$3:CT$500)+IF($C27="",0,SUMIF('DADOS BRUTOS'!$A$3:$A$500,$C27,'DADOS BRUTOS'!CT$3:CT$500)))</f>
        <v/>
      </c>
      <c r="FU27" s="132">
        <f>IF(OR(FU$4="",$B27=""),0,SUMIF('DADOS BRUTOS'!$A$3:$A$500,$B27,'DADOS BRUTOS'!CU$3:CU$500)+IF($C27="",0,SUMIF('DADOS BRUTOS'!$A$3:$A$500,$C27,'DADOS BRUTOS'!CU$3:CU$500)))</f>
        <v/>
      </c>
      <c r="FV27" s="132">
        <f>IF(OR(FV$4="",$B27=""),0,SUMIF('DADOS BRUTOS'!$A$3:$A$500,$B27,'DADOS BRUTOS'!CV$3:CV$500)+IF($C27="",0,SUMIF('DADOS BRUTOS'!$A$3:$A$500,$C27,'DADOS BRUTOS'!CV$3:CV$500)))</f>
        <v/>
      </c>
      <c r="FW27" s="132">
        <f>IF(OR(FW$4="",$B27=""),0,SUMIF('DADOS BRUTOS'!$A$3:$A$500,$B27,'DADOS BRUTOS'!CW$3:CW$500)+IF($C27="",0,SUMIF('DADOS BRUTOS'!$A$3:$A$500,$C27,'DADOS BRUTOS'!CW$3:CW$500)))</f>
        <v/>
      </c>
      <c r="FX27" s="132">
        <f>IF(OR(FX$4="",$B27=""),0,SUMIF('DADOS BRUTOS'!$A$3:$A$500,$B27,'DADOS BRUTOS'!CX$3:CX$500)+IF($C27="",0,SUMIF('DADOS BRUTOS'!$A$3:$A$500,$C27,'DADOS BRUTOS'!CX$3:CX$500)))</f>
        <v/>
      </c>
      <c r="FY27" s="132">
        <f>IF(OR(FY$4="",$B27=""),0,SUMIF('DADOS BRUTOS'!$A$3:$A$500,$B27,'DADOS BRUTOS'!CY$3:CY$500)+IF($C27="",0,SUMIF('DADOS BRUTOS'!$A$3:$A$500,$C27,'DADOS BRUTOS'!CY$3:CY$500)))</f>
        <v/>
      </c>
      <c r="FZ27" s="132">
        <f>IF(OR(FZ$4="",$B27=""),0,SUMIF('DADOS BRUTOS'!$A$3:$A$500,$B27,'DADOS BRUTOS'!CZ$3:CZ$500)+IF($C27="",0,SUMIF('DADOS BRUTOS'!$A$3:$A$500,$C27,'DADOS BRUTOS'!CZ$3:CZ$500)))</f>
        <v/>
      </c>
      <c r="GA27" s="132">
        <f>IF(OR(GA$4="",$B27=""),0,SUMIF('DADOS BRUTOS'!$A$3:$A$500,$B27,'DADOS BRUTOS'!DA$3:DA$500)+IF($C27="",0,SUMIF('DADOS BRUTOS'!$A$3:$A$500,$C27,'DADOS BRUTOS'!DA$3:DA$500)))</f>
        <v/>
      </c>
      <c r="GB27" s="132">
        <f>IF(OR(GB$4="",$B27=""),0,SUMIF('DADOS BRUTOS'!$A$3:$A$500,$B27,'DADOS BRUTOS'!DB$3:DB$500)+IF($C27="",0,SUMIF('DADOS BRUTOS'!$A$3:$A$500,$C27,'DADOS BRUTOS'!DB$3:DB$500)))</f>
        <v/>
      </c>
      <c r="GC27" s="132">
        <f>IF(OR(GC$4="",$B27=""),0,SUMIF('DADOS BRUTOS'!$A$3:$A$500,$B27,'DADOS BRUTOS'!DC$3:DC$500)+IF($C27="",0,SUMIF('DADOS BRUTOS'!$A$3:$A$500,$C27,'DADOS BRUTOS'!DC$3:DC$500)))</f>
        <v/>
      </c>
      <c r="GD27" s="132">
        <f>IF(OR(GD$4="",$B27=""),0,SUMIF('DADOS BRUTOS'!$A$3:$A$500,$B27,'DADOS BRUTOS'!DD$3:DD$500)+IF($C27="",0,SUMIF('DADOS BRUTOS'!$A$3:$A$500,$C27,'DADOS BRUTOS'!DD$3:DD$500)))</f>
        <v/>
      </c>
      <c r="GE27" s="132">
        <f>IF(OR(GE$4="",$B27=""),0,SUMIF('DADOS BRUTOS'!$A$3:$A$500,$B27,'DADOS BRUTOS'!DE$3:DE$500)+IF($C27="",0,SUMIF('DADOS BRUTOS'!$A$3:$A$500,$C27,'DADOS BRUTOS'!DE$3:DE$500)))</f>
        <v/>
      </c>
      <c r="GF27" s="132">
        <f>IF(OR(GF$4="",$B27=""),0,SUMIF('DADOS BRUTOS'!$A$3:$A$500,$B27,'DADOS BRUTOS'!DF$3:DF$500)+IF($C27="",0,SUMIF('DADOS BRUTOS'!$A$3:$A$500,$C27,'DADOS BRUTOS'!DF$3:DF$500)))</f>
        <v/>
      </c>
      <c r="GG27" s="132">
        <f>IF(OR(GG$4="",$B27=""),0,SUMIF('DADOS BRUTOS'!$A$3:$A$500,$B27,'DADOS BRUTOS'!DG$3:DG$500)+IF($C27="",0,SUMIF('DADOS BRUTOS'!$A$3:$A$500,$C27,'DADOS BRUTOS'!DG$3:DG$500)))</f>
        <v/>
      </c>
      <c r="GH27" s="132">
        <f>IF(OR(GH$4="",$B27=""),0,SUMIF('DADOS BRUTOS'!$A$3:$A$500,$B27,'DADOS BRUTOS'!DH$3:DH$500)+IF($C27="",0,SUMIF('DADOS BRUTOS'!$A$3:$A$500,$C27,'DADOS BRUTOS'!DH$3:DH$500)))</f>
        <v/>
      </c>
      <c r="GI27" s="132">
        <f>IF(OR(GI$4="",$B27=""),0,SUMIF('DADOS BRUTOS'!$A$3:$A$500,$B27,'DADOS BRUTOS'!DI$3:DI$500)+IF($C27="",0,SUMIF('DADOS BRUTOS'!$A$3:$A$500,$C27,'DADOS BRUTOS'!DI$3:DI$500)))</f>
        <v/>
      </c>
      <c r="GJ27" s="132">
        <f>IF(OR(GJ$4="",$B27=""),0,SUMIF('DADOS BRUTOS'!$A$3:$A$500,$B27,'DADOS BRUTOS'!DJ$3:DJ$500)+IF($C27="",0,SUMIF('DADOS BRUTOS'!$A$3:$A$500,$C27,'DADOS BRUTOS'!DJ$3:DJ$500)))</f>
        <v/>
      </c>
      <c r="GK27" s="132">
        <f>IF(OR(GK$4="",$B27=""),0,SUMIF('DADOS BRUTOS'!$A$3:$A$500,$B27,'DADOS BRUTOS'!DK$3:DK$500)+IF($C27="",0,SUMIF('DADOS BRUTOS'!$A$3:$A$500,$C27,'DADOS BRUTOS'!DK$3:DK$500)))</f>
        <v/>
      </c>
      <c r="GL27" s="132">
        <f>IF(OR(GL$4="",$B27=""),0,SUMIF('DADOS BRUTOS'!$A$3:$A$500,$B27,'DADOS BRUTOS'!DL$3:DL$500)+IF($C27="",0,SUMIF('DADOS BRUTOS'!$A$3:$A$500,$C27,'DADOS BRUTOS'!DL$3:DL$500)))</f>
        <v/>
      </c>
      <c r="GM27" s="132">
        <f>IF(OR(GM$4="",$B27=""),0,SUMIF('DADOS BRUTOS'!$A$3:$A$500,$B27,'DADOS BRUTOS'!DM$3:DM$500)+IF($C27="",0,SUMIF('DADOS BRUTOS'!$A$3:$A$500,$C27,'DADOS BRUTOS'!DM$3:DM$500)))</f>
        <v/>
      </c>
      <c r="GN27" s="132">
        <f>IF(OR(GN$4="",$B27=""),0,SUMIF('DADOS BRUTOS'!$A$3:$A$500,$B27,'DADOS BRUTOS'!DN$3:DN$500)+IF($C27="",0,SUMIF('DADOS BRUTOS'!$A$3:$A$500,$C27,'DADOS BRUTOS'!DN$3:DN$500)))</f>
        <v/>
      </c>
      <c r="GO27" s="132">
        <f>IF(OR(GO$4="",$B27=""),0,SUMIF('DADOS BRUTOS'!$A$3:$A$500,$B27,'DADOS BRUTOS'!DO$3:DO$500)+IF($C27="",0,SUMIF('DADOS BRUTOS'!$A$3:$A$500,$C27,'DADOS BRUTOS'!DO$3:DO$500)))</f>
        <v/>
      </c>
      <c r="GP27" s="132">
        <f>IF(OR(GP$4="",$B27=""),0,SUMIF('DADOS BRUTOS'!$A$3:$A$500,$B27,'DADOS BRUTOS'!DP$3:DP$500)+IF($C27="",0,SUMIF('DADOS BRUTOS'!$A$3:$A$500,$C27,'DADOS BRUTOS'!DP$3:DP$500)))</f>
        <v/>
      </c>
      <c r="GQ27" s="132">
        <f>IF(OR(GQ$4="",$B27=""),0,SUMIF('DADOS BRUTOS'!$A$3:$A$500,$B27,'DADOS BRUTOS'!DQ$3:DQ$500)+IF($C27="",0,SUMIF('DADOS BRUTOS'!$A$3:$A$500,$C27,'DADOS BRUTOS'!DQ$3:DQ$500)))</f>
        <v/>
      </c>
      <c r="GR27" s="132">
        <f>IF(OR(GR$4="",$B27=""),0,SUMIF('DADOS BRUTOS'!$A$3:$A$500,$B27,'DADOS BRUTOS'!DR$3:DR$500)+IF($C27="",0,SUMIF('DADOS BRUTOS'!$A$3:$A$500,$C27,'DADOS BRUTOS'!DR$3:DR$500)))</f>
        <v/>
      </c>
      <c r="GS27" s="132">
        <f>IF(OR(GS$4="",$B27=""),0,SUMIF('DADOS BRUTOS'!$A$3:$A$500,$B27,'DADOS BRUTOS'!DS$3:DS$500)+IF($C27="",0,SUMIF('DADOS BRUTOS'!$A$3:$A$500,$C27,'DADOS BRUTOS'!DS$3:DS$500)))</f>
        <v/>
      </c>
      <c r="GT27" s="132">
        <f>IF(OR(GT$4="",$B27=""),0,SUMIF('DADOS BRUTOS'!$A$3:$A$500,$B27,'DADOS BRUTOS'!DT$3:DT$500)+IF($C27="",0,SUMIF('DADOS BRUTOS'!$A$3:$A$500,$C27,'DADOS BRUTOS'!DT$3:DT$500)))</f>
        <v/>
      </c>
      <c r="GU27" s="132">
        <f>IF(OR(GU$4="",$B27=""),0,SUMIF('DADOS BRUTOS'!$A$3:$A$500,$B27,'DADOS BRUTOS'!DU$3:DU$500)+IF($C27="",0,SUMIF('DADOS BRUTOS'!$A$3:$A$500,$C27,'DADOS BRUTOS'!DU$3:DU$500)))</f>
        <v/>
      </c>
      <c r="GV27" s="132">
        <f>IF(OR(GV$4="",$B27=""),0,SUMIF('DADOS BRUTOS'!$A$3:$A$500,$B27,'DADOS BRUTOS'!DV$3:DV$500)+IF($C27="",0,SUMIF('DADOS BRUTOS'!$A$3:$A$500,$C27,'DADOS BRUTOS'!DV$3:DV$500)))</f>
        <v/>
      </c>
      <c r="GW27" s="132">
        <f>IF(OR(GW$4="",$B27=""),0,SUMIF('DADOS BRUTOS'!$A$3:$A$500,$B27,'DADOS BRUTOS'!DW$3:DW$500)+IF($C27="",0,SUMIF('DADOS BRUTOS'!$A$3:$A$500,$C27,'DADOS BRUTOS'!DW$3:DW$500)))</f>
        <v/>
      </c>
      <c r="GX27" s="132">
        <f>IF(OR(GX$4="",$B27=""),0,SUMIF('DADOS BRUTOS'!$A$3:$A$500,$B27,'DADOS BRUTOS'!DX$3:DX$500)+IF($C27="",0,SUMIF('DADOS BRUTOS'!$A$3:$A$500,$C27,'DADOS BRUTOS'!DX$3:DX$500)))</f>
        <v/>
      </c>
      <c r="GY27" s="132">
        <f>IF(OR(GY$4="",$B27=""),0,SUMIF('DADOS BRUTOS'!$A$3:$A$500,$B27,'DADOS BRUTOS'!DY$3:DY$500)+IF($C27="",0,SUMIF('DADOS BRUTOS'!$A$3:$A$500,$C27,'DADOS BRUTOS'!DY$3:DY$500)))</f>
        <v/>
      </c>
      <c r="GZ27" s="132">
        <f>IF(OR(GZ$4="",$B27=""),0,SUMIF('DADOS BRUTOS'!$A$3:$A$500,$B27,'DADOS BRUTOS'!DZ$3:DZ$500)+IF($C27="",0,SUMIF('DADOS BRUTOS'!$A$3:$A$500,$C27,'DADOS BRUTOS'!DZ$3:DZ$500)))</f>
        <v/>
      </c>
      <c r="HA27" s="132">
        <f>IF(OR(HA$4="",$B27=""),0,SUMIF('DADOS BRUTOS'!$A$3:$A$500,$B27,'DADOS BRUTOS'!EA$3:EA$500)+IF($C27="",0,SUMIF('DADOS BRUTOS'!$A$3:$A$500,$C27,'DADOS BRUTOS'!EA$3:EA$500)))</f>
        <v/>
      </c>
      <c r="HB27" s="132">
        <f>IF(OR(HB$4="",$B27=""),0,SUMIF('DADOS BRUTOS'!$A$3:$A$500,$B27,'DADOS BRUTOS'!EB$3:EB$500)+IF($C27="",0,SUMIF('DADOS BRUTOS'!$A$3:$A$500,$C27,'DADOS BRUTOS'!EB$3:EB$500)))</f>
        <v/>
      </c>
      <c r="HC27" s="132">
        <f>IF(OR(HC$4="",$B27=""),0,SUMIF('DADOS BRUTOS'!$A$3:$A$500,$B27,'DADOS BRUTOS'!EC$3:EC$500)+IF($C27="",0,SUMIF('DADOS BRUTOS'!$A$3:$A$500,$C27,'DADOS BRUTOS'!EC$3:EC$500)))</f>
        <v/>
      </c>
      <c r="HD27" s="132">
        <f>IF(OR(HD$4="",$B27=""),0,SUMIF('DADOS BRUTOS'!$A$3:$A$500,$B27,'DADOS BRUTOS'!ED$3:ED$500)+IF($C27="",0,SUMIF('DADOS BRUTOS'!$A$3:$A$500,$C27,'DADOS BRUTOS'!ED$3:ED$500)))</f>
        <v/>
      </c>
      <c r="HE27" s="132">
        <f>IF(OR(HE$4="",$B27=""),0,SUMIF('DADOS BRUTOS'!$A$3:$A$500,$B27,'DADOS BRUTOS'!EE$3:EE$500)+IF($C27="",0,SUMIF('DADOS BRUTOS'!$A$3:$A$500,$C27,'DADOS BRUTOS'!EE$3:EE$500)))</f>
        <v/>
      </c>
      <c r="HF27" s="132">
        <f>IF(OR(HF$4="",$B27=""),0,SUMIF('DADOS BRUTOS'!$A$3:$A$500,$B27,'DADOS BRUTOS'!EF$3:EF$500)+IF($C27="",0,SUMIF('DADOS BRUTOS'!$A$3:$A$500,$C27,'DADOS BRUTOS'!EF$3:EF$500)))</f>
        <v/>
      </c>
      <c r="HG27" s="132">
        <f>IF(OR(HG$4="",$B27=""),0,SUMIF('DADOS BRUTOS'!$A$3:$A$500,$B27,'DADOS BRUTOS'!EG$3:EG$500)+IF($C27="",0,SUMIF('DADOS BRUTOS'!$A$3:$A$500,$C27,'DADOS BRUTOS'!EG$3:EG$500)))</f>
        <v/>
      </c>
      <c r="HH27" s="132">
        <f>IF(OR(HH$4="",$B27=""),0,SUMIF('DADOS BRUTOS'!$A$3:$A$500,$B27,'DADOS BRUTOS'!EH$3:EH$500)+IF($C27="",0,SUMIF('DADOS BRUTOS'!$A$3:$A$500,$C27,'DADOS BRUTOS'!EH$3:EH$500)))</f>
        <v/>
      </c>
      <c r="HI27" s="132">
        <f>IF(OR(HI$4="",$B27=""),0,SUMIF('DADOS BRUTOS'!$A$3:$A$500,$B27,'DADOS BRUTOS'!EI$3:EI$500)+IF($C27="",0,SUMIF('DADOS BRUTOS'!$A$3:$A$500,$C27,'DADOS BRUTOS'!EI$3:EI$500)))</f>
        <v/>
      </c>
      <c r="HJ27" s="132">
        <f>IF(OR(HJ$4="",$B27=""),0,SUMIF('DADOS BRUTOS'!$A$3:$A$500,$B27,'DADOS BRUTOS'!EJ$3:EJ$500)+IF($C27="",0,SUMIF('DADOS BRUTOS'!$A$3:$A$500,$C27,'DADOS BRUTOS'!EJ$3:EJ$500)))</f>
        <v/>
      </c>
      <c r="HK27" s="132">
        <f>IF(OR(HK$4="",$B27=""),0,SUMIF('DADOS BRUTOS'!$A$3:$A$500,$B27,'DADOS BRUTOS'!EK$3:EK$500)+IF($C27="",0,SUMIF('DADOS BRUTOS'!$A$3:$A$500,$C27,'DADOS BRUTOS'!EK$3:EK$500)))</f>
        <v/>
      </c>
      <c r="HL27" s="132">
        <f>IF(OR(HL$4="",$B27=""),0,SUMIF('DADOS BRUTOS'!$A$3:$A$500,$B27,'DADOS BRUTOS'!EL$3:EL$500)+IF($C27="",0,SUMIF('DADOS BRUTOS'!$A$3:$A$500,$C27,'DADOS BRUTOS'!EL$3:EL$500)))</f>
        <v/>
      </c>
      <c r="HM27" s="132">
        <f>IF(OR(HM$4="",$B27=""),0,SUMIF('DADOS BRUTOS'!$A$3:$A$500,$B27,'DADOS BRUTOS'!EM$3:EM$500)+IF($C27="",0,SUMIF('DADOS BRUTOS'!$A$3:$A$500,$C27,'DADOS BRUTOS'!EM$3:EM$500)))</f>
        <v/>
      </c>
      <c r="HN27" s="132">
        <f>IF(OR(HN$4="",$B27=""),0,SUMIF('DADOS BRUTOS'!$A$3:$A$500,$B27,'DADOS BRUTOS'!EN$3:EN$500)+IF($C27="",0,SUMIF('DADOS BRUTOS'!$A$3:$A$500,$C27,'DADOS BRUTOS'!EN$3:EN$500)))</f>
        <v/>
      </c>
      <c r="HO27" s="132">
        <f>IF(OR(HO$4="",$B27=""),0,SUMIF('DADOS BRUTOS'!$A$3:$A$500,$B27,'DADOS BRUTOS'!EO$3:EO$500)+IF($C27="",0,SUMIF('DADOS BRUTOS'!$A$3:$A$500,$C27,'DADOS BRUTOS'!EO$3:EO$500)))</f>
        <v/>
      </c>
      <c r="HP27" s="132">
        <f>IF(OR(HP$4="",$B27=""),0,SUMIF('DADOS BRUTOS'!$A$3:$A$500,$B27,'DADOS BRUTOS'!EP$3:EP$500)+IF($C27="",0,SUMIF('DADOS BRUTOS'!$A$3:$A$500,$C27,'DADOS BRUTOS'!EP$3:EP$500)))</f>
        <v/>
      </c>
      <c r="HQ27" s="132">
        <f>IF(OR(HQ$4="",$B27=""),0,SUMIF('DADOS BRUTOS'!$A$3:$A$500,$B27,'DADOS BRUTOS'!EQ$3:EQ$500)+IF($C27="",0,SUMIF('DADOS BRUTOS'!$A$3:$A$500,$C27,'DADOS BRUTOS'!EQ$3:EQ$500)))</f>
        <v/>
      </c>
      <c r="HR27" s="132">
        <f>IF(OR(HR$4="",$B27=""),0,SUMIF('DADOS BRUTOS'!$A$3:$A$500,$B27,'DADOS BRUTOS'!ER$3:ER$500)+IF($C27="",0,SUMIF('DADOS BRUTOS'!$A$3:$A$500,$C27,'DADOS BRUTOS'!ER$3:ER$500)))</f>
        <v/>
      </c>
      <c r="HS27" s="132">
        <f>IF(OR(HS$4="",$B27=""),0,SUMIF('DADOS BRUTOS'!$A$3:$A$500,$B27,'DADOS BRUTOS'!ES$3:ES$500)+IF($C27="",0,SUMIF('DADOS BRUTOS'!$A$3:$A$500,$C27,'DADOS BRUTOS'!ES$3:ES$500)))</f>
        <v/>
      </c>
      <c r="HT27" s="132">
        <f>IF(OR(HT$4="",$B27=""),0,SUMIF('DADOS BRUTOS'!$A$3:$A$500,$B27,'DADOS BRUTOS'!ET$3:ET$500)+IF($C27="",0,SUMIF('DADOS BRUTOS'!$A$3:$A$500,$C27,'DADOS BRUTOS'!ET$3:ET$500)))</f>
        <v/>
      </c>
      <c r="HU27" s="132">
        <f>IF(OR(HU$4="",$B27=""),0,SUMIF('DADOS BRUTOS'!$A$3:$A$500,$B27,'DADOS BRUTOS'!EU$3:EU$500)+IF($C27="",0,SUMIF('DADOS BRUTOS'!$A$3:$A$500,$C27,'DADOS BRUTOS'!EU$3:EU$500)))</f>
        <v/>
      </c>
      <c r="HV27" s="132">
        <f>IF(OR(HV$4="",$B27=""),0,SUMIF('DADOS BRUTOS'!$A$3:$A$500,$B27,'DADOS BRUTOS'!EV$3:EV$500)+IF($C27="",0,SUMIF('DADOS BRUTOS'!$A$3:$A$500,$C27,'DADOS BRUTOS'!EV$3:EV$500)))</f>
        <v/>
      </c>
      <c r="HW27" s="132">
        <f>IF(OR(HW$4="",$B27=""),0,SUMIF('DADOS BRUTOS'!$A$3:$A$500,$B27,'DADOS BRUTOS'!EW$3:EW$500)+IF($C27="",0,SUMIF('DADOS BRUTOS'!$A$3:$A$500,$C27,'DADOS BRUTOS'!EW$3:EW$500)))</f>
        <v/>
      </c>
      <c r="HX27" s="132">
        <f>IF(OR(HX$4="",$B27=""),0,SUMIF('DADOS BRUTOS'!$A$3:$A$500,$B27,'DADOS BRUTOS'!EX$3:EX$500)+IF($C27="",0,SUMIF('DADOS BRUTOS'!$A$3:$A$500,$C27,'DADOS BRUTOS'!EX$3:EX$500)))</f>
        <v/>
      </c>
      <c r="HY27" s="132">
        <f>IF(OR(HY$4="",$B27=""),0,SUMIF('DADOS BRUTOS'!$A$3:$A$500,$B27,'DADOS BRUTOS'!EY$3:EY$500)+IF($C27="",0,SUMIF('DADOS BRUTOS'!$A$3:$A$500,$C27,'DADOS BRUTOS'!EY$3:EY$500)))</f>
        <v/>
      </c>
      <c r="HZ27" s="132">
        <f>IF(OR(HZ$4="",$B27=""),0,SUMIF('DADOS BRUTOS'!$A$3:$A$500,$B27,'DADOS BRUTOS'!EZ$3:EZ$500)+IF($C27="",0,SUMIF('DADOS BRUTOS'!$A$3:$A$500,$C27,'DADOS BRUTOS'!EZ$3:EZ$500)))</f>
        <v/>
      </c>
      <c r="IA27" s="132">
        <f>IF(OR(IA$4="",$B27=""),0,SUMIF('DADOS BRUTOS'!$A$3:$A$500,$B27,'DADOS BRUTOS'!FA$3:FA$500)+IF($C27="",0,SUMIF('DADOS BRUTOS'!$A$3:$A$500,$C27,'DADOS BRUTOS'!FA$3:FA$500)))</f>
        <v/>
      </c>
      <c r="IB27" s="132">
        <f>IF(OR(IB$4="",$B27=""),0,SUMIF('DADOS BRUTOS'!$A$3:$A$500,$B27,'DADOS BRUTOS'!FB$3:FB$500)+IF($C27="",0,SUMIF('DADOS BRUTOS'!$A$3:$A$500,$C27,'DADOS BRUTOS'!FB$3:FB$500)))</f>
        <v/>
      </c>
      <c r="IC27" s="132">
        <f>IF(OR(IC$4="",$B27=""),0,SUMIF('DADOS BRUTOS'!$A$3:$A$500,$B27,'DADOS BRUTOS'!FC$3:FC$500)+IF($C27="",0,SUMIF('DADOS BRUTOS'!$A$3:$A$500,$C27,'DADOS BRUTOS'!FC$3:FC$500)))</f>
        <v/>
      </c>
      <c r="ID27" s="132">
        <f>IF(OR(ID$4="",$B27=""),0,SUMIF('DADOS BRUTOS'!$A$3:$A$500,$B27,'DADOS BRUTOS'!FD$3:FD$500)+IF($C27="",0,SUMIF('DADOS BRUTOS'!$A$3:$A$500,$C27,'DADOS BRUTOS'!FD$3:FD$500)))</f>
        <v/>
      </c>
      <c r="IE27" s="132">
        <f>IF(OR(IE$4="",$B27=""),0,SUMIF('DADOS BRUTOS'!$A$3:$A$500,$B27,'DADOS BRUTOS'!FE$3:FE$500)+IF($C27="",0,SUMIF('DADOS BRUTOS'!$A$3:$A$500,$C27,'DADOS BRUTOS'!FE$3:FE$500)))</f>
        <v/>
      </c>
      <c r="IF27" s="132">
        <f>IF(OR(IF$4="",$B27=""),0,SUMIF('DADOS BRUTOS'!$A$3:$A$500,$B27,'DADOS BRUTOS'!FF$3:FF$500)+IF($C27="",0,SUMIF('DADOS BRUTOS'!$A$3:$A$500,$C27,'DADOS BRUTOS'!FF$3:FF$500)))</f>
        <v/>
      </c>
      <c r="IG27" s="132">
        <f>IF(OR(IG$4="",$B27=""),0,SUMIF('DADOS BRUTOS'!$A$3:$A$500,$B27,'DADOS BRUTOS'!FG$3:FG$500)+IF($C27="",0,SUMIF('DADOS BRUTOS'!$A$3:$A$500,$C27,'DADOS BRUTOS'!FG$3:FG$500)))</f>
        <v/>
      </c>
      <c r="IH27" s="132">
        <f>IF(OR(IH$4="",$B27=""),0,SUMIF('DADOS BRUTOS'!$A$3:$A$500,$B27,'DADOS BRUTOS'!FH$3:FH$500)+IF($C27="",0,SUMIF('DADOS BRUTOS'!$A$3:$A$500,$C27,'DADOS BRUTOS'!FH$3:FH$500)))</f>
        <v/>
      </c>
      <c r="II27" s="132">
        <f>IF(OR(II$4="",$B27=""),0,SUMIF('DADOS BRUTOS'!$A$3:$A$500,$B27,'DADOS BRUTOS'!FI$3:FI$500)+IF($C27="",0,SUMIF('DADOS BRUTOS'!$A$3:$A$500,$C27,'DADOS BRUTOS'!FI$3:FI$500)))</f>
        <v/>
      </c>
      <c r="IJ27" s="132">
        <f>IF(OR(IJ$4="",$B27=""),0,SUMIF('DADOS BRUTOS'!$A$3:$A$500,$B27,'DADOS BRUTOS'!FJ$3:FJ$500)+IF($C27="",0,SUMIF('DADOS BRUTOS'!$A$3:$A$500,$C27,'DADOS BRUTOS'!FJ$3:FJ$500)))</f>
        <v/>
      </c>
      <c r="IK27" s="132">
        <f>IF(OR(IK$4="",$B27=""),0,SUMIF('DADOS BRUTOS'!$A$3:$A$500,$B27,'DADOS BRUTOS'!FK$3:FK$500)+IF($C27="",0,SUMIF('DADOS BRUTOS'!$A$3:$A$500,$C27,'DADOS BRUTOS'!FK$3:FK$500)))</f>
        <v/>
      </c>
      <c r="IL27" s="132">
        <f>IF(OR(IL$4="",$B27=""),0,SUMIF('DADOS BRUTOS'!$A$3:$A$500,$B27,'DADOS BRUTOS'!FL$3:FL$500)+IF($C27="",0,SUMIF('DADOS BRUTOS'!$A$3:$A$500,$C27,'DADOS BRUTOS'!FL$3:FL$500)))</f>
        <v/>
      </c>
      <c r="IM27" s="132">
        <f>IF(OR(IM$4="",$B27=""),0,SUMIF('DADOS BRUTOS'!$A$3:$A$500,$B27,'DADOS BRUTOS'!FM$3:FM$500)+IF($C27="",0,SUMIF('DADOS BRUTOS'!$A$3:$A$500,$C27,'DADOS BRUTOS'!FM$3:FM$500)))</f>
        <v/>
      </c>
      <c r="IN27" s="132">
        <f>IF(OR(IN$4="",$B27=""),0,SUMIF('DADOS BRUTOS'!$A$3:$A$500,$B27,'DADOS BRUTOS'!FN$3:FN$500)+IF($C27="",0,SUMIF('DADOS BRUTOS'!$A$3:$A$500,$C27,'DADOS BRUTOS'!FN$3:FN$500)))</f>
        <v/>
      </c>
      <c r="IO27" s="132">
        <f>IF(OR(IO$4="",$B27=""),0,SUMIF('DADOS BRUTOS'!$A$3:$A$500,$B27,'DADOS BRUTOS'!FO$3:FO$500)+IF($C27="",0,SUMIF('DADOS BRUTOS'!$A$3:$A$500,$C27,'DADOS BRUTOS'!FO$3:FO$500)))</f>
        <v/>
      </c>
      <c r="IP27" s="132">
        <f>IF(OR(IP$4="",$B27=""),0,SUMIF('DADOS BRUTOS'!$A$3:$A$500,$B27,'DADOS BRUTOS'!FP$3:FP$500)+IF($C27="",0,SUMIF('DADOS BRUTOS'!$A$3:$A$500,$C27,'DADOS BRUTOS'!FP$3:FP$500)))</f>
        <v/>
      </c>
      <c r="IQ27" s="132">
        <f>IF(OR(IQ$4="",$B27=""),0,SUMIF('DADOS BRUTOS'!$A$3:$A$500,$B27,'DADOS BRUTOS'!FQ$3:FQ$500)+IF($C27="",0,SUMIF('DADOS BRUTOS'!$A$3:$A$500,$C27,'DADOS BRUTOS'!FQ$3:FQ$500)))</f>
        <v/>
      </c>
      <c r="IR27" s="132">
        <f>IF(OR(IR$4="",$B27=""),0,SUMIF('DADOS BRUTOS'!$A$3:$A$500,$B27,'DADOS BRUTOS'!FR$3:FR$500)+IF($C27="",0,SUMIF('DADOS BRUTOS'!$A$3:$A$500,$C27,'DADOS BRUTOS'!FR$3:FR$500)))</f>
        <v/>
      </c>
      <c r="IS27" s="132">
        <f>IF(OR(IS$4="",$B27=""),0,SUMIF('DADOS BRUTOS'!$A$3:$A$500,$B27,'DADOS BRUTOS'!FS$3:FS$500)+IF($C27="",0,SUMIF('DADOS BRUTOS'!$A$3:$A$500,$C27,'DADOS BRUTOS'!FS$3:FS$500)))</f>
        <v/>
      </c>
      <c r="IT27" s="132">
        <f>IF(OR(IT$4="",$B27=""),0,SUMIF('DADOS BRUTOS'!$A$3:$A$500,$B27,'DADOS BRUTOS'!FT$3:FT$500)+IF($C27="",0,SUMIF('DADOS BRUTOS'!$A$3:$A$500,$C27,'DADOS BRUTOS'!FT$3:FT$500)))</f>
        <v/>
      </c>
      <c r="IU27" s="132">
        <f>IF(OR(IU$4="",$B27=""),0,SUMIF('DADOS BRUTOS'!$A$3:$A$500,$B27,'DADOS BRUTOS'!FU$3:FU$500)+IF($C27="",0,SUMIF('DADOS BRUTOS'!$A$3:$A$500,$C27,'DADOS BRUTOS'!FU$3:FU$500)))</f>
        <v/>
      </c>
      <c r="IV27" s="132">
        <f>IF(OR(IV$4="",$B27=""),0,SUMIF('DADOS BRUTOS'!$A$3:$A$500,$B27,'DADOS BRUTOS'!FV$3:FV$500)+IF($C27="",0,SUMIF('DADOS BRUTOS'!$A$3:$A$500,$C27,'DADOS BRUTOS'!FV$3:FV$500)))</f>
        <v/>
      </c>
      <c r="IW27" s="132">
        <f>IF(OR(IW$4="",$B27=""),0,SUMIF('DADOS BRUTOS'!$A$3:$A$500,$B27,'DADOS BRUTOS'!FW$3:FW$500)+IF($C27="",0,SUMIF('DADOS BRUTOS'!$A$3:$A$500,$C27,'DADOS BRUTOS'!FW$3:FW$500)))</f>
        <v/>
      </c>
      <c r="IX27" s="132">
        <f>IF(OR(IX$4="",$B27=""),0,SUMIF('DADOS BRUTOS'!$A$3:$A$500,$B27,'DADOS BRUTOS'!FX$3:FX$500)+IF($C27="",0,SUMIF('DADOS BRUTOS'!$A$3:$A$500,$C27,'DADOS BRUTOS'!FX$3:FX$500)))</f>
        <v/>
      </c>
      <c r="IY27" s="132">
        <f>IF(OR(IY$4="",$B27=""),0,SUMIF('DADOS BRUTOS'!$A$3:$A$500,$B27,'DADOS BRUTOS'!FY$3:FY$500)+IF($C27="",0,SUMIF('DADOS BRUTOS'!$A$3:$A$500,$C27,'DADOS BRUTOS'!FY$3:FY$500)))</f>
        <v/>
      </c>
      <c r="IZ27" s="132">
        <f>IF(OR(IZ$4="",$B27=""),0,SUMIF('DADOS BRUTOS'!$A$3:$A$500,$B27,'DADOS BRUTOS'!FZ$3:FZ$500)+IF($C27="",0,SUMIF('DADOS BRUTOS'!$A$3:$A$500,$C27,'DADOS BRUTOS'!FZ$3:FZ$500)))</f>
        <v/>
      </c>
      <c r="JA27" s="132">
        <f>IF(OR(JA$4="",$B27=""),0,SUMIF('DADOS BRUTOS'!$A$3:$A$500,$B27,'DADOS BRUTOS'!GA$3:GA$500)+IF($C27="",0,SUMIF('DADOS BRUTOS'!$A$3:$A$500,$C27,'DADOS BRUTOS'!GA$3:GA$500)))</f>
        <v/>
      </c>
      <c r="JB27" s="132">
        <f>IF(OR(JB$4="",$B27=""),0,SUMIF('DADOS BRUTOS'!$A$3:$A$500,$B27,'DADOS BRUTOS'!GB$3:GB$500)+IF($C27="",0,SUMIF('DADOS BRUTOS'!$A$3:$A$500,$C27,'DADOS BRUTOS'!GB$3:GB$500)))</f>
        <v/>
      </c>
      <c r="JC27" s="132">
        <f>IF(OR(JC$4="",$B27=""),0,SUMIF('DADOS BRUTOS'!$A$3:$A$500,$B27,'DADOS BRUTOS'!GC$3:GC$500)+IF($C27="",0,SUMIF('DADOS BRUTOS'!$A$3:$A$500,$C27,'DADOS BRUTOS'!GC$3:GC$500)))</f>
        <v/>
      </c>
      <c r="JD27" s="132">
        <f>IF(OR(JD$4="",$B27=""),0,SUMIF('DADOS BRUTOS'!$A$3:$A$500,$B27,'DADOS BRUTOS'!GD$3:GD$500)+IF($C27="",0,SUMIF('DADOS BRUTOS'!$A$3:$A$500,$C27,'DADOS BRUTOS'!GD$3:GD$500)))</f>
        <v/>
      </c>
      <c r="JE27" s="132">
        <f>IF(OR(JE$4="",$B27=""),0,SUMIF('DADOS BRUTOS'!$A$3:$A$500,$B27,'DADOS BRUTOS'!GE$3:GE$500)+IF($C27="",0,SUMIF('DADOS BRUTOS'!$A$3:$A$500,$C27,'DADOS BRUTOS'!GE$3:GE$500)))</f>
        <v/>
      </c>
      <c r="JF27" s="132">
        <f>IF(OR(JF$4="",$B27=""),0,SUMIF('DADOS BRUTOS'!$A$3:$A$500,$B27,'DADOS BRUTOS'!GF$3:GF$500)+IF($C27="",0,SUMIF('DADOS BRUTOS'!$A$3:$A$500,$C27,'DADOS BRUTOS'!GF$3:GF$500)))</f>
        <v/>
      </c>
      <c r="JG27" s="132">
        <f>IF(OR(JG$4="",$B27=""),0,SUMIF('DADOS BRUTOS'!$A$3:$A$500,$B27,'DADOS BRUTOS'!GG$3:GG$500)+IF($C27="",0,SUMIF('DADOS BRUTOS'!$A$3:$A$500,$C27,'DADOS BRUTOS'!GG$3:GG$500)))</f>
        <v/>
      </c>
      <c r="JH27" s="132">
        <f>IF(OR(JH$4="",$B27=""),0,SUMIF('DADOS BRUTOS'!$A$3:$A$500,$B27,'DADOS BRUTOS'!GH$3:GH$500)+IF($C27="",0,SUMIF('DADOS BRUTOS'!$A$3:$A$500,$C27,'DADOS BRUTOS'!GH$3:GH$500)))</f>
        <v/>
      </c>
      <c r="JI27" s="132">
        <f>IF(OR(JI$4="",$B27=""),0,SUMIF('DADOS BRUTOS'!$A$3:$A$500,$B27,'DADOS BRUTOS'!GI$3:GI$500)+IF($C27="",0,SUMIF('DADOS BRUTOS'!$A$3:$A$500,$C27,'DADOS BRUTOS'!GI$3:GI$500)))</f>
        <v/>
      </c>
      <c r="JJ27" s="132">
        <f>IF(OR(JJ$4="",$B27=""),0,SUMIF('DADOS BRUTOS'!$A$3:$A$500,$B27,'DADOS BRUTOS'!GJ$3:GJ$500)+IF($C27="",0,SUMIF('DADOS BRUTOS'!$A$3:$A$500,$C27,'DADOS BRUTOS'!GJ$3:GJ$500)))</f>
        <v/>
      </c>
      <c r="JK27" s="132">
        <f>IF(OR(JK$4="",$B27=""),0,SUMIF('DADOS BRUTOS'!$A$3:$A$500,$B27,'DADOS BRUTOS'!GK$3:GK$500)+IF($C27="",0,SUMIF('DADOS BRUTOS'!$A$3:$A$500,$C27,'DADOS BRUTOS'!GK$3:GK$500)))</f>
        <v/>
      </c>
      <c r="JL27" s="132">
        <f>IF(OR(JL$4="",$B27=""),0,SUMIF('DADOS BRUTOS'!$A$3:$A$500,$B27,'DADOS BRUTOS'!GL$3:GL$500)+IF($C27="",0,SUMIF('DADOS BRUTOS'!$A$3:$A$500,$C27,'DADOS BRUTOS'!GL$3:GL$500)))</f>
        <v/>
      </c>
      <c r="JM27" s="132">
        <f>IF(OR(JM$4="",$B27=""),0,SUMIF('DADOS BRUTOS'!$A$3:$A$500,$B27,'DADOS BRUTOS'!GM$3:GM$500)+IF($C27="",0,SUMIF('DADOS BRUTOS'!$A$3:$A$500,$C27,'DADOS BRUTOS'!GM$3:GM$500)))</f>
        <v/>
      </c>
      <c r="JN27" s="132">
        <f>IF(OR(JN$4="",$B27=""),0,SUMIF('DADOS BRUTOS'!$A$3:$A$500,$B27,'DADOS BRUTOS'!GN$3:GN$500)+IF($C27="",0,SUMIF('DADOS BRUTOS'!$A$3:$A$500,$C27,'DADOS BRUTOS'!GN$3:GN$500)))</f>
        <v/>
      </c>
      <c r="JO27" s="132">
        <f>IF(OR(JO$4="",$B27=""),0,SUMIF('DADOS BRUTOS'!$A$3:$A$500,$B27,'DADOS BRUTOS'!GO$3:GO$500)+IF($C27="",0,SUMIF('DADOS BRUTOS'!$A$3:$A$500,$C27,'DADOS BRUTOS'!GO$3:GO$500)))</f>
        <v/>
      </c>
      <c r="JP27" s="132">
        <f>IF(OR(JP$4="",$B27=""),0,SUMIF('DADOS BRUTOS'!$A$3:$A$500,$B27,'DADOS BRUTOS'!GP$3:GP$500)+IF($C27="",0,SUMIF('DADOS BRUTOS'!$A$3:$A$500,$C27,'DADOS BRUTOS'!GP$3:GP$500)))</f>
        <v/>
      </c>
      <c r="JQ27" s="132">
        <f>IF(OR(JQ$4="",$B27=""),0,SUMIF('DADOS BRUTOS'!$A$3:$A$500,$B27,'DADOS BRUTOS'!GQ$3:GQ$500)+IF($C27="",0,SUMIF('DADOS BRUTOS'!$A$3:$A$500,$C27,'DADOS BRUTOS'!GQ$3:GQ$500)))</f>
        <v/>
      </c>
      <c r="JR27" s="132">
        <f>IF(OR(JR$4="",$B27=""),0,SUMIF('DADOS BRUTOS'!$A$3:$A$500,$B27,'DADOS BRUTOS'!GR$3:GR$500)+IF($C27="",0,SUMIF('DADOS BRUTOS'!$A$3:$A$500,$C27,'DADOS BRUTOS'!GR$3:GR$500)))</f>
        <v/>
      </c>
      <c r="JS27" s="132">
        <f>IF(OR(JS$4="",$B27=""),0,SUMIF('DADOS BRUTOS'!$A$3:$A$500,$B27,'DADOS BRUTOS'!GS$3:GS$500)+IF($C27="",0,SUMIF('DADOS BRUTOS'!$A$3:$A$500,$C27,'DADOS BRUTOS'!GS$3:GS$500)))</f>
        <v/>
      </c>
    </row>
    <row r="28">
      <c r="A28" s="61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BZ28" s="49">
        <f>SUMPRODUCT(($CB$4:$JS$4&lt;&gt;"")*($CB$4:$JS$4&lt;=$D$4),$CB28:$JS28,$CB$1:$JS$1)</f>
        <v/>
      </c>
      <c r="CB28" s="132">
        <f>IF(OR(CB$4="",$B28=""),0,SUMIF('DADOS BRUTOS'!$A$3:$A$500,$B28,'DADOS BRUTOS'!B$3:B$500)+IF($C28="",0,SUMIF('DADOS BRUTOS'!$A$3:$A$500,$C28,'DADOS BRUTOS'!B$3:B$500)))</f>
        <v/>
      </c>
      <c r="CC28" s="132">
        <f>IF(OR(CC$4="",$B28=""),0,SUMIF('DADOS BRUTOS'!$A$3:$A$500,$B28,'DADOS BRUTOS'!C$3:C$500)+IF($C28="",0,SUMIF('DADOS BRUTOS'!$A$3:$A$500,$C28,'DADOS BRUTOS'!C$3:C$500)))</f>
        <v/>
      </c>
      <c r="CD28" s="132">
        <f>IF(OR(CD$4="",$B28=""),0,SUMIF('DADOS BRUTOS'!$A$3:$A$500,$B28,'DADOS BRUTOS'!D$3:D$500)+IF($C28="",0,SUMIF('DADOS BRUTOS'!$A$3:$A$500,$C28,'DADOS BRUTOS'!D$3:D$500)))</f>
        <v/>
      </c>
      <c r="CE28" s="132">
        <f>IF(OR(CE$4="",$B28=""),0,SUMIF('DADOS BRUTOS'!$A$3:$A$500,$B28,'DADOS BRUTOS'!E$3:E$500)+IF($C28="",0,SUMIF('DADOS BRUTOS'!$A$3:$A$500,$C28,'DADOS BRUTOS'!E$3:E$500)))</f>
        <v/>
      </c>
      <c r="CF28" s="132">
        <f>IF(OR(CF$4="",$B28=""),0,SUMIF('DADOS BRUTOS'!$A$3:$A$500,$B28,'DADOS BRUTOS'!F$3:F$500)+IF($C28="",0,SUMIF('DADOS BRUTOS'!$A$3:$A$500,$C28,'DADOS BRUTOS'!F$3:F$500)))</f>
        <v/>
      </c>
      <c r="CG28" s="132">
        <f>IF(OR(CG$4="",$B28=""),0,SUMIF('DADOS BRUTOS'!$A$3:$A$500,$B28,'DADOS BRUTOS'!G$3:G$500)+IF($C28="",0,SUMIF('DADOS BRUTOS'!$A$3:$A$500,$C28,'DADOS BRUTOS'!G$3:G$500)))</f>
        <v/>
      </c>
      <c r="CH28" s="132">
        <f>IF(OR(CH$4="",$B28=""),0,SUMIF('DADOS BRUTOS'!$A$3:$A$500,$B28,'DADOS BRUTOS'!H$3:H$500)+IF($C28="",0,SUMIF('DADOS BRUTOS'!$A$3:$A$500,$C28,'DADOS BRUTOS'!H$3:H$500)))</f>
        <v/>
      </c>
      <c r="CI28" s="132">
        <f>IF(OR(CI$4="",$B28=""),0,SUMIF('DADOS BRUTOS'!$A$3:$A$500,$B28,'DADOS BRUTOS'!I$3:I$500)+IF($C28="",0,SUMIF('DADOS BRUTOS'!$A$3:$A$500,$C28,'DADOS BRUTOS'!I$3:I$500)))</f>
        <v/>
      </c>
      <c r="CJ28" s="132">
        <f>IF(OR(CJ$4="",$B28=""),0,SUMIF('DADOS BRUTOS'!$A$3:$A$500,$B28,'DADOS BRUTOS'!J$3:J$500)+IF($C28="",0,SUMIF('DADOS BRUTOS'!$A$3:$A$500,$C28,'DADOS BRUTOS'!J$3:J$500)))</f>
        <v/>
      </c>
      <c r="CK28" s="132">
        <f>IF(OR(CK$4="",$B28=""),0,SUMIF('DADOS BRUTOS'!$A$3:$A$500,$B28,'DADOS BRUTOS'!K$3:K$500)+IF($C28="",0,SUMIF('DADOS BRUTOS'!$A$3:$A$500,$C28,'DADOS BRUTOS'!K$3:K$500)))</f>
        <v/>
      </c>
      <c r="CL28" s="132">
        <f>IF(OR(CL$4="",$B28=""),0,SUMIF('DADOS BRUTOS'!$A$3:$A$500,$B28,'DADOS BRUTOS'!L$3:L$500)+IF($C28="",0,SUMIF('DADOS BRUTOS'!$A$3:$A$500,$C28,'DADOS BRUTOS'!L$3:L$500)))</f>
        <v/>
      </c>
      <c r="CM28" s="132">
        <f>IF(OR(CM$4="",$B28=""),0,SUMIF('DADOS BRUTOS'!$A$3:$A$500,$B28,'DADOS BRUTOS'!M$3:M$500)+IF($C28="",0,SUMIF('DADOS BRUTOS'!$A$3:$A$500,$C28,'DADOS BRUTOS'!M$3:M$500)))</f>
        <v/>
      </c>
      <c r="CN28" s="132">
        <f>IF(OR(CN$4="",$B28=""),0,SUMIF('DADOS BRUTOS'!$A$3:$A$500,$B28,'DADOS BRUTOS'!N$3:N$500)+IF($C28="",0,SUMIF('DADOS BRUTOS'!$A$3:$A$500,$C28,'DADOS BRUTOS'!N$3:N$500)))</f>
        <v/>
      </c>
      <c r="CO28" s="132">
        <f>IF(OR(CO$4="",$B28=""),0,SUMIF('DADOS BRUTOS'!$A$3:$A$500,$B28,'DADOS BRUTOS'!O$3:O$500)+IF($C28="",0,SUMIF('DADOS BRUTOS'!$A$3:$A$500,$C28,'DADOS BRUTOS'!O$3:O$500)))</f>
        <v/>
      </c>
      <c r="CP28" s="132">
        <f>IF(OR(CP$4="",$B28=""),0,SUMIF('DADOS BRUTOS'!$A$3:$A$500,$B28,'DADOS BRUTOS'!P$3:P$500)+IF($C28="",0,SUMIF('DADOS BRUTOS'!$A$3:$A$500,$C28,'DADOS BRUTOS'!P$3:P$500)))</f>
        <v/>
      </c>
      <c r="CQ28" s="132">
        <f>IF(OR(CQ$4="",$B28=""),0,SUMIF('DADOS BRUTOS'!$A$3:$A$500,$B28,'DADOS BRUTOS'!Q$3:Q$500)+IF($C28="",0,SUMIF('DADOS BRUTOS'!$A$3:$A$500,$C28,'DADOS BRUTOS'!Q$3:Q$500)))</f>
        <v/>
      </c>
      <c r="CR28" s="132">
        <f>IF(OR(CR$4="",$B28=""),0,SUMIF('DADOS BRUTOS'!$A$3:$A$500,$B28,'DADOS BRUTOS'!R$3:R$500)+IF($C28="",0,SUMIF('DADOS BRUTOS'!$A$3:$A$500,$C28,'DADOS BRUTOS'!R$3:R$500)))</f>
        <v/>
      </c>
      <c r="CS28" s="132">
        <f>IF(OR(CS$4="",$B28=""),0,SUMIF('DADOS BRUTOS'!$A$3:$A$500,$B28,'DADOS BRUTOS'!S$3:S$500)+IF($C28="",0,SUMIF('DADOS BRUTOS'!$A$3:$A$500,$C28,'DADOS BRUTOS'!S$3:S$500)))</f>
        <v/>
      </c>
      <c r="CT28" s="132">
        <f>IF(OR(CT$4="",$B28=""),0,SUMIF('DADOS BRUTOS'!$A$3:$A$500,$B28,'DADOS BRUTOS'!T$3:T$500)+IF($C28="",0,SUMIF('DADOS BRUTOS'!$A$3:$A$500,$C28,'DADOS BRUTOS'!T$3:T$500)))</f>
        <v/>
      </c>
      <c r="CU28" s="132">
        <f>IF(OR(CU$4="",$B28=""),0,SUMIF('DADOS BRUTOS'!$A$3:$A$500,$B28,'DADOS BRUTOS'!U$3:U$500)+IF($C28="",0,SUMIF('DADOS BRUTOS'!$A$3:$A$500,$C28,'DADOS BRUTOS'!U$3:U$500)))</f>
        <v/>
      </c>
      <c r="CV28" s="132">
        <f>IF(OR(CV$4="",$B28=""),0,SUMIF('DADOS BRUTOS'!$A$3:$A$500,$B28,'DADOS BRUTOS'!V$3:V$500)+IF($C28="",0,SUMIF('DADOS BRUTOS'!$A$3:$A$500,$C28,'DADOS BRUTOS'!V$3:V$500)))</f>
        <v/>
      </c>
      <c r="CW28" s="132">
        <f>IF(OR(CW$4="",$B28=""),0,SUMIF('DADOS BRUTOS'!$A$3:$A$500,$B28,'DADOS BRUTOS'!W$3:W$500)+IF($C28="",0,SUMIF('DADOS BRUTOS'!$A$3:$A$500,$C28,'DADOS BRUTOS'!W$3:W$500)))</f>
        <v/>
      </c>
      <c r="CX28" s="132">
        <f>IF(OR(CX$4="",$B28=""),0,SUMIF('DADOS BRUTOS'!$A$3:$A$500,$B28,'DADOS BRUTOS'!X$3:X$500)+IF($C28="",0,SUMIF('DADOS BRUTOS'!$A$3:$A$500,$C28,'DADOS BRUTOS'!X$3:X$500)))</f>
        <v/>
      </c>
      <c r="CY28" s="132">
        <f>IF(OR(CY$4="",$B28=""),0,SUMIF('DADOS BRUTOS'!$A$3:$A$500,$B28,'DADOS BRUTOS'!Y$3:Y$500)+IF($C28="",0,SUMIF('DADOS BRUTOS'!$A$3:$A$500,$C28,'DADOS BRUTOS'!Y$3:Y$500)))</f>
        <v/>
      </c>
      <c r="CZ28" s="132">
        <f>IF(OR(CZ$4="",$B28=""),0,SUMIF('DADOS BRUTOS'!$A$3:$A$500,$B28,'DADOS BRUTOS'!Z$3:Z$500)+IF($C28="",0,SUMIF('DADOS BRUTOS'!$A$3:$A$500,$C28,'DADOS BRUTOS'!Z$3:Z$500)))</f>
        <v/>
      </c>
      <c r="DA28" s="132">
        <f>IF(OR(DA$4="",$B28=""),0,SUMIF('DADOS BRUTOS'!$A$3:$A$500,$B28,'DADOS BRUTOS'!AA$3:AA$500)+IF($C28="",0,SUMIF('DADOS BRUTOS'!$A$3:$A$500,$C28,'DADOS BRUTOS'!AA$3:AA$500)))</f>
        <v/>
      </c>
      <c r="DB28" s="132">
        <f>IF(OR(DB$4="",$B28=""),0,SUMIF('DADOS BRUTOS'!$A$3:$A$500,$B28,'DADOS BRUTOS'!AB$3:AB$500)+IF($C28="",0,SUMIF('DADOS BRUTOS'!$A$3:$A$500,$C28,'DADOS BRUTOS'!AB$3:AB$500)))</f>
        <v/>
      </c>
      <c r="DC28" s="132">
        <f>IF(OR(DC$4="",$B28=""),0,SUMIF('DADOS BRUTOS'!$A$3:$A$500,$B28,'DADOS BRUTOS'!AC$3:AC$500)+IF($C28="",0,SUMIF('DADOS BRUTOS'!$A$3:$A$500,$C28,'DADOS BRUTOS'!AC$3:AC$500)))</f>
        <v/>
      </c>
      <c r="DD28" s="132">
        <f>IF(OR(DD$4="",$B28=""),0,SUMIF('DADOS BRUTOS'!$A$3:$A$500,$B28,'DADOS BRUTOS'!AD$3:AD$500)+IF($C28="",0,SUMIF('DADOS BRUTOS'!$A$3:$A$500,$C28,'DADOS BRUTOS'!AD$3:AD$500)))</f>
        <v/>
      </c>
      <c r="DE28" s="132">
        <f>IF(OR(DE$4="",$B28=""),0,SUMIF('DADOS BRUTOS'!$A$3:$A$500,$B28,'DADOS BRUTOS'!AE$3:AE$500)+IF($C28="",0,SUMIF('DADOS BRUTOS'!$A$3:$A$500,$C28,'DADOS BRUTOS'!AE$3:AE$500)))</f>
        <v/>
      </c>
      <c r="DF28" s="132">
        <f>IF(OR(DF$4="",$B28=""),0,SUMIF('DADOS BRUTOS'!$A$3:$A$500,$B28,'DADOS BRUTOS'!AF$3:AF$500)+IF($C28="",0,SUMIF('DADOS BRUTOS'!$A$3:$A$500,$C28,'DADOS BRUTOS'!AF$3:AF$500)))</f>
        <v/>
      </c>
      <c r="DG28" s="132">
        <f>IF(OR(DG$4="",$B28=""),0,SUMIF('DADOS BRUTOS'!$A$3:$A$500,$B28,'DADOS BRUTOS'!AG$3:AG$500)+IF($C28="",0,SUMIF('DADOS BRUTOS'!$A$3:$A$500,$C28,'DADOS BRUTOS'!AG$3:AG$500)))</f>
        <v/>
      </c>
      <c r="DH28" s="132">
        <f>IF(OR(DH$4="",$B28=""),0,SUMIF('DADOS BRUTOS'!$A$3:$A$500,$B28,'DADOS BRUTOS'!AH$3:AH$500)+IF($C28="",0,SUMIF('DADOS BRUTOS'!$A$3:$A$500,$C28,'DADOS BRUTOS'!AH$3:AH$500)))</f>
        <v/>
      </c>
      <c r="DI28" s="132">
        <f>IF(OR(DI$4="",$B28=""),0,SUMIF('DADOS BRUTOS'!$A$3:$A$500,$B28,'DADOS BRUTOS'!AI$3:AI$500)+IF($C28="",0,SUMIF('DADOS BRUTOS'!$A$3:$A$500,$C28,'DADOS BRUTOS'!AI$3:AI$500)))</f>
        <v/>
      </c>
      <c r="DJ28" s="132">
        <f>IF(OR(DJ$4="",$B28=""),0,SUMIF('DADOS BRUTOS'!$A$3:$A$500,$B28,'DADOS BRUTOS'!AJ$3:AJ$500)+IF($C28="",0,SUMIF('DADOS BRUTOS'!$A$3:$A$500,$C28,'DADOS BRUTOS'!AJ$3:AJ$500)))</f>
        <v/>
      </c>
      <c r="DK28" s="132">
        <f>IF(OR(DK$4="",$B28=""),0,SUMIF('DADOS BRUTOS'!$A$3:$A$500,$B28,'DADOS BRUTOS'!AK$3:AK$500)+IF($C28="",0,SUMIF('DADOS BRUTOS'!$A$3:$A$500,$C28,'DADOS BRUTOS'!AK$3:AK$500)))</f>
        <v/>
      </c>
      <c r="DL28" s="132">
        <f>IF(OR(DL$4="",$B28=""),0,SUMIF('DADOS BRUTOS'!$A$3:$A$500,$B28,'DADOS BRUTOS'!AL$3:AL$500)+IF($C28="",0,SUMIF('DADOS BRUTOS'!$A$3:$A$500,$C28,'DADOS BRUTOS'!AL$3:AL$500)))</f>
        <v/>
      </c>
      <c r="DM28" s="132">
        <f>IF(OR(DM$4="",$B28=""),0,SUMIF('DADOS BRUTOS'!$A$3:$A$500,$B28,'DADOS BRUTOS'!AM$3:AM$500)+IF($C28="",0,SUMIF('DADOS BRUTOS'!$A$3:$A$500,$C28,'DADOS BRUTOS'!AM$3:AM$500)))</f>
        <v/>
      </c>
      <c r="DN28" s="132">
        <f>IF(OR(DN$4="",$B28=""),0,SUMIF('DADOS BRUTOS'!$A$3:$A$500,$B28,'DADOS BRUTOS'!AN$3:AN$500)+IF($C28="",0,SUMIF('DADOS BRUTOS'!$A$3:$A$500,$C28,'DADOS BRUTOS'!AN$3:AN$500)))</f>
        <v/>
      </c>
      <c r="DO28" s="132">
        <f>IF(OR(DO$4="",$B28=""),0,SUMIF('DADOS BRUTOS'!$A$3:$A$500,$B28,'DADOS BRUTOS'!AO$3:AO$500)+IF($C28="",0,SUMIF('DADOS BRUTOS'!$A$3:$A$500,$C28,'DADOS BRUTOS'!AO$3:AO$500)))</f>
        <v/>
      </c>
      <c r="DP28" s="132">
        <f>IF(OR(DP$4="",$B28=""),0,SUMIF('DADOS BRUTOS'!$A$3:$A$500,$B28,'DADOS BRUTOS'!AP$3:AP$500)+IF($C28="",0,SUMIF('DADOS BRUTOS'!$A$3:$A$500,$C28,'DADOS BRUTOS'!AP$3:AP$500)))</f>
        <v/>
      </c>
      <c r="DQ28" s="132">
        <f>IF(OR(DQ$4="",$B28=""),0,SUMIF('DADOS BRUTOS'!$A$3:$A$500,$B28,'DADOS BRUTOS'!AQ$3:AQ$500)+IF($C28="",0,SUMIF('DADOS BRUTOS'!$A$3:$A$500,$C28,'DADOS BRUTOS'!AQ$3:AQ$500)))</f>
        <v/>
      </c>
      <c r="DR28" s="132">
        <f>IF(OR(DR$4="",$B28=""),0,SUMIF('DADOS BRUTOS'!$A$3:$A$500,$B28,'DADOS BRUTOS'!AR$3:AR$500)+IF($C28="",0,SUMIF('DADOS BRUTOS'!$A$3:$A$500,$C28,'DADOS BRUTOS'!AR$3:AR$500)))</f>
        <v/>
      </c>
      <c r="DS28" s="132">
        <f>IF(OR(DS$4="",$B28=""),0,SUMIF('DADOS BRUTOS'!$A$3:$A$500,$B28,'DADOS BRUTOS'!AS$3:AS$500)+IF($C28="",0,SUMIF('DADOS BRUTOS'!$A$3:$A$500,$C28,'DADOS BRUTOS'!AS$3:AS$500)))</f>
        <v/>
      </c>
      <c r="DT28" s="132">
        <f>IF(OR(DT$4="",$B28=""),0,SUMIF('DADOS BRUTOS'!$A$3:$A$500,$B28,'DADOS BRUTOS'!AT$3:AT$500)+IF($C28="",0,SUMIF('DADOS BRUTOS'!$A$3:$A$500,$C28,'DADOS BRUTOS'!AT$3:AT$500)))</f>
        <v/>
      </c>
      <c r="DU28" s="132">
        <f>IF(OR(DU$4="",$B28=""),0,SUMIF('DADOS BRUTOS'!$A$3:$A$500,$B28,'DADOS BRUTOS'!AU$3:AU$500)+IF($C28="",0,SUMIF('DADOS BRUTOS'!$A$3:$A$500,$C28,'DADOS BRUTOS'!AU$3:AU$500)))</f>
        <v/>
      </c>
      <c r="DV28" s="132">
        <f>IF(OR(DV$4="",$B28=""),0,SUMIF('DADOS BRUTOS'!$A$3:$A$500,$B28,'DADOS BRUTOS'!AV$3:AV$500)+IF($C28="",0,SUMIF('DADOS BRUTOS'!$A$3:$A$500,$C28,'DADOS BRUTOS'!AV$3:AV$500)))</f>
        <v/>
      </c>
      <c r="DW28" s="132">
        <f>IF(OR(DW$4="",$B28=""),0,SUMIF('DADOS BRUTOS'!$A$3:$A$500,$B28,'DADOS BRUTOS'!AW$3:AW$500)+IF($C28="",0,SUMIF('DADOS BRUTOS'!$A$3:$A$500,$C28,'DADOS BRUTOS'!AW$3:AW$500)))</f>
        <v/>
      </c>
      <c r="DX28" s="132">
        <f>IF(OR(DX$4="",$B28=""),0,SUMIF('DADOS BRUTOS'!$A$3:$A$500,$B28,'DADOS BRUTOS'!AX$3:AX$500)+IF($C28="",0,SUMIF('DADOS BRUTOS'!$A$3:$A$500,$C28,'DADOS BRUTOS'!AX$3:AX$500)))</f>
        <v/>
      </c>
      <c r="DY28" s="132">
        <f>IF(OR(DY$4="",$B28=""),0,SUMIF('DADOS BRUTOS'!$A$3:$A$500,$B28,'DADOS BRUTOS'!AY$3:AY$500)+IF($C28="",0,SUMIF('DADOS BRUTOS'!$A$3:$A$500,$C28,'DADOS BRUTOS'!AY$3:AY$500)))</f>
        <v/>
      </c>
      <c r="DZ28" s="132">
        <f>IF(OR(DZ$4="",$B28=""),0,SUMIF('DADOS BRUTOS'!$A$3:$A$500,$B28,'DADOS BRUTOS'!AZ$3:AZ$500)+IF($C28="",0,SUMIF('DADOS BRUTOS'!$A$3:$A$500,$C28,'DADOS BRUTOS'!AZ$3:AZ$500)))</f>
        <v/>
      </c>
      <c r="EA28" s="132">
        <f>IF(OR(EA$4="",$B28=""),0,SUMIF('DADOS BRUTOS'!$A$3:$A$500,$B28,'DADOS BRUTOS'!BA$3:BA$500)+IF($C28="",0,SUMIF('DADOS BRUTOS'!$A$3:$A$500,$C28,'DADOS BRUTOS'!BA$3:BA$500)))</f>
        <v/>
      </c>
      <c r="EB28" s="132">
        <f>IF(OR(EB$4="",$B28=""),0,SUMIF('DADOS BRUTOS'!$A$3:$A$500,$B28,'DADOS BRUTOS'!BB$3:BB$500)+IF($C28="",0,SUMIF('DADOS BRUTOS'!$A$3:$A$500,$C28,'DADOS BRUTOS'!BB$3:BB$500)))</f>
        <v/>
      </c>
      <c r="EC28" s="132">
        <f>IF(OR(EC$4="",$B28=""),0,SUMIF('DADOS BRUTOS'!$A$3:$A$500,$B28,'DADOS BRUTOS'!BC$3:BC$500)+IF($C28="",0,SUMIF('DADOS BRUTOS'!$A$3:$A$500,$C28,'DADOS BRUTOS'!BC$3:BC$500)))</f>
        <v/>
      </c>
      <c r="ED28" s="132">
        <f>IF(OR(ED$4="",$B28=""),0,SUMIF('DADOS BRUTOS'!$A$3:$A$500,$B28,'DADOS BRUTOS'!BD$3:BD$500)+IF($C28="",0,SUMIF('DADOS BRUTOS'!$A$3:$A$500,$C28,'DADOS BRUTOS'!BD$3:BD$500)))</f>
        <v/>
      </c>
      <c r="EE28" s="132">
        <f>IF(OR(EE$4="",$B28=""),0,SUMIF('DADOS BRUTOS'!$A$3:$A$500,$B28,'DADOS BRUTOS'!BE$3:BE$500)+IF($C28="",0,SUMIF('DADOS BRUTOS'!$A$3:$A$500,$C28,'DADOS BRUTOS'!BE$3:BE$500)))</f>
        <v/>
      </c>
      <c r="EF28" s="132">
        <f>IF(OR(EF$4="",$B28=""),0,SUMIF('DADOS BRUTOS'!$A$3:$A$500,$B28,'DADOS BRUTOS'!BF$3:BF$500)+IF($C28="",0,SUMIF('DADOS BRUTOS'!$A$3:$A$500,$C28,'DADOS BRUTOS'!BF$3:BF$500)))</f>
        <v/>
      </c>
      <c r="EG28" s="132">
        <f>IF(OR(EG$4="",$B28=""),0,SUMIF('DADOS BRUTOS'!$A$3:$A$500,$B28,'DADOS BRUTOS'!BG$3:BG$500)+IF($C28="",0,SUMIF('DADOS BRUTOS'!$A$3:$A$500,$C28,'DADOS BRUTOS'!BG$3:BG$500)))</f>
        <v/>
      </c>
      <c r="EH28" s="132">
        <f>IF(OR(EH$4="",$B28=""),0,SUMIF('DADOS BRUTOS'!$A$3:$A$500,$B28,'DADOS BRUTOS'!BH$3:BH$500)+IF($C28="",0,SUMIF('DADOS BRUTOS'!$A$3:$A$500,$C28,'DADOS BRUTOS'!BH$3:BH$500)))</f>
        <v/>
      </c>
      <c r="EI28" s="132">
        <f>IF(OR(EI$4="",$B28=""),0,SUMIF('DADOS BRUTOS'!$A$3:$A$500,$B28,'DADOS BRUTOS'!BI$3:BI$500)+IF($C28="",0,SUMIF('DADOS BRUTOS'!$A$3:$A$500,$C28,'DADOS BRUTOS'!BI$3:BI$500)))</f>
        <v/>
      </c>
      <c r="EJ28" s="132">
        <f>IF(OR(EJ$4="",$B28=""),0,SUMIF('DADOS BRUTOS'!$A$3:$A$500,$B28,'DADOS BRUTOS'!BJ$3:BJ$500)+IF($C28="",0,SUMIF('DADOS BRUTOS'!$A$3:$A$500,$C28,'DADOS BRUTOS'!BJ$3:BJ$500)))</f>
        <v/>
      </c>
      <c r="EK28" s="132">
        <f>IF(OR(EK$4="",$B28=""),0,SUMIF('DADOS BRUTOS'!$A$3:$A$500,$B28,'DADOS BRUTOS'!BK$3:BK$500)+IF($C28="",0,SUMIF('DADOS BRUTOS'!$A$3:$A$500,$C28,'DADOS BRUTOS'!BK$3:BK$500)))</f>
        <v/>
      </c>
      <c r="EL28" s="132">
        <f>IF(OR(EL$4="",$B28=""),0,SUMIF('DADOS BRUTOS'!$A$3:$A$500,$B28,'DADOS BRUTOS'!BL$3:BL$500)+IF($C28="",0,SUMIF('DADOS BRUTOS'!$A$3:$A$500,$C28,'DADOS BRUTOS'!BL$3:BL$500)))</f>
        <v/>
      </c>
      <c r="EM28" s="132">
        <f>IF(OR(EM$4="",$B28=""),0,SUMIF('DADOS BRUTOS'!$A$3:$A$500,$B28,'DADOS BRUTOS'!BM$3:BM$500)+IF($C28="",0,SUMIF('DADOS BRUTOS'!$A$3:$A$500,$C28,'DADOS BRUTOS'!BM$3:BM$500)))</f>
        <v/>
      </c>
      <c r="EN28" s="132">
        <f>IF(OR(EN$4="",$B28=""),0,SUMIF('DADOS BRUTOS'!$A$3:$A$500,$B28,'DADOS BRUTOS'!BN$3:BN$500)+IF($C28="",0,SUMIF('DADOS BRUTOS'!$A$3:$A$500,$C28,'DADOS BRUTOS'!BN$3:BN$500)))</f>
        <v/>
      </c>
      <c r="EO28" s="132">
        <f>IF(OR(EO$4="",$B28=""),0,SUMIF('DADOS BRUTOS'!$A$3:$A$500,$B28,'DADOS BRUTOS'!BO$3:BO$500)+IF($C28="",0,SUMIF('DADOS BRUTOS'!$A$3:$A$500,$C28,'DADOS BRUTOS'!BO$3:BO$500)))</f>
        <v/>
      </c>
      <c r="EP28" s="132">
        <f>IF(OR(EP$4="",$B28=""),0,SUMIF('DADOS BRUTOS'!$A$3:$A$500,$B28,'DADOS BRUTOS'!BP$3:BP$500)+IF($C28="",0,SUMIF('DADOS BRUTOS'!$A$3:$A$500,$C28,'DADOS BRUTOS'!BP$3:BP$500)))</f>
        <v/>
      </c>
      <c r="EQ28" s="132">
        <f>IF(OR(EQ$4="",$B28=""),0,SUMIF('DADOS BRUTOS'!$A$3:$A$500,$B28,'DADOS BRUTOS'!BQ$3:BQ$500)+IF($C28="",0,SUMIF('DADOS BRUTOS'!$A$3:$A$500,$C28,'DADOS BRUTOS'!BQ$3:BQ$500)))</f>
        <v/>
      </c>
      <c r="ER28" s="132">
        <f>IF(OR(ER$4="",$B28=""),0,SUMIF('DADOS BRUTOS'!$A$3:$A$500,$B28,'DADOS BRUTOS'!BR$3:BR$500)+IF($C28="",0,SUMIF('DADOS BRUTOS'!$A$3:$A$500,$C28,'DADOS BRUTOS'!BR$3:BR$500)))</f>
        <v/>
      </c>
      <c r="ES28" s="132">
        <f>IF(OR(ES$4="",$B28=""),0,SUMIF('DADOS BRUTOS'!$A$3:$A$500,$B28,'DADOS BRUTOS'!BS$3:BS$500)+IF($C28="",0,SUMIF('DADOS BRUTOS'!$A$3:$A$500,$C28,'DADOS BRUTOS'!BS$3:BS$500)))</f>
        <v/>
      </c>
      <c r="ET28" s="132">
        <f>IF(OR(ET$4="",$B28=""),0,SUMIF('DADOS BRUTOS'!$A$3:$A$500,$B28,'DADOS BRUTOS'!BT$3:BT$500)+IF($C28="",0,SUMIF('DADOS BRUTOS'!$A$3:$A$500,$C28,'DADOS BRUTOS'!BT$3:BT$500)))</f>
        <v/>
      </c>
      <c r="EU28" s="132">
        <f>IF(OR(EU$4="",$B28=""),0,SUMIF('DADOS BRUTOS'!$A$3:$A$500,$B28,'DADOS BRUTOS'!BU$3:BU$500)+IF($C28="",0,SUMIF('DADOS BRUTOS'!$A$3:$A$500,$C28,'DADOS BRUTOS'!BU$3:BU$500)))</f>
        <v/>
      </c>
      <c r="EV28" s="132">
        <f>IF(OR(EV$4="",$B28=""),0,SUMIF('DADOS BRUTOS'!$A$3:$A$500,$B28,'DADOS BRUTOS'!BV$3:BV$500)+IF($C28="",0,SUMIF('DADOS BRUTOS'!$A$3:$A$500,$C28,'DADOS BRUTOS'!BV$3:BV$500)))</f>
        <v/>
      </c>
      <c r="EW28" s="132">
        <f>IF(OR(EW$4="",$B28=""),0,SUMIF('DADOS BRUTOS'!$A$3:$A$500,$B28,'DADOS BRUTOS'!BW$3:BW$500)+IF($C28="",0,SUMIF('DADOS BRUTOS'!$A$3:$A$500,$C28,'DADOS BRUTOS'!BW$3:BW$500)))</f>
        <v/>
      </c>
      <c r="EX28" s="132">
        <f>IF(OR(EX$4="",$B28=""),0,SUMIF('DADOS BRUTOS'!$A$3:$A$500,$B28,'DADOS BRUTOS'!BX$3:BX$500)+IF($C28="",0,SUMIF('DADOS BRUTOS'!$A$3:$A$500,$C28,'DADOS BRUTOS'!BX$3:BX$500)))</f>
        <v/>
      </c>
      <c r="EY28" s="132">
        <f>IF(OR(EY$4="",$B28=""),0,SUMIF('DADOS BRUTOS'!$A$3:$A$500,$B28,'DADOS BRUTOS'!BY$3:BY$500)+IF($C28="",0,SUMIF('DADOS BRUTOS'!$A$3:$A$500,$C28,'DADOS BRUTOS'!BY$3:BY$500)))</f>
        <v/>
      </c>
      <c r="EZ28" s="132">
        <f>IF(OR(EZ$4="",$B28=""),0,SUMIF('DADOS BRUTOS'!$A$3:$A$500,$B28,'DADOS BRUTOS'!BZ$3:BZ$500)+IF($C28="",0,SUMIF('DADOS BRUTOS'!$A$3:$A$500,$C28,'DADOS BRUTOS'!BZ$3:BZ$500)))</f>
        <v/>
      </c>
      <c r="FA28" s="132">
        <f>IF(OR(FA$4="",$B28=""),0,SUMIF('DADOS BRUTOS'!$A$3:$A$500,$B28,'DADOS BRUTOS'!CA$3:CA$500)+IF($C28="",0,SUMIF('DADOS BRUTOS'!$A$3:$A$500,$C28,'DADOS BRUTOS'!CA$3:CA$500)))</f>
        <v/>
      </c>
      <c r="FB28" s="132">
        <f>IF(OR(FB$4="",$B28=""),0,SUMIF('DADOS BRUTOS'!$A$3:$A$500,$B28,'DADOS BRUTOS'!CB$3:CB$500)+IF($C28="",0,SUMIF('DADOS BRUTOS'!$A$3:$A$500,$C28,'DADOS BRUTOS'!CB$3:CB$500)))</f>
        <v/>
      </c>
      <c r="FC28" s="132">
        <f>IF(OR(FC$4="",$B28=""),0,SUMIF('DADOS BRUTOS'!$A$3:$A$500,$B28,'DADOS BRUTOS'!CC$3:CC$500)+IF($C28="",0,SUMIF('DADOS BRUTOS'!$A$3:$A$500,$C28,'DADOS BRUTOS'!CC$3:CC$500)))</f>
        <v/>
      </c>
      <c r="FD28" s="132">
        <f>IF(OR(FD$4="",$B28=""),0,SUMIF('DADOS BRUTOS'!$A$3:$A$500,$B28,'DADOS BRUTOS'!CD$3:CD$500)+IF($C28="",0,SUMIF('DADOS BRUTOS'!$A$3:$A$500,$C28,'DADOS BRUTOS'!CD$3:CD$500)))</f>
        <v/>
      </c>
      <c r="FE28" s="132">
        <f>IF(OR(FE$4="",$B28=""),0,SUMIF('DADOS BRUTOS'!$A$3:$A$500,$B28,'DADOS BRUTOS'!CE$3:CE$500)+IF($C28="",0,SUMIF('DADOS BRUTOS'!$A$3:$A$500,$C28,'DADOS BRUTOS'!CE$3:CE$500)))</f>
        <v/>
      </c>
      <c r="FF28" s="132">
        <f>IF(OR(FF$4="",$B28=""),0,SUMIF('DADOS BRUTOS'!$A$3:$A$500,$B28,'DADOS BRUTOS'!CF$3:CF$500)+IF($C28="",0,SUMIF('DADOS BRUTOS'!$A$3:$A$500,$C28,'DADOS BRUTOS'!CF$3:CF$500)))</f>
        <v/>
      </c>
      <c r="FG28" s="132">
        <f>IF(OR(FG$4="",$B28=""),0,SUMIF('DADOS BRUTOS'!$A$3:$A$500,$B28,'DADOS BRUTOS'!CG$3:CG$500)+IF($C28="",0,SUMIF('DADOS BRUTOS'!$A$3:$A$500,$C28,'DADOS BRUTOS'!CG$3:CG$500)))</f>
        <v/>
      </c>
      <c r="FH28" s="132">
        <f>IF(OR(FH$4="",$B28=""),0,SUMIF('DADOS BRUTOS'!$A$3:$A$500,$B28,'DADOS BRUTOS'!CH$3:CH$500)+IF($C28="",0,SUMIF('DADOS BRUTOS'!$A$3:$A$500,$C28,'DADOS BRUTOS'!CH$3:CH$500)))</f>
        <v/>
      </c>
      <c r="FI28" s="132">
        <f>IF(OR(FI$4="",$B28=""),0,SUMIF('DADOS BRUTOS'!$A$3:$A$500,$B28,'DADOS BRUTOS'!CI$3:CI$500)+IF($C28="",0,SUMIF('DADOS BRUTOS'!$A$3:$A$500,$C28,'DADOS BRUTOS'!CI$3:CI$500)))</f>
        <v/>
      </c>
      <c r="FJ28" s="132">
        <f>IF(OR(FJ$4="",$B28=""),0,SUMIF('DADOS BRUTOS'!$A$3:$A$500,$B28,'DADOS BRUTOS'!CJ$3:CJ$500)+IF($C28="",0,SUMIF('DADOS BRUTOS'!$A$3:$A$500,$C28,'DADOS BRUTOS'!CJ$3:CJ$500)))</f>
        <v/>
      </c>
      <c r="FK28" s="132">
        <f>IF(OR(FK$4="",$B28=""),0,SUMIF('DADOS BRUTOS'!$A$3:$A$500,$B28,'DADOS BRUTOS'!CK$3:CK$500)+IF($C28="",0,SUMIF('DADOS BRUTOS'!$A$3:$A$500,$C28,'DADOS BRUTOS'!CK$3:CK$500)))</f>
        <v/>
      </c>
      <c r="FL28" s="132">
        <f>IF(OR(FL$4="",$B28=""),0,SUMIF('DADOS BRUTOS'!$A$3:$A$500,$B28,'DADOS BRUTOS'!CL$3:CL$500)+IF($C28="",0,SUMIF('DADOS BRUTOS'!$A$3:$A$500,$C28,'DADOS BRUTOS'!CL$3:CL$500)))</f>
        <v/>
      </c>
      <c r="FM28" s="132">
        <f>IF(OR(FM$4="",$B28=""),0,SUMIF('DADOS BRUTOS'!$A$3:$A$500,$B28,'DADOS BRUTOS'!CM$3:CM$500)+IF($C28="",0,SUMIF('DADOS BRUTOS'!$A$3:$A$500,$C28,'DADOS BRUTOS'!CM$3:CM$500)))</f>
        <v/>
      </c>
      <c r="FN28" s="132">
        <f>IF(OR(FN$4="",$B28=""),0,SUMIF('DADOS BRUTOS'!$A$3:$A$500,$B28,'DADOS BRUTOS'!CN$3:CN$500)+IF($C28="",0,SUMIF('DADOS BRUTOS'!$A$3:$A$500,$C28,'DADOS BRUTOS'!CN$3:CN$500)))</f>
        <v/>
      </c>
      <c r="FO28" s="132">
        <f>IF(OR(FO$4="",$B28=""),0,SUMIF('DADOS BRUTOS'!$A$3:$A$500,$B28,'DADOS BRUTOS'!CO$3:CO$500)+IF($C28="",0,SUMIF('DADOS BRUTOS'!$A$3:$A$500,$C28,'DADOS BRUTOS'!CO$3:CO$500)))</f>
        <v/>
      </c>
      <c r="FP28" s="132">
        <f>IF(OR(FP$4="",$B28=""),0,SUMIF('DADOS BRUTOS'!$A$3:$A$500,$B28,'DADOS BRUTOS'!CP$3:CP$500)+IF($C28="",0,SUMIF('DADOS BRUTOS'!$A$3:$A$500,$C28,'DADOS BRUTOS'!CP$3:CP$500)))</f>
        <v/>
      </c>
      <c r="FQ28" s="132">
        <f>IF(OR(FQ$4="",$B28=""),0,SUMIF('DADOS BRUTOS'!$A$3:$A$500,$B28,'DADOS BRUTOS'!CQ$3:CQ$500)+IF($C28="",0,SUMIF('DADOS BRUTOS'!$A$3:$A$500,$C28,'DADOS BRUTOS'!CQ$3:CQ$500)))</f>
        <v/>
      </c>
      <c r="FR28" s="132">
        <f>IF(OR(FR$4="",$B28=""),0,SUMIF('DADOS BRUTOS'!$A$3:$A$500,$B28,'DADOS BRUTOS'!CR$3:CR$500)+IF($C28="",0,SUMIF('DADOS BRUTOS'!$A$3:$A$500,$C28,'DADOS BRUTOS'!CR$3:CR$500)))</f>
        <v/>
      </c>
      <c r="FS28" s="132">
        <f>IF(OR(FS$4="",$B28=""),0,SUMIF('DADOS BRUTOS'!$A$3:$A$500,$B28,'DADOS BRUTOS'!CS$3:CS$500)+IF($C28="",0,SUMIF('DADOS BRUTOS'!$A$3:$A$500,$C28,'DADOS BRUTOS'!CS$3:CS$500)))</f>
        <v/>
      </c>
      <c r="FT28" s="132">
        <f>IF(OR(FT$4="",$B28=""),0,SUMIF('DADOS BRUTOS'!$A$3:$A$500,$B28,'DADOS BRUTOS'!CT$3:CT$500)+IF($C28="",0,SUMIF('DADOS BRUTOS'!$A$3:$A$500,$C28,'DADOS BRUTOS'!CT$3:CT$500)))</f>
        <v/>
      </c>
      <c r="FU28" s="132">
        <f>IF(OR(FU$4="",$B28=""),0,SUMIF('DADOS BRUTOS'!$A$3:$A$500,$B28,'DADOS BRUTOS'!CU$3:CU$500)+IF($C28="",0,SUMIF('DADOS BRUTOS'!$A$3:$A$500,$C28,'DADOS BRUTOS'!CU$3:CU$500)))</f>
        <v/>
      </c>
      <c r="FV28" s="132">
        <f>IF(OR(FV$4="",$B28=""),0,SUMIF('DADOS BRUTOS'!$A$3:$A$500,$B28,'DADOS BRUTOS'!CV$3:CV$500)+IF($C28="",0,SUMIF('DADOS BRUTOS'!$A$3:$A$500,$C28,'DADOS BRUTOS'!CV$3:CV$500)))</f>
        <v/>
      </c>
      <c r="FW28" s="132">
        <f>IF(OR(FW$4="",$B28=""),0,SUMIF('DADOS BRUTOS'!$A$3:$A$500,$B28,'DADOS BRUTOS'!CW$3:CW$500)+IF($C28="",0,SUMIF('DADOS BRUTOS'!$A$3:$A$500,$C28,'DADOS BRUTOS'!CW$3:CW$500)))</f>
        <v/>
      </c>
      <c r="FX28" s="132">
        <f>IF(OR(FX$4="",$B28=""),0,SUMIF('DADOS BRUTOS'!$A$3:$A$500,$B28,'DADOS BRUTOS'!CX$3:CX$500)+IF($C28="",0,SUMIF('DADOS BRUTOS'!$A$3:$A$500,$C28,'DADOS BRUTOS'!CX$3:CX$500)))</f>
        <v/>
      </c>
      <c r="FY28" s="132">
        <f>IF(OR(FY$4="",$B28=""),0,SUMIF('DADOS BRUTOS'!$A$3:$A$500,$B28,'DADOS BRUTOS'!CY$3:CY$500)+IF($C28="",0,SUMIF('DADOS BRUTOS'!$A$3:$A$500,$C28,'DADOS BRUTOS'!CY$3:CY$500)))</f>
        <v/>
      </c>
      <c r="FZ28" s="132">
        <f>IF(OR(FZ$4="",$B28=""),0,SUMIF('DADOS BRUTOS'!$A$3:$A$500,$B28,'DADOS BRUTOS'!CZ$3:CZ$500)+IF($C28="",0,SUMIF('DADOS BRUTOS'!$A$3:$A$500,$C28,'DADOS BRUTOS'!CZ$3:CZ$500)))</f>
        <v/>
      </c>
      <c r="GA28" s="132">
        <f>IF(OR(GA$4="",$B28=""),0,SUMIF('DADOS BRUTOS'!$A$3:$A$500,$B28,'DADOS BRUTOS'!DA$3:DA$500)+IF($C28="",0,SUMIF('DADOS BRUTOS'!$A$3:$A$500,$C28,'DADOS BRUTOS'!DA$3:DA$500)))</f>
        <v/>
      </c>
      <c r="GB28" s="132">
        <f>IF(OR(GB$4="",$B28=""),0,SUMIF('DADOS BRUTOS'!$A$3:$A$500,$B28,'DADOS BRUTOS'!DB$3:DB$500)+IF($C28="",0,SUMIF('DADOS BRUTOS'!$A$3:$A$500,$C28,'DADOS BRUTOS'!DB$3:DB$500)))</f>
        <v/>
      </c>
      <c r="GC28" s="132">
        <f>IF(OR(GC$4="",$B28=""),0,SUMIF('DADOS BRUTOS'!$A$3:$A$500,$B28,'DADOS BRUTOS'!DC$3:DC$500)+IF($C28="",0,SUMIF('DADOS BRUTOS'!$A$3:$A$500,$C28,'DADOS BRUTOS'!DC$3:DC$500)))</f>
        <v/>
      </c>
      <c r="GD28" s="132">
        <f>IF(OR(GD$4="",$B28=""),0,SUMIF('DADOS BRUTOS'!$A$3:$A$500,$B28,'DADOS BRUTOS'!DD$3:DD$500)+IF($C28="",0,SUMIF('DADOS BRUTOS'!$A$3:$A$500,$C28,'DADOS BRUTOS'!DD$3:DD$500)))</f>
        <v/>
      </c>
      <c r="GE28" s="132">
        <f>IF(OR(GE$4="",$B28=""),0,SUMIF('DADOS BRUTOS'!$A$3:$A$500,$B28,'DADOS BRUTOS'!DE$3:DE$500)+IF($C28="",0,SUMIF('DADOS BRUTOS'!$A$3:$A$500,$C28,'DADOS BRUTOS'!DE$3:DE$500)))</f>
        <v/>
      </c>
      <c r="GF28" s="132">
        <f>IF(OR(GF$4="",$B28=""),0,SUMIF('DADOS BRUTOS'!$A$3:$A$500,$B28,'DADOS BRUTOS'!DF$3:DF$500)+IF($C28="",0,SUMIF('DADOS BRUTOS'!$A$3:$A$500,$C28,'DADOS BRUTOS'!DF$3:DF$500)))</f>
        <v/>
      </c>
      <c r="GG28" s="132">
        <f>IF(OR(GG$4="",$B28=""),0,SUMIF('DADOS BRUTOS'!$A$3:$A$500,$B28,'DADOS BRUTOS'!DG$3:DG$500)+IF($C28="",0,SUMIF('DADOS BRUTOS'!$A$3:$A$500,$C28,'DADOS BRUTOS'!DG$3:DG$500)))</f>
        <v/>
      </c>
      <c r="GH28" s="132">
        <f>IF(OR(GH$4="",$B28=""),0,SUMIF('DADOS BRUTOS'!$A$3:$A$500,$B28,'DADOS BRUTOS'!DH$3:DH$500)+IF($C28="",0,SUMIF('DADOS BRUTOS'!$A$3:$A$500,$C28,'DADOS BRUTOS'!DH$3:DH$500)))</f>
        <v/>
      </c>
      <c r="GI28" s="132">
        <f>IF(OR(GI$4="",$B28=""),0,SUMIF('DADOS BRUTOS'!$A$3:$A$500,$B28,'DADOS BRUTOS'!DI$3:DI$500)+IF($C28="",0,SUMIF('DADOS BRUTOS'!$A$3:$A$500,$C28,'DADOS BRUTOS'!DI$3:DI$500)))</f>
        <v/>
      </c>
      <c r="GJ28" s="132">
        <f>IF(OR(GJ$4="",$B28=""),0,SUMIF('DADOS BRUTOS'!$A$3:$A$500,$B28,'DADOS BRUTOS'!DJ$3:DJ$500)+IF($C28="",0,SUMIF('DADOS BRUTOS'!$A$3:$A$500,$C28,'DADOS BRUTOS'!DJ$3:DJ$500)))</f>
        <v/>
      </c>
      <c r="GK28" s="132">
        <f>IF(OR(GK$4="",$B28=""),0,SUMIF('DADOS BRUTOS'!$A$3:$A$500,$B28,'DADOS BRUTOS'!DK$3:DK$500)+IF($C28="",0,SUMIF('DADOS BRUTOS'!$A$3:$A$500,$C28,'DADOS BRUTOS'!DK$3:DK$500)))</f>
        <v/>
      </c>
      <c r="GL28" s="132">
        <f>IF(OR(GL$4="",$B28=""),0,SUMIF('DADOS BRUTOS'!$A$3:$A$500,$B28,'DADOS BRUTOS'!DL$3:DL$500)+IF($C28="",0,SUMIF('DADOS BRUTOS'!$A$3:$A$500,$C28,'DADOS BRUTOS'!DL$3:DL$500)))</f>
        <v/>
      </c>
      <c r="GM28" s="132">
        <f>IF(OR(GM$4="",$B28=""),0,SUMIF('DADOS BRUTOS'!$A$3:$A$500,$B28,'DADOS BRUTOS'!DM$3:DM$500)+IF($C28="",0,SUMIF('DADOS BRUTOS'!$A$3:$A$500,$C28,'DADOS BRUTOS'!DM$3:DM$500)))</f>
        <v/>
      </c>
      <c r="GN28" s="132">
        <f>IF(OR(GN$4="",$B28=""),0,SUMIF('DADOS BRUTOS'!$A$3:$A$500,$B28,'DADOS BRUTOS'!DN$3:DN$500)+IF($C28="",0,SUMIF('DADOS BRUTOS'!$A$3:$A$500,$C28,'DADOS BRUTOS'!DN$3:DN$500)))</f>
        <v/>
      </c>
      <c r="GO28" s="132">
        <f>IF(OR(GO$4="",$B28=""),0,SUMIF('DADOS BRUTOS'!$A$3:$A$500,$B28,'DADOS BRUTOS'!DO$3:DO$500)+IF($C28="",0,SUMIF('DADOS BRUTOS'!$A$3:$A$500,$C28,'DADOS BRUTOS'!DO$3:DO$500)))</f>
        <v/>
      </c>
      <c r="GP28" s="132">
        <f>IF(OR(GP$4="",$B28=""),0,SUMIF('DADOS BRUTOS'!$A$3:$A$500,$B28,'DADOS BRUTOS'!DP$3:DP$500)+IF($C28="",0,SUMIF('DADOS BRUTOS'!$A$3:$A$500,$C28,'DADOS BRUTOS'!DP$3:DP$500)))</f>
        <v/>
      </c>
      <c r="GQ28" s="132">
        <f>IF(OR(GQ$4="",$B28=""),0,SUMIF('DADOS BRUTOS'!$A$3:$A$500,$B28,'DADOS BRUTOS'!DQ$3:DQ$500)+IF($C28="",0,SUMIF('DADOS BRUTOS'!$A$3:$A$500,$C28,'DADOS BRUTOS'!DQ$3:DQ$500)))</f>
        <v/>
      </c>
      <c r="GR28" s="132">
        <f>IF(OR(GR$4="",$B28=""),0,SUMIF('DADOS BRUTOS'!$A$3:$A$500,$B28,'DADOS BRUTOS'!DR$3:DR$500)+IF($C28="",0,SUMIF('DADOS BRUTOS'!$A$3:$A$500,$C28,'DADOS BRUTOS'!DR$3:DR$500)))</f>
        <v/>
      </c>
      <c r="GS28" s="132">
        <f>IF(OR(GS$4="",$B28=""),0,SUMIF('DADOS BRUTOS'!$A$3:$A$500,$B28,'DADOS BRUTOS'!DS$3:DS$500)+IF($C28="",0,SUMIF('DADOS BRUTOS'!$A$3:$A$500,$C28,'DADOS BRUTOS'!DS$3:DS$500)))</f>
        <v/>
      </c>
      <c r="GT28" s="132">
        <f>IF(OR(GT$4="",$B28=""),0,SUMIF('DADOS BRUTOS'!$A$3:$A$500,$B28,'DADOS BRUTOS'!DT$3:DT$500)+IF($C28="",0,SUMIF('DADOS BRUTOS'!$A$3:$A$500,$C28,'DADOS BRUTOS'!DT$3:DT$500)))</f>
        <v/>
      </c>
      <c r="GU28" s="132">
        <f>IF(OR(GU$4="",$B28=""),0,SUMIF('DADOS BRUTOS'!$A$3:$A$500,$B28,'DADOS BRUTOS'!DU$3:DU$500)+IF($C28="",0,SUMIF('DADOS BRUTOS'!$A$3:$A$500,$C28,'DADOS BRUTOS'!DU$3:DU$500)))</f>
        <v/>
      </c>
      <c r="GV28" s="132">
        <f>IF(OR(GV$4="",$B28=""),0,SUMIF('DADOS BRUTOS'!$A$3:$A$500,$B28,'DADOS BRUTOS'!DV$3:DV$500)+IF($C28="",0,SUMIF('DADOS BRUTOS'!$A$3:$A$500,$C28,'DADOS BRUTOS'!DV$3:DV$500)))</f>
        <v/>
      </c>
      <c r="GW28" s="132">
        <f>IF(OR(GW$4="",$B28=""),0,SUMIF('DADOS BRUTOS'!$A$3:$A$500,$B28,'DADOS BRUTOS'!DW$3:DW$500)+IF($C28="",0,SUMIF('DADOS BRUTOS'!$A$3:$A$500,$C28,'DADOS BRUTOS'!DW$3:DW$500)))</f>
        <v/>
      </c>
      <c r="GX28" s="132">
        <f>IF(OR(GX$4="",$B28=""),0,SUMIF('DADOS BRUTOS'!$A$3:$A$500,$B28,'DADOS BRUTOS'!DX$3:DX$500)+IF($C28="",0,SUMIF('DADOS BRUTOS'!$A$3:$A$500,$C28,'DADOS BRUTOS'!DX$3:DX$500)))</f>
        <v/>
      </c>
      <c r="GY28" s="132">
        <f>IF(OR(GY$4="",$B28=""),0,SUMIF('DADOS BRUTOS'!$A$3:$A$500,$B28,'DADOS BRUTOS'!DY$3:DY$500)+IF($C28="",0,SUMIF('DADOS BRUTOS'!$A$3:$A$500,$C28,'DADOS BRUTOS'!DY$3:DY$500)))</f>
        <v/>
      </c>
      <c r="GZ28" s="132">
        <f>IF(OR(GZ$4="",$B28=""),0,SUMIF('DADOS BRUTOS'!$A$3:$A$500,$B28,'DADOS BRUTOS'!DZ$3:DZ$500)+IF($C28="",0,SUMIF('DADOS BRUTOS'!$A$3:$A$500,$C28,'DADOS BRUTOS'!DZ$3:DZ$500)))</f>
        <v/>
      </c>
      <c r="HA28" s="132">
        <f>IF(OR(HA$4="",$B28=""),0,SUMIF('DADOS BRUTOS'!$A$3:$A$500,$B28,'DADOS BRUTOS'!EA$3:EA$500)+IF($C28="",0,SUMIF('DADOS BRUTOS'!$A$3:$A$500,$C28,'DADOS BRUTOS'!EA$3:EA$500)))</f>
        <v/>
      </c>
      <c r="HB28" s="132">
        <f>IF(OR(HB$4="",$B28=""),0,SUMIF('DADOS BRUTOS'!$A$3:$A$500,$B28,'DADOS BRUTOS'!EB$3:EB$500)+IF($C28="",0,SUMIF('DADOS BRUTOS'!$A$3:$A$500,$C28,'DADOS BRUTOS'!EB$3:EB$500)))</f>
        <v/>
      </c>
      <c r="HC28" s="132">
        <f>IF(OR(HC$4="",$B28=""),0,SUMIF('DADOS BRUTOS'!$A$3:$A$500,$B28,'DADOS BRUTOS'!EC$3:EC$500)+IF($C28="",0,SUMIF('DADOS BRUTOS'!$A$3:$A$500,$C28,'DADOS BRUTOS'!EC$3:EC$500)))</f>
        <v/>
      </c>
      <c r="HD28" s="132">
        <f>IF(OR(HD$4="",$B28=""),0,SUMIF('DADOS BRUTOS'!$A$3:$A$500,$B28,'DADOS BRUTOS'!ED$3:ED$500)+IF($C28="",0,SUMIF('DADOS BRUTOS'!$A$3:$A$500,$C28,'DADOS BRUTOS'!ED$3:ED$500)))</f>
        <v/>
      </c>
      <c r="HE28" s="132">
        <f>IF(OR(HE$4="",$B28=""),0,SUMIF('DADOS BRUTOS'!$A$3:$A$500,$B28,'DADOS BRUTOS'!EE$3:EE$500)+IF($C28="",0,SUMIF('DADOS BRUTOS'!$A$3:$A$500,$C28,'DADOS BRUTOS'!EE$3:EE$500)))</f>
        <v/>
      </c>
      <c r="HF28" s="132">
        <f>IF(OR(HF$4="",$B28=""),0,SUMIF('DADOS BRUTOS'!$A$3:$A$500,$B28,'DADOS BRUTOS'!EF$3:EF$500)+IF($C28="",0,SUMIF('DADOS BRUTOS'!$A$3:$A$500,$C28,'DADOS BRUTOS'!EF$3:EF$500)))</f>
        <v/>
      </c>
      <c r="HG28" s="132">
        <f>IF(OR(HG$4="",$B28=""),0,SUMIF('DADOS BRUTOS'!$A$3:$A$500,$B28,'DADOS BRUTOS'!EG$3:EG$500)+IF($C28="",0,SUMIF('DADOS BRUTOS'!$A$3:$A$500,$C28,'DADOS BRUTOS'!EG$3:EG$500)))</f>
        <v/>
      </c>
      <c r="HH28" s="132">
        <f>IF(OR(HH$4="",$B28=""),0,SUMIF('DADOS BRUTOS'!$A$3:$A$500,$B28,'DADOS BRUTOS'!EH$3:EH$500)+IF($C28="",0,SUMIF('DADOS BRUTOS'!$A$3:$A$500,$C28,'DADOS BRUTOS'!EH$3:EH$500)))</f>
        <v/>
      </c>
      <c r="HI28" s="132">
        <f>IF(OR(HI$4="",$B28=""),0,SUMIF('DADOS BRUTOS'!$A$3:$A$500,$B28,'DADOS BRUTOS'!EI$3:EI$500)+IF($C28="",0,SUMIF('DADOS BRUTOS'!$A$3:$A$500,$C28,'DADOS BRUTOS'!EI$3:EI$500)))</f>
        <v/>
      </c>
      <c r="HJ28" s="132">
        <f>IF(OR(HJ$4="",$B28=""),0,SUMIF('DADOS BRUTOS'!$A$3:$A$500,$B28,'DADOS BRUTOS'!EJ$3:EJ$500)+IF($C28="",0,SUMIF('DADOS BRUTOS'!$A$3:$A$500,$C28,'DADOS BRUTOS'!EJ$3:EJ$500)))</f>
        <v/>
      </c>
      <c r="HK28" s="132">
        <f>IF(OR(HK$4="",$B28=""),0,SUMIF('DADOS BRUTOS'!$A$3:$A$500,$B28,'DADOS BRUTOS'!EK$3:EK$500)+IF($C28="",0,SUMIF('DADOS BRUTOS'!$A$3:$A$500,$C28,'DADOS BRUTOS'!EK$3:EK$500)))</f>
        <v/>
      </c>
      <c r="HL28" s="132">
        <f>IF(OR(HL$4="",$B28=""),0,SUMIF('DADOS BRUTOS'!$A$3:$A$500,$B28,'DADOS BRUTOS'!EL$3:EL$500)+IF($C28="",0,SUMIF('DADOS BRUTOS'!$A$3:$A$500,$C28,'DADOS BRUTOS'!EL$3:EL$500)))</f>
        <v/>
      </c>
      <c r="HM28" s="132">
        <f>IF(OR(HM$4="",$B28=""),0,SUMIF('DADOS BRUTOS'!$A$3:$A$500,$B28,'DADOS BRUTOS'!EM$3:EM$500)+IF($C28="",0,SUMIF('DADOS BRUTOS'!$A$3:$A$500,$C28,'DADOS BRUTOS'!EM$3:EM$500)))</f>
        <v/>
      </c>
      <c r="HN28" s="132">
        <f>IF(OR(HN$4="",$B28=""),0,SUMIF('DADOS BRUTOS'!$A$3:$A$500,$B28,'DADOS BRUTOS'!EN$3:EN$500)+IF($C28="",0,SUMIF('DADOS BRUTOS'!$A$3:$A$500,$C28,'DADOS BRUTOS'!EN$3:EN$500)))</f>
        <v/>
      </c>
      <c r="HO28" s="132">
        <f>IF(OR(HO$4="",$B28=""),0,SUMIF('DADOS BRUTOS'!$A$3:$A$500,$B28,'DADOS BRUTOS'!EO$3:EO$500)+IF($C28="",0,SUMIF('DADOS BRUTOS'!$A$3:$A$500,$C28,'DADOS BRUTOS'!EO$3:EO$500)))</f>
        <v/>
      </c>
      <c r="HP28" s="132">
        <f>IF(OR(HP$4="",$B28=""),0,SUMIF('DADOS BRUTOS'!$A$3:$A$500,$B28,'DADOS BRUTOS'!EP$3:EP$500)+IF($C28="",0,SUMIF('DADOS BRUTOS'!$A$3:$A$500,$C28,'DADOS BRUTOS'!EP$3:EP$500)))</f>
        <v/>
      </c>
      <c r="HQ28" s="132">
        <f>IF(OR(HQ$4="",$B28=""),0,SUMIF('DADOS BRUTOS'!$A$3:$A$500,$B28,'DADOS BRUTOS'!EQ$3:EQ$500)+IF($C28="",0,SUMIF('DADOS BRUTOS'!$A$3:$A$500,$C28,'DADOS BRUTOS'!EQ$3:EQ$500)))</f>
        <v/>
      </c>
      <c r="HR28" s="132">
        <f>IF(OR(HR$4="",$B28=""),0,SUMIF('DADOS BRUTOS'!$A$3:$A$500,$B28,'DADOS BRUTOS'!ER$3:ER$500)+IF($C28="",0,SUMIF('DADOS BRUTOS'!$A$3:$A$500,$C28,'DADOS BRUTOS'!ER$3:ER$500)))</f>
        <v/>
      </c>
      <c r="HS28" s="132">
        <f>IF(OR(HS$4="",$B28=""),0,SUMIF('DADOS BRUTOS'!$A$3:$A$500,$B28,'DADOS BRUTOS'!ES$3:ES$500)+IF($C28="",0,SUMIF('DADOS BRUTOS'!$A$3:$A$500,$C28,'DADOS BRUTOS'!ES$3:ES$500)))</f>
        <v/>
      </c>
      <c r="HT28" s="132">
        <f>IF(OR(HT$4="",$B28=""),0,SUMIF('DADOS BRUTOS'!$A$3:$A$500,$B28,'DADOS BRUTOS'!ET$3:ET$500)+IF($C28="",0,SUMIF('DADOS BRUTOS'!$A$3:$A$500,$C28,'DADOS BRUTOS'!ET$3:ET$500)))</f>
        <v/>
      </c>
      <c r="HU28" s="132">
        <f>IF(OR(HU$4="",$B28=""),0,SUMIF('DADOS BRUTOS'!$A$3:$A$500,$B28,'DADOS BRUTOS'!EU$3:EU$500)+IF($C28="",0,SUMIF('DADOS BRUTOS'!$A$3:$A$500,$C28,'DADOS BRUTOS'!EU$3:EU$500)))</f>
        <v/>
      </c>
      <c r="HV28" s="132">
        <f>IF(OR(HV$4="",$B28=""),0,SUMIF('DADOS BRUTOS'!$A$3:$A$500,$B28,'DADOS BRUTOS'!EV$3:EV$500)+IF($C28="",0,SUMIF('DADOS BRUTOS'!$A$3:$A$500,$C28,'DADOS BRUTOS'!EV$3:EV$500)))</f>
        <v/>
      </c>
      <c r="HW28" s="132">
        <f>IF(OR(HW$4="",$B28=""),0,SUMIF('DADOS BRUTOS'!$A$3:$A$500,$B28,'DADOS BRUTOS'!EW$3:EW$500)+IF($C28="",0,SUMIF('DADOS BRUTOS'!$A$3:$A$500,$C28,'DADOS BRUTOS'!EW$3:EW$500)))</f>
        <v/>
      </c>
      <c r="HX28" s="132">
        <f>IF(OR(HX$4="",$B28=""),0,SUMIF('DADOS BRUTOS'!$A$3:$A$500,$B28,'DADOS BRUTOS'!EX$3:EX$500)+IF($C28="",0,SUMIF('DADOS BRUTOS'!$A$3:$A$500,$C28,'DADOS BRUTOS'!EX$3:EX$500)))</f>
        <v/>
      </c>
      <c r="HY28" s="132">
        <f>IF(OR(HY$4="",$B28=""),0,SUMIF('DADOS BRUTOS'!$A$3:$A$500,$B28,'DADOS BRUTOS'!EY$3:EY$500)+IF($C28="",0,SUMIF('DADOS BRUTOS'!$A$3:$A$500,$C28,'DADOS BRUTOS'!EY$3:EY$500)))</f>
        <v/>
      </c>
      <c r="HZ28" s="132">
        <f>IF(OR(HZ$4="",$B28=""),0,SUMIF('DADOS BRUTOS'!$A$3:$A$500,$B28,'DADOS BRUTOS'!EZ$3:EZ$500)+IF($C28="",0,SUMIF('DADOS BRUTOS'!$A$3:$A$500,$C28,'DADOS BRUTOS'!EZ$3:EZ$500)))</f>
        <v/>
      </c>
      <c r="IA28" s="132">
        <f>IF(OR(IA$4="",$B28=""),0,SUMIF('DADOS BRUTOS'!$A$3:$A$500,$B28,'DADOS BRUTOS'!FA$3:FA$500)+IF($C28="",0,SUMIF('DADOS BRUTOS'!$A$3:$A$500,$C28,'DADOS BRUTOS'!FA$3:FA$500)))</f>
        <v/>
      </c>
      <c r="IB28" s="132">
        <f>IF(OR(IB$4="",$B28=""),0,SUMIF('DADOS BRUTOS'!$A$3:$A$500,$B28,'DADOS BRUTOS'!FB$3:FB$500)+IF($C28="",0,SUMIF('DADOS BRUTOS'!$A$3:$A$500,$C28,'DADOS BRUTOS'!FB$3:FB$500)))</f>
        <v/>
      </c>
      <c r="IC28" s="132">
        <f>IF(OR(IC$4="",$B28=""),0,SUMIF('DADOS BRUTOS'!$A$3:$A$500,$B28,'DADOS BRUTOS'!FC$3:FC$500)+IF($C28="",0,SUMIF('DADOS BRUTOS'!$A$3:$A$500,$C28,'DADOS BRUTOS'!FC$3:FC$500)))</f>
        <v/>
      </c>
      <c r="ID28" s="132">
        <f>IF(OR(ID$4="",$B28=""),0,SUMIF('DADOS BRUTOS'!$A$3:$A$500,$B28,'DADOS BRUTOS'!FD$3:FD$500)+IF($C28="",0,SUMIF('DADOS BRUTOS'!$A$3:$A$500,$C28,'DADOS BRUTOS'!FD$3:FD$500)))</f>
        <v/>
      </c>
      <c r="IE28" s="132">
        <f>IF(OR(IE$4="",$B28=""),0,SUMIF('DADOS BRUTOS'!$A$3:$A$500,$B28,'DADOS BRUTOS'!FE$3:FE$500)+IF($C28="",0,SUMIF('DADOS BRUTOS'!$A$3:$A$500,$C28,'DADOS BRUTOS'!FE$3:FE$500)))</f>
        <v/>
      </c>
      <c r="IF28" s="132">
        <f>IF(OR(IF$4="",$B28=""),0,SUMIF('DADOS BRUTOS'!$A$3:$A$500,$B28,'DADOS BRUTOS'!FF$3:FF$500)+IF($C28="",0,SUMIF('DADOS BRUTOS'!$A$3:$A$500,$C28,'DADOS BRUTOS'!FF$3:FF$500)))</f>
        <v/>
      </c>
      <c r="IG28" s="132">
        <f>IF(OR(IG$4="",$B28=""),0,SUMIF('DADOS BRUTOS'!$A$3:$A$500,$B28,'DADOS BRUTOS'!FG$3:FG$500)+IF($C28="",0,SUMIF('DADOS BRUTOS'!$A$3:$A$500,$C28,'DADOS BRUTOS'!FG$3:FG$500)))</f>
        <v/>
      </c>
      <c r="IH28" s="132">
        <f>IF(OR(IH$4="",$B28=""),0,SUMIF('DADOS BRUTOS'!$A$3:$A$500,$B28,'DADOS BRUTOS'!FH$3:FH$500)+IF($C28="",0,SUMIF('DADOS BRUTOS'!$A$3:$A$500,$C28,'DADOS BRUTOS'!FH$3:FH$500)))</f>
        <v/>
      </c>
      <c r="II28" s="132">
        <f>IF(OR(II$4="",$B28=""),0,SUMIF('DADOS BRUTOS'!$A$3:$A$500,$B28,'DADOS BRUTOS'!FI$3:FI$500)+IF($C28="",0,SUMIF('DADOS BRUTOS'!$A$3:$A$500,$C28,'DADOS BRUTOS'!FI$3:FI$500)))</f>
        <v/>
      </c>
      <c r="IJ28" s="132">
        <f>IF(OR(IJ$4="",$B28=""),0,SUMIF('DADOS BRUTOS'!$A$3:$A$500,$B28,'DADOS BRUTOS'!FJ$3:FJ$500)+IF($C28="",0,SUMIF('DADOS BRUTOS'!$A$3:$A$500,$C28,'DADOS BRUTOS'!FJ$3:FJ$500)))</f>
        <v/>
      </c>
      <c r="IK28" s="132">
        <f>IF(OR(IK$4="",$B28=""),0,SUMIF('DADOS BRUTOS'!$A$3:$A$500,$B28,'DADOS BRUTOS'!FK$3:FK$500)+IF($C28="",0,SUMIF('DADOS BRUTOS'!$A$3:$A$500,$C28,'DADOS BRUTOS'!FK$3:FK$500)))</f>
        <v/>
      </c>
      <c r="IL28" s="132">
        <f>IF(OR(IL$4="",$B28=""),0,SUMIF('DADOS BRUTOS'!$A$3:$A$500,$B28,'DADOS BRUTOS'!FL$3:FL$500)+IF($C28="",0,SUMIF('DADOS BRUTOS'!$A$3:$A$500,$C28,'DADOS BRUTOS'!FL$3:FL$500)))</f>
        <v/>
      </c>
      <c r="IM28" s="132">
        <f>IF(OR(IM$4="",$B28=""),0,SUMIF('DADOS BRUTOS'!$A$3:$A$500,$B28,'DADOS BRUTOS'!FM$3:FM$500)+IF($C28="",0,SUMIF('DADOS BRUTOS'!$A$3:$A$500,$C28,'DADOS BRUTOS'!FM$3:FM$500)))</f>
        <v/>
      </c>
      <c r="IN28" s="132">
        <f>IF(OR(IN$4="",$B28=""),0,SUMIF('DADOS BRUTOS'!$A$3:$A$500,$B28,'DADOS BRUTOS'!FN$3:FN$500)+IF($C28="",0,SUMIF('DADOS BRUTOS'!$A$3:$A$500,$C28,'DADOS BRUTOS'!FN$3:FN$500)))</f>
        <v/>
      </c>
      <c r="IO28" s="132">
        <f>IF(OR(IO$4="",$B28=""),0,SUMIF('DADOS BRUTOS'!$A$3:$A$500,$B28,'DADOS BRUTOS'!FO$3:FO$500)+IF($C28="",0,SUMIF('DADOS BRUTOS'!$A$3:$A$500,$C28,'DADOS BRUTOS'!FO$3:FO$500)))</f>
        <v/>
      </c>
      <c r="IP28" s="132">
        <f>IF(OR(IP$4="",$B28=""),0,SUMIF('DADOS BRUTOS'!$A$3:$A$500,$B28,'DADOS BRUTOS'!FP$3:FP$500)+IF($C28="",0,SUMIF('DADOS BRUTOS'!$A$3:$A$500,$C28,'DADOS BRUTOS'!FP$3:FP$500)))</f>
        <v/>
      </c>
      <c r="IQ28" s="132">
        <f>IF(OR(IQ$4="",$B28=""),0,SUMIF('DADOS BRUTOS'!$A$3:$A$500,$B28,'DADOS BRUTOS'!FQ$3:FQ$500)+IF($C28="",0,SUMIF('DADOS BRUTOS'!$A$3:$A$500,$C28,'DADOS BRUTOS'!FQ$3:FQ$500)))</f>
        <v/>
      </c>
      <c r="IR28" s="132">
        <f>IF(OR(IR$4="",$B28=""),0,SUMIF('DADOS BRUTOS'!$A$3:$A$500,$B28,'DADOS BRUTOS'!FR$3:FR$500)+IF($C28="",0,SUMIF('DADOS BRUTOS'!$A$3:$A$500,$C28,'DADOS BRUTOS'!FR$3:FR$500)))</f>
        <v/>
      </c>
      <c r="IS28" s="132">
        <f>IF(OR(IS$4="",$B28=""),0,SUMIF('DADOS BRUTOS'!$A$3:$A$500,$B28,'DADOS BRUTOS'!FS$3:FS$500)+IF($C28="",0,SUMIF('DADOS BRUTOS'!$A$3:$A$500,$C28,'DADOS BRUTOS'!FS$3:FS$500)))</f>
        <v/>
      </c>
      <c r="IT28" s="132">
        <f>IF(OR(IT$4="",$B28=""),0,SUMIF('DADOS BRUTOS'!$A$3:$A$500,$B28,'DADOS BRUTOS'!FT$3:FT$500)+IF($C28="",0,SUMIF('DADOS BRUTOS'!$A$3:$A$500,$C28,'DADOS BRUTOS'!FT$3:FT$500)))</f>
        <v/>
      </c>
      <c r="IU28" s="132">
        <f>IF(OR(IU$4="",$B28=""),0,SUMIF('DADOS BRUTOS'!$A$3:$A$500,$B28,'DADOS BRUTOS'!FU$3:FU$500)+IF($C28="",0,SUMIF('DADOS BRUTOS'!$A$3:$A$500,$C28,'DADOS BRUTOS'!FU$3:FU$500)))</f>
        <v/>
      </c>
      <c r="IV28" s="132">
        <f>IF(OR(IV$4="",$B28=""),0,SUMIF('DADOS BRUTOS'!$A$3:$A$500,$B28,'DADOS BRUTOS'!FV$3:FV$500)+IF($C28="",0,SUMIF('DADOS BRUTOS'!$A$3:$A$500,$C28,'DADOS BRUTOS'!FV$3:FV$500)))</f>
        <v/>
      </c>
      <c r="IW28" s="132">
        <f>IF(OR(IW$4="",$B28=""),0,SUMIF('DADOS BRUTOS'!$A$3:$A$500,$B28,'DADOS BRUTOS'!FW$3:FW$500)+IF($C28="",0,SUMIF('DADOS BRUTOS'!$A$3:$A$500,$C28,'DADOS BRUTOS'!FW$3:FW$500)))</f>
        <v/>
      </c>
      <c r="IX28" s="132">
        <f>IF(OR(IX$4="",$B28=""),0,SUMIF('DADOS BRUTOS'!$A$3:$A$500,$B28,'DADOS BRUTOS'!FX$3:FX$500)+IF($C28="",0,SUMIF('DADOS BRUTOS'!$A$3:$A$500,$C28,'DADOS BRUTOS'!FX$3:FX$500)))</f>
        <v/>
      </c>
      <c r="IY28" s="132">
        <f>IF(OR(IY$4="",$B28=""),0,SUMIF('DADOS BRUTOS'!$A$3:$A$500,$B28,'DADOS BRUTOS'!FY$3:FY$500)+IF($C28="",0,SUMIF('DADOS BRUTOS'!$A$3:$A$500,$C28,'DADOS BRUTOS'!FY$3:FY$500)))</f>
        <v/>
      </c>
      <c r="IZ28" s="132">
        <f>IF(OR(IZ$4="",$B28=""),0,SUMIF('DADOS BRUTOS'!$A$3:$A$500,$B28,'DADOS BRUTOS'!FZ$3:FZ$500)+IF($C28="",0,SUMIF('DADOS BRUTOS'!$A$3:$A$500,$C28,'DADOS BRUTOS'!FZ$3:FZ$500)))</f>
        <v/>
      </c>
      <c r="JA28" s="132">
        <f>IF(OR(JA$4="",$B28=""),0,SUMIF('DADOS BRUTOS'!$A$3:$A$500,$B28,'DADOS BRUTOS'!GA$3:GA$500)+IF($C28="",0,SUMIF('DADOS BRUTOS'!$A$3:$A$500,$C28,'DADOS BRUTOS'!GA$3:GA$500)))</f>
        <v/>
      </c>
      <c r="JB28" s="132">
        <f>IF(OR(JB$4="",$B28=""),0,SUMIF('DADOS BRUTOS'!$A$3:$A$500,$B28,'DADOS BRUTOS'!GB$3:GB$500)+IF($C28="",0,SUMIF('DADOS BRUTOS'!$A$3:$A$500,$C28,'DADOS BRUTOS'!GB$3:GB$500)))</f>
        <v/>
      </c>
      <c r="JC28" s="132">
        <f>IF(OR(JC$4="",$B28=""),0,SUMIF('DADOS BRUTOS'!$A$3:$A$500,$B28,'DADOS BRUTOS'!GC$3:GC$500)+IF($C28="",0,SUMIF('DADOS BRUTOS'!$A$3:$A$500,$C28,'DADOS BRUTOS'!GC$3:GC$500)))</f>
        <v/>
      </c>
      <c r="JD28" s="132">
        <f>IF(OR(JD$4="",$B28=""),0,SUMIF('DADOS BRUTOS'!$A$3:$A$500,$B28,'DADOS BRUTOS'!GD$3:GD$500)+IF($C28="",0,SUMIF('DADOS BRUTOS'!$A$3:$A$500,$C28,'DADOS BRUTOS'!GD$3:GD$500)))</f>
        <v/>
      </c>
      <c r="JE28" s="132">
        <f>IF(OR(JE$4="",$B28=""),0,SUMIF('DADOS BRUTOS'!$A$3:$A$500,$B28,'DADOS BRUTOS'!GE$3:GE$500)+IF($C28="",0,SUMIF('DADOS BRUTOS'!$A$3:$A$500,$C28,'DADOS BRUTOS'!GE$3:GE$500)))</f>
        <v/>
      </c>
      <c r="JF28" s="132">
        <f>IF(OR(JF$4="",$B28=""),0,SUMIF('DADOS BRUTOS'!$A$3:$A$500,$B28,'DADOS BRUTOS'!GF$3:GF$500)+IF($C28="",0,SUMIF('DADOS BRUTOS'!$A$3:$A$500,$C28,'DADOS BRUTOS'!GF$3:GF$500)))</f>
        <v/>
      </c>
      <c r="JG28" s="132">
        <f>IF(OR(JG$4="",$B28=""),0,SUMIF('DADOS BRUTOS'!$A$3:$A$500,$B28,'DADOS BRUTOS'!GG$3:GG$500)+IF($C28="",0,SUMIF('DADOS BRUTOS'!$A$3:$A$500,$C28,'DADOS BRUTOS'!GG$3:GG$500)))</f>
        <v/>
      </c>
      <c r="JH28" s="132">
        <f>IF(OR(JH$4="",$B28=""),0,SUMIF('DADOS BRUTOS'!$A$3:$A$500,$B28,'DADOS BRUTOS'!GH$3:GH$500)+IF($C28="",0,SUMIF('DADOS BRUTOS'!$A$3:$A$500,$C28,'DADOS BRUTOS'!GH$3:GH$500)))</f>
        <v/>
      </c>
      <c r="JI28" s="132">
        <f>IF(OR(JI$4="",$B28=""),0,SUMIF('DADOS BRUTOS'!$A$3:$A$500,$B28,'DADOS BRUTOS'!GI$3:GI$500)+IF($C28="",0,SUMIF('DADOS BRUTOS'!$A$3:$A$500,$C28,'DADOS BRUTOS'!GI$3:GI$500)))</f>
        <v/>
      </c>
      <c r="JJ28" s="132">
        <f>IF(OR(JJ$4="",$B28=""),0,SUMIF('DADOS BRUTOS'!$A$3:$A$500,$B28,'DADOS BRUTOS'!GJ$3:GJ$500)+IF($C28="",0,SUMIF('DADOS BRUTOS'!$A$3:$A$500,$C28,'DADOS BRUTOS'!GJ$3:GJ$500)))</f>
        <v/>
      </c>
      <c r="JK28" s="132">
        <f>IF(OR(JK$4="",$B28=""),0,SUMIF('DADOS BRUTOS'!$A$3:$A$500,$B28,'DADOS BRUTOS'!GK$3:GK$500)+IF($C28="",0,SUMIF('DADOS BRUTOS'!$A$3:$A$500,$C28,'DADOS BRUTOS'!GK$3:GK$500)))</f>
        <v/>
      </c>
      <c r="JL28" s="132">
        <f>IF(OR(JL$4="",$B28=""),0,SUMIF('DADOS BRUTOS'!$A$3:$A$500,$B28,'DADOS BRUTOS'!GL$3:GL$500)+IF($C28="",0,SUMIF('DADOS BRUTOS'!$A$3:$A$500,$C28,'DADOS BRUTOS'!GL$3:GL$500)))</f>
        <v/>
      </c>
      <c r="JM28" s="132">
        <f>IF(OR(JM$4="",$B28=""),0,SUMIF('DADOS BRUTOS'!$A$3:$A$500,$B28,'DADOS BRUTOS'!GM$3:GM$500)+IF($C28="",0,SUMIF('DADOS BRUTOS'!$A$3:$A$500,$C28,'DADOS BRUTOS'!GM$3:GM$500)))</f>
        <v/>
      </c>
      <c r="JN28" s="132">
        <f>IF(OR(JN$4="",$B28=""),0,SUMIF('DADOS BRUTOS'!$A$3:$A$500,$B28,'DADOS BRUTOS'!GN$3:GN$500)+IF($C28="",0,SUMIF('DADOS BRUTOS'!$A$3:$A$500,$C28,'DADOS BRUTOS'!GN$3:GN$500)))</f>
        <v/>
      </c>
      <c r="JO28" s="132">
        <f>IF(OR(JO$4="",$B28=""),0,SUMIF('DADOS BRUTOS'!$A$3:$A$500,$B28,'DADOS BRUTOS'!GO$3:GO$500)+IF($C28="",0,SUMIF('DADOS BRUTOS'!$A$3:$A$500,$C28,'DADOS BRUTOS'!GO$3:GO$500)))</f>
        <v/>
      </c>
      <c r="JP28" s="132">
        <f>IF(OR(JP$4="",$B28=""),0,SUMIF('DADOS BRUTOS'!$A$3:$A$500,$B28,'DADOS BRUTOS'!GP$3:GP$500)+IF($C28="",0,SUMIF('DADOS BRUTOS'!$A$3:$A$500,$C28,'DADOS BRUTOS'!GP$3:GP$500)))</f>
        <v/>
      </c>
      <c r="JQ28" s="132">
        <f>IF(OR(JQ$4="",$B28=""),0,SUMIF('DADOS BRUTOS'!$A$3:$A$500,$B28,'DADOS BRUTOS'!GQ$3:GQ$500)+IF($C28="",0,SUMIF('DADOS BRUTOS'!$A$3:$A$500,$C28,'DADOS BRUTOS'!GQ$3:GQ$500)))</f>
        <v/>
      </c>
      <c r="JR28" s="132">
        <f>IF(OR(JR$4="",$B28=""),0,SUMIF('DADOS BRUTOS'!$A$3:$A$500,$B28,'DADOS BRUTOS'!GR$3:GR$500)+IF($C28="",0,SUMIF('DADOS BRUTOS'!$A$3:$A$500,$C28,'DADOS BRUTOS'!GR$3:GR$500)))</f>
        <v/>
      </c>
      <c r="JS28" s="132">
        <f>IF(OR(JS$4="",$B28=""),0,SUMIF('DADOS BRUTOS'!$A$3:$A$500,$B28,'DADOS BRUTOS'!GS$3:GS$500)+IF($C28="",0,SUMIF('DADOS BRUTOS'!$A$3:$A$500,$C28,'DADOS BRUTOS'!GS$3:GS$500)))</f>
        <v/>
      </c>
    </row>
    <row r="29">
      <c r="A29" s="61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BZ29" s="49">
        <f>SUMPRODUCT(($CB$4:$JS$4&lt;&gt;"")*($CB$4:$JS$4&lt;=$D$4),$CB29:$JS29,$CB$1:$JS$1)</f>
        <v/>
      </c>
      <c r="CB29" s="132">
        <f>IF(OR(CB$4="",$B29=""),0,SUMIF('DADOS BRUTOS'!$A$3:$A$500,$B29,'DADOS BRUTOS'!B$3:B$500)+IF($C29="",0,SUMIF('DADOS BRUTOS'!$A$3:$A$500,$C29,'DADOS BRUTOS'!B$3:B$500)))</f>
        <v/>
      </c>
      <c r="CC29" s="132">
        <f>IF(OR(CC$4="",$B29=""),0,SUMIF('DADOS BRUTOS'!$A$3:$A$500,$B29,'DADOS BRUTOS'!C$3:C$500)+IF($C29="",0,SUMIF('DADOS BRUTOS'!$A$3:$A$500,$C29,'DADOS BRUTOS'!C$3:C$500)))</f>
        <v/>
      </c>
      <c r="CD29" s="132">
        <f>IF(OR(CD$4="",$B29=""),0,SUMIF('DADOS BRUTOS'!$A$3:$A$500,$B29,'DADOS BRUTOS'!D$3:D$500)+IF($C29="",0,SUMIF('DADOS BRUTOS'!$A$3:$A$500,$C29,'DADOS BRUTOS'!D$3:D$500)))</f>
        <v/>
      </c>
      <c r="CE29" s="132">
        <f>IF(OR(CE$4="",$B29=""),0,SUMIF('DADOS BRUTOS'!$A$3:$A$500,$B29,'DADOS BRUTOS'!E$3:E$500)+IF($C29="",0,SUMIF('DADOS BRUTOS'!$A$3:$A$500,$C29,'DADOS BRUTOS'!E$3:E$500)))</f>
        <v/>
      </c>
      <c r="CF29" s="132">
        <f>IF(OR(CF$4="",$B29=""),0,SUMIF('DADOS BRUTOS'!$A$3:$A$500,$B29,'DADOS BRUTOS'!F$3:F$500)+IF($C29="",0,SUMIF('DADOS BRUTOS'!$A$3:$A$500,$C29,'DADOS BRUTOS'!F$3:F$500)))</f>
        <v/>
      </c>
      <c r="CG29" s="132">
        <f>IF(OR(CG$4="",$B29=""),0,SUMIF('DADOS BRUTOS'!$A$3:$A$500,$B29,'DADOS BRUTOS'!G$3:G$500)+IF($C29="",0,SUMIF('DADOS BRUTOS'!$A$3:$A$500,$C29,'DADOS BRUTOS'!G$3:G$500)))</f>
        <v/>
      </c>
      <c r="CH29" s="132">
        <f>IF(OR(CH$4="",$B29=""),0,SUMIF('DADOS BRUTOS'!$A$3:$A$500,$B29,'DADOS BRUTOS'!H$3:H$500)+IF($C29="",0,SUMIF('DADOS BRUTOS'!$A$3:$A$500,$C29,'DADOS BRUTOS'!H$3:H$500)))</f>
        <v/>
      </c>
      <c r="CI29" s="132">
        <f>IF(OR(CI$4="",$B29=""),0,SUMIF('DADOS BRUTOS'!$A$3:$A$500,$B29,'DADOS BRUTOS'!I$3:I$500)+IF($C29="",0,SUMIF('DADOS BRUTOS'!$A$3:$A$500,$C29,'DADOS BRUTOS'!I$3:I$500)))</f>
        <v/>
      </c>
      <c r="CJ29" s="132">
        <f>IF(OR(CJ$4="",$B29=""),0,SUMIF('DADOS BRUTOS'!$A$3:$A$500,$B29,'DADOS BRUTOS'!J$3:J$500)+IF($C29="",0,SUMIF('DADOS BRUTOS'!$A$3:$A$500,$C29,'DADOS BRUTOS'!J$3:J$500)))</f>
        <v/>
      </c>
      <c r="CK29" s="132">
        <f>IF(OR(CK$4="",$B29=""),0,SUMIF('DADOS BRUTOS'!$A$3:$A$500,$B29,'DADOS BRUTOS'!K$3:K$500)+IF($C29="",0,SUMIF('DADOS BRUTOS'!$A$3:$A$500,$C29,'DADOS BRUTOS'!K$3:K$500)))</f>
        <v/>
      </c>
      <c r="CL29" s="132">
        <f>IF(OR(CL$4="",$B29=""),0,SUMIF('DADOS BRUTOS'!$A$3:$A$500,$B29,'DADOS BRUTOS'!L$3:L$500)+IF($C29="",0,SUMIF('DADOS BRUTOS'!$A$3:$A$500,$C29,'DADOS BRUTOS'!L$3:L$500)))</f>
        <v/>
      </c>
      <c r="CM29" s="132">
        <f>IF(OR(CM$4="",$B29=""),0,SUMIF('DADOS BRUTOS'!$A$3:$A$500,$B29,'DADOS BRUTOS'!M$3:M$500)+IF($C29="",0,SUMIF('DADOS BRUTOS'!$A$3:$A$500,$C29,'DADOS BRUTOS'!M$3:M$500)))</f>
        <v/>
      </c>
      <c r="CN29" s="132">
        <f>IF(OR(CN$4="",$B29=""),0,SUMIF('DADOS BRUTOS'!$A$3:$A$500,$B29,'DADOS BRUTOS'!N$3:N$500)+IF($C29="",0,SUMIF('DADOS BRUTOS'!$A$3:$A$500,$C29,'DADOS BRUTOS'!N$3:N$500)))</f>
        <v/>
      </c>
      <c r="CO29" s="132">
        <f>IF(OR(CO$4="",$B29=""),0,SUMIF('DADOS BRUTOS'!$A$3:$A$500,$B29,'DADOS BRUTOS'!O$3:O$500)+IF($C29="",0,SUMIF('DADOS BRUTOS'!$A$3:$A$500,$C29,'DADOS BRUTOS'!O$3:O$500)))</f>
        <v/>
      </c>
      <c r="CP29" s="132">
        <f>IF(OR(CP$4="",$B29=""),0,SUMIF('DADOS BRUTOS'!$A$3:$A$500,$B29,'DADOS BRUTOS'!P$3:P$500)+IF($C29="",0,SUMIF('DADOS BRUTOS'!$A$3:$A$500,$C29,'DADOS BRUTOS'!P$3:P$500)))</f>
        <v/>
      </c>
      <c r="CQ29" s="132">
        <f>IF(OR(CQ$4="",$B29=""),0,SUMIF('DADOS BRUTOS'!$A$3:$A$500,$B29,'DADOS BRUTOS'!Q$3:Q$500)+IF($C29="",0,SUMIF('DADOS BRUTOS'!$A$3:$A$500,$C29,'DADOS BRUTOS'!Q$3:Q$500)))</f>
        <v/>
      </c>
      <c r="CR29" s="132">
        <f>IF(OR(CR$4="",$B29=""),0,SUMIF('DADOS BRUTOS'!$A$3:$A$500,$B29,'DADOS BRUTOS'!R$3:R$500)+IF($C29="",0,SUMIF('DADOS BRUTOS'!$A$3:$A$500,$C29,'DADOS BRUTOS'!R$3:R$500)))</f>
        <v/>
      </c>
      <c r="CS29" s="132">
        <f>IF(OR(CS$4="",$B29=""),0,SUMIF('DADOS BRUTOS'!$A$3:$A$500,$B29,'DADOS BRUTOS'!S$3:S$500)+IF($C29="",0,SUMIF('DADOS BRUTOS'!$A$3:$A$500,$C29,'DADOS BRUTOS'!S$3:S$500)))</f>
        <v/>
      </c>
      <c r="CT29" s="132">
        <f>IF(OR(CT$4="",$B29=""),0,SUMIF('DADOS BRUTOS'!$A$3:$A$500,$B29,'DADOS BRUTOS'!T$3:T$500)+IF($C29="",0,SUMIF('DADOS BRUTOS'!$A$3:$A$500,$C29,'DADOS BRUTOS'!T$3:T$500)))</f>
        <v/>
      </c>
      <c r="CU29" s="132">
        <f>IF(OR(CU$4="",$B29=""),0,SUMIF('DADOS BRUTOS'!$A$3:$A$500,$B29,'DADOS BRUTOS'!U$3:U$500)+IF($C29="",0,SUMIF('DADOS BRUTOS'!$A$3:$A$500,$C29,'DADOS BRUTOS'!U$3:U$500)))</f>
        <v/>
      </c>
      <c r="CV29" s="132">
        <f>IF(OR(CV$4="",$B29=""),0,SUMIF('DADOS BRUTOS'!$A$3:$A$500,$B29,'DADOS BRUTOS'!V$3:V$500)+IF($C29="",0,SUMIF('DADOS BRUTOS'!$A$3:$A$500,$C29,'DADOS BRUTOS'!V$3:V$500)))</f>
        <v/>
      </c>
      <c r="CW29" s="132">
        <f>IF(OR(CW$4="",$B29=""),0,SUMIF('DADOS BRUTOS'!$A$3:$A$500,$B29,'DADOS BRUTOS'!W$3:W$500)+IF($C29="",0,SUMIF('DADOS BRUTOS'!$A$3:$A$500,$C29,'DADOS BRUTOS'!W$3:W$500)))</f>
        <v/>
      </c>
      <c r="CX29" s="132">
        <f>IF(OR(CX$4="",$B29=""),0,SUMIF('DADOS BRUTOS'!$A$3:$A$500,$B29,'DADOS BRUTOS'!X$3:X$500)+IF($C29="",0,SUMIF('DADOS BRUTOS'!$A$3:$A$500,$C29,'DADOS BRUTOS'!X$3:X$500)))</f>
        <v/>
      </c>
      <c r="CY29" s="132">
        <f>IF(OR(CY$4="",$B29=""),0,SUMIF('DADOS BRUTOS'!$A$3:$A$500,$B29,'DADOS BRUTOS'!Y$3:Y$500)+IF($C29="",0,SUMIF('DADOS BRUTOS'!$A$3:$A$500,$C29,'DADOS BRUTOS'!Y$3:Y$500)))</f>
        <v/>
      </c>
      <c r="CZ29" s="132">
        <f>IF(OR(CZ$4="",$B29=""),0,SUMIF('DADOS BRUTOS'!$A$3:$A$500,$B29,'DADOS BRUTOS'!Z$3:Z$500)+IF($C29="",0,SUMIF('DADOS BRUTOS'!$A$3:$A$500,$C29,'DADOS BRUTOS'!Z$3:Z$500)))</f>
        <v/>
      </c>
      <c r="DA29" s="132">
        <f>IF(OR(DA$4="",$B29=""),0,SUMIF('DADOS BRUTOS'!$A$3:$A$500,$B29,'DADOS BRUTOS'!AA$3:AA$500)+IF($C29="",0,SUMIF('DADOS BRUTOS'!$A$3:$A$500,$C29,'DADOS BRUTOS'!AA$3:AA$500)))</f>
        <v/>
      </c>
      <c r="DB29" s="132">
        <f>IF(OR(DB$4="",$B29=""),0,SUMIF('DADOS BRUTOS'!$A$3:$A$500,$B29,'DADOS BRUTOS'!AB$3:AB$500)+IF($C29="",0,SUMIF('DADOS BRUTOS'!$A$3:$A$500,$C29,'DADOS BRUTOS'!AB$3:AB$500)))</f>
        <v/>
      </c>
      <c r="DC29" s="132">
        <f>IF(OR(DC$4="",$B29=""),0,SUMIF('DADOS BRUTOS'!$A$3:$A$500,$B29,'DADOS BRUTOS'!AC$3:AC$500)+IF($C29="",0,SUMIF('DADOS BRUTOS'!$A$3:$A$500,$C29,'DADOS BRUTOS'!AC$3:AC$500)))</f>
        <v/>
      </c>
      <c r="DD29" s="132">
        <f>IF(OR(DD$4="",$B29=""),0,SUMIF('DADOS BRUTOS'!$A$3:$A$500,$B29,'DADOS BRUTOS'!AD$3:AD$500)+IF($C29="",0,SUMIF('DADOS BRUTOS'!$A$3:$A$500,$C29,'DADOS BRUTOS'!AD$3:AD$500)))</f>
        <v/>
      </c>
      <c r="DE29" s="132">
        <f>IF(OR(DE$4="",$B29=""),0,SUMIF('DADOS BRUTOS'!$A$3:$A$500,$B29,'DADOS BRUTOS'!AE$3:AE$500)+IF($C29="",0,SUMIF('DADOS BRUTOS'!$A$3:$A$500,$C29,'DADOS BRUTOS'!AE$3:AE$500)))</f>
        <v/>
      </c>
      <c r="DF29" s="132">
        <f>IF(OR(DF$4="",$B29=""),0,SUMIF('DADOS BRUTOS'!$A$3:$A$500,$B29,'DADOS BRUTOS'!AF$3:AF$500)+IF($C29="",0,SUMIF('DADOS BRUTOS'!$A$3:$A$500,$C29,'DADOS BRUTOS'!AF$3:AF$500)))</f>
        <v/>
      </c>
      <c r="DG29" s="132">
        <f>IF(OR(DG$4="",$B29=""),0,SUMIF('DADOS BRUTOS'!$A$3:$A$500,$B29,'DADOS BRUTOS'!AG$3:AG$500)+IF($C29="",0,SUMIF('DADOS BRUTOS'!$A$3:$A$500,$C29,'DADOS BRUTOS'!AG$3:AG$500)))</f>
        <v/>
      </c>
      <c r="DH29" s="132">
        <f>IF(OR(DH$4="",$B29=""),0,SUMIF('DADOS BRUTOS'!$A$3:$A$500,$B29,'DADOS BRUTOS'!AH$3:AH$500)+IF($C29="",0,SUMIF('DADOS BRUTOS'!$A$3:$A$500,$C29,'DADOS BRUTOS'!AH$3:AH$500)))</f>
        <v/>
      </c>
      <c r="DI29" s="132">
        <f>IF(OR(DI$4="",$B29=""),0,SUMIF('DADOS BRUTOS'!$A$3:$A$500,$B29,'DADOS BRUTOS'!AI$3:AI$500)+IF($C29="",0,SUMIF('DADOS BRUTOS'!$A$3:$A$500,$C29,'DADOS BRUTOS'!AI$3:AI$500)))</f>
        <v/>
      </c>
      <c r="DJ29" s="132">
        <f>IF(OR(DJ$4="",$B29=""),0,SUMIF('DADOS BRUTOS'!$A$3:$A$500,$B29,'DADOS BRUTOS'!AJ$3:AJ$500)+IF($C29="",0,SUMIF('DADOS BRUTOS'!$A$3:$A$500,$C29,'DADOS BRUTOS'!AJ$3:AJ$500)))</f>
        <v/>
      </c>
      <c r="DK29" s="132">
        <f>IF(OR(DK$4="",$B29=""),0,SUMIF('DADOS BRUTOS'!$A$3:$A$500,$B29,'DADOS BRUTOS'!AK$3:AK$500)+IF($C29="",0,SUMIF('DADOS BRUTOS'!$A$3:$A$500,$C29,'DADOS BRUTOS'!AK$3:AK$500)))</f>
        <v/>
      </c>
      <c r="DL29" s="132">
        <f>IF(OR(DL$4="",$B29=""),0,SUMIF('DADOS BRUTOS'!$A$3:$A$500,$B29,'DADOS BRUTOS'!AL$3:AL$500)+IF($C29="",0,SUMIF('DADOS BRUTOS'!$A$3:$A$500,$C29,'DADOS BRUTOS'!AL$3:AL$500)))</f>
        <v/>
      </c>
      <c r="DM29" s="132">
        <f>IF(OR(DM$4="",$B29=""),0,SUMIF('DADOS BRUTOS'!$A$3:$A$500,$B29,'DADOS BRUTOS'!AM$3:AM$500)+IF($C29="",0,SUMIF('DADOS BRUTOS'!$A$3:$A$500,$C29,'DADOS BRUTOS'!AM$3:AM$500)))</f>
        <v/>
      </c>
      <c r="DN29" s="132">
        <f>IF(OR(DN$4="",$B29=""),0,SUMIF('DADOS BRUTOS'!$A$3:$A$500,$B29,'DADOS BRUTOS'!AN$3:AN$500)+IF($C29="",0,SUMIF('DADOS BRUTOS'!$A$3:$A$500,$C29,'DADOS BRUTOS'!AN$3:AN$500)))</f>
        <v/>
      </c>
      <c r="DO29" s="132">
        <f>IF(OR(DO$4="",$B29=""),0,SUMIF('DADOS BRUTOS'!$A$3:$A$500,$B29,'DADOS BRUTOS'!AO$3:AO$500)+IF($C29="",0,SUMIF('DADOS BRUTOS'!$A$3:$A$500,$C29,'DADOS BRUTOS'!AO$3:AO$500)))</f>
        <v/>
      </c>
      <c r="DP29" s="132">
        <f>IF(OR(DP$4="",$B29=""),0,SUMIF('DADOS BRUTOS'!$A$3:$A$500,$B29,'DADOS BRUTOS'!AP$3:AP$500)+IF($C29="",0,SUMIF('DADOS BRUTOS'!$A$3:$A$500,$C29,'DADOS BRUTOS'!AP$3:AP$500)))</f>
        <v/>
      </c>
      <c r="DQ29" s="132">
        <f>IF(OR(DQ$4="",$B29=""),0,SUMIF('DADOS BRUTOS'!$A$3:$A$500,$B29,'DADOS BRUTOS'!AQ$3:AQ$500)+IF($C29="",0,SUMIF('DADOS BRUTOS'!$A$3:$A$500,$C29,'DADOS BRUTOS'!AQ$3:AQ$500)))</f>
        <v/>
      </c>
      <c r="DR29" s="132">
        <f>IF(OR(DR$4="",$B29=""),0,SUMIF('DADOS BRUTOS'!$A$3:$A$500,$B29,'DADOS BRUTOS'!AR$3:AR$500)+IF($C29="",0,SUMIF('DADOS BRUTOS'!$A$3:$A$500,$C29,'DADOS BRUTOS'!AR$3:AR$500)))</f>
        <v/>
      </c>
      <c r="DS29" s="132">
        <f>IF(OR(DS$4="",$B29=""),0,SUMIF('DADOS BRUTOS'!$A$3:$A$500,$B29,'DADOS BRUTOS'!AS$3:AS$500)+IF($C29="",0,SUMIF('DADOS BRUTOS'!$A$3:$A$500,$C29,'DADOS BRUTOS'!AS$3:AS$500)))</f>
        <v/>
      </c>
      <c r="DT29" s="132">
        <f>IF(OR(DT$4="",$B29=""),0,SUMIF('DADOS BRUTOS'!$A$3:$A$500,$B29,'DADOS BRUTOS'!AT$3:AT$500)+IF($C29="",0,SUMIF('DADOS BRUTOS'!$A$3:$A$500,$C29,'DADOS BRUTOS'!AT$3:AT$500)))</f>
        <v/>
      </c>
      <c r="DU29" s="132">
        <f>IF(OR(DU$4="",$B29=""),0,SUMIF('DADOS BRUTOS'!$A$3:$A$500,$B29,'DADOS BRUTOS'!AU$3:AU$500)+IF($C29="",0,SUMIF('DADOS BRUTOS'!$A$3:$A$500,$C29,'DADOS BRUTOS'!AU$3:AU$500)))</f>
        <v/>
      </c>
      <c r="DV29" s="132">
        <f>IF(OR(DV$4="",$B29=""),0,SUMIF('DADOS BRUTOS'!$A$3:$A$500,$B29,'DADOS BRUTOS'!AV$3:AV$500)+IF($C29="",0,SUMIF('DADOS BRUTOS'!$A$3:$A$500,$C29,'DADOS BRUTOS'!AV$3:AV$500)))</f>
        <v/>
      </c>
      <c r="DW29" s="132">
        <f>IF(OR(DW$4="",$B29=""),0,SUMIF('DADOS BRUTOS'!$A$3:$A$500,$B29,'DADOS BRUTOS'!AW$3:AW$500)+IF($C29="",0,SUMIF('DADOS BRUTOS'!$A$3:$A$500,$C29,'DADOS BRUTOS'!AW$3:AW$500)))</f>
        <v/>
      </c>
      <c r="DX29" s="132">
        <f>IF(OR(DX$4="",$B29=""),0,SUMIF('DADOS BRUTOS'!$A$3:$A$500,$B29,'DADOS BRUTOS'!AX$3:AX$500)+IF($C29="",0,SUMIF('DADOS BRUTOS'!$A$3:$A$500,$C29,'DADOS BRUTOS'!AX$3:AX$500)))</f>
        <v/>
      </c>
      <c r="DY29" s="132">
        <f>IF(OR(DY$4="",$B29=""),0,SUMIF('DADOS BRUTOS'!$A$3:$A$500,$B29,'DADOS BRUTOS'!AY$3:AY$500)+IF($C29="",0,SUMIF('DADOS BRUTOS'!$A$3:$A$500,$C29,'DADOS BRUTOS'!AY$3:AY$500)))</f>
        <v/>
      </c>
      <c r="DZ29" s="132">
        <f>IF(OR(DZ$4="",$B29=""),0,SUMIF('DADOS BRUTOS'!$A$3:$A$500,$B29,'DADOS BRUTOS'!AZ$3:AZ$500)+IF($C29="",0,SUMIF('DADOS BRUTOS'!$A$3:$A$500,$C29,'DADOS BRUTOS'!AZ$3:AZ$500)))</f>
        <v/>
      </c>
      <c r="EA29" s="132">
        <f>IF(OR(EA$4="",$B29=""),0,SUMIF('DADOS BRUTOS'!$A$3:$A$500,$B29,'DADOS BRUTOS'!BA$3:BA$500)+IF($C29="",0,SUMIF('DADOS BRUTOS'!$A$3:$A$500,$C29,'DADOS BRUTOS'!BA$3:BA$500)))</f>
        <v/>
      </c>
      <c r="EB29" s="132">
        <f>IF(OR(EB$4="",$B29=""),0,SUMIF('DADOS BRUTOS'!$A$3:$A$500,$B29,'DADOS BRUTOS'!BB$3:BB$500)+IF($C29="",0,SUMIF('DADOS BRUTOS'!$A$3:$A$500,$C29,'DADOS BRUTOS'!BB$3:BB$500)))</f>
        <v/>
      </c>
      <c r="EC29" s="132">
        <f>IF(OR(EC$4="",$B29=""),0,SUMIF('DADOS BRUTOS'!$A$3:$A$500,$B29,'DADOS BRUTOS'!BC$3:BC$500)+IF($C29="",0,SUMIF('DADOS BRUTOS'!$A$3:$A$500,$C29,'DADOS BRUTOS'!BC$3:BC$500)))</f>
        <v/>
      </c>
      <c r="ED29" s="132">
        <f>IF(OR(ED$4="",$B29=""),0,SUMIF('DADOS BRUTOS'!$A$3:$A$500,$B29,'DADOS BRUTOS'!BD$3:BD$500)+IF($C29="",0,SUMIF('DADOS BRUTOS'!$A$3:$A$500,$C29,'DADOS BRUTOS'!BD$3:BD$500)))</f>
        <v/>
      </c>
      <c r="EE29" s="132">
        <f>IF(OR(EE$4="",$B29=""),0,SUMIF('DADOS BRUTOS'!$A$3:$A$500,$B29,'DADOS BRUTOS'!BE$3:BE$500)+IF($C29="",0,SUMIF('DADOS BRUTOS'!$A$3:$A$500,$C29,'DADOS BRUTOS'!BE$3:BE$500)))</f>
        <v/>
      </c>
      <c r="EF29" s="132">
        <f>IF(OR(EF$4="",$B29=""),0,SUMIF('DADOS BRUTOS'!$A$3:$A$500,$B29,'DADOS BRUTOS'!BF$3:BF$500)+IF($C29="",0,SUMIF('DADOS BRUTOS'!$A$3:$A$500,$C29,'DADOS BRUTOS'!BF$3:BF$500)))</f>
        <v/>
      </c>
      <c r="EG29" s="132">
        <f>IF(OR(EG$4="",$B29=""),0,SUMIF('DADOS BRUTOS'!$A$3:$A$500,$B29,'DADOS BRUTOS'!BG$3:BG$500)+IF($C29="",0,SUMIF('DADOS BRUTOS'!$A$3:$A$500,$C29,'DADOS BRUTOS'!BG$3:BG$500)))</f>
        <v/>
      </c>
      <c r="EH29" s="132">
        <f>IF(OR(EH$4="",$B29=""),0,SUMIF('DADOS BRUTOS'!$A$3:$A$500,$B29,'DADOS BRUTOS'!BH$3:BH$500)+IF($C29="",0,SUMIF('DADOS BRUTOS'!$A$3:$A$500,$C29,'DADOS BRUTOS'!BH$3:BH$500)))</f>
        <v/>
      </c>
      <c r="EI29" s="132">
        <f>IF(OR(EI$4="",$B29=""),0,SUMIF('DADOS BRUTOS'!$A$3:$A$500,$B29,'DADOS BRUTOS'!BI$3:BI$500)+IF($C29="",0,SUMIF('DADOS BRUTOS'!$A$3:$A$500,$C29,'DADOS BRUTOS'!BI$3:BI$500)))</f>
        <v/>
      </c>
      <c r="EJ29" s="132">
        <f>IF(OR(EJ$4="",$B29=""),0,SUMIF('DADOS BRUTOS'!$A$3:$A$500,$B29,'DADOS BRUTOS'!BJ$3:BJ$500)+IF($C29="",0,SUMIF('DADOS BRUTOS'!$A$3:$A$500,$C29,'DADOS BRUTOS'!BJ$3:BJ$500)))</f>
        <v/>
      </c>
      <c r="EK29" s="132">
        <f>IF(OR(EK$4="",$B29=""),0,SUMIF('DADOS BRUTOS'!$A$3:$A$500,$B29,'DADOS BRUTOS'!BK$3:BK$500)+IF($C29="",0,SUMIF('DADOS BRUTOS'!$A$3:$A$500,$C29,'DADOS BRUTOS'!BK$3:BK$500)))</f>
        <v/>
      </c>
      <c r="EL29" s="132">
        <f>IF(OR(EL$4="",$B29=""),0,SUMIF('DADOS BRUTOS'!$A$3:$A$500,$B29,'DADOS BRUTOS'!BL$3:BL$500)+IF($C29="",0,SUMIF('DADOS BRUTOS'!$A$3:$A$500,$C29,'DADOS BRUTOS'!BL$3:BL$500)))</f>
        <v/>
      </c>
      <c r="EM29" s="132">
        <f>IF(OR(EM$4="",$B29=""),0,SUMIF('DADOS BRUTOS'!$A$3:$A$500,$B29,'DADOS BRUTOS'!BM$3:BM$500)+IF($C29="",0,SUMIF('DADOS BRUTOS'!$A$3:$A$500,$C29,'DADOS BRUTOS'!BM$3:BM$500)))</f>
        <v/>
      </c>
      <c r="EN29" s="132">
        <f>IF(OR(EN$4="",$B29=""),0,SUMIF('DADOS BRUTOS'!$A$3:$A$500,$B29,'DADOS BRUTOS'!BN$3:BN$500)+IF($C29="",0,SUMIF('DADOS BRUTOS'!$A$3:$A$500,$C29,'DADOS BRUTOS'!BN$3:BN$500)))</f>
        <v/>
      </c>
      <c r="EO29" s="132">
        <f>IF(OR(EO$4="",$B29=""),0,SUMIF('DADOS BRUTOS'!$A$3:$A$500,$B29,'DADOS BRUTOS'!BO$3:BO$500)+IF($C29="",0,SUMIF('DADOS BRUTOS'!$A$3:$A$500,$C29,'DADOS BRUTOS'!BO$3:BO$500)))</f>
        <v/>
      </c>
      <c r="EP29" s="132">
        <f>IF(OR(EP$4="",$B29=""),0,SUMIF('DADOS BRUTOS'!$A$3:$A$500,$B29,'DADOS BRUTOS'!BP$3:BP$500)+IF($C29="",0,SUMIF('DADOS BRUTOS'!$A$3:$A$500,$C29,'DADOS BRUTOS'!BP$3:BP$500)))</f>
        <v/>
      </c>
      <c r="EQ29" s="132">
        <f>IF(OR(EQ$4="",$B29=""),0,SUMIF('DADOS BRUTOS'!$A$3:$A$500,$B29,'DADOS BRUTOS'!BQ$3:BQ$500)+IF($C29="",0,SUMIF('DADOS BRUTOS'!$A$3:$A$500,$C29,'DADOS BRUTOS'!BQ$3:BQ$500)))</f>
        <v/>
      </c>
      <c r="ER29" s="132">
        <f>IF(OR(ER$4="",$B29=""),0,SUMIF('DADOS BRUTOS'!$A$3:$A$500,$B29,'DADOS BRUTOS'!BR$3:BR$500)+IF($C29="",0,SUMIF('DADOS BRUTOS'!$A$3:$A$500,$C29,'DADOS BRUTOS'!BR$3:BR$500)))</f>
        <v/>
      </c>
      <c r="ES29" s="132">
        <f>IF(OR(ES$4="",$B29=""),0,SUMIF('DADOS BRUTOS'!$A$3:$A$500,$B29,'DADOS BRUTOS'!BS$3:BS$500)+IF($C29="",0,SUMIF('DADOS BRUTOS'!$A$3:$A$500,$C29,'DADOS BRUTOS'!BS$3:BS$500)))</f>
        <v/>
      </c>
      <c r="ET29" s="132">
        <f>IF(OR(ET$4="",$B29=""),0,SUMIF('DADOS BRUTOS'!$A$3:$A$500,$B29,'DADOS BRUTOS'!BT$3:BT$500)+IF($C29="",0,SUMIF('DADOS BRUTOS'!$A$3:$A$500,$C29,'DADOS BRUTOS'!BT$3:BT$500)))</f>
        <v/>
      </c>
      <c r="EU29" s="132">
        <f>IF(OR(EU$4="",$B29=""),0,SUMIF('DADOS BRUTOS'!$A$3:$A$500,$B29,'DADOS BRUTOS'!BU$3:BU$500)+IF($C29="",0,SUMIF('DADOS BRUTOS'!$A$3:$A$500,$C29,'DADOS BRUTOS'!BU$3:BU$500)))</f>
        <v/>
      </c>
      <c r="EV29" s="132">
        <f>IF(OR(EV$4="",$B29=""),0,SUMIF('DADOS BRUTOS'!$A$3:$A$500,$B29,'DADOS BRUTOS'!BV$3:BV$500)+IF($C29="",0,SUMIF('DADOS BRUTOS'!$A$3:$A$500,$C29,'DADOS BRUTOS'!BV$3:BV$500)))</f>
        <v/>
      </c>
      <c r="EW29" s="132">
        <f>IF(OR(EW$4="",$B29=""),0,SUMIF('DADOS BRUTOS'!$A$3:$A$500,$B29,'DADOS BRUTOS'!BW$3:BW$500)+IF($C29="",0,SUMIF('DADOS BRUTOS'!$A$3:$A$500,$C29,'DADOS BRUTOS'!BW$3:BW$500)))</f>
        <v/>
      </c>
      <c r="EX29" s="132">
        <f>IF(OR(EX$4="",$B29=""),0,SUMIF('DADOS BRUTOS'!$A$3:$A$500,$B29,'DADOS BRUTOS'!BX$3:BX$500)+IF($C29="",0,SUMIF('DADOS BRUTOS'!$A$3:$A$500,$C29,'DADOS BRUTOS'!BX$3:BX$500)))</f>
        <v/>
      </c>
      <c r="EY29" s="132">
        <f>IF(OR(EY$4="",$B29=""),0,SUMIF('DADOS BRUTOS'!$A$3:$A$500,$B29,'DADOS BRUTOS'!BY$3:BY$500)+IF($C29="",0,SUMIF('DADOS BRUTOS'!$A$3:$A$500,$C29,'DADOS BRUTOS'!BY$3:BY$500)))</f>
        <v/>
      </c>
      <c r="EZ29" s="132">
        <f>IF(OR(EZ$4="",$B29=""),0,SUMIF('DADOS BRUTOS'!$A$3:$A$500,$B29,'DADOS BRUTOS'!BZ$3:BZ$500)+IF($C29="",0,SUMIF('DADOS BRUTOS'!$A$3:$A$500,$C29,'DADOS BRUTOS'!BZ$3:BZ$500)))</f>
        <v/>
      </c>
      <c r="FA29" s="132">
        <f>IF(OR(FA$4="",$B29=""),0,SUMIF('DADOS BRUTOS'!$A$3:$A$500,$B29,'DADOS BRUTOS'!CA$3:CA$500)+IF($C29="",0,SUMIF('DADOS BRUTOS'!$A$3:$A$500,$C29,'DADOS BRUTOS'!CA$3:CA$500)))</f>
        <v/>
      </c>
      <c r="FB29" s="132">
        <f>IF(OR(FB$4="",$B29=""),0,SUMIF('DADOS BRUTOS'!$A$3:$A$500,$B29,'DADOS BRUTOS'!CB$3:CB$500)+IF($C29="",0,SUMIF('DADOS BRUTOS'!$A$3:$A$500,$C29,'DADOS BRUTOS'!CB$3:CB$500)))</f>
        <v/>
      </c>
      <c r="FC29" s="132">
        <f>IF(OR(FC$4="",$B29=""),0,SUMIF('DADOS BRUTOS'!$A$3:$A$500,$B29,'DADOS BRUTOS'!CC$3:CC$500)+IF($C29="",0,SUMIF('DADOS BRUTOS'!$A$3:$A$500,$C29,'DADOS BRUTOS'!CC$3:CC$500)))</f>
        <v/>
      </c>
      <c r="FD29" s="132">
        <f>IF(OR(FD$4="",$B29=""),0,SUMIF('DADOS BRUTOS'!$A$3:$A$500,$B29,'DADOS BRUTOS'!CD$3:CD$500)+IF($C29="",0,SUMIF('DADOS BRUTOS'!$A$3:$A$500,$C29,'DADOS BRUTOS'!CD$3:CD$500)))</f>
        <v/>
      </c>
      <c r="FE29" s="132">
        <f>IF(OR(FE$4="",$B29=""),0,SUMIF('DADOS BRUTOS'!$A$3:$A$500,$B29,'DADOS BRUTOS'!CE$3:CE$500)+IF($C29="",0,SUMIF('DADOS BRUTOS'!$A$3:$A$500,$C29,'DADOS BRUTOS'!CE$3:CE$500)))</f>
        <v/>
      </c>
      <c r="FF29" s="132">
        <f>IF(OR(FF$4="",$B29=""),0,SUMIF('DADOS BRUTOS'!$A$3:$A$500,$B29,'DADOS BRUTOS'!CF$3:CF$500)+IF($C29="",0,SUMIF('DADOS BRUTOS'!$A$3:$A$500,$C29,'DADOS BRUTOS'!CF$3:CF$500)))</f>
        <v/>
      </c>
      <c r="FG29" s="132">
        <f>IF(OR(FG$4="",$B29=""),0,SUMIF('DADOS BRUTOS'!$A$3:$A$500,$B29,'DADOS BRUTOS'!CG$3:CG$500)+IF($C29="",0,SUMIF('DADOS BRUTOS'!$A$3:$A$500,$C29,'DADOS BRUTOS'!CG$3:CG$500)))</f>
        <v/>
      </c>
      <c r="FH29" s="132">
        <f>IF(OR(FH$4="",$B29=""),0,SUMIF('DADOS BRUTOS'!$A$3:$A$500,$B29,'DADOS BRUTOS'!CH$3:CH$500)+IF($C29="",0,SUMIF('DADOS BRUTOS'!$A$3:$A$500,$C29,'DADOS BRUTOS'!CH$3:CH$500)))</f>
        <v/>
      </c>
      <c r="FI29" s="132">
        <f>IF(OR(FI$4="",$B29=""),0,SUMIF('DADOS BRUTOS'!$A$3:$A$500,$B29,'DADOS BRUTOS'!CI$3:CI$500)+IF($C29="",0,SUMIF('DADOS BRUTOS'!$A$3:$A$500,$C29,'DADOS BRUTOS'!CI$3:CI$500)))</f>
        <v/>
      </c>
      <c r="FJ29" s="132">
        <f>IF(OR(FJ$4="",$B29=""),0,SUMIF('DADOS BRUTOS'!$A$3:$A$500,$B29,'DADOS BRUTOS'!CJ$3:CJ$500)+IF($C29="",0,SUMIF('DADOS BRUTOS'!$A$3:$A$500,$C29,'DADOS BRUTOS'!CJ$3:CJ$500)))</f>
        <v/>
      </c>
      <c r="FK29" s="132">
        <f>IF(OR(FK$4="",$B29=""),0,SUMIF('DADOS BRUTOS'!$A$3:$A$500,$B29,'DADOS BRUTOS'!CK$3:CK$500)+IF($C29="",0,SUMIF('DADOS BRUTOS'!$A$3:$A$500,$C29,'DADOS BRUTOS'!CK$3:CK$500)))</f>
        <v/>
      </c>
      <c r="FL29" s="132">
        <f>IF(OR(FL$4="",$B29=""),0,SUMIF('DADOS BRUTOS'!$A$3:$A$500,$B29,'DADOS BRUTOS'!CL$3:CL$500)+IF($C29="",0,SUMIF('DADOS BRUTOS'!$A$3:$A$500,$C29,'DADOS BRUTOS'!CL$3:CL$500)))</f>
        <v/>
      </c>
      <c r="FM29" s="132">
        <f>IF(OR(FM$4="",$B29=""),0,SUMIF('DADOS BRUTOS'!$A$3:$A$500,$B29,'DADOS BRUTOS'!CM$3:CM$500)+IF($C29="",0,SUMIF('DADOS BRUTOS'!$A$3:$A$500,$C29,'DADOS BRUTOS'!CM$3:CM$500)))</f>
        <v/>
      </c>
      <c r="FN29" s="132">
        <f>IF(OR(FN$4="",$B29=""),0,SUMIF('DADOS BRUTOS'!$A$3:$A$500,$B29,'DADOS BRUTOS'!CN$3:CN$500)+IF($C29="",0,SUMIF('DADOS BRUTOS'!$A$3:$A$500,$C29,'DADOS BRUTOS'!CN$3:CN$500)))</f>
        <v/>
      </c>
      <c r="FO29" s="132">
        <f>IF(OR(FO$4="",$B29=""),0,SUMIF('DADOS BRUTOS'!$A$3:$A$500,$B29,'DADOS BRUTOS'!CO$3:CO$500)+IF($C29="",0,SUMIF('DADOS BRUTOS'!$A$3:$A$500,$C29,'DADOS BRUTOS'!CO$3:CO$500)))</f>
        <v/>
      </c>
      <c r="FP29" s="132">
        <f>IF(OR(FP$4="",$B29=""),0,SUMIF('DADOS BRUTOS'!$A$3:$A$500,$B29,'DADOS BRUTOS'!CP$3:CP$500)+IF($C29="",0,SUMIF('DADOS BRUTOS'!$A$3:$A$500,$C29,'DADOS BRUTOS'!CP$3:CP$500)))</f>
        <v/>
      </c>
      <c r="FQ29" s="132">
        <f>IF(OR(FQ$4="",$B29=""),0,SUMIF('DADOS BRUTOS'!$A$3:$A$500,$B29,'DADOS BRUTOS'!CQ$3:CQ$500)+IF($C29="",0,SUMIF('DADOS BRUTOS'!$A$3:$A$500,$C29,'DADOS BRUTOS'!CQ$3:CQ$500)))</f>
        <v/>
      </c>
      <c r="FR29" s="132">
        <f>IF(OR(FR$4="",$B29=""),0,SUMIF('DADOS BRUTOS'!$A$3:$A$500,$B29,'DADOS BRUTOS'!CR$3:CR$500)+IF($C29="",0,SUMIF('DADOS BRUTOS'!$A$3:$A$500,$C29,'DADOS BRUTOS'!CR$3:CR$500)))</f>
        <v/>
      </c>
      <c r="FS29" s="132">
        <f>IF(OR(FS$4="",$B29=""),0,SUMIF('DADOS BRUTOS'!$A$3:$A$500,$B29,'DADOS BRUTOS'!CS$3:CS$500)+IF($C29="",0,SUMIF('DADOS BRUTOS'!$A$3:$A$500,$C29,'DADOS BRUTOS'!CS$3:CS$500)))</f>
        <v/>
      </c>
      <c r="FT29" s="132">
        <f>IF(OR(FT$4="",$B29=""),0,SUMIF('DADOS BRUTOS'!$A$3:$A$500,$B29,'DADOS BRUTOS'!CT$3:CT$500)+IF($C29="",0,SUMIF('DADOS BRUTOS'!$A$3:$A$500,$C29,'DADOS BRUTOS'!CT$3:CT$500)))</f>
        <v/>
      </c>
      <c r="FU29" s="132">
        <f>IF(OR(FU$4="",$B29=""),0,SUMIF('DADOS BRUTOS'!$A$3:$A$500,$B29,'DADOS BRUTOS'!CU$3:CU$500)+IF($C29="",0,SUMIF('DADOS BRUTOS'!$A$3:$A$500,$C29,'DADOS BRUTOS'!CU$3:CU$500)))</f>
        <v/>
      </c>
      <c r="FV29" s="132">
        <f>IF(OR(FV$4="",$B29=""),0,SUMIF('DADOS BRUTOS'!$A$3:$A$500,$B29,'DADOS BRUTOS'!CV$3:CV$500)+IF($C29="",0,SUMIF('DADOS BRUTOS'!$A$3:$A$500,$C29,'DADOS BRUTOS'!CV$3:CV$500)))</f>
        <v/>
      </c>
      <c r="FW29" s="132">
        <f>IF(OR(FW$4="",$B29=""),0,SUMIF('DADOS BRUTOS'!$A$3:$A$500,$B29,'DADOS BRUTOS'!CW$3:CW$500)+IF($C29="",0,SUMIF('DADOS BRUTOS'!$A$3:$A$500,$C29,'DADOS BRUTOS'!CW$3:CW$500)))</f>
        <v/>
      </c>
      <c r="FX29" s="132">
        <f>IF(OR(FX$4="",$B29=""),0,SUMIF('DADOS BRUTOS'!$A$3:$A$500,$B29,'DADOS BRUTOS'!CX$3:CX$500)+IF($C29="",0,SUMIF('DADOS BRUTOS'!$A$3:$A$500,$C29,'DADOS BRUTOS'!CX$3:CX$500)))</f>
        <v/>
      </c>
      <c r="FY29" s="132">
        <f>IF(OR(FY$4="",$B29=""),0,SUMIF('DADOS BRUTOS'!$A$3:$A$500,$B29,'DADOS BRUTOS'!CY$3:CY$500)+IF($C29="",0,SUMIF('DADOS BRUTOS'!$A$3:$A$500,$C29,'DADOS BRUTOS'!CY$3:CY$500)))</f>
        <v/>
      </c>
      <c r="FZ29" s="132">
        <f>IF(OR(FZ$4="",$B29=""),0,SUMIF('DADOS BRUTOS'!$A$3:$A$500,$B29,'DADOS BRUTOS'!CZ$3:CZ$500)+IF($C29="",0,SUMIF('DADOS BRUTOS'!$A$3:$A$500,$C29,'DADOS BRUTOS'!CZ$3:CZ$500)))</f>
        <v/>
      </c>
      <c r="GA29" s="132">
        <f>IF(OR(GA$4="",$B29=""),0,SUMIF('DADOS BRUTOS'!$A$3:$A$500,$B29,'DADOS BRUTOS'!DA$3:DA$500)+IF($C29="",0,SUMIF('DADOS BRUTOS'!$A$3:$A$500,$C29,'DADOS BRUTOS'!DA$3:DA$500)))</f>
        <v/>
      </c>
      <c r="GB29" s="132">
        <f>IF(OR(GB$4="",$B29=""),0,SUMIF('DADOS BRUTOS'!$A$3:$A$500,$B29,'DADOS BRUTOS'!DB$3:DB$500)+IF($C29="",0,SUMIF('DADOS BRUTOS'!$A$3:$A$500,$C29,'DADOS BRUTOS'!DB$3:DB$500)))</f>
        <v/>
      </c>
      <c r="GC29" s="132">
        <f>IF(OR(GC$4="",$B29=""),0,SUMIF('DADOS BRUTOS'!$A$3:$A$500,$B29,'DADOS BRUTOS'!DC$3:DC$500)+IF($C29="",0,SUMIF('DADOS BRUTOS'!$A$3:$A$500,$C29,'DADOS BRUTOS'!DC$3:DC$500)))</f>
        <v/>
      </c>
      <c r="GD29" s="132">
        <f>IF(OR(GD$4="",$B29=""),0,SUMIF('DADOS BRUTOS'!$A$3:$A$500,$B29,'DADOS BRUTOS'!DD$3:DD$500)+IF($C29="",0,SUMIF('DADOS BRUTOS'!$A$3:$A$500,$C29,'DADOS BRUTOS'!DD$3:DD$500)))</f>
        <v/>
      </c>
      <c r="GE29" s="132">
        <f>IF(OR(GE$4="",$B29=""),0,SUMIF('DADOS BRUTOS'!$A$3:$A$500,$B29,'DADOS BRUTOS'!DE$3:DE$500)+IF($C29="",0,SUMIF('DADOS BRUTOS'!$A$3:$A$500,$C29,'DADOS BRUTOS'!DE$3:DE$500)))</f>
        <v/>
      </c>
      <c r="GF29" s="132">
        <f>IF(OR(GF$4="",$B29=""),0,SUMIF('DADOS BRUTOS'!$A$3:$A$500,$B29,'DADOS BRUTOS'!DF$3:DF$500)+IF($C29="",0,SUMIF('DADOS BRUTOS'!$A$3:$A$500,$C29,'DADOS BRUTOS'!DF$3:DF$500)))</f>
        <v/>
      </c>
      <c r="GG29" s="132">
        <f>IF(OR(GG$4="",$B29=""),0,SUMIF('DADOS BRUTOS'!$A$3:$A$500,$B29,'DADOS BRUTOS'!DG$3:DG$500)+IF($C29="",0,SUMIF('DADOS BRUTOS'!$A$3:$A$500,$C29,'DADOS BRUTOS'!DG$3:DG$500)))</f>
        <v/>
      </c>
      <c r="GH29" s="132">
        <f>IF(OR(GH$4="",$B29=""),0,SUMIF('DADOS BRUTOS'!$A$3:$A$500,$B29,'DADOS BRUTOS'!DH$3:DH$500)+IF($C29="",0,SUMIF('DADOS BRUTOS'!$A$3:$A$500,$C29,'DADOS BRUTOS'!DH$3:DH$500)))</f>
        <v/>
      </c>
      <c r="GI29" s="132">
        <f>IF(OR(GI$4="",$B29=""),0,SUMIF('DADOS BRUTOS'!$A$3:$A$500,$B29,'DADOS BRUTOS'!DI$3:DI$500)+IF($C29="",0,SUMIF('DADOS BRUTOS'!$A$3:$A$500,$C29,'DADOS BRUTOS'!DI$3:DI$500)))</f>
        <v/>
      </c>
      <c r="GJ29" s="132">
        <f>IF(OR(GJ$4="",$B29=""),0,SUMIF('DADOS BRUTOS'!$A$3:$A$500,$B29,'DADOS BRUTOS'!DJ$3:DJ$500)+IF($C29="",0,SUMIF('DADOS BRUTOS'!$A$3:$A$500,$C29,'DADOS BRUTOS'!DJ$3:DJ$500)))</f>
        <v/>
      </c>
      <c r="GK29" s="132">
        <f>IF(OR(GK$4="",$B29=""),0,SUMIF('DADOS BRUTOS'!$A$3:$A$500,$B29,'DADOS BRUTOS'!DK$3:DK$500)+IF($C29="",0,SUMIF('DADOS BRUTOS'!$A$3:$A$500,$C29,'DADOS BRUTOS'!DK$3:DK$500)))</f>
        <v/>
      </c>
      <c r="GL29" s="132">
        <f>IF(OR(GL$4="",$B29=""),0,SUMIF('DADOS BRUTOS'!$A$3:$A$500,$B29,'DADOS BRUTOS'!DL$3:DL$500)+IF($C29="",0,SUMIF('DADOS BRUTOS'!$A$3:$A$500,$C29,'DADOS BRUTOS'!DL$3:DL$500)))</f>
        <v/>
      </c>
      <c r="GM29" s="132">
        <f>IF(OR(GM$4="",$B29=""),0,SUMIF('DADOS BRUTOS'!$A$3:$A$500,$B29,'DADOS BRUTOS'!DM$3:DM$500)+IF($C29="",0,SUMIF('DADOS BRUTOS'!$A$3:$A$500,$C29,'DADOS BRUTOS'!DM$3:DM$500)))</f>
        <v/>
      </c>
      <c r="GN29" s="132">
        <f>IF(OR(GN$4="",$B29=""),0,SUMIF('DADOS BRUTOS'!$A$3:$A$500,$B29,'DADOS BRUTOS'!DN$3:DN$500)+IF($C29="",0,SUMIF('DADOS BRUTOS'!$A$3:$A$500,$C29,'DADOS BRUTOS'!DN$3:DN$500)))</f>
        <v/>
      </c>
      <c r="GO29" s="132">
        <f>IF(OR(GO$4="",$B29=""),0,SUMIF('DADOS BRUTOS'!$A$3:$A$500,$B29,'DADOS BRUTOS'!DO$3:DO$500)+IF($C29="",0,SUMIF('DADOS BRUTOS'!$A$3:$A$500,$C29,'DADOS BRUTOS'!DO$3:DO$500)))</f>
        <v/>
      </c>
      <c r="GP29" s="132">
        <f>IF(OR(GP$4="",$B29=""),0,SUMIF('DADOS BRUTOS'!$A$3:$A$500,$B29,'DADOS BRUTOS'!DP$3:DP$500)+IF($C29="",0,SUMIF('DADOS BRUTOS'!$A$3:$A$500,$C29,'DADOS BRUTOS'!DP$3:DP$500)))</f>
        <v/>
      </c>
      <c r="GQ29" s="132">
        <f>IF(OR(GQ$4="",$B29=""),0,SUMIF('DADOS BRUTOS'!$A$3:$A$500,$B29,'DADOS BRUTOS'!DQ$3:DQ$500)+IF($C29="",0,SUMIF('DADOS BRUTOS'!$A$3:$A$500,$C29,'DADOS BRUTOS'!DQ$3:DQ$500)))</f>
        <v/>
      </c>
      <c r="GR29" s="132">
        <f>IF(OR(GR$4="",$B29=""),0,SUMIF('DADOS BRUTOS'!$A$3:$A$500,$B29,'DADOS BRUTOS'!DR$3:DR$500)+IF($C29="",0,SUMIF('DADOS BRUTOS'!$A$3:$A$500,$C29,'DADOS BRUTOS'!DR$3:DR$500)))</f>
        <v/>
      </c>
      <c r="GS29" s="132">
        <f>IF(OR(GS$4="",$B29=""),0,SUMIF('DADOS BRUTOS'!$A$3:$A$500,$B29,'DADOS BRUTOS'!DS$3:DS$500)+IF($C29="",0,SUMIF('DADOS BRUTOS'!$A$3:$A$500,$C29,'DADOS BRUTOS'!DS$3:DS$500)))</f>
        <v/>
      </c>
      <c r="GT29" s="132">
        <f>IF(OR(GT$4="",$B29=""),0,SUMIF('DADOS BRUTOS'!$A$3:$A$500,$B29,'DADOS BRUTOS'!DT$3:DT$500)+IF($C29="",0,SUMIF('DADOS BRUTOS'!$A$3:$A$500,$C29,'DADOS BRUTOS'!DT$3:DT$500)))</f>
        <v/>
      </c>
      <c r="GU29" s="132">
        <f>IF(OR(GU$4="",$B29=""),0,SUMIF('DADOS BRUTOS'!$A$3:$A$500,$B29,'DADOS BRUTOS'!DU$3:DU$500)+IF($C29="",0,SUMIF('DADOS BRUTOS'!$A$3:$A$500,$C29,'DADOS BRUTOS'!DU$3:DU$500)))</f>
        <v/>
      </c>
      <c r="GV29" s="132">
        <f>IF(OR(GV$4="",$B29=""),0,SUMIF('DADOS BRUTOS'!$A$3:$A$500,$B29,'DADOS BRUTOS'!DV$3:DV$500)+IF($C29="",0,SUMIF('DADOS BRUTOS'!$A$3:$A$500,$C29,'DADOS BRUTOS'!DV$3:DV$500)))</f>
        <v/>
      </c>
      <c r="GW29" s="132">
        <f>IF(OR(GW$4="",$B29=""),0,SUMIF('DADOS BRUTOS'!$A$3:$A$500,$B29,'DADOS BRUTOS'!DW$3:DW$500)+IF($C29="",0,SUMIF('DADOS BRUTOS'!$A$3:$A$500,$C29,'DADOS BRUTOS'!DW$3:DW$500)))</f>
        <v/>
      </c>
      <c r="GX29" s="132">
        <f>IF(OR(GX$4="",$B29=""),0,SUMIF('DADOS BRUTOS'!$A$3:$A$500,$B29,'DADOS BRUTOS'!DX$3:DX$500)+IF($C29="",0,SUMIF('DADOS BRUTOS'!$A$3:$A$500,$C29,'DADOS BRUTOS'!DX$3:DX$500)))</f>
        <v/>
      </c>
      <c r="GY29" s="132">
        <f>IF(OR(GY$4="",$B29=""),0,SUMIF('DADOS BRUTOS'!$A$3:$A$500,$B29,'DADOS BRUTOS'!DY$3:DY$500)+IF($C29="",0,SUMIF('DADOS BRUTOS'!$A$3:$A$500,$C29,'DADOS BRUTOS'!DY$3:DY$500)))</f>
        <v/>
      </c>
      <c r="GZ29" s="132">
        <f>IF(OR(GZ$4="",$B29=""),0,SUMIF('DADOS BRUTOS'!$A$3:$A$500,$B29,'DADOS BRUTOS'!DZ$3:DZ$500)+IF($C29="",0,SUMIF('DADOS BRUTOS'!$A$3:$A$500,$C29,'DADOS BRUTOS'!DZ$3:DZ$500)))</f>
        <v/>
      </c>
      <c r="HA29" s="132">
        <f>IF(OR(HA$4="",$B29=""),0,SUMIF('DADOS BRUTOS'!$A$3:$A$500,$B29,'DADOS BRUTOS'!EA$3:EA$500)+IF($C29="",0,SUMIF('DADOS BRUTOS'!$A$3:$A$500,$C29,'DADOS BRUTOS'!EA$3:EA$500)))</f>
        <v/>
      </c>
      <c r="HB29" s="132">
        <f>IF(OR(HB$4="",$B29=""),0,SUMIF('DADOS BRUTOS'!$A$3:$A$500,$B29,'DADOS BRUTOS'!EB$3:EB$500)+IF($C29="",0,SUMIF('DADOS BRUTOS'!$A$3:$A$500,$C29,'DADOS BRUTOS'!EB$3:EB$500)))</f>
        <v/>
      </c>
      <c r="HC29" s="132">
        <f>IF(OR(HC$4="",$B29=""),0,SUMIF('DADOS BRUTOS'!$A$3:$A$500,$B29,'DADOS BRUTOS'!EC$3:EC$500)+IF($C29="",0,SUMIF('DADOS BRUTOS'!$A$3:$A$500,$C29,'DADOS BRUTOS'!EC$3:EC$500)))</f>
        <v/>
      </c>
      <c r="HD29" s="132">
        <f>IF(OR(HD$4="",$B29=""),0,SUMIF('DADOS BRUTOS'!$A$3:$A$500,$B29,'DADOS BRUTOS'!ED$3:ED$500)+IF($C29="",0,SUMIF('DADOS BRUTOS'!$A$3:$A$500,$C29,'DADOS BRUTOS'!ED$3:ED$500)))</f>
        <v/>
      </c>
      <c r="HE29" s="132">
        <f>IF(OR(HE$4="",$B29=""),0,SUMIF('DADOS BRUTOS'!$A$3:$A$500,$B29,'DADOS BRUTOS'!EE$3:EE$500)+IF($C29="",0,SUMIF('DADOS BRUTOS'!$A$3:$A$500,$C29,'DADOS BRUTOS'!EE$3:EE$500)))</f>
        <v/>
      </c>
      <c r="HF29" s="132">
        <f>IF(OR(HF$4="",$B29=""),0,SUMIF('DADOS BRUTOS'!$A$3:$A$500,$B29,'DADOS BRUTOS'!EF$3:EF$500)+IF($C29="",0,SUMIF('DADOS BRUTOS'!$A$3:$A$500,$C29,'DADOS BRUTOS'!EF$3:EF$500)))</f>
        <v/>
      </c>
      <c r="HG29" s="132">
        <f>IF(OR(HG$4="",$B29=""),0,SUMIF('DADOS BRUTOS'!$A$3:$A$500,$B29,'DADOS BRUTOS'!EG$3:EG$500)+IF($C29="",0,SUMIF('DADOS BRUTOS'!$A$3:$A$500,$C29,'DADOS BRUTOS'!EG$3:EG$500)))</f>
        <v/>
      </c>
      <c r="HH29" s="132">
        <f>IF(OR(HH$4="",$B29=""),0,SUMIF('DADOS BRUTOS'!$A$3:$A$500,$B29,'DADOS BRUTOS'!EH$3:EH$500)+IF($C29="",0,SUMIF('DADOS BRUTOS'!$A$3:$A$500,$C29,'DADOS BRUTOS'!EH$3:EH$500)))</f>
        <v/>
      </c>
      <c r="HI29" s="132">
        <f>IF(OR(HI$4="",$B29=""),0,SUMIF('DADOS BRUTOS'!$A$3:$A$500,$B29,'DADOS BRUTOS'!EI$3:EI$500)+IF($C29="",0,SUMIF('DADOS BRUTOS'!$A$3:$A$500,$C29,'DADOS BRUTOS'!EI$3:EI$500)))</f>
        <v/>
      </c>
      <c r="HJ29" s="132">
        <f>IF(OR(HJ$4="",$B29=""),0,SUMIF('DADOS BRUTOS'!$A$3:$A$500,$B29,'DADOS BRUTOS'!EJ$3:EJ$500)+IF($C29="",0,SUMIF('DADOS BRUTOS'!$A$3:$A$500,$C29,'DADOS BRUTOS'!EJ$3:EJ$500)))</f>
        <v/>
      </c>
      <c r="HK29" s="132">
        <f>IF(OR(HK$4="",$B29=""),0,SUMIF('DADOS BRUTOS'!$A$3:$A$500,$B29,'DADOS BRUTOS'!EK$3:EK$500)+IF($C29="",0,SUMIF('DADOS BRUTOS'!$A$3:$A$500,$C29,'DADOS BRUTOS'!EK$3:EK$500)))</f>
        <v/>
      </c>
      <c r="HL29" s="132">
        <f>IF(OR(HL$4="",$B29=""),0,SUMIF('DADOS BRUTOS'!$A$3:$A$500,$B29,'DADOS BRUTOS'!EL$3:EL$500)+IF($C29="",0,SUMIF('DADOS BRUTOS'!$A$3:$A$500,$C29,'DADOS BRUTOS'!EL$3:EL$500)))</f>
        <v/>
      </c>
      <c r="HM29" s="132">
        <f>IF(OR(HM$4="",$B29=""),0,SUMIF('DADOS BRUTOS'!$A$3:$A$500,$B29,'DADOS BRUTOS'!EM$3:EM$500)+IF($C29="",0,SUMIF('DADOS BRUTOS'!$A$3:$A$500,$C29,'DADOS BRUTOS'!EM$3:EM$500)))</f>
        <v/>
      </c>
      <c r="HN29" s="132">
        <f>IF(OR(HN$4="",$B29=""),0,SUMIF('DADOS BRUTOS'!$A$3:$A$500,$B29,'DADOS BRUTOS'!EN$3:EN$500)+IF($C29="",0,SUMIF('DADOS BRUTOS'!$A$3:$A$500,$C29,'DADOS BRUTOS'!EN$3:EN$500)))</f>
        <v/>
      </c>
      <c r="HO29" s="132">
        <f>IF(OR(HO$4="",$B29=""),0,SUMIF('DADOS BRUTOS'!$A$3:$A$500,$B29,'DADOS BRUTOS'!EO$3:EO$500)+IF($C29="",0,SUMIF('DADOS BRUTOS'!$A$3:$A$500,$C29,'DADOS BRUTOS'!EO$3:EO$500)))</f>
        <v/>
      </c>
      <c r="HP29" s="132">
        <f>IF(OR(HP$4="",$B29=""),0,SUMIF('DADOS BRUTOS'!$A$3:$A$500,$B29,'DADOS BRUTOS'!EP$3:EP$500)+IF($C29="",0,SUMIF('DADOS BRUTOS'!$A$3:$A$500,$C29,'DADOS BRUTOS'!EP$3:EP$500)))</f>
        <v/>
      </c>
      <c r="HQ29" s="132">
        <f>IF(OR(HQ$4="",$B29=""),0,SUMIF('DADOS BRUTOS'!$A$3:$A$500,$B29,'DADOS BRUTOS'!EQ$3:EQ$500)+IF($C29="",0,SUMIF('DADOS BRUTOS'!$A$3:$A$500,$C29,'DADOS BRUTOS'!EQ$3:EQ$500)))</f>
        <v/>
      </c>
      <c r="HR29" s="132">
        <f>IF(OR(HR$4="",$B29=""),0,SUMIF('DADOS BRUTOS'!$A$3:$A$500,$B29,'DADOS BRUTOS'!ER$3:ER$500)+IF($C29="",0,SUMIF('DADOS BRUTOS'!$A$3:$A$500,$C29,'DADOS BRUTOS'!ER$3:ER$500)))</f>
        <v/>
      </c>
      <c r="HS29" s="132">
        <f>IF(OR(HS$4="",$B29=""),0,SUMIF('DADOS BRUTOS'!$A$3:$A$500,$B29,'DADOS BRUTOS'!ES$3:ES$500)+IF($C29="",0,SUMIF('DADOS BRUTOS'!$A$3:$A$500,$C29,'DADOS BRUTOS'!ES$3:ES$500)))</f>
        <v/>
      </c>
      <c r="HT29" s="132">
        <f>IF(OR(HT$4="",$B29=""),0,SUMIF('DADOS BRUTOS'!$A$3:$A$500,$B29,'DADOS BRUTOS'!ET$3:ET$500)+IF($C29="",0,SUMIF('DADOS BRUTOS'!$A$3:$A$500,$C29,'DADOS BRUTOS'!ET$3:ET$500)))</f>
        <v/>
      </c>
      <c r="HU29" s="132">
        <f>IF(OR(HU$4="",$B29=""),0,SUMIF('DADOS BRUTOS'!$A$3:$A$500,$B29,'DADOS BRUTOS'!EU$3:EU$500)+IF($C29="",0,SUMIF('DADOS BRUTOS'!$A$3:$A$500,$C29,'DADOS BRUTOS'!EU$3:EU$500)))</f>
        <v/>
      </c>
      <c r="HV29" s="132">
        <f>IF(OR(HV$4="",$B29=""),0,SUMIF('DADOS BRUTOS'!$A$3:$A$500,$B29,'DADOS BRUTOS'!EV$3:EV$500)+IF($C29="",0,SUMIF('DADOS BRUTOS'!$A$3:$A$500,$C29,'DADOS BRUTOS'!EV$3:EV$500)))</f>
        <v/>
      </c>
      <c r="HW29" s="132">
        <f>IF(OR(HW$4="",$B29=""),0,SUMIF('DADOS BRUTOS'!$A$3:$A$500,$B29,'DADOS BRUTOS'!EW$3:EW$500)+IF($C29="",0,SUMIF('DADOS BRUTOS'!$A$3:$A$500,$C29,'DADOS BRUTOS'!EW$3:EW$500)))</f>
        <v/>
      </c>
      <c r="HX29" s="132">
        <f>IF(OR(HX$4="",$B29=""),0,SUMIF('DADOS BRUTOS'!$A$3:$A$500,$B29,'DADOS BRUTOS'!EX$3:EX$500)+IF($C29="",0,SUMIF('DADOS BRUTOS'!$A$3:$A$500,$C29,'DADOS BRUTOS'!EX$3:EX$500)))</f>
        <v/>
      </c>
      <c r="HY29" s="132">
        <f>IF(OR(HY$4="",$B29=""),0,SUMIF('DADOS BRUTOS'!$A$3:$A$500,$B29,'DADOS BRUTOS'!EY$3:EY$500)+IF($C29="",0,SUMIF('DADOS BRUTOS'!$A$3:$A$500,$C29,'DADOS BRUTOS'!EY$3:EY$500)))</f>
        <v/>
      </c>
      <c r="HZ29" s="132">
        <f>IF(OR(HZ$4="",$B29=""),0,SUMIF('DADOS BRUTOS'!$A$3:$A$500,$B29,'DADOS BRUTOS'!EZ$3:EZ$500)+IF($C29="",0,SUMIF('DADOS BRUTOS'!$A$3:$A$500,$C29,'DADOS BRUTOS'!EZ$3:EZ$500)))</f>
        <v/>
      </c>
      <c r="IA29" s="132">
        <f>IF(OR(IA$4="",$B29=""),0,SUMIF('DADOS BRUTOS'!$A$3:$A$500,$B29,'DADOS BRUTOS'!FA$3:FA$500)+IF($C29="",0,SUMIF('DADOS BRUTOS'!$A$3:$A$500,$C29,'DADOS BRUTOS'!FA$3:FA$500)))</f>
        <v/>
      </c>
      <c r="IB29" s="132">
        <f>IF(OR(IB$4="",$B29=""),0,SUMIF('DADOS BRUTOS'!$A$3:$A$500,$B29,'DADOS BRUTOS'!FB$3:FB$500)+IF($C29="",0,SUMIF('DADOS BRUTOS'!$A$3:$A$500,$C29,'DADOS BRUTOS'!FB$3:FB$500)))</f>
        <v/>
      </c>
      <c r="IC29" s="132">
        <f>IF(OR(IC$4="",$B29=""),0,SUMIF('DADOS BRUTOS'!$A$3:$A$500,$B29,'DADOS BRUTOS'!FC$3:FC$500)+IF($C29="",0,SUMIF('DADOS BRUTOS'!$A$3:$A$500,$C29,'DADOS BRUTOS'!FC$3:FC$500)))</f>
        <v/>
      </c>
      <c r="ID29" s="132">
        <f>IF(OR(ID$4="",$B29=""),0,SUMIF('DADOS BRUTOS'!$A$3:$A$500,$B29,'DADOS BRUTOS'!FD$3:FD$500)+IF($C29="",0,SUMIF('DADOS BRUTOS'!$A$3:$A$500,$C29,'DADOS BRUTOS'!FD$3:FD$500)))</f>
        <v/>
      </c>
      <c r="IE29" s="132">
        <f>IF(OR(IE$4="",$B29=""),0,SUMIF('DADOS BRUTOS'!$A$3:$A$500,$B29,'DADOS BRUTOS'!FE$3:FE$500)+IF($C29="",0,SUMIF('DADOS BRUTOS'!$A$3:$A$500,$C29,'DADOS BRUTOS'!FE$3:FE$500)))</f>
        <v/>
      </c>
      <c r="IF29" s="132">
        <f>IF(OR(IF$4="",$B29=""),0,SUMIF('DADOS BRUTOS'!$A$3:$A$500,$B29,'DADOS BRUTOS'!FF$3:FF$500)+IF($C29="",0,SUMIF('DADOS BRUTOS'!$A$3:$A$500,$C29,'DADOS BRUTOS'!FF$3:FF$500)))</f>
        <v/>
      </c>
      <c r="IG29" s="132">
        <f>IF(OR(IG$4="",$B29=""),0,SUMIF('DADOS BRUTOS'!$A$3:$A$500,$B29,'DADOS BRUTOS'!FG$3:FG$500)+IF($C29="",0,SUMIF('DADOS BRUTOS'!$A$3:$A$500,$C29,'DADOS BRUTOS'!FG$3:FG$500)))</f>
        <v/>
      </c>
      <c r="IH29" s="132">
        <f>IF(OR(IH$4="",$B29=""),0,SUMIF('DADOS BRUTOS'!$A$3:$A$500,$B29,'DADOS BRUTOS'!FH$3:FH$500)+IF($C29="",0,SUMIF('DADOS BRUTOS'!$A$3:$A$500,$C29,'DADOS BRUTOS'!FH$3:FH$500)))</f>
        <v/>
      </c>
      <c r="II29" s="132">
        <f>IF(OR(II$4="",$B29=""),0,SUMIF('DADOS BRUTOS'!$A$3:$A$500,$B29,'DADOS BRUTOS'!FI$3:FI$500)+IF($C29="",0,SUMIF('DADOS BRUTOS'!$A$3:$A$500,$C29,'DADOS BRUTOS'!FI$3:FI$500)))</f>
        <v/>
      </c>
      <c r="IJ29" s="132">
        <f>IF(OR(IJ$4="",$B29=""),0,SUMIF('DADOS BRUTOS'!$A$3:$A$500,$B29,'DADOS BRUTOS'!FJ$3:FJ$500)+IF($C29="",0,SUMIF('DADOS BRUTOS'!$A$3:$A$500,$C29,'DADOS BRUTOS'!FJ$3:FJ$500)))</f>
        <v/>
      </c>
      <c r="IK29" s="132">
        <f>IF(OR(IK$4="",$B29=""),0,SUMIF('DADOS BRUTOS'!$A$3:$A$500,$B29,'DADOS BRUTOS'!FK$3:FK$500)+IF($C29="",0,SUMIF('DADOS BRUTOS'!$A$3:$A$500,$C29,'DADOS BRUTOS'!FK$3:FK$500)))</f>
        <v/>
      </c>
      <c r="IL29" s="132">
        <f>IF(OR(IL$4="",$B29=""),0,SUMIF('DADOS BRUTOS'!$A$3:$A$500,$B29,'DADOS BRUTOS'!FL$3:FL$500)+IF($C29="",0,SUMIF('DADOS BRUTOS'!$A$3:$A$500,$C29,'DADOS BRUTOS'!FL$3:FL$500)))</f>
        <v/>
      </c>
      <c r="IM29" s="132">
        <f>IF(OR(IM$4="",$B29=""),0,SUMIF('DADOS BRUTOS'!$A$3:$A$500,$B29,'DADOS BRUTOS'!FM$3:FM$500)+IF($C29="",0,SUMIF('DADOS BRUTOS'!$A$3:$A$500,$C29,'DADOS BRUTOS'!FM$3:FM$500)))</f>
        <v/>
      </c>
      <c r="IN29" s="132">
        <f>IF(OR(IN$4="",$B29=""),0,SUMIF('DADOS BRUTOS'!$A$3:$A$500,$B29,'DADOS BRUTOS'!FN$3:FN$500)+IF($C29="",0,SUMIF('DADOS BRUTOS'!$A$3:$A$500,$C29,'DADOS BRUTOS'!FN$3:FN$500)))</f>
        <v/>
      </c>
      <c r="IO29" s="132">
        <f>IF(OR(IO$4="",$B29=""),0,SUMIF('DADOS BRUTOS'!$A$3:$A$500,$B29,'DADOS BRUTOS'!FO$3:FO$500)+IF($C29="",0,SUMIF('DADOS BRUTOS'!$A$3:$A$500,$C29,'DADOS BRUTOS'!FO$3:FO$500)))</f>
        <v/>
      </c>
      <c r="IP29" s="132">
        <f>IF(OR(IP$4="",$B29=""),0,SUMIF('DADOS BRUTOS'!$A$3:$A$500,$B29,'DADOS BRUTOS'!FP$3:FP$500)+IF($C29="",0,SUMIF('DADOS BRUTOS'!$A$3:$A$500,$C29,'DADOS BRUTOS'!FP$3:FP$500)))</f>
        <v/>
      </c>
      <c r="IQ29" s="132">
        <f>IF(OR(IQ$4="",$B29=""),0,SUMIF('DADOS BRUTOS'!$A$3:$A$500,$B29,'DADOS BRUTOS'!FQ$3:FQ$500)+IF($C29="",0,SUMIF('DADOS BRUTOS'!$A$3:$A$500,$C29,'DADOS BRUTOS'!FQ$3:FQ$500)))</f>
        <v/>
      </c>
      <c r="IR29" s="132">
        <f>IF(OR(IR$4="",$B29=""),0,SUMIF('DADOS BRUTOS'!$A$3:$A$500,$B29,'DADOS BRUTOS'!FR$3:FR$500)+IF($C29="",0,SUMIF('DADOS BRUTOS'!$A$3:$A$500,$C29,'DADOS BRUTOS'!FR$3:FR$500)))</f>
        <v/>
      </c>
      <c r="IS29" s="132">
        <f>IF(OR(IS$4="",$B29=""),0,SUMIF('DADOS BRUTOS'!$A$3:$A$500,$B29,'DADOS BRUTOS'!FS$3:FS$500)+IF($C29="",0,SUMIF('DADOS BRUTOS'!$A$3:$A$500,$C29,'DADOS BRUTOS'!FS$3:FS$500)))</f>
        <v/>
      </c>
      <c r="IT29" s="132">
        <f>IF(OR(IT$4="",$B29=""),0,SUMIF('DADOS BRUTOS'!$A$3:$A$500,$B29,'DADOS BRUTOS'!FT$3:FT$500)+IF($C29="",0,SUMIF('DADOS BRUTOS'!$A$3:$A$500,$C29,'DADOS BRUTOS'!FT$3:FT$500)))</f>
        <v/>
      </c>
      <c r="IU29" s="132">
        <f>IF(OR(IU$4="",$B29=""),0,SUMIF('DADOS BRUTOS'!$A$3:$A$500,$B29,'DADOS BRUTOS'!FU$3:FU$500)+IF($C29="",0,SUMIF('DADOS BRUTOS'!$A$3:$A$500,$C29,'DADOS BRUTOS'!FU$3:FU$500)))</f>
        <v/>
      </c>
      <c r="IV29" s="132">
        <f>IF(OR(IV$4="",$B29=""),0,SUMIF('DADOS BRUTOS'!$A$3:$A$500,$B29,'DADOS BRUTOS'!FV$3:FV$500)+IF($C29="",0,SUMIF('DADOS BRUTOS'!$A$3:$A$500,$C29,'DADOS BRUTOS'!FV$3:FV$500)))</f>
        <v/>
      </c>
      <c r="IW29" s="132">
        <f>IF(OR(IW$4="",$B29=""),0,SUMIF('DADOS BRUTOS'!$A$3:$A$500,$B29,'DADOS BRUTOS'!FW$3:FW$500)+IF($C29="",0,SUMIF('DADOS BRUTOS'!$A$3:$A$500,$C29,'DADOS BRUTOS'!FW$3:FW$500)))</f>
        <v/>
      </c>
      <c r="IX29" s="132">
        <f>IF(OR(IX$4="",$B29=""),0,SUMIF('DADOS BRUTOS'!$A$3:$A$500,$B29,'DADOS BRUTOS'!FX$3:FX$500)+IF($C29="",0,SUMIF('DADOS BRUTOS'!$A$3:$A$500,$C29,'DADOS BRUTOS'!FX$3:FX$500)))</f>
        <v/>
      </c>
      <c r="IY29" s="132">
        <f>IF(OR(IY$4="",$B29=""),0,SUMIF('DADOS BRUTOS'!$A$3:$A$500,$B29,'DADOS BRUTOS'!FY$3:FY$500)+IF($C29="",0,SUMIF('DADOS BRUTOS'!$A$3:$A$500,$C29,'DADOS BRUTOS'!FY$3:FY$500)))</f>
        <v/>
      </c>
      <c r="IZ29" s="132">
        <f>IF(OR(IZ$4="",$B29=""),0,SUMIF('DADOS BRUTOS'!$A$3:$A$500,$B29,'DADOS BRUTOS'!FZ$3:FZ$500)+IF($C29="",0,SUMIF('DADOS BRUTOS'!$A$3:$A$500,$C29,'DADOS BRUTOS'!FZ$3:FZ$500)))</f>
        <v/>
      </c>
      <c r="JA29" s="132">
        <f>IF(OR(JA$4="",$B29=""),0,SUMIF('DADOS BRUTOS'!$A$3:$A$500,$B29,'DADOS BRUTOS'!GA$3:GA$500)+IF($C29="",0,SUMIF('DADOS BRUTOS'!$A$3:$A$500,$C29,'DADOS BRUTOS'!GA$3:GA$500)))</f>
        <v/>
      </c>
      <c r="JB29" s="132">
        <f>IF(OR(JB$4="",$B29=""),0,SUMIF('DADOS BRUTOS'!$A$3:$A$500,$B29,'DADOS BRUTOS'!GB$3:GB$500)+IF($C29="",0,SUMIF('DADOS BRUTOS'!$A$3:$A$500,$C29,'DADOS BRUTOS'!GB$3:GB$500)))</f>
        <v/>
      </c>
      <c r="JC29" s="132">
        <f>IF(OR(JC$4="",$B29=""),0,SUMIF('DADOS BRUTOS'!$A$3:$A$500,$B29,'DADOS BRUTOS'!GC$3:GC$500)+IF($C29="",0,SUMIF('DADOS BRUTOS'!$A$3:$A$500,$C29,'DADOS BRUTOS'!GC$3:GC$500)))</f>
        <v/>
      </c>
      <c r="JD29" s="132">
        <f>IF(OR(JD$4="",$B29=""),0,SUMIF('DADOS BRUTOS'!$A$3:$A$500,$B29,'DADOS BRUTOS'!GD$3:GD$500)+IF($C29="",0,SUMIF('DADOS BRUTOS'!$A$3:$A$500,$C29,'DADOS BRUTOS'!GD$3:GD$500)))</f>
        <v/>
      </c>
      <c r="JE29" s="132">
        <f>IF(OR(JE$4="",$B29=""),0,SUMIF('DADOS BRUTOS'!$A$3:$A$500,$B29,'DADOS BRUTOS'!GE$3:GE$500)+IF($C29="",0,SUMIF('DADOS BRUTOS'!$A$3:$A$500,$C29,'DADOS BRUTOS'!GE$3:GE$500)))</f>
        <v/>
      </c>
      <c r="JF29" s="132">
        <f>IF(OR(JF$4="",$B29=""),0,SUMIF('DADOS BRUTOS'!$A$3:$A$500,$B29,'DADOS BRUTOS'!GF$3:GF$500)+IF($C29="",0,SUMIF('DADOS BRUTOS'!$A$3:$A$500,$C29,'DADOS BRUTOS'!GF$3:GF$500)))</f>
        <v/>
      </c>
      <c r="JG29" s="132">
        <f>IF(OR(JG$4="",$B29=""),0,SUMIF('DADOS BRUTOS'!$A$3:$A$500,$B29,'DADOS BRUTOS'!GG$3:GG$500)+IF($C29="",0,SUMIF('DADOS BRUTOS'!$A$3:$A$500,$C29,'DADOS BRUTOS'!GG$3:GG$500)))</f>
        <v/>
      </c>
      <c r="JH29" s="132">
        <f>IF(OR(JH$4="",$B29=""),0,SUMIF('DADOS BRUTOS'!$A$3:$A$500,$B29,'DADOS BRUTOS'!GH$3:GH$500)+IF($C29="",0,SUMIF('DADOS BRUTOS'!$A$3:$A$500,$C29,'DADOS BRUTOS'!GH$3:GH$500)))</f>
        <v/>
      </c>
      <c r="JI29" s="132">
        <f>IF(OR(JI$4="",$B29=""),0,SUMIF('DADOS BRUTOS'!$A$3:$A$500,$B29,'DADOS BRUTOS'!GI$3:GI$500)+IF($C29="",0,SUMIF('DADOS BRUTOS'!$A$3:$A$500,$C29,'DADOS BRUTOS'!GI$3:GI$500)))</f>
        <v/>
      </c>
      <c r="JJ29" s="132">
        <f>IF(OR(JJ$4="",$B29=""),0,SUMIF('DADOS BRUTOS'!$A$3:$A$500,$B29,'DADOS BRUTOS'!GJ$3:GJ$500)+IF($C29="",0,SUMIF('DADOS BRUTOS'!$A$3:$A$500,$C29,'DADOS BRUTOS'!GJ$3:GJ$500)))</f>
        <v/>
      </c>
      <c r="JK29" s="132">
        <f>IF(OR(JK$4="",$B29=""),0,SUMIF('DADOS BRUTOS'!$A$3:$A$500,$B29,'DADOS BRUTOS'!GK$3:GK$500)+IF($C29="",0,SUMIF('DADOS BRUTOS'!$A$3:$A$500,$C29,'DADOS BRUTOS'!GK$3:GK$500)))</f>
        <v/>
      </c>
      <c r="JL29" s="132">
        <f>IF(OR(JL$4="",$B29=""),0,SUMIF('DADOS BRUTOS'!$A$3:$A$500,$B29,'DADOS BRUTOS'!GL$3:GL$500)+IF($C29="",0,SUMIF('DADOS BRUTOS'!$A$3:$A$500,$C29,'DADOS BRUTOS'!GL$3:GL$500)))</f>
        <v/>
      </c>
      <c r="JM29" s="132">
        <f>IF(OR(JM$4="",$B29=""),0,SUMIF('DADOS BRUTOS'!$A$3:$A$500,$B29,'DADOS BRUTOS'!GM$3:GM$500)+IF($C29="",0,SUMIF('DADOS BRUTOS'!$A$3:$A$500,$C29,'DADOS BRUTOS'!GM$3:GM$500)))</f>
        <v/>
      </c>
      <c r="JN29" s="132">
        <f>IF(OR(JN$4="",$B29=""),0,SUMIF('DADOS BRUTOS'!$A$3:$A$500,$B29,'DADOS BRUTOS'!GN$3:GN$500)+IF($C29="",0,SUMIF('DADOS BRUTOS'!$A$3:$A$500,$C29,'DADOS BRUTOS'!GN$3:GN$500)))</f>
        <v/>
      </c>
      <c r="JO29" s="132">
        <f>IF(OR(JO$4="",$B29=""),0,SUMIF('DADOS BRUTOS'!$A$3:$A$500,$B29,'DADOS BRUTOS'!GO$3:GO$500)+IF($C29="",0,SUMIF('DADOS BRUTOS'!$A$3:$A$500,$C29,'DADOS BRUTOS'!GO$3:GO$500)))</f>
        <v/>
      </c>
      <c r="JP29" s="132">
        <f>IF(OR(JP$4="",$B29=""),0,SUMIF('DADOS BRUTOS'!$A$3:$A$500,$B29,'DADOS BRUTOS'!GP$3:GP$500)+IF($C29="",0,SUMIF('DADOS BRUTOS'!$A$3:$A$500,$C29,'DADOS BRUTOS'!GP$3:GP$500)))</f>
        <v/>
      </c>
      <c r="JQ29" s="132">
        <f>IF(OR(JQ$4="",$B29=""),0,SUMIF('DADOS BRUTOS'!$A$3:$A$500,$B29,'DADOS BRUTOS'!GQ$3:GQ$500)+IF($C29="",0,SUMIF('DADOS BRUTOS'!$A$3:$A$500,$C29,'DADOS BRUTOS'!GQ$3:GQ$500)))</f>
        <v/>
      </c>
      <c r="JR29" s="132">
        <f>IF(OR(JR$4="",$B29=""),0,SUMIF('DADOS BRUTOS'!$A$3:$A$500,$B29,'DADOS BRUTOS'!GR$3:GR$500)+IF($C29="",0,SUMIF('DADOS BRUTOS'!$A$3:$A$500,$C29,'DADOS BRUTOS'!GR$3:GR$500)))</f>
        <v/>
      </c>
      <c r="JS29" s="132">
        <f>IF(OR(JS$4="",$B29=""),0,SUMIF('DADOS BRUTOS'!$A$3:$A$500,$B29,'DADOS BRUTOS'!GS$3:GS$500)+IF($C29="",0,SUMIF('DADOS BRUTOS'!$A$3:$A$500,$C29,'DADOS BRUTOS'!GS$3:GS$500)))</f>
        <v/>
      </c>
    </row>
    <row r="30">
      <c r="A30" s="61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BZ30" s="49">
        <f>SUMPRODUCT(($CB$4:$JS$4&lt;&gt;"")*($CB$4:$JS$4&lt;=$D$4),$CB30:$JS30,$CB$1:$JS$1)</f>
        <v/>
      </c>
      <c r="CB30" s="132">
        <f>IF(OR(CB$4="",$B30=""),0,SUMIF('DADOS BRUTOS'!$A$3:$A$500,$B30,'DADOS BRUTOS'!B$3:B$500)+IF($C30="",0,SUMIF('DADOS BRUTOS'!$A$3:$A$500,$C30,'DADOS BRUTOS'!B$3:B$500)))</f>
        <v/>
      </c>
      <c r="CC30" s="132">
        <f>IF(OR(CC$4="",$B30=""),0,SUMIF('DADOS BRUTOS'!$A$3:$A$500,$B30,'DADOS BRUTOS'!C$3:C$500)+IF($C30="",0,SUMIF('DADOS BRUTOS'!$A$3:$A$500,$C30,'DADOS BRUTOS'!C$3:C$500)))</f>
        <v/>
      </c>
      <c r="CD30" s="132">
        <f>IF(OR(CD$4="",$B30=""),0,SUMIF('DADOS BRUTOS'!$A$3:$A$500,$B30,'DADOS BRUTOS'!D$3:D$500)+IF($C30="",0,SUMIF('DADOS BRUTOS'!$A$3:$A$500,$C30,'DADOS BRUTOS'!D$3:D$500)))</f>
        <v/>
      </c>
      <c r="CE30" s="132">
        <f>IF(OR(CE$4="",$B30=""),0,SUMIF('DADOS BRUTOS'!$A$3:$A$500,$B30,'DADOS BRUTOS'!E$3:E$500)+IF($C30="",0,SUMIF('DADOS BRUTOS'!$A$3:$A$500,$C30,'DADOS BRUTOS'!E$3:E$500)))</f>
        <v/>
      </c>
      <c r="CF30" s="132">
        <f>IF(OR(CF$4="",$B30=""),0,SUMIF('DADOS BRUTOS'!$A$3:$A$500,$B30,'DADOS BRUTOS'!F$3:F$500)+IF($C30="",0,SUMIF('DADOS BRUTOS'!$A$3:$A$500,$C30,'DADOS BRUTOS'!F$3:F$500)))</f>
        <v/>
      </c>
      <c r="CG30" s="132">
        <f>IF(OR(CG$4="",$B30=""),0,SUMIF('DADOS BRUTOS'!$A$3:$A$500,$B30,'DADOS BRUTOS'!G$3:G$500)+IF($C30="",0,SUMIF('DADOS BRUTOS'!$A$3:$A$500,$C30,'DADOS BRUTOS'!G$3:G$500)))</f>
        <v/>
      </c>
      <c r="CH30" s="132">
        <f>IF(OR(CH$4="",$B30=""),0,SUMIF('DADOS BRUTOS'!$A$3:$A$500,$B30,'DADOS BRUTOS'!H$3:H$500)+IF($C30="",0,SUMIF('DADOS BRUTOS'!$A$3:$A$500,$C30,'DADOS BRUTOS'!H$3:H$500)))</f>
        <v/>
      </c>
      <c r="CI30" s="132">
        <f>IF(OR(CI$4="",$B30=""),0,SUMIF('DADOS BRUTOS'!$A$3:$A$500,$B30,'DADOS BRUTOS'!I$3:I$500)+IF($C30="",0,SUMIF('DADOS BRUTOS'!$A$3:$A$500,$C30,'DADOS BRUTOS'!I$3:I$500)))</f>
        <v/>
      </c>
      <c r="CJ30" s="132">
        <f>IF(OR(CJ$4="",$B30=""),0,SUMIF('DADOS BRUTOS'!$A$3:$A$500,$B30,'DADOS BRUTOS'!J$3:J$500)+IF($C30="",0,SUMIF('DADOS BRUTOS'!$A$3:$A$500,$C30,'DADOS BRUTOS'!J$3:J$500)))</f>
        <v/>
      </c>
      <c r="CK30" s="132">
        <f>IF(OR(CK$4="",$B30=""),0,SUMIF('DADOS BRUTOS'!$A$3:$A$500,$B30,'DADOS BRUTOS'!K$3:K$500)+IF($C30="",0,SUMIF('DADOS BRUTOS'!$A$3:$A$500,$C30,'DADOS BRUTOS'!K$3:K$500)))</f>
        <v/>
      </c>
      <c r="CL30" s="132">
        <f>IF(OR(CL$4="",$B30=""),0,SUMIF('DADOS BRUTOS'!$A$3:$A$500,$B30,'DADOS BRUTOS'!L$3:L$500)+IF($C30="",0,SUMIF('DADOS BRUTOS'!$A$3:$A$500,$C30,'DADOS BRUTOS'!L$3:L$500)))</f>
        <v/>
      </c>
      <c r="CM30" s="132">
        <f>IF(OR(CM$4="",$B30=""),0,SUMIF('DADOS BRUTOS'!$A$3:$A$500,$B30,'DADOS BRUTOS'!M$3:M$500)+IF($C30="",0,SUMIF('DADOS BRUTOS'!$A$3:$A$500,$C30,'DADOS BRUTOS'!M$3:M$500)))</f>
        <v/>
      </c>
      <c r="CN30" s="132">
        <f>IF(OR(CN$4="",$B30=""),0,SUMIF('DADOS BRUTOS'!$A$3:$A$500,$B30,'DADOS BRUTOS'!N$3:N$500)+IF($C30="",0,SUMIF('DADOS BRUTOS'!$A$3:$A$500,$C30,'DADOS BRUTOS'!N$3:N$500)))</f>
        <v/>
      </c>
      <c r="CO30" s="132">
        <f>IF(OR(CO$4="",$B30=""),0,SUMIF('DADOS BRUTOS'!$A$3:$A$500,$B30,'DADOS BRUTOS'!O$3:O$500)+IF($C30="",0,SUMIF('DADOS BRUTOS'!$A$3:$A$500,$C30,'DADOS BRUTOS'!O$3:O$500)))</f>
        <v/>
      </c>
      <c r="CP30" s="132">
        <f>IF(OR(CP$4="",$B30=""),0,SUMIF('DADOS BRUTOS'!$A$3:$A$500,$B30,'DADOS BRUTOS'!P$3:P$500)+IF($C30="",0,SUMIF('DADOS BRUTOS'!$A$3:$A$500,$C30,'DADOS BRUTOS'!P$3:P$500)))</f>
        <v/>
      </c>
      <c r="CQ30" s="132">
        <f>IF(OR(CQ$4="",$B30=""),0,SUMIF('DADOS BRUTOS'!$A$3:$A$500,$B30,'DADOS BRUTOS'!Q$3:Q$500)+IF($C30="",0,SUMIF('DADOS BRUTOS'!$A$3:$A$500,$C30,'DADOS BRUTOS'!Q$3:Q$500)))</f>
        <v/>
      </c>
      <c r="CR30" s="132">
        <f>IF(OR(CR$4="",$B30=""),0,SUMIF('DADOS BRUTOS'!$A$3:$A$500,$B30,'DADOS BRUTOS'!R$3:R$500)+IF($C30="",0,SUMIF('DADOS BRUTOS'!$A$3:$A$500,$C30,'DADOS BRUTOS'!R$3:R$500)))</f>
        <v/>
      </c>
      <c r="CS30" s="132">
        <f>IF(OR(CS$4="",$B30=""),0,SUMIF('DADOS BRUTOS'!$A$3:$A$500,$B30,'DADOS BRUTOS'!S$3:S$500)+IF($C30="",0,SUMIF('DADOS BRUTOS'!$A$3:$A$500,$C30,'DADOS BRUTOS'!S$3:S$500)))</f>
        <v/>
      </c>
      <c r="CT30" s="132">
        <f>IF(OR(CT$4="",$B30=""),0,SUMIF('DADOS BRUTOS'!$A$3:$A$500,$B30,'DADOS BRUTOS'!T$3:T$500)+IF($C30="",0,SUMIF('DADOS BRUTOS'!$A$3:$A$500,$C30,'DADOS BRUTOS'!T$3:T$500)))</f>
        <v/>
      </c>
      <c r="CU30" s="132">
        <f>IF(OR(CU$4="",$B30=""),0,SUMIF('DADOS BRUTOS'!$A$3:$A$500,$B30,'DADOS BRUTOS'!U$3:U$500)+IF($C30="",0,SUMIF('DADOS BRUTOS'!$A$3:$A$500,$C30,'DADOS BRUTOS'!U$3:U$500)))</f>
        <v/>
      </c>
      <c r="CV30" s="132">
        <f>IF(OR(CV$4="",$B30=""),0,SUMIF('DADOS BRUTOS'!$A$3:$A$500,$B30,'DADOS BRUTOS'!V$3:V$500)+IF($C30="",0,SUMIF('DADOS BRUTOS'!$A$3:$A$500,$C30,'DADOS BRUTOS'!V$3:V$500)))</f>
        <v/>
      </c>
      <c r="CW30" s="132">
        <f>IF(OR(CW$4="",$B30=""),0,SUMIF('DADOS BRUTOS'!$A$3:$A$500,$B30,'DADOS BRUTOS'!W$3:W$500)+IF($C30="",0,SUMIF('DADOS BRUTOS'!$A$3:$A$500,$C30,'DADOS BRUTOS'!W$3:W$500)))</f>
        <v/>
      </c>
      <c r="CX30" s="132">
        <f>IF(OR(CX$4="",$B30=""),0,SUMIF('DADOS BRUTOS'!$A$3:$A$500,$B30,'DADOS BRUTOS'!X$3:X$500)+IF($C30="",0,SUMIF('DADOS BRUTOS'!$A$3:$A$500,$C30,'DADOS BRUTOS'!X$3:X$500)))</f>
        <v/>
      </c>
      <c r="CY30" s="132">
        <f>IF(OR(CY$4="",$B30=""),0,SUMIF('DADOS BRUTOS'!$A$3:$A$500,$B30,'DADOS BRUTOS'!Y$3:Y$500)+IF($C30="",0,SUMIF('DADOS BRUTOS'!$A$3:$A$500,$C30,'DADOS BRUTOS'!Y$3:Y$500)))</f>
        <v/>
      </c>
      <c r="CZ30" s="132">
        <f>IF(OR(CZ$4="",$B30=""),0,SUMIF('DADOS BRUTOS'!$A$3:$A$500,$B30,'DADOS BRUTOS'!Z$3:Z$500)+IF($C30="",0,SUMIF('DADOS BRUTOS'!$A$3:$A$500,$C30,'DADOS BRUTOS'!Z$3:Z$500)))</f>
        <v/>
      </c>
      <c r="DA30" s="132">
        <f>IF(OR(DA$4="",$B30=""),0,SUMIF('DADOS BRUTOS'!$A$3:$A$500,$B30,'DADOS BRUTOS'!AA$3:AA$500)+IF($C30="",0,SUMIF('DADOS BRUTOS'!$A$3:$A$500,$C30,'DADOS BRUTOS'!AA$3:AA$500)))</f>
        <v/>
      </c>
      <c r="DB30" s="132">
        <f>IF(OR(DB$4="",$B30=""),0,SUMIF('DADOS BRUTOS'!$A$3:$A$500,$B30,'DADOS BRUTOS'!AB$3:AB$500)+IF($C30="",0,SUMIF('DADOS BRUTOS'!$A$3:$A$500,$C30,'DADOS BRUTOS'!AB$3:AB$500)))</f>
        <v/>
      </c>
      <c r="DC30" s="132">
        <f>IF(OR(DC$4="",$B30=""),0,SUMIF('DADOS BRUTOS'!$A$3:$A$500,$B30,'DADOS BRUTOS'!AC$3:AC$500)+IF($C30="",0,SUMIF('DADOS BRUTOS'!$A$3:$A$500,$C30,'DADOS BRUTOS'!AC$3:AC$500)))</f>
        <v/>
      </c>
      <c r="DD30" s="132">
        <f>IF(OR(DD$4="",$B30=""),0,SUMIF('DADOS BRUTOS'!$A$3:$A$500,$B30,'DADOS BRUTOS'!AD$3:AD$500)+IF($C30="",0,SUMIF('DADOS BRUTOS'!$A$3:$A$500,$C30,'DADOS BRUTOS'!AD$3:AD$500)))</f>
        <v/>
      </c>
      <c r="DE30" s="132">
        <f>IF(OR(DE$4="",$B30=""),0,SUMIF('DADOS BRUTOS'!$A$3:$A$500,$B30,'DADOS BRUTOS'!AE$3:AE$500)+IF($C30="",0,SUMIF('DADOS BRUTOS'!$A$3:$A$500,$C30,'DADOS BRUTOS'!AE$3:AE$500)))</f>
        <v/>
      </c>
      <c r="DF30" s="132">
        <f>IF(OR(DF$4="",$B30=""),0,SUMIF('DADOS BRUTOS'!$A$3:$A$500,$B30,'DADOS BRUTOS'!AF$3:AF$500)+IF($C30="",0,SUMIF('DADOS BRUTOS'!$A$3:$A$500,$C30,'DADOS BRUTOS'!AF$3:AF$500)))</f>
        <v/>
      </c>
      <c r="DG30" s="132">
        <f>IF(OR(DG$4="",$B30=""),0,SUMIF('DADOS BRUTOS'!$A$3:$A$500,$B30,'DADOS BRUTOS'!AG$3:AG$500)+IF($C30="",0,SUMIF('DADOS BRUTOS'!$A$3:$A$500,$C30,'DADOS BRUTOS'!AG$3:AG$500)))</f>
        <v/>
      </c>
      <c r="DH30" s="132">
        <f>IF(OR(DH$4="",$B30=""),0,SUMIF('DADOS BRUTOS'!$A$3:$A$500,$B30,'DADOS BRUTOS'!AH$3:AH$500)+IF($C30="",0,SUMIF('DADOS BRUTOS'!$A$3:$A$500,$C30,'DADOS BRUTOS'!AH$3:AH$500)))</f>
        <v/>
      </c>
      <c r="DI30" s="132">
        <f>IF(OR(DI$4="",$B30=""),0,SUMIF('DADOS BRUTOS'!$A$3:$A$500,$B30,'DADOS BRUTOS'!AI$3:AI$500)+IF($C30="",0,SUMIF('DADOS BRUTOS'!$A$3:$A$500,$C30,'DADOS BRUTOS'!AI$3:AI$500)))</f>
        <v/>
      </c>
      <c r="DJ30" s="132">
        <f>IF(OR(DJ$4="",$B30=""),0,SUMIF('DADOS BRUTOS'!$A$3:$A$500,$B30,'DADOS BRUTOS'!AJ$3:AJ$500)+IF($C30="",0,SUMIF('DADOS BRUTOS'!$A$3:$A$500,$C30,'DADOS BRUTOS'!AJ$3:AJ$500)))</f>
        <v/>
      </c>
      <c r="DK30" s="132">
        <f>IF(OR(DK$4="",$B30=""),0,SUMIF('DADOS BRUTOS'!$A$3:$A$500,$B30,'DADOS BRUTOS'!AK$3:AK$500)+IF($C30="",0,SUMIF('DADOS BRUTOS'!$A$3:$A$500,$C30,'DADOS BRUTOS'!AK$3:AK$500)))</f>
        <v/>
      </c>
      <c r="DL30" s="132">
        <f>IF(OR(DL$4="",$B30=""),0,SUMIF('DADOS BRUTOS'!$A$3:$A$500,$B30,'DADOS BRUTOS'!AL$3:AL$500)+IF($C30="",0,SUMIF('DADOS BRUTOS'!$A$3:$A$500,$C30,'DADOS BRUTOS'!AL$3:AL$500)))</f>
        <v/>
      </c>
      <c r="DM30" s="132">
        <f>IF(OR(DM$4="",$B30=""),0,SUMIF('DADOS BRUTOS'!$A$3:$A$500,$B30,'DADOS BRUTOS'!AM$3:AM$500)+IF($C30="",0,SUMIF('DADOS BRUTOS'!$A$3:$A$500,$C30,'DADOS BRUTOS'!AM$3:AM$500)))</f>
        <v/>
      </c>
      <c r="DN30" s="132">
        <f>IF(OR(DN$4="",$B30=""),0,SUMIF('DADOS BRUTOS'!$A$3:$A$500,$B30,'DADOS BRUTOS'!AN$3:AN$500)+IF($C30="",0,SUMIF('DADOS BRUTOS'!$A$3:$A$500,$C30,'DADOS BRUTOS'!AN$3:AN$500)))</f>
        <v/>
      </c>
      <c r="DO30" s="132">
        <f>IF(OR(DO$4="",$B30=""),0,SUMIF('DADOS BRUTOS'!$A$3:$A$500,$B30,'DADOS BRUTOS'!AO$3:AO$500)+IF($C30="",0,SUMIF('DADOS BRUTOS'!$A$3:$A$500,$C30,'DADOS BRUTOS'!AO$3:AO$500)))</f>
        <v/>
      </c>
      <c r="DP30" s="132">
        <f>IF(OR(DP$4="",$B30=""),0,SUMIF('DADOS BRUTOS'!$A$3:$A$500,$B30,'DADOS BRUTOS'!AP$3:AP$500)+IF($C30="",0,SUMIF('DADOS BRUTOS'!$A$3:$A$500,$C30,'DADOS BRUTOS'!AP$3:AP$500)))</f>
        <v/>
      </c>
      <c r="DQ30" s="132">
        <f>IF(OR(DQ$4="",$B30=""),0,SUMIF('DADOS BRUTOS'!$A$3:$A$500,$B30,'DADOS BRUTOS'!AQ$3:AQ$500)+IF($C30="",0,SUMIF('DADOS BRUTOS'!$A$3:$A$500,$C30,'DADOS BRUTOS'!AQ$3:AQ$500)))</f>
        <v/>
      </c>
      <c r="DR30" s="132">
        <f>IF(OR(DR$4="",$B30=""),0,SUMIF('DADOS BRUTOS'!$A$3:$A$500,$B30,'DADOS BRUTOS'!AR$3:AR$500)+IF($C30="",0,SUMIF('DADOS BRUTOS'!$A$3:$A$500,$C30,'DADOS BRUTOS'!AR$3:AR$500)))</f>
        <v/>
      </c>
      <c r="DS30" s="132">
        <f>IF(OR(DS$4="",$B30=""),0,SUMIF('DADOS BRUTOS'!$A$3:$A$500,$B30,'DADOS BRUTOS'!AS$3:AS$500)+IF($C30="",0,SUMIF('DADOS BRUTOS'!$A$3:$A$500,$C30,'DADOS BRUTOS'!AS$3:AS$500)))</f>
        <v/>
      </c>
      <c r="DT30" s="132">
        <f>IF(OR(DT$4="",$B30=""),0,SUMIF('DADOS BRUTOS'!$A$3:$A$500,$B30,'DADOS BRUTOS'!AT$3:AT$500)+IF($C30="",0,SUMIF('DADOS BRUTOS'!$A$3:$A$500,$C30,'DADOS BRUTOS'!AT$3:AT$500)))</f>
        <v/>
      </c>
      <c r="DU30" s="132">
        <f>IF(OR(DU$4="",$B30=""),0,SUMIF('DADOS BRUTOS'!$A$3:$A$500,$B30,'DADOS BRUTOS'!AU$3:AU$500)+IF($C30="",0,SUMIF('DADOS BRUTOS'!$A$3:$A$500,$C30,'DADOS BRUTOS'!AU$3:AU$500)))</f>
        <v/>
      </c>
      <c r="DV30" s="132">
        <f>IF(OR(DV$4="",$B30=""),0,SUMIF('DADOS BRUTOS'!$A$3:$A$500,$B30,'DADOS BRUTOS'!AV$3:AV$500)+IF($C30="",0,SUMIF('DADOS BRUTOS'!$A$3:$A$500,$C30,'DADOS BRUTOS'!AV$3:AV$500)))</f>
        <v/>
      </c>
      <c r="DW30" s="132">
        <f>IF(OR(DW$4="",$B30=""),0,SUMIF('DADOS BRUTOS'!$A$3:$A$500,$B30,'DADOS BRUTOS'!AW$3:AW$500)+IF($C30="",0,SUMIF('DADOS BRUTOS'!$A$3:$A$500,$C30,'DADOS BRUTOS'!AW$3:AW$500)))</f>
        <v/>
      </c>
      <c r="DX30" s="132">
        <f>IF(OR(DX$4="",$B30=""),0,SUMIF('DADOS BRUTOS'!$A$3:$A$500,$B30,'DADOS BRUTOS'!AX$3:AX$500)+IF($C30="",0,SUMIF('DADOS BRUTOS'!$A$3:$A$500,$C30,'DADOS BRUTOS'!AX$3:AX$500)))</f>
        <v/>
      </c>
      <c r="DY30" s="132">
        <f>IF(OR(DY$4="",$B30=""),0,SUMIF('DADOS BRUTOS'!$A$3:$A$500,$B30,'DADOS BRUTOS'!AY$3:AY$500)+IF($C30="",0,SUMIF('DADOS BRUTOS'!$A$3:$A$500,$C30,'DADOS BRUTOS'!AY$3:AY$500)))</f>
        <v/>
      </c>
      <c r="DZ30" s="132">
        <f>IF(OR(DZ$4="",$B30=""),0,SUMIF('DADOS BRUTOS'!$A$3:$A$500,$B30,'DADOS BRUTOS'!AZ$3:AZ$500)+IF($C30="",0,SUMIF('DADOS BRUTOS'!$A$3:$A$500,$C30,'DADOS BRUTOS'!AZ$3:AZ$500)))</f>
        <v/>
      </c>
      <c r="EA30" s="132">
        <f>IF(OR(EA$4="",$B30=""),0,SUMIF('DADOS BRUTOS'!$A$3:$A$500,$B30,'DADOS BRUTOS'!BA$3:BA$500)+IF($C30="",0,SUMIF('DADOS BRUTOS'!$A$3:$A$500,$C30,'DADOS BRUTOS'!BA$3:BA$500)))</f>
        <v/>
      </c>
      <c r="EB30" s="132">
        <f>IF(OR(EB$4="",$B30=""),0,SUMIF('DADOS BRUTOS'!$A$3:$A$500,$B30,'DADOS BRUTOS'!BB$3:BB$500)+IF($C30="",0,SUMIF('DADOS BRUTOS'!$A$3:$A$500,$C30,'DADOS BRUTOS'!BB$3:BB$500)))</f>
        <v/>
      </c>
      <c r="EC30" s="132">
        <f>IF(OR(EC$4="",$B30=""),0,SUMIF('DADOS BRUTOS'!$A$3:$A$500,$B30,'DADOS BRUTOS'!BC$3:BC$500)+IF($C30="",0,SUMIF('DADOS BRUTOS'!$A$3:$A$500,$C30,'DADOS BRUTOS'!BC$3:BC$500)))</f>
        <v/>
      </c>
      <c r="ED30" s="132">
        <f>IF(OR(ED$4="",$B30=""),0,SUMIF('DADOS BRUTOS'!$A$3:$A$500,$B30,'DADOS BRUTOS'!BD$3:BD$500)+IF($C30="",0,SUMIF('DADOS BRUTOS'!$A$3:$A$500,$C30,'DADOS BRUTOS'!BD$3:BD$500)))</f>
        <v/>
      </c>
      <c r="EE30" s="132">
        <f>IF(OR(EE$4="",$B30=""),0,SUMIF('DADOS BRUTOS'!$A$3:$A$500,$B30,'DADOS BRUTOS'!BE$3:BE$500)+IF($C30="",0,SUMIF('DADOS BRUTOS'!$A$3:$A$500,$C30,'DADOS BRUTOS'!BE$3:BE$500)))</f>
        <v/>
      </c>
      <c r="EF30" s="132">
        <f>IF(OR(EF$4="",$B30=""),0,SUMIF('DADOS BRUTOS'!$A$3:$A$500,$B30,'DADOS BRUTOS'!BF$3:BF$500)+IF($C30="",0,SUMIF('DADOS BRUTOS'!$A$3:$A$500,$C30,'DADOS BRUTOS'!BF$3:BF$500)))</f>
        <v/>
      </c>
      <c r="EG30" s="132">
        <f>IF(OR(EG$4="",$B30=""),0,SUMIF('DADOS BRUTOS'!$A$3:$A$500,$B30,'DADOS BRUTOS'!BG$3:BG$500)+IF($C30="",0,SUMIF('DADOS BRUTOS'!$A$3:$A$500,$C30,'DADOS BRUTOS'!BG$3:BG$500)))</f>
        <v/>
      </c>
      <c r="EH30" s="132">
        <f>IF(OR(EH$4="",$B30=""),0,SUMIF('DADOS BRUTOS'!$A$3:$A$500,$B30,'DADOS BRUTOS'!BH$3:BH$500)+IF($C30="",0,SUMIF('DADOS BRUTOS'!$A$3:$A$500,$C30,'DADOS BRUTOS'!BH$3:BH$500)))</f>
        <v/>
      </c>
      <c r="EI30" s="132">
        <f>IF(OR(EI$4="",$B30=""),0,SUMIF('DADOS BRUTOS'!$A$3:$A$500,$B30,'DADOS BRUTOS'!BI$3:BI$500)+IF($C30="",0,SUMIF('DADOS BRUTOS'!$A$3:$A$500,$C30,'DADOS BRUTOS'!BI$3:BI$500)))</f>
        <v/>
      </c>
      <c r="EJ30" s="132">
        <f>IF(OR(EJ$4="",$B30=""),0,SUMIF('DADOS BRUTOS'!$A$3:$A$500,$B30,'DADOS BRUTOS'!BJ$3:BJ$500)+IF($C30="",0,SUMIF('DADOS BRUTOS'!$A$3:$A$500,$C30,'DADOS BRUTOS'!BJ$3:BJ$500)))</f>
        <v/>
      </c>
      <c r="EK30" s="132">
        <f>IF(OR(EK$4="",$B30=""),0,SUMIF('DADOS BRUTOS'!$A$3:$A$500,$B30,'DADOS BRUTOS'!BK$3:BK$500)+IF($C30="",0,SUMIF('DADOS BRUTOS'!$A$3:$A$500,$C30,'DADOS BRUTOS'!BK$3:BK$500)))</f>
        <v/>
      </c>
      <c r="EL30" s="132">
        <f>IF(OR(EL$4="",$B30=""),0,SUMIF('DADOS BRUTOS'!$A$3:$A$500,$B30,'DADOS BRUTOS'!BL$3:BL$500)+IF($C30="",0,SUMIF('DADOS BRUTOS'!$A$3:$A$500,$C30,'DADOS BRUTOS'!BL$3:BL$500)))</f>
        <v/>
      </c>
      <c r="EM30" s="132">
        <f>IF(OR(EM$4="",$B30=""),0,SUMIF('DADOS BRUTOS'!$A$3:$A$500,$B30,'DADOS BRUTOS'!BM$3:BM$500)+IF($C30="",0,SUMIF('DADOS BRUTOS'!$A$3:$A$500,$C30,'DADOS BRUTOS'!BM$3:BM$500)))</f>
        <v/>
      </c>
      <c r="EN30" s="132">
        <f>IF(OR(EN$4="",$B30=""),0,SUMIF('DADOS BRUTOS'!$A$3:$A$500,$B30,'DADOS BRUTOS'!BN$3:BN$500)+IF($C30="",0,SUMIF('DADOS BRUTOS'!$A$3:$A$500,$C30,'DADOS BRUTOS'!BN$3:BN$500)))</f>
        <v/>
      </c>
      <c r="EO30" s="132">
        <f>IF(OR(EO$4="",$B30=""),0,SUMIF('DADOS BRUTOS'!$A$3:$A$500,$B30,'DADOS BRUTOS'!BO$3:BO$500)+IF($C30="",0,SUMIF('DADOS BRUTOS'!$A$3:$A$500,$C30,'DADOS BRUTOS'!BO$3:BO$500)))</f>
        <v/>
      </c>
      <c r="EP30" s="132">
        <f>IF(OR(EP$4="",$B30=""),0,SUMIF('DADOS BRUTOS'!$A$3:$A$500,$B30,'DADOS BRUTOS'!BP$3:BP$500)+IF($C30="",0,SUMIF('DADOS BRUTOS'!$A$3:$A$500,$C30,'DADOS BRUTOS'!BP$3:BP$500)))</f>
        <v/>
      </c>
      <c r="EQ30" s="132">
        <f>IF(OR(EQ$4="",$B30=""),0,SUMIF('DADOS BRUTOS'!$A$3:$A$500,$B30,'DADOS BRUTOS'!BQ$3:BQ$500)+IF($C30="",0,SUMIF('DADOS BRUTOS'!$A$3:$A$500,$C30,'DADOS BRUTOS'!BQ$3:BQ$500)))</f>
        <v/>
      </c>
      <c r="ER30" s="132">
        <f>IF(OR(ER$4="",$B30=""),0,SUMIF('DADOS BRUTOS'!$A$3:$A$500,$B30,'DADOS BRUTOS'!BR$3:BR$500)+IF($C30="",0,SUMIF('DADOS BRUTOS'!$A$3:$A$500,$C30,'DADOS BRUTOS'!BR$3:BR$500)))</f>
        <v/>
      </c>
      <c r="ES30" s="132">
        <f>IF(OR(ES$4="",$B30=""),0,SUMIF('DADOS BRUTOS'!$A$3:$A$500,$B30,'DADOS BRUTOS'!BS$3:BS$500)+IF($C30="",0,SUMIF('DADOS BRUTOS'!$A$3:$A$500,$C30,'DADOS BRUTOS'!BS$3:BS$500)))</f>
        <v/>
      </c>
      <c r="ET30" s="132">
        <f>IF(OR(ET$4="",$B30=""),0,SUMIF('DADOS BRUTOS'!$A$3:$A$500,$B30,'DADOS BRUTOS'!BT$3:BT$500)+IF($C30="",0,SUMIF('DADOS BRUTOS'!$A$3:$A$500,$C30,'DADOS BRUTOS'!BT$3:BT$500)))</f>
        <v/>
      </c>
      <c r="EU30" s="132">
        <f>IF(OR(EU$4="",$B30=""),0,SUMIF('DADOS BRUTOS'!$A$3:$A$500,$B30,'DADOS BRUTOS'!BU$3:BU$500)+IF($C30="",0,SUMIF('DADOS BRUTOS'!$A$3:$A$500,$C30,'DADOS BRUTOS'!BU$3:BU$500)))</f>
        <v/>
      </c>
      <c r="EV30" s="132">
        <f>IF(OR(EV$4="",$B30=""),0,SUMIF('DADOS BRUTOS'!$A$3:$A$500,$B30,'DADOS BRUTOS'!BV$3:BV$500)+IF($C30="",0,SUMIF('DADOS BRUTOS'!$A$3:$A$500,$C30,'DADOS BRUTOS'!BV$3:BV$500)))</f>
        <v/>
      </c>
      <c r="EW30" s="132">
        <f>IF(OR(EW$4="",$B30=""),0,SUMIF('DADOS BRUTOS'!$A$3:$A$500,$B30,'DADOS BRUTOS'!BW$3:BW$500)+IF($C30="",0,SUMIF('DADOS BRUTOS'!$A$3:$A$500,$C30,'DADOS BRUTOS'!BW$3:BW$500)))</f>
        <v/>
      </c>
      <c r="EX30" s="132">
        <f>IF(OR(EX$4="",$B30=""),0,SUMIF('DADOS BRUTOS'!$A$3:$A$500,$B30,'DADOS BRUTOS'!BX$3:BX$500)+IF($C30="",0,SUMIF('DADOS BRUTOS'!$A$3:$A$500,$C30,'DADOS BRUTOS'!BX$3:BX$500)))</f>
        <v/>
      </c>
      <c r="EY30" s="132">
        <f>IF(OR(EY$4="",$B30=""),0,SUMIF('DADOS BRUTOS'!$A$3:$A$500,$B30,'DADOS BRUTOS'!BY$3:BY$500)+IF($C30="",0,SUMIF('DADOS BRUTOS'!$A$3:$A$500,$C30,'DADOS BRUTOS'!BY$3:BY$500)))</f>
        <v/>
      </c>
      <c r="EZ30" s="132">
        <f>IF(OR(EZ$4="",$B30=""),0,SUMIF('DADOS BRUTOS'!$A$3:$A$500,$B30,'DADOS BRUTOS'!BZ$3:BZ$500)+IF($C30="",0,SUMIF('DADOS BRUTOS'!$A$3:$A$500,$C30,'DADOS BRUTOS'!BZ$3:BZ$500)))</f>
        <v/>
      </c>
      <c r="FA30" s="132">
        <f>IF(OR(FA$4="",$B30=""),0,SUMIF('DADOS BRUTOS'!$A$3:$A$500,$B30,'DADOS BRUTOS'!CA$3:CA$500)+IF($C30="",0,SUMIF('DADOS BRUTOS'!$A$3:$A$500,$C30,'DADOS BRUTOS'!CA$3:CA$500)))</f>
        <v/>
      </c>
      <c r="FB30" s="132">
        <f>IF(OR(FB$4="",$B30=""),0,SUMIF('DADOS BRUTOS'!$A$3:$A$500,$B30,'DADOS BRUTOS'!CB$3:CB$500)+IF($C30="",0,SUMIF('DADOS BRUTOS'!$A$3:$A$500,$C30,'DADOS BRUTOS'!CB$3:CB$500)))</f>
        <v/>
      </c>
      <c r="FC30" s="132">
        <f>IF(OR(FC$4="",$B30=""),0,SUMIF('DADOS BRUTOS'!$A$3:$A$500,$B30,'DADOS BRUTOS'!CC$3:CC$500)+IF($C30="",0,SUMIF('DADOS BRUTOS'!$A$3:$A$500,$C30,'DADOS BRUTOS'!CC$3:CC$500)))</f>
        <v/>
      </c>
      <c r="FD30" s="132">
        <f>IF(OR(FD$4="",$B30=""),0,SUMIF('DADOS BRUTOS'!$A$3:$A$500,$B30,'DADOS BRUTOS'!CD$3:CD$500)+IF($C30="",0,SUMIF('DADOS BRUTOS'!$A$3:$A$500,$C30,'DADOS BRUTOS'!CD$3:CD$500)))</f>
        <v/>
      </c>
      <c r="FE30" s="132">
        <f>IF(OR(FE$4="",$B30=""),0,SUMIF('DADOS BRUTOS'!$A$3:$A$500,$B30,'DADOS BRUTOS'!CE$3:CE$500)+IF($C30="",0,SUMIF('DADOS BRUTOS'!$A$3:$A$500,$C30,'DADOS BRUTOS'!CE$3:CE$500)))</f>
        <v/>
      </c>
      <c r="FF30" s="132">
        <f>IF(OR(FF$4="",$B30=""),0,SUMIF('DADOS BRUTOS'!$A$3:$A$500,$B30,'DADOS BRUTOS'!CF$3:CF$500)+IF($C30="",0,SUMIF('DADOS BRUTOS'!$A$3:$A$500,$C30,'DADOS BRUTOS'!CF$3:CF$500)))</f>
        <v/>
      </c>
      <c r="FG30" s="132">
        <f>IF(OR(FG$4="",$B30=""),0,SUMIF('DADOS BRUTOS'!$A$3:$A$500,$B30,'DADOS BRUTOS'!CG$3:CG$500)+IF($C30="",0,SUMIF('DADOS BRUTOS'!$A$3:$A$500,$C30,'DADOS BRUTOS'!CG$3:CG$500)))</f>
        <v/>
      </c>
      <c r="FH30" s="132">
        <f>IF(OR(FH$4="",$B30=""),0,SUMIF('DADOS BRUTOS'!$A$3:$A$500,$B30,'DADOS BRUTOS'!CH$3:CH$500)+IF($C30="",0,SUMIF('DADOS BRUTOS'!$A$3:$A$500,$C30,'DADOS BRUTOS'!CH$3:CH$500)))</f>
        <v/>
      </c>
      <c r="FI30" s="132">
        <f>IF(OR(FI$4="",$B30=""),0,SUMIF('DADOS BRUTOS'!$A$3:$A$500,$B30,'DADOS BRUTOS'!CI$3:CI$500)+IF($C30="",0,SUMIF('DADOS BRUTOS'!$A$3:$A$500,$C30,'DADOS BRUTOS'!CI$3:CI$500)))</f>
        <v/>
      </c>
      <c r="FJ30" s="132">
        <f>IF(OR(FJ$4="",$B30=""),0,SUMIF('DADOS BRUTOS'!$A$3:$A$500,$B30,'DADOS BRUTOS'!CJ$3:CJ$500)+IF($C30="",0,SUMIF('DADOS BRUTOS'!$A$3:$A$500,$C30,'DADOS BRUTOS'!CJ$3:CJ$500)))</f>
        <v/>
      </c>
      <c r="FK30" s="132">
        <f>IF(OR(FK$4="",$B30=""),0,SUMIF('DADOS BRUTOS'!$A$3:$A$500,$B30,'DADOS BRUTOS'!CK$3:CK$500)+IF($C30="",0,SUMIF('DADOS BRUTOS'!$A$3:$A$500,$C30,'DADOS BRUTOS'!CK$3:CK$500)))</f>
        <v/>
      </c>
      <c r="FL30" s="132">
        <f>IF(OR(FL$4="",$B30=""),0,SUMIF('DADOS BRUTOS'!$A$3:$A$500,$B30,'DADOS BRUTOS'!CL$3:CL$500)+IF($C30="",0,SUMIF('DADOS BRUTOS'!$A$3:$A$500,$C30,'DADOS BRUTOS'!CL$3:CL$500)))</f>
        <v/>
      </c>
      <c r="FM30" s="132">
        <f>IF(OR(FM$4="",$B30=""),0,SUMIF('DADOS BRUTOS'!$A$3:$A$500,$B30,'DADOS BRUTOS'!CM$3:CM$500)+IF($C30="",0,SUMIF('DADOS BRUTOS'!$A$3:$A$500,$C30,'DADOS BRUTOS'!CM$3:CM$500)))</f>
        <v/>
      </c>
      <c r="FN30" s="132">
        <f>IF(OR(FN$4="",$B30=""),0,SUMIF('DADOS BRUTOS'!$A$3:$A$500,$B30,'DADOS BRUTOS'!CN$3:CN$500)+IF($C30="",0,SUMIF('DADOS BRUTOS'!$A$3:$A$500,$C30,'DADOS BRUTOS'!CN$3:CN$500)))</f>
        <v/>
      </c>
      <c r="FO30" s="132">
        <f>IF(OR(FO$4="",$B30=""),0,SUMIF('DADOS BRUTOS'!$A$3:$A$500,$B30,'DADOS BRUTOS'!CO$3:CO$500)+IF($C30="",0,SUMIF('DADOS BRUTOS'!$A$3:$A$500,$C30,'DADOS BRUTOS'!CO$3:CO$500)))</f>
        <v/>
      </c>
      <c r="FP30" s="132">
        <f>IF(OR(FP$4="",$B30=""),0,SUMIF('DADOS BRUTOS'!$A$3:$A$500,$B30,'DADOS BRUTOS'!CP$3:CP$500)+IF($C30="",0,SUMIF('DADOS BRUTOS'!$A$3:$A$500,$C30,'DADOS BRUTOS'!CP$3:CP$500)))</f>
        <v/>
      </c>
      <c r="FQ30" s="132">
        <f>IF(OR(FQ$4="",$B30=""),0,SUMIF('DADOS BRUTOS'!$A$3:$A$500,$B30,'DADOS BRUTOS'!CQ$3:CQ$500)+IF($C30="",0,SUMIF('DADOS BRUTOS'!$A$3:$A$500,$C30,'DADOS BRUTOS'!CQ$3:CQ$500)))</f>
        <v/>
      </c>
      <c r="FR30" s="132">
        <f>IF(OR(FR$4="",$B30=""),0,SUMIF('DADOS BRUTOS'!$A$3:$A$500,$B30,'DADOS BRUTOS'!CR$3:CR$500)+IF($C30="",0,SUMIF('DADOS BRUTOS'!$A$3:$A$500,$C30,'DADOS BRUTOS'!CR$3:CR$500)))</f>
        <v/>
      </c>
      <c r="FS30" s="132">
        <f>IF(OR(FS$4="",$B30=""),0,SUMIF('DADOS BRUTOS'!$A$3:$A$500,$B30,'DADOS BRUTOS'!CS$3:CS$500)+IF($C30="",0,SUMIF('DADOS BRUTOS'!$A$3:$A$500,$C30,'DADOS BRUTOS'!CS$3:CS$500)))</f>
        <v/>
      </c>
      <c r="FT30" s="132">
        <f>IF(OR(FT$4="",$B30=""),0,SUMIF('DADOS BRUTOS'!$A$3:$A$500,$B30,'DADOS BRUTOS'!CT$3:CT$500)+IF($C30="",0,SUMIF('DADOS BRUTOS'!$A$3:$A$500,$C30,'DADOS BRUTOS'!CT$3:CT$500)))</f>
        <v/>
      </c>
      <c r="FU30" s="132">
        <f>IF(OR(FU$4="",$B30=""),0,SUMIF('DADOS BRUTOS'!$A$3:$A$500,$B30,'DADOS BRUTOS'!CU$3:CU$500)+IF($C30="",0,SUMIF('DADOS BRUTOS'!$A$3:$A$500,$C30,'DADOS BRUTOS'!CU$3:CU$500)))</f>
        <v/>
      </c>
      <c r="FV30" s="132">
        <f>IF(OR(FV$4="",$B30=""),0,SUMIF('DADOS BRUTOS'!$A$3:$A$500,$B30,'DADOS BRUTOS'!CV$3:CV$500)+IF($C30="",0,SUMIF('DADOS BRUTOS'!$A$3:$A$500,$C30,'DADOS BRUTOS'!CV$3:CV$500)))</f>
        <v/>
      </c>
      <c r="FW30" s="132">
        <f>IF(OR(FW$4="",$B30=""),0,SUMIF('DADOS BRUTOS'!$A$3:$A$500,$B30,'DADOS BRUTOS'!CW$3:CW$500)+IF($C30="",0,SUMIF('DADOS BRUTOS'!$A$3:$A$500,$C30,'DADOS BRUTOS'!CW$3:CW$500)))</f>
        <v/>
      </c>
      <c r="FX30" s="132">
        <f>IF(OR(FX$4="",$B30=""),0,SUMIF('DADOS BRUTOS'!$A$3:$A$500,$B30,'DADOS BRUTOS'!CX$3:CX$500)+IF($C30="",0,SUMIF('DADOS BRUTOS'!$A$3:$A$500,$C30,'DADOS BRUTOS'!CX$3:CX$500)))</f>
        <v/>
      </c>
      <c r="FY30" s="132">
        <f>IF(OR(FY$4="",$B30=""),0,SUMIF('DADOS BRUTOS'!$A$3:$A$500,$B30,'DADOS BRUTOS'!CY$3:CY$500)+IF($C30="",0,SUMIF('DADOS BRUTOS'!$A$3:$A$500,$C30,'DADOS BRUTOS'!CY$3:CY$500)))</f>
        <v/>
      </c>
      <c r="FZ30" s="132">
        <f>IF(OR(FZ$4="",$B30=""),0,SUMIF('DADOS BRUTOS'!$A$3:$A$500,$B30,'DADOS BRUTOS'!CZ$3:CZ$500)+IF($C30="",0,SUMIF('DADOS BRUTOS'!$A$3:$A$500,$C30,'DADOS BRUTOS'!CZ$3:CZ$500)))</f>
        <v/>
      </c>
      <c r="GA30" s="132">
        <f>IF(OR(GA$4="",$B30=""),0,SUMIF('DADOS BRUTOS'!$A$3:$A$500,$B30,'DADOS BRUTOS'!DA$3:DA$500)+IF($C30="",0,SUMIF('DADOS BRUTOS'!$A$3:$A$500,$C30,'DADOS BRUTOS'!DA$3:DA$500)))</f>
        <v/>
      </c>
      <c r="GB30" s="132">
        <f>IF(OR(GB$4="",$B30=""),0,SUMIF('DADOS BRUTOS'!$A$3:$A$500,$B30,'DADOS BRUTOS'!DB$3:DB$500)+IF($C30="",0,SUMIF('DADOS BRUTOS'!$A$3:$A$500,$C30,'DADOS BRUTOS'!DB$3:DB$500)))</f>
        <v/>
      </c>
      <c r="GC30" s="132">
        <f>IF(OR(GC$4="",$B30=""),0,SUMIF('DADOS BRUTOS'!$A$3:$A$500,$B30,'DADOS BRUTOS'!DC$3:DC$500)+IF($C30="",0,SUMIF('DADOS BRUTOS'!$A$3:$A$500,$C30,'DADOS BRUTOS'!DC$3:DC$500)))</f>
        <v/>
      </c>
      <c r="GD30" s="132">
        <f>IF(OR(GD$4="",$B30=""),0,SUMIF('DADOS BRUTOS'!$A$3:$A$500,$B30,'DADOS BRUTOS'!DD$3:DD$500)+IF($C30="",0,SUMIF('DADOS BRUTOS'!$A$3:$A$500,$C30,'DADOS BRUTOS'!DD$3:DD$500)))</f>
        <v/>
      </c>
      <c r="GE30" s="132">
        <f>IF(OR(GE$4="",$B30=""),0,SUMIF('DADOS BRUTOS'!$A$3:$A$500,$B30,'DADOS BRUTOS'!DE$3:DE$500)+IF($C30="",0,SUMIF('DADOS BRUTOS'!$A$3:$A$500,$C30,'DADOS BRUTOS'!DE$3:DE$500)))</f>
        <v/>
      </c>
      <c r="GF30" s="132">
        <f>IF(OR(GF$4="",$B30=""),0,SUMIF('DADOS BRUTOS'!$A$3:$A$500,$B30,'DADOS BRUTOS'!DF$3:DF$500)+IF($C30="",0,SUMIF('DADOS BRUTOS'!$A$3:$A$500,$C30,'DADOS BRUTOS'!DF$3:DF$500)))</f>
        <v/>
      </c>
      <c r="GG30" s="132">
        <f>IF(OR(GG$4="",$B30=""),0,SUMIF('DADOS BRUTOS'!$A$3:$A$500,$B30,'DADOS BRUTOS'!DG$3:DG$500)+IF($C30="",0,SUMIF('DADOS BRUTOS'!$A$3:$A$500,$C30,'DADOS BRUTOS'!DG$3:DG$500)))</f>
        <v/>
      </c>
      <c r="GH30" s="132">
        <f>IF(OR(GH$4="",$B30=""),0,SUMIF('DADOS BRUTOS'!$A$3:$A$500,$B30,'DADOS BRUTOS'!DH$3:DH$500)+IF($C30="",0,SUMIF('DADOS BRUTOS'!$A$3:$A$500,$C30,'DADOS BRUTOS'!DH$3:DH$500)))</f>
        <v/>
      </c>
      <c r="GI30" s="132">
        <f>IF(OR(GI$4="",$B30=""),0,SUMIF('DADOS BRUTOS'!$A$3:$A$500,$B30,'DADOS BRUTOS'!DI$3:DI$500)+IF($C30="",0,SUMIF('DADOS BRUTOS'!$A$3:$A$500,$C30,'DADOS BRUTOS'!DI$3:DI$500)))</f>
        <v/>
      </c>
      <c r="GJ30" s="132">
        <f>IF(OR(GJ$4="",$B30=""),0,SUMIF('DADOS BRUTOS'!$A$3:$A$500,$B30,'DADOS BRUTOS'!DJ$3:DJ$500)+IF($C30="",0,SUMIF('DADOS BRUTOS'!$A$3:$A$500,$C30,'DADOS BRUTOS'!DJ$3:DJ$500)))</f>
        <v/>
      </c>
      <c r="GK30" s="132">
        <f>IF(OR(GK$4="",$B30=""),0,SUMIF('DADOS BRUTOS'!$A$3:$A$500,$B30,'DADOS BRUTOS'!DK$3:DK$500)+IF($C30="",0,SUMIF('DADOS BRUTOS'!$A$3:$A$500,$C30,'DADOS BRUTOS'!DK$3:DK$500)))</f>
        <v/>
      </c>
      <c r="GL30" s="132">
        <f>IF(OR(GL$4="",$B30=""),0,SUMIF('DADOS BRUTOS'!$A$3:$A$500,$B30,'DADOS BRUTOS'!DL$3:DL$500)+IF($C30="",0,SUMIF('DADOS BRUTOS'!$A$3:$A$500,$C30,'DADOS BRUTOS'!DL$3:DL$500)))</f>
        <v/>
      </c>
      <c r="GM30" s="132">
        <f>IF(OR(GM$4="",$B30=""),0,SUMIF('DADOS BRUTOS'!$A$3:$A$500,$B30,'DADOS BRUTOS'!DM$3:DM$500)+IF($C30="",0,SUMIF('DADOS BRUTOS'!$A$3:$A$500,$C30,'DADOS BRUTOS'!DM$3:DM$500)))</f>
        <v/>
      </c>
      <c r="GN30" s="132">
        <f>IF(OR(GN$4="",$B30=""),0,SUMIF('DADOS BRUTOS'!$A$3:$A$500,$B30,'DADOS BRUTOS'!DN$3:DN$500)+IF($C30="",0,SUMIF('DADOS BRUTOS'!$A$3:$A$500,$C30,'DADOS BRUTOS'!DN$3:DN$500)))</f>
        <v/>
      </c>
      <c r="GO30" s="132">
        <f>IF(OR(GO$4="",$B30=""),0,SUMIF('DADOS BRUTOS'!$A$3:$A$500,$B30,'DADOS BRUTOS'!DO$3:DO$500)+IF($C30="",0,SUMIF('DADOS BRUTOS'!$A$3:$A$500,$C30,'DADOS BRUTOS'!DO$3:DO$500)))</f>
        <v/>
      </c>
      <c r="GP30" s="132">
        <f>IF(OR(GP$4="",$B30=""),0,SUMIF('DADOS BRUTOS'!$A$3:$A$500,$B30,'DADOS BRUTOS'!DP$3:DP$500)+IF($C30="",0,SUMIF('DADOS BRUTOS'!$A$3:$A$500,$C30,'DADOS BRUTOS'!DP$3:DP$500)))</f>
        <v/>
      </c>
      <c r="GQ30" s="132">
        <f>IF(OR(GQ$4="",$B30=""),0,SUMIF('DADOS BRUTOS'!$A$3:$A$500,$B30,'DADOS BRUTOS'!DQ$3:DQ$500)+IF($C30="",0,SUMIF('DADOS BRUTOS'!$A$3:$A$500,$C30,'DADOS BRUTOS'!DQ$3:DQ$500)))</f>
        <v/>
      </c>
      <c r="GR30" s="132">
        <f>IF(OR(GR$4="",$B30=""),0,SUMIF('DADOS BRUTOS'!$A$3:$A$500,$B30,'DADOS BRUTOS'!DR$3:DR$500)+IF($C30="",0,SUMIF('DADOS BRUTOS'!$A$3:$A$500,$C30,'DADOS BRUTOS'!DR$3:DR$500)))</f>
        <v/>
      </c>
      <c r="GS30" s="132">
        <f>IF(OR(GS$4="",$B30=""),0,SUMIF('DADOS BRUTOS'!$A$3:$A$500,$B30,'DADOS BRUTOS'!DS$3:DS$500)+IF($C30="",0,SUMIF('DADOS BRUTOS'!$A$3:$A$500,$C30,'DADOS BRUTOS'!DS$3:DS$500)))</f>
        <v/>
      </c>
      <c r="GT30" s="132">
        <f>IF(OR(GT$4="",$B30=""),0,SUMIF('DADOS BRUTOS'!$A$3:$A$500,$B30,'DADOS BRUTOS'!DT$3:DT$500)+IF($C30="",0,SUMIF('DADOS BRUTOS'!$A$3:$A$500,$C30,'DADOS BRUTOS'!DT$3:DT$500)))</f>
        <v/>
      </c>
      <c r="GU30" s="132">
        <f>IF(OR(GU$4="",$B30=""),0,SUMIF('DADOS BRUTOS'!$A$3:$A$500,$B30,'DADOS BRUTOS'!DU$3:DU$500)+IF($C30="",0,SUMIF('DADOS BRUTOS'!$A$3:$A$500,$C30,'DADOS BRUTOS'!DU$3:DU$500)))</f>
        <v/>
      </c>
      <c r="GV30" s="132">
        <f>IF(OR(GV$4="",$B30=""),0,SUMIF('DADOS BRUTOS'!$A$3:$A$500,$B30,'DADOS BRUTOS'!DV$3:DV$500)+IF($C30="",0,SUMIF('DADOS BRUTOS'!$A$3:$A$500,$C30,'DADOS BRUTOS'!DV$3:DV$500)))</f>
        <v/>
      </c>
      <c r="GW30" s="132">
        <f>IF(OR(GW$4="",$B30=""),0,SUMIF('DADOS BRUTOS'!$A$3:$A$500,$B30,'DADOS BRUTOS'!DW$3:DW$500)+IF($C30="",0,SUMIF('DADOS BRUTOS'!$A$3:$A$500,$C30,'DADOS BRUTOS'!DW$3:DW$500)))</f>
        <v/>
      </c>
      <c r="GX30" s="132">
        <f>IF(OR(GX$4="",$B30=""),0,SUMIF('DADOS BRUTOS'!$A$3:$A$500,$B30,'DADOS BRUTOS'!DX$3:DX$500)+IF($C30="",0,SUMIF('DADOS BRUTOS'!$A$3:$A$500,$C30,'DADOS BRUTOS'!DX$3:DX$500)))</f>
        <v/>
      </c>
      <c r="GY30" s="132">
        <f>IF(OR(GY$4="",$B30=""),0,SUMIF('DADOS BRUTOS'!$A$3:$A$500,$B30,'DADOS BRUTOS'!DY$3:DY$500)+IF($C30="",0,SUMIF('DADOS BRUTOS'!$A$3:$A$500,$C30,'DADOS BRUTOS'!DY$3:DY$500)))</f>
        <v/>
      </c>
      <c r="GZ30" s="132">
        <f>IF(OR(GZ$4="",$B30=""),0,SUMIF('DADOS BRUTOS'!$A$3:$A$500,$B30,'DADOS BRUTOS'!DZ$3:DZ$500)+IF($C30="",0,SUMIF('DADOS BRUTOS'!$A$3:$A$500,$C30,'DADOS BRUTOS'!DZ$3:DZ$500)))</f>
        <v/>
      </c>
      <c r="HA30" s="132">
        <f>IF(OR(HA$4="",$B30=""),0,SUMIF('DADOS BRUTOS'!$A$3:$A$500,$B30,'DADOS BRUTOS'!EA$3:EA$500)+IF($C30="",0,SUMIF('DADOS BRUTOS'!$A$3:$A$500,$C30,'DADOS BRUTOS'!EA$3:EA$500)))</f>
        <v/>
      </c>
      <c r="HB30" s="132">
        <f>IF(OR(HB$4="",$B30=""),0,SUMIF('DADOS BRUTOS'!$A$3:$A$500,$B30,'DADOS BRUTOS'!EB$3:EB$500)+IF($C30="",0,SUMIF('DADOS BRUTOS'!$A$3:$A$500,$C30,'DADOS BRUTOS'!EB$3:EB$500)))</f>
        <v/>
      </c>
      <c r="HC30" s="132">
        <f>IF(OR(HC$4="",$B30=""),0,SUMIF('DADOS BRUTOS'!$A$3:$A$500,$B30,'DADOS BRUTOS'!EC$3:EC$500)+IF($C30="",0,SUMIF('DADOS BRUTOS'!$A$3:$A$500,$C30,'DADOS BRUTOS'!EC$3:EC$500)))</f>
        <v/>
      </c>
      <c r="HD30" s="132">
        <f>IF(OR(HD$4="",$B30=""),0,SUMIF('DADOS BRUTOS'!$A$3:$A$500,$B30,'DADOS BRUTOS'!ED$3:ED$500)+IF($C30="",0,SUMIF('DADOS BRUTOS'!$A$3:$A$500,$C30,'DADOS BRUTOS'!ED$3:ED$500)))</f>
        <v/>
      </c>
      <c r="HE30" s="132">
        <f>IF(OR(HE$4="",$B30=""),0,SUMIF('DADOS BRUTOS'!$A$3:$A$500,$B30,'DADOS BRUTOS'!EE$3:EE$500)+IF($C30="",0,SUMIF('DADOS BRUTOS'!$A$3:$A$500,$C30,'DADOS BRUTOS'!EE$3:EE$500)))</f>
        <v/>
      </c>
      <c r="HF30" s="132">
        <f>IF(OR(HF$4="",$B30=""),0,SUMIF('DADOS BRUTOS'!$A$3:$A$500,$B30,'DADOS BRUTOS'!EF$3:EF$500)+IF($C30="",0,SUMIF('DADOS BRUTOS'!$A$3:$A$500,$C30,'DADOS BRUTOS'!EF$3:EF$500)))</f>
        <v/>
      </c>
      <c r="HG30" s="132">
        <f>IF(OR(HG$4="",$B30=""),0,SUMIF('DADOS BRUTOS'!$A$3:$A$500,$B30,'DADOS BRUTOS'!EG$3:EG$500)+IF($C30="",0,SUMIF('DADOS BRUTOS'!$A$3:$A$500,$C30,'DADOS BRUTOS'!EG$3:EG$500)))</f>
        <v/>
      </c>
      <c r="HH30" s="132">
        <f>IF(OR(HH$4="",$B30=""),0,SUMIF('DADOS BRUTOS'!$A$3:$A$500,$B30,'DADOS BRUTOS'!EH$3:EH$500)+IF($C30="",0,SUMIF('DADOS BRUTOS'!$A$3:$A$500,$C30,'DADOS BRUTOS'!EH$3:EH$500)))</f>
        <v/>
      </c>
      <c r="HI30" s="132">
        <f>IF(OR(HI$4="",$B30=""),0,SUMIF('DADOS BRUTOS'!$A$3:$A$500,$B30,'DADOS BRUTOS'!EI$3:EI$500)+IF($C30="",0,SUMIF('DADOS BRUTOS'!$A$3:$A$500,$C30,'DADOS BRUTOS'!EI$3:EI$500)))</f>
        <v/>
      </c>
      <c r="HJ30" s="132">
        <f>IF(OR(HJ$4="",$B30=""),0,SUMIF('DADOS BRUTOS'!$A$3:$A$500,$B30,'DADOS BRUTOS'!EJ$3:EJ$500)+IF($C30="",0,SUMIF('DADOS BRUTOS'!$A$3:$A$500,$C30,'DADOS BRUTOS'!EJ$3:EJ$500)))</f>
        <v/>
      </c>
      <c r="HK30" s="132">
        <f>IF(OR(HK$4="",$B30=""),0,SUMIF('DADOS BRUTOS'!$A$3:$A$500,$B30,'DADOS BRUTOS'!EK$3:EK$500)+IF($C30="",0,SUMIF('DADOS BRUTOS'!$A$3:$A$500,$C30,'DADOS BRUTOS'!EK$3:EK$500)))</f>
        <v/>
      </c>
      <c r="HL30" s="132">
        <f>IF(OR(HL$4="",$B30=""),0,SUMIF('DADOS BRUTOS'!$A$3:$A$500,$B30,'DADOS BRUTOS'!EL$3:EL$500)+IF($C30="",0,SUMIF('DADOS BRUTOS'!$A$3:$A$500,$C30,'DADOS BRUTOS'!EL$3:EL$500)))</f>
        <v/>
      </c>
      <c r="HM30" s="132">
        <f>IF(OR(HM$4="",$B30=""),0,SUMIF('DADOS BRUTOS'!$A$3:$A$500,$B30,'DADOS BRUTOS'!EM$3:EM$500)+IF($C30="",0,SUMIF('DADOS BRUTOS'!$A$3:$A$500,$C30,'DADOS BRUTOS'!EM$3:EM$500)))</f>
        <v/>
      </c>
      <c r="HN30" s="132">
        <f>IF(OR(HN$4="",$B30=""),0,SUMIF('DADOS BRUTOS'!$A$3:$A$500,$B30,'DADOS BRUTOS'!EN$3:EN$500)+IF($C30="",0,SUMIF('DADOS BRUTOS'!$A$3:$A$500,$C30,'DADOS BRUTOS'!EN$3:EN$500)))</f>
        <v/>
      </c>
      <c r="HO30" s="132">
        <f>IF(OR(HO$4="",$B30=""),0,SUMIF('DADOS BRUTOS'!$A$3:$A$500,$B30,'DADOS BRUTOS'!EO$3:EO$500)+IF($C30="",0,SUMIF('DADOS BRUTOS'!$A$3:$A$500,$C30,'DADOS BRUTOS'!EO$3:EO$500)))</f>
        <v/>
      </c>
      <c r="HP30" s="132">
        <f>IF(OR(HP$4="",$B30=""),0,SUMIF('DADOS BRUTOS'!$A$3:$A$500,$B30,'DADOS BRUTOS'!EP$3:EP$500)+IF($C30="",0,SUMIF('DADOS BRUTOS'!$A$3:$A$500,$C30,'DADOS BRUTOS'!EP$3:EP$500)))</f>
        <v/>
      </c>
      <c r="HQ30" s="132">
        <f>IF(OR(HQ$4="",$B30=""),0,SUMIF('DADOS BRUTOS'!$A$3:$A$500,$B30,'DADOS BRUTOS'!EQ$3:EQ$500)+IF($C30="",0,SUMIF('DADOS BRUTOS'!$A$3:$A$500,$C30,'DADOS BRUTOS'!EQ$3:EQ$500)))</f>
        <v/>
      </c>
      <c r="HR30" s="132">
        <f>IF(OR(HR$4="",$B30=""),0,SUMIF('DADOS BRUTOS'!$A$3:$A$500,$B30,'DADOS BRUTOS'!ER$3:ER$500)+IF($C30="",0,SUMIF('DADOS BRUTOS'!$A$3:$A$500,$C30,'DADOS BRUTOS'!ER$3:ER$500)))</f>
        <v/>
      </c>
      <c r="HS30" s="132">
        <f>IF(OR(HS$4="",$B30=""),0,SUMIF('DADOS BRUTOS'!$A$3:$A$500,$B30,'DADOS BRUTOS'!ES$3:ES$500)+IF($C30="",0,SUMIF('DADOS BRUTOS'!$A$3:$A$500,$C30,'DADOS BRUTOS'!ES$3:ES$500)))</f>
        <v/>
      </c>
      <c r="HT30" s="132">
        <f>IF(OR(HT$4="",$B30=""),0,SUMIF('DADOS BRUTOS'!$A$3:$A$500,$B30,'DADOS BRUTOS'!ET$3:ET$500)+IF($C30="",0,SUMIF('DADOS BRUTOS'!$A$3:$A$500,$C30,'DADOS BRUTOS'!ET$3:ET$500)))</f>
        <v/>
      </c>
      <c r="HU30" s="132">
        <f>IF(OR(HU$4="",$B30=""),0,SUMIF('DADOS BRUTOS'!$A$3:$A$500,$B30,'DADOS BRUTOS'!EU$3:EU$500)+IF($C30="",0,SUMIF('DADOS BRUTOS'!$A$3:$A$500,$C30,'DADOS BRUTOS'!EU$3:EU$500)))</f>
        <v/>
      </c>
      <c r="HV30" s="132">
        <f>IF(OR(HV$4="",$B30=""),0,SUMIF('DADOS BRUTOS'!$A$3:$A$500,$B30,'DADOS BRUTOS'!EV$3:EV$500)+IF($C30="",0,SUMIF('DADOS BRUTOS'!$A$3:$A$500,$C30,'DADOS BRUTOS'!EV$3:EV$500)))</f>
        <v/>
      </c>
      <c r="HW30" s="132">
        <f>IF(OR(HW$4="",$B30=""),0,SUMIF('DADOS BRUTOS'!$A$3:$A$500,$B30,'DADOS BRUTOS'!EW$3:EW$500)+IF($C30="",0,SUMIF('DADOS BRUTOS'!$A$3:$A$500,$C30,'DADOS BRUTOS'!EW$3:EW$500)))</f>
        <v/>
      </c>
      <c r="HX30" s="132">
        <f>IF(OR(HX$4="",$B30=""),0,SUMIF('DADOS BRUTOS'!$A$3:$A$500,$B30,'DADOS BRUTOS'!EX$3:EX$500)+IF($C30="",0,SUMIF('DADOS BRUTOS'!$A$3:$A$500,$C30,'DADOS BRUTOS'!EX$3:EX$500)))</f>
        <v/>
      </c>
      <c r="HY30" s="132">
        <f>IF(OR(HY$4="",$B30=""),0,SUMIF('DADOS BRUTOS'!$A$3:$A$500,$B30,'DADOS BRUTOS'!EY$3:EY$500)+IF($C30="",0,SUMIF('DADOS BRUTOS'!$A$3:$A$500,$C30,'DADOS BRUTOS'!EY$3:EY$500)))</f>
        <v/>
      </c>
      <c r="HZ30" s="132">
        <f>IF(OR(HZ$4="",$B30=""),0,SUMIF('DADOS BRUTOS'!$A$3:$A$500,$B30,'DADOS BRUTOS'!EZ$3:EZ$500)+IF($C30="",0,SUMIF('DADOS BRUTOS'!$A$3:$A$500,$C30,'DADOS BRUTOS'!EZ$3:EZ$500)))</f>
        <v/>
      </c>
      <c r="IA30" s="132">
        <f>IF(OR(IA$4="",$B30=""),0,SUMIF('DADOS BRUTOS'!$A$3:$A$500,$B30,'DADOS BRUTOS'!FA$3:FA$500)+IF($C30="",0,SUMIF('DADOS BRUTOS'!$A$3:$A$500,$C30,'DADOS BRUTOS'!FA$3:FA$500)))</f>
        <v/>
      </c>
      <c r="IB30" s="132">
        <f>IF(OR(IB$4="",$B30=""),0,SUMIF('DADOS BRUTOS'!$A$3:$A$500,$B30,'DADOS BRUTOS'!FB$3:FB$500)+IF($C30="",0,SUMIF('DADOS BRUTOS'!$A$3:$A$500,$C30,'DADOS BRUTOS'!FB$3:FB$500)))</f>
        <v/>
      </c>
      <c r="IC30" s="132">
        <f>IF(OR(IC$4="",$B30=""),0,SUMIF('DADOS BRUTOS'!$A$3:$A$500,$B30,'DADOS BRUTOS'!FC$3:FC$500)+IF($C30="",0,SUMIF('DADOS BRUTOS'!$A$3:$A$500,$C30,'DADOS BRUTOS'!FC$3:FC$500)))</f>
        <v/>
      </c>
      <c r="ID30" s="132">
        <f>IF(OR(ID$4="",$B30=""),0,SUMIF('DADOS BRUTOS'!$A$3:$A$500,$B30,'DADOS BRUTOS'!FD$3:FD$500)+IF($C30="",0,SUMIF('DADOS BRUTOS'!$A$3:$A$500,$C30,'DADOS BRUTOS'!FD$3:FD$500)))</f>
        <v/>
      </c>
      <c r="IE30" s="132">
        <f>IF(OR(IE$4="",$B30=""),0,SUMIF('DADOS BRUTOS'!$A$3:$A$500,$B30,'DADOS BRUTOS'!FE$3:FE$500)+IF($C30="",0,SUMIF('DADOS BRUTOS'!$A$3:$A$500,$C30,'DADOS BRUTOS'!FE$3:FE$500)))</f>
        <v/>
      </c>
      <c r="IF30" s="132">
        <f>IF(OR(IF$4="",$B30=""),0,SUMIF('DADOS BRUTOS'!$A$3:$A$500,$B30,'DADOS BRUTOS'!FF$3:FF$500)+IF($C30="",0,SUMIF('DADOS BRUTOS'!$A$3:$A$500,$C30,'DADOS BRUTOS'!FF$3:FF$500)))</f>
        <v/>
      </c>
      <c r="IG30" s="132">
        <f>IF(OR(IG$4="",$B30=""),0,SUMIF('DADOS BRUTOS'!$A$3:$A$500,$B30,'DADOS BRUTOS'!FG$3:FG$500)+IF($C30="",0,SUMIF('DADOS BRUTOS'!$A$3:$A$500,$C30,'DADOS BRUTOS'!FG$3:FG$500)))</f>
        <v/>
      </c>
      <c r="IH30" s="132">
        <f>IF(OR(IH$4="",$B30=""),0,SUMIF('DADOS BRUTOS'!$A$3:$A$500,$B30,'DADOS BRUTOS'!FH$3:FH$500)+IF($C30="",0,SUMIF('DADOS BRUTOS'!$A$3:$A$500,$C30,'DADOS BRUTOS'!FH$3:FH$500)))</f>
        <v/>
      </c>
      <c r="II30" s="132">
        <f>IF(OR(II$4="",$B30=""),0,SUMIF('DADOS BRUTOS'!$A$3:$A$500,$B30,'DADOS BRUTOS'!FI$3:FI$500)+IF($C30="",0,SUMIF('DADOS BRUTOS'!$A$3:$A$500,$C30,'DADOS BRUTOS'!FI$3:FI$500)))</f>
        <v/>
      </c>
      <c r="IJ30" s="132">
        <f>IF(OR(IJ$4="",$B30=""),0,SUMIF('DADOS BRUTOS'!$A$3:$A$500,$B30,'DADOS BRUTOS'!FJ$3:FJ$500)+IF($C30="",0,SUMIF('DADOS BRUTOS'!$A$3:$A$500,$C30,'DADOS BRUTOS'!FJ$3:FJ$500)))</f>
        <v/>
      </c>
      <c r="IK30" s="132">
        <f>IF(OR(IK$4="",$B30=""),0,SUMIF('DADOS BRUTOS'!$A$3:$A$500,$B30,'DADOS BRUTOS'!FK$3:FK$500)+IF($C30="",0,SUMIF('DADOS BRUTOS'!$A$3:$A$500,$C30,'DADOS BRUTOS'!FK$3:FK$500)))</f>
        <v/>
      </c>
      <c r="IL30" s="132">
        <f>IF(OR(IL$4="",$B30=""),0,SUMIF('DADOS BRUTOS'!$A$3:$A$500,$B30,'DADOS BRUTOS'!FL$3:FL$500)+IF($C30="",0,SUMIF('DADOS BRUTOS'!$A$3:$A$500,$C30,'DADOS BRUTOS'!FL$3:FL$500)))</f>
        <v/>
      </c>
      <c r="IM30" s="132">
        <f>IF(OR(IM$4="",$B30=""),0,SUMIF('DADOS BRUTOS'!$A$3:$A$500,$B30,'DADOS BRUTOS'!FM$3:FM$500)+IF($C30="",0,SUMIF('DADOS BRUTOS'!$A$3:$A$500,$C30,'DADOS BRUTOS'!FM$3:FM$500)))</f>
        <v/>
      </c>
      <c r="IN30" s="132">
        <f>IF(OR(IN$4="",$B30=""),0,SUMIF('DADOS BRUTOS'!$A$3:$A$500,$B30,'DADOS BRUTOS'!FN$3:FN$500)+IF($C30="",0,SUMIF('DADOS BRUTOS'!$A$3:$A$500,$C30,'DADOS BRUTOS'!FN$3:FN$500)))</f>
        <v/>
      </c>
      <c r="IO30" s="132">
        <f>IF(OR(IO$4="",$B30=""),0,SUMIF('DADOS BRUTOS'!$A$3:$A$500,$B30,'DADOS BRUTOS'!FO$3:FO$500)+IF($C30="",0,SUMIF('DADOS BRUTOS'!$A$3:$A$500,$C30,'DADOS BRUTOS'!FO$3:FO$500)))</f>
        <v/>
      </c>
      <c r="IP30" s="132">
        <f>IF(OR(IP$4="",$B30=""),0,SUMIF('DADOS BRUTOS'!$A$3:$A$500,$B30,'DADOS BRUTOS'!FP$3:FP$500)+IF($C30="",0,SUMIF('DADOS BRUTOS'!$A$3:$A$500,$C30,'DADOS BRUTOS'!FP$3:FP$500)))</f>
        <v/>
      </c>
      <c r="IQ30" s="132">
        <f>IF(OR(IQ$4="",$B30=""),0,SUMIF('DADOS BRUTOS'!$A$3:$A$500,$B30,'DADOS BRUTOS'!FQ$3:FQ$500)+IF($C30="",0,SUMIF('DADOS BRUTOS'!$A$3:$A$500,$C30,'DADOS BRUTOS'!FQ$3:FQ$500)))</f>
        <v/>
      </c>
      <c r="IR30" s="132">
        <f>IF(OR(IR$4="",$B30=""),0,SUMIF('DADOS BRUTOS'!$A$3:$A$500,$B30,'DADOS BRUTOS'!FR$3:FR$500)+IF($C30="",0,SUMIF('DADOS BRUTOS'!$A$3:$A$500,$C30,'DADOS BRUTOS'!FR$3:FR$500)))</f>
        <v/>
      </c>
      <c r="IS30" s="132">
        <f>IF(OR(IS$4="",$B30=""),0,SUMIF('DADOS BRUTOS'!$A$3:$A$500,$B30,'DADOS BRUTOS'!FS$3:FS$500)+IF($C30="",0,SUMIF('DADOS BRUTOS'!$A$3:$A$500,$C30,'DADOS BRUTOS'!FS$3:FS$500)))</f>
        <v/>
      </c>
      <c r="IT30" s="132">
        <f>IF(OR(IT$4="",$B30=""),0,SUMIF('DADOS BRUTOS'!$A$3:$A$500,$B30,'DADOS BRUTOS'!FT$3:FT$500)+IF($C30="",0,SUMIF('DADOS BRUTOS'!$A$3:$A$500,$C30,'DADOS BRUTOS'!FT$3:FT$500)))</f>
        <v/>
      </c>
      <c r="IU30" s="132">
        <f>IF(OR(IU$4="",$B30=""),0,SUMIF('DADOS BRUTOS'!$A$3:$A$500,$B30,'DADOS BRUTOS'!FU$3:FU$500)+IF($C30="",0,SUMIF('DADOS BRUTOS'!$A$3:$A$500,$C30,'DADOS BRUTOS'!FU$3:FU$500)))</f>
        <v/>
      </c>
      <c r="IV30" s="132">
        <f>IF(OR(IV$4="",$B30=""),0,SUMIF('DADOS BRUTOS'!$A$3:$A$500,$B30,'DADOS BRUTOS'!FV$3:FV$500)+IF($C30="",0,SUMIF('DADOS BRUTOS'!$A$3:$A$500,$C30,'DADOS BRUTOS'!FV$3:FV$500)))</f>
        <v/>
      </c>
      <c r="IW30" s="132">
        <f>IF(OR(IW$4="",$B30=""),0,SUMIF('DADOS BRUTOS'!$A$3:$A$500,$B30,'DADOS BRUTOS'!FW$3:FW$500)+IF($C30="",0,SUMIF('DADOS BRUTOS'!$A$3:$A$500,$C30,'DADOS BRUTOS'!FW$3:FW$500)))</f>
        <v/>
      </c>
      <c r="IX30" s="132">
        <f>IF(OR(IX$4="",$B30=""),0,SUMIF('DADOS BRUTOS'!$A$3:$A$500,$B30,'DADOS BRUTOS'!FX$3:FX$500)+IF($C30="",0,SUMIF('DADOS BRUTOS'!$A$3:$A$500,$C30,'DADOS BRUTOS'!FX$3:FX$500)))</f>
        <v/>
      </c>
      <c r="IY30" s="132">
        <f>IF(OR(IY$4="",$B30=""),0,SUMIF('DADOS BRUTOS'!$A$3:$A$500,$B30,'DADOS BRUTOS'!FY$3:FY$500)+IF($C30="",0,SUMIF('DADOS BRUTOS'!$A$3:$A$500,$C30,'DADOS BRUTOS'!FY$3:FY$500)))</f>
        <v/>
      </c>
      <c r="IZ30" s="132">
        <f>IF(OR(IZ$4="",$B30=""),0,SUMIF('DADOS BRUTOS'!$A$3:$A$500,$B30,'DADOS BRUTOS'!FZ$3:FZ$500)+IF($C30="",0,SUMIF('DADOS BRUTOS'!$A$3:$A$500,$C30,'DADOS BRUTOS'!FZ$3:FZ$500)))</f>
        <v/>
      </c>
      <c r="JA30" s="132">
        <f>IF(OR(JA$4="",$B30=""),0,SUMIF('DADOS BRUTOS'!$A$3:$A$500,$B30,'DADOS BRUTOS'!GA$3:GA$500)+IF($C30="",0,SUMIF('DADOS BRUTOS'!$A$3:$A$500,$C30,'DADOS BRUTOS'!GA$3:GA$500)))</f>
        <v/>
      </c>
      <c r="JB30" s="132">
        <f>IF(OR(JB$4="",$B30=""),0,SUMIF('DADOS BRUTOS'!$A$3:$A$500,$B30,'DADOS BRUTOS'!GB$3:GB$500)+IF($C30="",0,SUMIF('DADOS BRUTOS'!$A$3:$A$500,$C30,'DADOS BRUTOS'!GB$3:GB$500)))</f>
        <v/>
      </c>
      <c r="JC30" s="132">
        <f>IF(OR(JC$4="",$B30=""),0,SUMIF('DADOS BRUTOS'!$A$3:$A$500,$B30,'DADOS BRUTOS'!GC$3:GC$500)+IF($C30="",0,SUMIF('DADOS BRUTOS'!$A$3:$A$500,$C30,'DADOS BRUTOS'!GC$3:GC$500)))</f>
        <v/>
      </c>
      <c r="JD30" s="132">
        <f>IF(OR(JD$4="",$B30=""),0,SUMIF('DADOS BRUTOS'!$A$3:$A$500,$B30,'DADOS BRUTOS'!GD$3:GD$500)+IF($C30="",0,SUMIF('DADOS BRUTOS'!$A$3:$A$500,$C30,'DADOS BRUTOS'!GD$3:GD$500)))</f>
        <v/>
      </c>
      <c r="JE30" s="132">
        <f>IF(OR(JE$4="",$B30=""),0,SUMIF('DADOS BRUTOS'!$A$3:$A$500,$B30,'DADOS BRUTOS'!GE$3:GE$500)+IF($C30="",0,SUMIF('DADOS BRUTOS'!$A$3:$A$500,$C30,'DADOS BRUTOS'!GE$3:GE$500)))</f>
        <v/>
      </c>
      <c r="JF30" s="132">
        <f>IF(OR(JF$4="",$B30=""),0,SUMIF('DADOS BRUTOS'!$A$3:$A$500,$B30,'DADOS BRUTOS'!GF$3:GF$500)+IF($C30="",0,SUMIF('DADOS BRUTOS'!$A$3:$A$500,$C30,'DADOS BRUTOS'!GF$3:GF$500)))</f>
        <v/>
      </c>
      <c r="JG30" s="132">
        <f>IF(OR(JG$4="",$B30=""),0,SUMIF('DADOS BRUTOS'!$A$3:$A$500,$B30,'DADOS BRUTOS'!GG$3:GG$500)+IF($C30="",0,SUMIF('DADOS BRUTOS'!$A$3:$A$500,$C30,'DADOS BRUTOS'!GG$3:GG$500)))</f>
        <v/>
      </c>
      <c r="JH30" s="132">
        <f>IF(OR(JH$4="",$B30=""),0,SUMIF('DADOS BRUTOS'!$A$3:$A$500,$B30,'DADOS BRUTOS'!GH$3:GH$500)+IF($C30="",0,SUMIF('DADOS BRUTOS'!$A$3:$A$500,$C30,'DADOS BRUTOS'!GH$3:GH$500)))</f>
        <v/>
      </c>
      <c r="JI30" s="132">
        <f>IF(OR(JI$4="",$B30=""),0,SUMIF('DADOS BRUTOS'!$A$3:$A$500,$B30,'DADOS BRUTOS'!GI$3:GI$500)+IF($C30="",0,SUMIF('DADOS BRUTOS'!$A$3:$A$500,$C30,'DADOS BRUTOS'!GI$3:GI$500)))</f>
        <v/>
      </c>
      <c r="JJ30" s="132">
        <f>IF(OR(JJ$4="",$B30=""),0,SUMIF('DADOS BRUTOS'!$A$3:$A$500,$B30,'DADOS BRUTOS'!GJ$3:GJ$500)+IF($C30="",0,SUMIF('DADOS BRUTOS'!$A$3:$A$500,$C30,'DADOS BRUTOS'!GJ$3:GJ$500)))</f>
        <v/>
      </c>
      <c r="JK30" s="132">
        <f>IF(OR(JK$4="",$B30=""),0,SUMIF('DADOS BRUTOS'!$A$3:$A$500,$B30,'DADOS BRUTOS'!GK$3:GK$500)+IF($C30="",0,SUMIF('DADOS BRUTOS'!$A$3:$A$500,$C30,'DADOS BRUTOS'!GK$3:GK$500)))</f>
        <v/>
      </c>
      <c r="JL30" s="132">
        <f>IF(OR(JL$4="",$B30=""),0,SUMIF('DADOS BRUTOS'!$A$3:$A$500,$B30,'DADOS BRUTOS'!GL$3:GL$500)+IF($C30="",0,SUMIF('DADOS BRUTOS'!$A$3:$A$500,$C30,'DADOS BRUTOS'!GL$3:GL$500)))</f>
        <v/>
      </c>
      <c r="JM30" s="132">
        <f>IF(OR(JM$4="",$B30=""),0,SUMIF('DADOS BRUTOS'!$A$3:$A$500,$B30,'DADOS BRUTOS'!GM$3:GM$500)+IF($C30="",0,SUMIF('DADOS BRUTOS'!$A$3:$A$500,$C30,'DADOS BRUTOS'!GM$3:GM$500)))</f>
        <v/>
      </c>
      <c r="JN30" s="132">
        <f>IF(OR(JN$4="",$B30=""),0,SUMIF('DADOS BRUTOS'!$A$3:$A$500,$B30,'DADOS BRUTOS'!GN$3:GN$500)+IF($C30="",0,SUMIF('DADOS BRUTOS'!$A$3:$A$500,$C30,'DADOS BRUTOS'!GN$3:GN$500)))</f>
        <v/>
      </c>
      <c r="JO30" s="132">
        <f>IF(OR(JO$4="",$B30=""),0,SUMIF('DADOS BRUTOS'!$A$3:$A$500,$B30,'DADOS BRUTOS'!GO$3:GO$500)+IF($C30="",0,SUMIF('DADOS BRUTOS'!$A$3:$A$500,$C30,'DADOS BRUTOS'!GO$3:GO$500)))</f>
        <v/>
      </c>
      <c r="JP30" s="132">
        <f>IF(OR(JP$4="",$B30=""),0,SUMIF('DADOS BRUTOS'!$A$3:$A$500,$B30,'DADOS BRUTOS'!GP$3:GP$500)+IF($C30="",0,SUMIF('DADOS BRUTOS'!$A$3:$A$500,$C30,'DADOS BRUTOS'!GP$3:GP$500)))</f>
        <v/>
      </c>
      <c r="JQ30" s="132">
        <f>IF(OR(JQ$4="",$B30=""),0,SUMIF('DADOS BRUTOS'!$A$3:$A$500,$B30,'DADOS BRUTOS'!GQ$3:GQ$500)+IF($C30="",0,SUMIF('DADOS BRUTOS'!$A$3:$A$500,$C30,'DADOS BRUTOS'!GQ$3:GQ$500)))</f>
        <v/>
      </c>
      <c r="JR30" s="132">
        <f>IF(OR(JR$4="",$B30=""),0,SUMIF('DADOS BRUTOS'!$A$3:$A$500,$B30,'DADOS BRUTOS'!GR$3:GR$500)+IF($C30="",0,SUMIF('DADOS BRUTOS'!$A$3:$A$500,$C30,'DADOS BRUTOS'!GR$3:GR$500)))</f>
        <v/>
      </c>
      <c r="JS30" s="132">
        <f>IF(OR(JS$4="",$B30=""),0,SUMIF('DADOS BRUTOS'!$A$3:$A$500,$B30,'DADOS BRUTOS'!GS$3:GS$500)+IF($C30="",0,SUMIF('DADOS BRUTOS'!$A$3:$A$500,$C30,'DADOS BRUTOS'!GS$3:GS$500)))</f>
        <v/>
      </c>
    </row>
    <row r="31">
      <c r="A31" s="61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BZ31" s="49">
        <f>SUMPRODUCT(($CB$4:$JS$4&lt;&gt;"")*($CB$4:$JS$4&lt;=$D$4),$CB31:$JS31,$CB$1:$JS$1)</f>
        <v/>
      </c>
      <c r="CB31" s="132">
        <f>IF(OR(CB$4="",$B31=""),0,SUMIF('DADOS BRUTOS'!$A$3:$A$500,$B31,'DADOS BRUTOS'!B$3:B$500)+IF($C31="",0,SUMIF('DADOS BRUTOS'!$A$3:$A$500,$C31,'DADOS BRUTOS'!B$3:B$500)))</f>
        <v/>
      </c>
      <c r="CC31" s="132">
        <f>IF(OR(CC$4="",$B31=""),0,SUMIF('DADOS BRUTOS'!$A$3:$A$500,$B31,'DADOS BRUTOS'!C$3:C$500)+IF($C31="",0,SUMIF('DADOS BRUTOS'!$A$3:$A$500,$C31,'DADOS BRUTOS'!C$3:C$500)))</f>
        <v/>
      </c>
      <c r="CD31" s="132">
        <f>IF(OR(CD$4="",$B31=""),0,SUMIF('DADOS BRUTOS'!$A$3:$A$500,$B31,'DADOS BRUTOS'!D$3:D$500)+IF($C31="",0,SUMIF('DADOS BRUTOS'!$A$3:$A$500,$C31,'DADOS BRUTOS'!D$3:D$500)))</f>
        <v/>
      </c>
      <c r="CE31" s="132">
        <f>IF(OR(CE$4="",$B31=""),0,SUMIF('DADOS BRUTOS'!$A$3:$A$500,$B31,'DADOS BRUTOS'!E$3:E$500)+IF($C31="",0,SUMIF('DADOS BRUTOS'!$A$3:$A$500,$C31,'DADOS BRUTOS'!E$3:E$500)))</f>
        <v/>
      </c>
      <c r="CF31" s="132">
        <f>IF(OR(CF$4="",$B31=""),0,SUMIF('DADOS BRUTOS'!$A$3:$A$500,$B31,'DADOS BRUTOS'!F$3:F$500)+IF($C31="",0,SUMIF('DADOS BRUTOS'!$A$3:$A$500,$C31,'DADOS BRUTOS'!F$3:F$500)))</f>
        <v/>
      </c>
      <c r="CG31" s="132">
        <f>IF(OR(CG$4="",$B31=""),0,SUMIF('DADOS BRUTOS'!$A$3:$A$500,$B31,'DADOS BRUTOS'!G$3:G$500)+IF($C31="",0,SUMIF('DADOS BRUTOS'!$A$3:$A$500,$C31,'DADOS BRUTOS'!G$3:G$500)))</f>
        <v/>
      </c>
      <c r="CH31" s="132">
        <f>IF(OR(CH$4="",$B31=""),0,SUMIF('DADOS BRUTOS'!$A$3:$A$500,$B31,'DADOS BRUTOS'!H$3:H$500)+IF($C31="",0,SUMIF('DADOS BRUTOS'!$A$3:$A$500,$C31,'DADOS BRUTOS'!H$3:H$500)))</f>
        <v/>
      </c>
      <c r="CI31" s="132">
        <f>IF(OR(CI$4="",$B31=""),0,SUMIF('DADOS BRUTOS'!$A$3:$A$500,$B31,'DADOS BRUTOS'!I$3:I$500)+IF($C31="",0,SUMIF('DADOS BRUTOS'!$A$3:$A$500,$C31,'DADOS BRUTOS'!I$3:I$500)))</f>
        <v/>
      </c>
      <c r="CJ31" s="132">
        <f>IF(OR(CJ$4="",$B31=""),0,SUMIF('DADOS BRUTOS'!$A$3:$A$500,$B31,'DADOS BRUTOS'!J$3:J$500)+IF($C31="",0,SUMIF('DADOS BRUTOS'!$A$3:$A$500,$C31,'DADOS BRUTOS'!J$3:J$500)))</f>
        <v/>
      </c>
      <c r="CK31" s="132">
        <f>IF(OR(CK$4="",$B31=""),0,SUMIF('DADOS BRUTOS'!$A$3:$A$500,$B31,'DADOS BRUTOS'!K$3:K$500)+IF($C31="",0,SUMIF('DADOS BRUTOS'!$A$3:$A$500,$C31,'DADOS BRUTOS'!K$3:K$500)))</f>
        <v/>
      </c>
      <c r="CL31" s="132">
        <f>IF(OR(CL$4="",$B31=""),0,SUMIF('DADOS BRUTOS'!$A$3:$A$500,$B31,'DADOS BRUTOS'!L$3:L$500)+IF($C31="",0,SUMIF('DADOS BRUTOS'!$A$3:$A$500,$C31,'DADOS BRUTOS'!L$3:L$500)))</f>
        <v/>
      </c>
      <c r="CM31" s="132">
        <f>IF(OR(CM$4="",$B31=""),0,SUMIF('DADOS BRUTOS'!$A$3:$A$500,$B31,'DADOS BRUTOS'!M$3:M$500)+IF($C31="",0,SUMIF('DADOS BRUTOS'!$A$3:$A$500,$C31,'DADOS BRUTOS'!M$3:M$500)))</f>
        <v/>
      </c>
      <c r="CN31" s="132">
        <f>IF(OR(CN$4="",$B31=""),0,SUMIF('DADOS BRUTOS'!$A$3:$A$500,$B31,'DADOS BRUTOS'!N$3:N$500)+IF($C31="",0,SUMIF('DADOS BRUTOS'!$A$3:$A$500,$C31,'DADOS BRUTOS'!N$3:N$500)))</f>
        <v/>
      </c>
      <c r="CO31" s="132">
        <f>IF(OR(CO$4="",$B31=""),0,SUMIF('DADOS BRUTOS'!$A$3:$A$500,$B31,'DADOS BRUTOS'!O$3:O$500)+IF($C31="",0,SUMIF('DADOS BRUTOS'!$A$3:$A$500,$C31,'DADOS BRUTOS'!O$3:O$500)))</f>
        <v/>
      </c>
      <c r="CP31" s="132">
        <f>IF(OR(CP$4="",$B31=""),0,SUMIF('DADOS BRUTOS'!$A$3:$A$500,$B31,'DADOS BRUTOS'!P$3:P$500)+IF($C31="",0,SUMIF('DADOS BRUTOS'!$A$3:$A$500,$C31,'DADOS BRUTOS'!P$3:P$500)))</f>
        <v/>
      </c>
      <c r="CQ31" s="132">
        <f>IF(OR(CQ$4="",$B31=""),0,SUMIF('DADOS BRUTOS'!$A$3:$A$500,$B31,'DADOS BRUTOS'!Q$3:Q$500)+IF($C31="",0,SUMIF('DADOS BRUTOS'!$A$3:$A$500,$C31,'DADOS BRUTOS'!Q$3:Q$500)))</f>
        <v/>
      </c>
      <c r="CR31" s="132">
        <f>IF(OR(CR$4="",$B31=""),0,SUMIF('DADOS BRUTOS'!$A$3:$A$500,$B31,'DADOS BRUTOS'!R$3:R$500)+IF($C31="",0,SUMIF('DADOS BRUTOS'!$A$3:$A$500,$C31,'DADOS BRUTOS'!R$3:R$500)))</f>
        <v/>
      </c>
      <c r="CS31" s="132">
        <f>IF(OR(CS$4="",$B31=""),0,SUMIF('DADOS BRUTOS'!$A$3:$A$500,$B31,'DADOS BRUTOS'!S$3:S$500)+IF($C31="",0,SUMIF('DADOS BRUTOS'!$A$3:$A$500,$C31,'DADOS BRUTOS'!S$3:S$500)))</f>
        <v/>
      </c>
      <c r="CT31" s="132">
        <f>IF(OR(CT$4="",$B31=""),0,SUMIF('DADOS BRUTOS'!$A$3:$A$500,$B31,'DADOS BRUTOS'!T$3:T$500)+IF($C31="",0,SUMIF('DADOS BRUTOS'!$A$3:$A$500,$C31,'DADOS BRUTOS'!T$3:T$500)))</f>
        <v/>
      </c>
      <c r="CU31" s="132">
        <f>IF(OR(CU$4="",$B31=""),0,SUMIF('DADOS BRUTOS'!$A$3:$A$500,$B31,'DADOS BRUTOS'!U$3:U$500)+IF($C31="",0,SUMIF('DADOS BRUTOS'!$A$3:$A$500,$C31,'DADOS BRUTOS'!U$3:U$500)))</f>
        <v/>
      </c>
      <c r="CV31" s="132">
        <f>IF(OR(CV$4="",$B31=""),0,SUMIF('DADOS BRUTOS'!$A$3:$A$500,$B31,'DADOS BRUTOS'!V$3:V$500)+IF($C31="",0,SUMIF('DADOS BRUTOS'!$A$3:$A$500,$C31,'DADOS BRUTOS'!V$3:V$500)))</f>
        <v/>
      </c>
      <c r="CW31" s="132">
        <f>IF(OR(CW$4="",$B31=""),0,SUMIF('DADOS BRUTOS'!$A$3:$A$500,$B31,'DADOS BRUTOS'!W$3:W$500)+IF($C31="",0,SUMIF('DADOS BRUTOS'!$A$3:$A$500,$C31,'DADOS BRUTOS'!W$3:W$500)))</f>
        <v/>
      </c>
      <c r="CX31" s="132">
        <f>IF(OR(CX$4="",$B31=""),0,SUMIF('DADOS BRUTOS'!$A$3:$A$500,$B31,'DADOS BRUTOS'!X$3:X$500)+IF($C31="",0,SUMIF('DADOS BRUTOS'!$A$3:$A$500,$C31,'DADOS BRUTOS'!X$3:X$500)))</f>
        <v/>
      </c>
      <c r="CY31" s="132">
        <f>IF(OR(CY$4="",$B31=""),0,SUMIF('DADOS BRUTOS'!$A$3:$A$500,$B31,'DADOS BRUTOS'!Y$3:Y$500)+IF($C31="",0,SUMIF('DADOS BRUTOS'!$A$3:$A$500,$C31,'DADOS BRUTOS'!Y$3:Y$500)))</f>
        <v/>
      </c>
      <c r="CZ31" s="132">
        <f>IF(OR(CZ$4="",$B31=""),0,SUMIF('DADOS BRUTOS'!$A$3:$A$500,$B31,'DADOS BRUTOS'!Z$3:Z$500)+IF($C31="",0,SUMIF('DADOS BRUTOS'!$A$3:$A$500,$C31,'DADOS BRUTOS'!Z$3:Z$500)))</f>
        <v/>
      </c>
      <c r="DA31" s="132">
        <f>IF(OR(DA$4="",$B31=""),0,SUMIF('DADOS BRUTOS'!$A$3:$A$500,$B31,'DADOS BRUTOS'!AA$3:AA$500)+IF($C31="",0,SUMIF('DADOS BRUTOS'!$A$3:$A$500,$C31,'DADOS BRUTOS'!AA$3:AA$500)))</f>
        <v/>
      </c>
      <c r="DB31" s="132">
        <f>IF(OR(DB$4="",$B31=""),0,SUMIF('DADOS BRUTOS'!$A$3:$A$500,$B31,'DADOS BRUTOS'!AB$3:AB$500)+IF($C31="",0,SUMIF('DADOS BRUTOS'!$A$3:$A$500,$C31,'DADOS BRUTOS'!AB$3:AB$500)))</f>
        <v/>
      </c>
      <c r="DC31" s="132">
        <f>IF(OR(DC$4="",$B31=""),0,SUMIF('DADOS BRUTOS'!$A$3:$A$500,$B31,'DADOS BRUTOS'!AC$3:AC$500)+IF($C31="",0,SUMIF('DADOS BRUTOS'!$A$3:$A$500,$C31,'DADOS BRUTOS'!AC$3:AC$500)))</f>
        <v/>
      </c>
      <c r="DD31" s="132">
        <f>IF(OR(DD$4="",$B31=""),0,SUMIF('DADOS BRUTOS'!$A$3:$A$500,$B31,'DADOS BRUTOS'!AD$3:AD$500)+IF($C31="",0,SUMIF('DADOS BRUTOS'!$A$3:$A$500,$C31,'DADOS BRUTOS'!AD$3:AD$500)))</f>
        <v/>
      </c>
      <c r="DE31" s="132">
        <f>IF(OR(DE$4="",$B31=""),0,SUMIF('DADOS BRUTOS'!$A$3:$A$500,$B31,'DADOS BRUTOS'!AE$3:AE$500)+IF($C31="",0,SUMIF('DADOS BRUTOS'!$A$3:$A$500,$C31,'DADOS BRUTOS'!AE$3:AE$500)))</f>
        <v/>
      </c>
      <c r="DF31" s="132">
        <f>IF(OR(DF$4="",$B31=""),0,SUMIF('DADOS BRUTOS'!$A$3:$A$500,$B31,'DADOS BRUTOS'!AF$3:AF$500)+IF($C31="",0,SUMIF('DADOS BRUTOS'!$A$3:$A$500,$C31,'DADOS BRUTOS'!AF$3:AF$500)))</f>
        <v/>
      </c>
      <c r="DG31" s="132">
        <f>IF(OR(DG$4="",$B31=""),0,SUMIF('DADOS BRUTOS'!$A$3:$A$500,$B31,'DADOS BRUTOS'!AG$3:AG$500)+IF($C31="",0,SUMIF('DADOS BRUTOS'!$A$3:$A$500,$C31,'DADOS BRUTOS'!AG$3:AG$500)))</f>
        <v/>
      </c>
      <c r="DH31" s="132">
        <f>IF(OR(DH$4="",$B31=""),0,SUMIF('DADOS BRUTOS'!$A$3:$A$500,$B31,'DADOS BRUTOS'!AH$3:AH$500)+IF($C31="",0,SUMIF('DADOS BRUTOS'!$A$3:$A$500,$C31,'DADOS BRUTOS'!AH$3:AH$500)))</f>
        <v/>
      </c>
      <c r="DI31" s="132">
        <f>IF(OR(DI$4="",$B31=""),0,SUMIF('DADOS BRUTOS'!$A$3:$A$500,$B31,'DADOS BRUTOS'!AI$3:AI$500)+IF($C31="",0,SUMIF('DADOS BRUTOS'!$A$3:$A$500,$C31,'DADOS BRUTOS'!AI$3:AI$500)))</f>
        <v/>
      </c>
      <c r="DJ31" s="132">
        <f>IF(OR(DJ$4="",$B31=""),0,SUMIF('DADOS BRUTOS'!$A$3:$A$500,$B31,'DADOS BRUTOS'!AJ$3:AJ$500)+IF($C31="",0,SUMIF('DADOS BRUTOS'!$A$3:$A$500,$C31,'DADOS BRUTOS'!AJ$3:AJ$500)))</f>
        <v/>
      </c>
      <c r="DK31" s="132">
        <f>IF(OR(DK$4="",$B31=""),0,SUMIF('DADOS BRUTOS'!$A$3:$A$500,$B31,'DADOS BRUTOS'!AK$3:AK$500)+IF($C31="",0,SUMIF('DADOS BRUTOS'!$A$3:$A$500,$C31,'DADOS BRUTOS'!AK$3:AK$500)))</f>
        <v/>
      </c>
      <c r="DL31" s="132">
        <f>IF(OR(DL$4="",$B31=""),0,SUMIF('DADOS BRUTOS'!$A$3:$A$500,$B31,'DADOS BRUTOS'!AL$3:AL$500)+IF($C31="",0,SUMIF('DADOS BRUTOS'!$A$3:$A$500,$C31,'DADOS BRUTOS'!AL$3:AL$500)))</f>
        <v/>
      </c>
      <c r="DM31" s="132">
        <f>IF(OR(DM$4="",$B31=""),0,SUMIF('DADOS BRUTOS'!$A$3:$A$500,$B31,'DADOS BRUTOS'!AM$3:AM$500)+IF($C31="",0,SUMIF('DADOS BRUTOS'!$A$3:$A$500,$C31,'DADOS BRUTOS'!AM$3:AM$500)))</f>
        <v/>
      </c>
      <c r="DN31" s="132">
        <f>IF(OR(DN$4="",$B31=""),0,SUMIF('DADOS BRUTOS'!$A$3:$A$500,$B31,'DADOS BRUTOS'!AN$3:AN$500)+IF($C31="",0,SUMIF('DADOS BRUTOS'!$A$3:$A$500,$C31,'DADOS BRUTOS'!AN$3:AN$500)))</f>
        <v/>
      </c>
      <c r="DO31" s="132">
        <f>IF(OR(DO$4="",$B31=""),0,SUMIF('DADOS BRUTOS'!$A$3:$A$500,$B31,'DADOS BRUTOS'!AO$3:AO$500)+IF($C31="",0,SUMIF('DADOS BRUTOS'!$A$3:$A$500,$C31,'DADOS BRUTOS'!AO$3:AO$500)))</f>
        <v/>
      </c>
      <c r="DP31" s="132">
        <f>IF(OR(DP$4="",$B31=""),0,SUMIF('DADOS BRUTOS'!$A$3:$A$500,$B31,'DADOS BRUTOS'!AP$3:AP$500)+IF($C31="",0,SUMIF('DADOS BRUTOS'!$A$3:$A$500,$C31,'DADOS BRUTOS'!AP$3:AP$500)))</f>
        <v/>
      </c>
      <c r="DQ31" s="132">
        <f>IF(OR(DQ$4="",$B31=""),0,SUMIF('DADOS BRUTOS'!$A$3:$A$500,$B31,'DADOS BRUTOS'!AQ$3:AQ$500)+IF($C31="",0,SUMIF('DADOS BRUTOS'!$A$3:$A$500,$C31,'DADOS BRUTOS'!AQ$3:AQ$500)))</f>
        <v/>
      </c>
      <c r="DR31" s="132">
        <f>IF(OR(DR$4="",$B31=""),0,SUMIF('DADOS BRUTOS'!$A$3:$A$500,$B31,'DADOS BRUTOS'!AR$3:AR$500)+IF($C31="",0,SUMIF('DADOS BRUTOS'!$A$3:$A$500,$C31,'DADOS BRUTOS'!AR$3:AR$500)))</f>
        <v/>
      </c>
      <c r="DS31" s="132">
        <f>IF(OR(DS$4="",$B31=""),0,SUMIF('DADOS BRUTOS'!$A$3:$A$500,$B31,'DADOS BRUTOS'!AS$3:AS$500)+IF($C31="",0,SUMIF('DADOS BRUTOS'!$A$3:$A$500,$C31,'DADOS BRUTOS'!AS$3:AS$500)))</f>
        <v/>
      </c>
      <c r="DT31" s="132">
        <f>IF(OR(DT$4="",$B31=""),0,SUMIF('DADOS BRUTOS'!$A$3:$A$500,$B31,'DADOS BRUTOS'!AT$3:AT$500)+IF($C31="",0,SUMIF('DADOS BRUTOS'!$A$3:$A$500,$C31,'DADOS BRUTOS'!AT$3:AT$500)))</f>
        <v/>
      </c>
      <c r="DU31" s="132">
        <f>IF(OR(DU$4="",$B31=""),0,SUMIF('DADOS BRUTOS'!$A$3:$A$500,$B31,'DADOS BRUTOS'!AU$3:AU$500)+IF($C31="",0,SUMIF('DADOS BRUTOS'!$A$3:$A$500,$C31,'DADOS BRUTOS'!AU$3:AU$500)))</f>
        <v/>
      </c>
      <c r="DV31" s="132">
        <f>IF(OR(DV$4="",$B31=""),0,SUMIF('DADOS BRUTOS'!$A$3:$A$500,$B31,'DADOS BRUTOS'!AV$3:AV$500)+IF($C31="",0,SUMIF('DADOS BRUTOS'!$A$3:$A$500,$C31,'DADOS BRUTOS'!AV$3:AV$500)))</f>
        <v/>
      </c>
      <c r="DW31" s="132">
        <f>IF(OR(DW$4="",$B31=""),0,SUMIF('DADOS BRUTOS'!$A$3:$A$500,$B31,'DADOS BRUTOS'!AW$3:AW$500)+IF($C31="",0,SUMIF('DADOS BRUTOS'!$A$3:$A$500,$C31,'DADOS BRUTOS'!AW$3:AW$500)))</f>
        <v/>
      </c>
      <c r="DX31" s="132">
        <f>IF(OR(DX$4="",$B31=""),0,SUMIF('DADOS BRUTOS'!$A$3:$A$500,$B31,'DADOS BRUTOS'!AX$3:AX$500)+IF($C31="",0,SUMIF('DADOS BRUTOS'!$A$3:$A$500,$C31,'DADOS BRUTOS'!AX$3:AX$500)))</f>
        <v/>
      </c>
      <c r="DY31" s="132">
        <f>IF(OR(DY$4="",$B31=""),0,SUMIF('DADOS BRUTOS'!$A$3:$A$500,$B31,'DADOS BRUTOS'!AY$3:AY$500)+IF($C31="",0,SUMIF('DADOS BRUTOS'!$A$3:$A$500,$C31,'DADOS BRUTOS'!AY$3:AY$500)))</f>
        <v/>
      </c>
      <c r="DZ31" s="132">
        <f>IF(OR(DZ$4="",$B31=""),0,SUMIF('DADOS BRUTOS'!$A$3:$A$500,$B31,'DADOS BRUTOS'!AZ$3:AZ$500)+IF($C31="",0,SUMIF('DADOS BRUTOS'!$A$3:$A$500,$C31,'DADOS BRUTOS'!AZ$3:AZ$500)))</f>
        <v/>
      </c>
      <c r="EA31" s="132">
        <f>IF(OR(EA$4="",$B31=""),0,SUMIF('DADOS BRUTOS'!$A$3:$A$500,$B31,'DADOS BRUTOS'!BA$3:BA$500)+IF($C31="",0,SUMIF('DADOS BRUTOS'!$A$3:$A$500,$C31,'DADOS BRUTOS'!BA$3:BA$500)))</f>
        <v/>
      </c>
      <c r="EB31" s="132">
        <f>IF(OR(EB$4="",$B31=""),0,SUMIF('DADOS BRUTOS'!$A$3:$A$500,$B31,'DADOS BRUTOS'!BB$3:BB$500)+IF($C31="",0,SUMIF('DADOS BRUTOS'!$A$3:$A$500,$C31,'DADOS BRUTOS'!BB$3:BB$500)))</f>
        <v/>
      </c>
      <c r="EC31" s="132">
        <f>IF(OR(EC$4="",$B31=""),0,SUMIF('DADOS BRUTOS'!$A$3:$A$500,$B31,'DADOS BRUTOS'!BC$3:BC$500)+IF($C31="",0,SUMIF('DADOS BRUTOS'!$A$3:$A$500,$C31,'DADOS BRUTOS'!BC$3:BC$500)))</f>
        <v/>
      </c>
      <c r="ED31" s="132">
        <f>IF(OR(ED$4="",$B31=""),0,SUMIF('DADOS BRUTOS'!$A$3:$A$500,$B31,'DADOS BRUTOS'!BD$3:BD$500)+IF($C31="",0,SUMIF('DADOS BRUTOS'!$A$3:$A$500,$C31,'DADOS BRUTOS'!BD$3:BD$500)))</f>
        <v/>
      </c>
      <c r="EE31" s="132">
        <f>IF(OR(EE$4="",$B31=""),0,SUMIF('DADOS BRUTOS'!$A$3:$A$500,$B31,'DADOS BRUTOS'!BE$3:BE$500)+IF($C31="",0,SUMIF('DADOS BRUTOS'!$A$3:$A$500,$C31,'DADOS BRUTOS'!BE$3:BE$500)))</f>
        <v/>
      </c>
      <c r="EF31" s="132">
        <f>IF(OR(EF$4="",$B31=""),0,SUMIF('DADOS BRUTOS'!$A$3:$A$500,$B31,'DADOS BRUTOS'!BF$3:BF$500)+IF($C31="",0,SUMIF('DADOS BRUTOS'!$A$3:$A$500,$C31,'DADOS BRUTOS'!BF$3:BF$500)))</f>
        <v/>
      </c>
      <c r="EG31" s="132">
        <f>IF(OR(EG$4="",$B31=""),0,SUMIF('DADOS BRUTOS'!$A$3:$A$500,$B31,'DADOS BRUTOS'!BG$3:BG$500)+IF($C31="",0,SUMIF('DADOS BRUTOS'!$A$3:$A$500,$C31,'DADOS BRUTOS'!BG$3:BG$500)))</f>
        <v/>
      </c>
      <c r="EH31" s="132">
        <f>IF(OR(EH$4="",$B31=""),0,SUMIF('DADOS BRUTOS'!$A$3:$A$500,$B31,'DADOS BRUTOS'!BH$3:BH$500)+IF($C31="",0,SUMIF('DADOS BRUTOS'!$A$3:$A$500,$C31,'DADOS BRUTOS'!BH$3:BH$500)))</f>
        <v/>
      </c>
      <c r="EI31" s="132">
        <f>IF(OR(EI$4="",$B31=""),0,SUMIF('DADOS BRUTOS'!$A$3:$A$500,$B31,'DADOS BRUTOS'!BI$3:BI$500)+IF($C31="",0,SUMIF('DADOS BRUTOS'!$A$3:$A$500,$C31,'DADOS BRUTOS'!BI$3:BI$500)))</f>
        <v/>
      </c>
      <c r="EJ31" s="132">
        <f>IF(OR(EJ$4="",$B31=""),0,SUMIF('DADOS BRUTOS'!$A$3:$A$500,$B31,'DADOS BRUTOS'!BJ$3:BJ$500)+IF($C31="",0,SUMIF('DADOS BRUTOS'!$A$3:$A$500,$C31,'DADOS BRUTOS'!BJ$3:BJ$500)))</f>
        <v/>
      </c>
      <c r="EK31" s="132">
        <f>IF(OR(EK$4="",$B31=""),0,SUMIF('DADOS BRUTOS'!$A$3:$A$500,$B31,'DADOS BRUTOS'!BK$3:BK$500)+IF($C31="",0,SUMIF('DADOS BRUTOS'!$A$3:$A$500,$C31,'DADOS BRUTOS'!BK$3:BK$500)))</f>
        <v/>
      </c>
      <c r="EL31" s="132">
        <f>IF(OR(EL$4="",$B31=""),0,SUMIF('DADOS BRUTOS'!$A$3:$A$500,$B31,'DADOS BRUTOS'!BL$3:BL$500)+IF($C31="",0,SUMIF('DADOS BRUTOS'!$A$3:$A$500,$C31,'DADOS BRUTOS'!BL$3:BL$500)))</f>
        <v/>
      </c>
      <c r="EM31" s="132">
        <f>IF(OR(EM$4="",$B31=""),0,SUMIF('DADOS BRUTOS'!$A$3:$A$500,$B31,'DADOS BRUTOS'!BM$3:BM$500)+IF($C31="",0,SUMIF('DADOS BRUTOS'!$A$3:$A$500,$C31,'DADOS BRUTOS'!BM$3:BM$500)))</f>
        <v/>
      </c>
      <c r="EN31" s="132">
        <f>IF(OR(EN$4="",$B31=""),0,SUMIF('DADOS BRUTOS'!$A$3:$A$500,$B31,'DADOS BRUTOS'!BN$3:BN$500)+IF($C31="",0,SUMIF('DADOS BRUTOS'!$A$3:$A$500,$C31,'DADOS BRUTOS'!BN$3:BN$500)))</f>
        <v/>
      </c>
      <c r="EO31" s="132">
        <f>IF(OR(EO$4="",$B31=""),0,SUMIF('DADOS BRUTOS'!$A$3:$A$500,$B31,'DADOS BRUTOS'!BO$3:BO$500)+IF($C31="",0,SUMIF('DADOS BRUTOS'!$A$3:$A$500,$C31,'DADOS BRUTOS'!BO$3:BO$500)))</f>
        <v/>
      </c>
      <c r="EP31" s="132">
        <f>IF(OR(EP$4="",$B31=""),0,SUMIF('DADOS BRUTOS'!$A$3:$A$500,$B31,'DADOS BRUTOS'!BP$3:BP$500)+IF($C31="",0,SUMIF('DADOS BRUTOS'!$A$3:$A$500,$C31,'DADOS BRUTOS'!BP$3:BP$500)))</f>
        <v/>
      </c>
      <c r="EQ31" s="132">
        <f>IF(OR(EQ$4="",$B31=""),0,SUMIF('DADOS BRUTOS'!$A$3:$A$500,$B31,'DADOS BRUTOS'!BQ$3:BQ$500)+IF($C31="",0,SUMIF('DADOS BRUTOS'!$A$3:$A$500,$C31,'DADOS BRUTOS'!BQ$3:BQ$500)))</f>
        <v/>
      </c>
      <c r="ER31" s="132">
        <f>IF(OR(ER$4="",$B31=""),0,SUMIF('DADOS BRUTOS'!$A$3:$A$500,$B31,'DADOS BRUTOS'!BR$3:BR$500)+IF($C31="",0,SUMIF('DADOS BRUTOS'!$A$3:$A$500,$C31,'DADOS BRUTOS'!BR$3:BR$500)))</f>
        <v/>
      </c>
      <c r="ES31" s="132">
        <f>IF(OR(ES$4="",$B31=""),0,SUMIF('DADOS BRUTOS'!$A$3:$A$500,$B31,'DADOS BRUTOS'!BS$3:BS$500)+IF($C31="",0,SUMIF('DADOS BRUTOS'!$A$3:$A$500,$C31,'DADOS BRUTOS'!BS$3:BS$500)))</f>
        <v/>
      </c>
      <c r="ET31" s="132">
        <f>IF(OR(ET$4="",$B31=""),0,SUMIF('DADOS BRUTOS'!$A$3:$A$500,$B31,'DADOS BRUTOS'!BT$3:BT$500)+IF($C31="",0,SUMIF('DADOS BRUTOS'!$A$3:$A$500,$C31,'DADOS BRUTOS'!BT$3:BT$500)))</f>
        <v/>
      </c>
      <c r="EU31" s="132">
        <f>IF(OR(EU$4="",$B31=""),0,SUMIF('DADOS BRUTOS'!$A$3:$A$500,$B31,'DADOS BRUTOS'!BU$3:BU$500)+IF($C31="",0,SUMIF('DADOS BRUTOS'!$A$3:$A$500,$C31,'DADOS BRUTOS'!BU$3:BU$500)))</f>
        <v/>
      </c>
      <c r="EV31" s="132">
        <f>IF(OR(EV$4="",$B31=""),0,SUMIF('DADOS BRUTOS'!$A$3:$A$500,$B31,'DADOS BRUTOS'!BV$3:BV$500)+IF($C31="",0,SUMIF('DADOS BRUTOS'!$A$3:$A$500,$C31,'DADOS BRUTOS'!BV$3:BV$500)))</f>
        <v/>
      </c>
      <c r="EW31" s="132">
        <f>IF(OR(EW$4="",$B31=""),0,SUMIF('DADOS BRUTOS'!$A$3:$A$500,$B31,'DADOS BRUTOS'!BW$3:BW$500)+IF($C31="",0,SUMIF('DADOS BRUTOS'!$A$3:$A$500,$C31,'DADOS BRUTOS'!BW$3:BW$500)))</f>
        <v/>
      </c>
      <c r="EX31" s="132">
        <f>IF(OR(EX$4="",$B31=""),0,SUMIF('DADOS BRUTOS'!$A$3:$A$500,$B31,'DADOS BRUTOS'!BX$3:BX$500)+IF($C31="",0,SUMIF('DADOS BRUTOS'!$A$3:$A$500,$C31,'DADOS BRUTOS'!BX$3:BX$500)))</f>
        <v/>
      </c>
      <c r="EY31" s="132">
        <f>IF(OR(EY$4="",$B31=""),0,SUMIF('DADOS BRUTOS'!$A$3:$A$500,$B31,'DADOS BRUTOS'!BY$3:BY$500)+IF($C31="",0,SUMIF('DADOS BRUTOS'!$A$3:$A$500,$C31,'DADOS BRUTOS'!BY$3:BY$500)))</f>
        <v/>
      </c>
      <c r="EZ31" s="132">
        <f>IF(OR(EZ$4="",$B31=""),0,SUMIF('DADOS BRUTOS'!$A$3:$A$500,$B31,'DADOS BRUTOS'!BZ$3:BZ$500)+IF($C31="",0,SUMIF('DADOS BRUTOS'!$A$3:$A$500,$C31,'DADOS BRUTOS'!BZ$3:BZ$500)))</f>
        <v/>
      </c>
      <c r="FA31" s="132">
        <f>IF(OR(FA$4="",$B31=""),0,SUMIF('DADOS BRUTOS'!$A$3:$A$500,$B31,'DADOS BRUTOS'!CA$3:CA$500)+IF($C31="",0,SUMIF('DADOS BRUTOS'!$A$3:$A$500,$C31,'DADOS BRUTOS'!CA$3:CA$500)))</f>
        <v/>
      </c>
      <c r="FB31" s="132">
        <f>IF(OR(FB$4="",$B31=""),0,SUMIF('DADOS BRUTOS'!$A$3:$A$500,$B31,'DADOS BRUTOS'!CB$3:CB$500)+IF($C31="",0,SUMIF('DADOS BRUTOS'!$A$3:$A$500,$C31,'DADOS BRUTOS'!CB$3:CB$500)))</f>
        <v/>
      </c>
      <c r="FC31" s="132">
        <f>IF(OR(FC$4="",$B31=""),0,SUMIF('DADOS BRUTOS'!$A$3:$A$500,$B31,'DADOS BRUTOS'!CC$3:CC$500)+IF($C31="",0,SUMIF('DADOS BRUTOS'!$A$3:$A$500,$C31,'DADOS BRUTOS'!CC$3:CC$500)))</f>
        <v/>
      </c>
      <c r="FD31" s="132">
        <f>IF(OR(FD$4="",$B31=""),0,SUMIF('DADOS BRUTOS'!$A$3:$A$500,$B31,'DADOS BRUTOS'!CD$3:CD$500)+IF($C31="",0,SUMIF('DADOS BRUTOS'!$A$3:$A$500,$C31,'DADOS BRUTOS'!CD$3:CD$500)))</f>
        <v/>
      </c>
      <c r="FE31" s="132">
        <f>IF(OR(FE$4="",$B31=""),0,SUMIF('DADOS BRUTOS'!$A$3:$A$500,$B31,'DADOS BRUTOS'!CE$3:CE$500)+IF($C31="",0,SUMIF('DADOS BRUTOS'!$A$3:$A$500,$C31,'DADOS BRUTOS'!CE$3:CE$500)))</f>
        <v/>
      </c>
      <c r="FF31" s="132">
        <f>IF(OR(FF$4="",$B31=""),0,SUMIF('DADOS BRUTOS'!$A$3:$A$500,$B31,'DADOS BRUTOS'!CF$3:CF$500)+IF($C31="",0,SUMIF('DADOS BRUTOS'!$A$3:$A$500,$C31,'DADOS BRUTOS'!CF$3:CF$500)))</f>
        <v/>
      </c>
      <c r="FG31" s="132">
        <f>IF(OR(FG$4="",$B31=""),0,SUMIF('DADOS BRUTOS'!$A$3:$A$500,$B31,'DADOS BRUTOS'!CG$3:CG$500)+IF($C31="",0,SUMIF('DADOS BRUTOS'!$A$3:$A$500,$C31,'DADOS BRUTOS'!CG$3:CG$500)))</f>
        <v/>
      </c>
      <c r="FH31" s="132">
        <f>IF(OR(FH$4="",$B31=""),0,SUMIF('DADOS BRUTOS'!$A$3:$A$500,$B31,'DADOS BRUTOS'!CH$3:CH$500)+IF($C31="",0,SUMIF('DADOS BRUTOS'!$A$3:$A$500,$C31,'DADOS BRUTOS'!CH$3:CH$500)))</f>
        <v/>
      </c>
      <c r="FI31" s="132">
        <f>IF(OR(FI$4="",$B31=""),0,SUMIF('DADOS BRUTOS'!$A$3:$A$500,$B31,'DADOS BRUTOS'!CI$3:CI$500)+IF($C31="",0,SUMIF('DADOS BRUTOS'!$A$3:$A$500,$C31,'DADOS BRUTOS'!CI$3:CI$500)))</f>
        <v/>
      </c>
      <c r="FJ31" s="132">
        <f>IF(OR(FJ$4="",$B31=""),0,SUMIF('DADOS BRUTOS'!$A$3:$A$500,$B31,'DADOS BRUTOS'!CJ$3:CJ$500)+IF($C31="",0,SUMIF('DADOS BRUTOS'!$A$3:$A$500,$C31,'DADOS BRUTOS'!CJ$3:CJ$500)))</f>
        <v/>
      </c>
      <c r="FK31" s="132">
        <f>IF(OR(FK$4="",$B31=""),0,SUMIF('DADOS BRUTOS'!$A$3:$A$500,$B31,'DADOS BRUTOS'!CK$3:CK$500)+IF($C31="",0,SUMIF('DADOS BRUTOS'!$A$3:$A$500,$C31,'DADOS BRUTOS'!CK$3:CK$500)))</f>
        <v/>
      </c>
      <c r="FL31" s="132">
        <f>IF(OR(FL$4="",$B31=""),0,SUMIF('DADOS BRUTOS'!$A$3:$A$500,$B31,'DADOS BRUTOS'!CL$3:CL$500)+IF($C31="",0,SUMIF('DADOS BRUTOS'!$A$3:$A$500,$C31,'DADOS BRUTOS'!CL$3:CL$500)))</f>
        <v/>
      </c>
      <c r="FM31" s="132">
        <f>IF(OR(FM$4="",$B31=""),0,SUMIF('DADOS BRUTOS'!$A$3:$A$500,$B31,'DADOS BRUTOS'!CM$3:CM$500)+IF($C31="",0,SUMIF('DADOS BRUTOS'!$A$3:$A$500,$C31,'DADOS BRUTOS'!CM$3:CM$500)))</f>
        <v/>
      </c>
      <c r="FN31" s="132">
        <f>IF(OR(FN$4="",$B31=""),0,SUMIF('DADOS BRUTOS'!$A$3:$A$500,$B31,'DADOS BRUTOS'!CN$3:CN$500)+IF($C31="",0,SUMIF('DADOS BRUTOS'!$A$3:$A$500,$C31,'DADOS BRUTOS'!CN$3:CN$500)))</f>
        <v/>
      </c>
      <c r="FO31" s="132">
        <f>IF(OR(FO$4="",$B31=""),0,SUMIF('DADOS BRUTOS'!$A$3:$A$500,$B31,'DADOS BRUTOS'!CO$3:CO$500)+IF($C31="",0,SUMIF('DADOS BRUTOS'!$A$3:$A$500,$C31,'DADOS BRUTOS'!CO$3:CO$500)))</f>
        <v/>
      </c>
      <c r="FP31" s="132">
        <f>IF(OR(FP$4="",$B31=""),0,SUMIF('DADOS BRUTOS'!$A$3:$A$500,$B31,'DADOS BRUTOS'!CP$3:CP$500)+IF($C31="",0,SUMIF('DADOS BRUTOS'!$A$3:$A$500,$C31,'DADOS BRUTOS'!CP$3:CP$500)))</f>
        <v/>
      </c>
      <c r="FQ31" s="132">
        <f>IF(OR(FQ$4="",$B31=""),0,SUMIF('DADOS BRUTOS'!$A$3:$A$500,$B31,'DADOS BRUTOS'!CQ$3:CQ$500)+IF($C31="",0,SUMIF('DADOS BRUTOS'!$A$3:$A$500,$C31,'DADOS BRUTOS'!CQ$3:CQ$500)))</f>
        <v/>
      </c>
      <c r="FR31" s="132">
        <f>IF(OR(FR$4="",$B31=""),0,SUMIF('DADOS BRUTOS'!$A$3:$A$500,$B31,'DADOS BRUTOS'!CR$3:CR$500)+IF($C31="",0,SUMIF('DADOS BRUTOS'!$A$3:$A$500,$C31,'DADOS BRUTOS'!CR$3:CR$500)))</f>
        <v/>
      </c>
      <c r="FS31" s="132">
        <f>IF(OR(FS$4="",$B31=""),0,SUMIF('DADOS BRUTOS'!$A$3:$A$500,$B31,'DADOS BRUTOS'!CS$3:CS$500)+IF($C31="",0,SUMIF('DADOS BRUTOS'!$A$3:$A$500,$C31,'DADOS BRUTOS'!CS$3:CS$500)))</f>
        <v/>
      </c>
      <c r="FT31" s="132">
        <f>IF(OR(FT$4="",$B31=""),0,SUMIF('DADOS BRUTOS'!$A$3:$A$500,$B31,'DADOS BRUTOS'!CT$3:CT$500)+IF($C31="",0,SUMIF('DADOS BRUTOS'!$A$3:$A$500,$C31,'DADOS BRUTOS'!CT$3:CT$500)))</f>
        <v/>
      </c>
      <c r="FU31" s="132">
        <f>IF(OR(FU$4="",$B31=""),0,SUMIF('DADOS BRUTOS'!$A$3:$A$500,$B31,'DADOS BRUTOS'!CU$3:CU$500)+IF($C31="",0,SUMIF('DADOS BRUTOS'!$A$3:$A$500,$C31,'DADOS BRUTOS'!CU$3:CU$500)))</f>
        <v/>
      </c>
      <c r="FV31" s="132">
        <f>IF(OR(FV$4="",$B31=""),0,SUMIF('DADOS BRUTOS'!$A$3:$A$500,$B31,'DADOS BRUTOS'!CV$3:CV$500)+IF($C31="",0,SUMIF('DADOS BRUTOS'!$A$3:$A$500,$C31,'DADOS BRUTOS'!CV$3:CV$500)))</f>
        <v/>
      </c>
      <c r="FW31" s="132">
        <f>IF(OR(FW$4="",$B31=""),0,SUMIF('DADOS BRUTOS'!$A$3:$A$500,$B31,'DADOS BRUTOS'!CW$3:CW$500)+IF($C31="",0,SUMIF('DADOS BRUTOS'!$A$3:$A$500,$C31,'DADOS BRUTOS'!CW$3:CW$500)))</f>
        <v/>
      </c>
      <c r="FX31" s="132">
        <f>IF(OR(FX$4="",$B31=""),0,SUMIF('DADOS BRUTOS'!$A$3:$A$500,$B31,'DADOS BRUTOS'!CX$3:CX$500)+IF($C31="",0,SUMIF('DADOS BRUTOS'!$A$3:$A$500,$C31,'DADOS BRUTOS'!CX$3:CX$500)))</f>
        <v/>
      </c>
      <c r="FY31" s="132">
        <f>IF(OR(FY$4="",$B31=""),0,SUMIF('DADOS BRUTOS'!$A$3:$A$500,$B31,'DADOS BRUTOS'!CY$3:CY$500)+IF($C31="",0,SUMIF('DADOS BRUTOS'!$A$3:$A$500,$C31,'DADOS BRUTOS'!CY$3:CY$500)))</f>
        <v/>
      </c>
      <c r="FZ31" s="132">
        <f>IF(OR(FZ$4="",$B31=""),0,SUMIF('DADOS BRUTOS'!$A$3:$A$500,$B31,'DADOS BRUTOS'!CZ$3:CZ$500)+IF($C31="",0,SUMIF('DADOS BRUTOS'!$A$3:$A$500,$C31,'DADOS BRUTOS'!CZ$3:CZ$500)))</f>
        <v/>
      </c>
      <c r="GA31" s="132">
        <f>IF(OR(GA$4="",$B31=""),0,SUMIF('DADOS BRUTOS'!$A$3:$A$500,$B31,'DADOS BRUTOS'!DA$3:DA$500)+IF($C31="",0,SUMIF('DADOS BRUTOS'!$A$3:$A$500,$C31,'DADOS BRUTOS'!DA$3:DA$500)))</f>
        <v/>
      </c>
      <c r="GB31" s="132">
        <f>IF(OR(GB$4="",$B31=""),0,SUMIF('DADOS BRUTOS'!$A$3:$A$500,$B31,'DADOS BRUTOS'!DB$3:DB$500)+IF($C31="",0,SUMIF('DADOS BRUTOS'!$A$3:$A$500,$C31,'DADOS BRUTOS'!DB$3:DB$500)))</f>
        <v/>
      </c>
      <c r="GC31" s="132">
        <f>IF(OR(GC$4="",$B31=""),0,SUMIF('DADOS BRUTOS'!$A$3:$A$500,$B31,'DADOS BRUTOS'!DC$3:DC$500)+IF($C31="",0,SUMIF('DADOS BRUTOS'!$A$3:$A$500,$C31,'DADOS BRUTOS'!DC$3:DC$500)))</f>
        <v/>
      </c>
      <c r="GD31" s="132">
        <f>IF(OR(GD$4="",$B31=""),0,SUMIF('DADOS BRUTOS'!$A$3:$A$500,$B31,'DADOS BRUTOS'!DD$3:DD$500)+IF($C31="",0,SUMIF('DADOS BRUTOS'!$A$3:$A$500,$C31,'DADOS BRUTOS'!DD$3:DD$500)))</f>
        <v/>
      </c>
      <c r="GE31" s="132">
        <f>IF(OR(GE$4="",$B31=""),0,SUMIF('DADOS BRUTOS'!$A$3:$A$500,$B31,'DADOS BRUTOS'!DE$3:DE$500)+IF($C31="",0,SUMIF('DADOS BRUTOS'!$A$3:$A$500,$C31,'DADOS BRUTOS'!DE$3:DE$500)))</f>
        <v/>
      </c>
      <c r="GF31" s="132">
        <f>IF(OR(GF$4="",$B31=""),0,SUMIF('DADOS BRUTOS'!$A$3:$A$500,$B31,'DADOS BRUTOS'!DF$3:DF$500)+IF($C31="",0,SUMIF('DADOS BRUTOS'!$A$3:$A$500,$C31,'DADOS BRUTOS'!DF$3:DF$500)))</f>
        <v/>
      </c>
      <c r="GG31" s="132">
        <f>IF(OR(GG$4="",$B31=""),0,SUMIF('DADOS BRUTOS'!$A$3:$A$500,$B31,'DADOS BRUTOS'!DG$3:DG$500)+IF($C31="",0,SUMIF('DADOS BRUTOS'!$A$3:$A$500,$C31,'DADOS BRUTOS'!DG$3:DG$500)))</f>
        <v/>
      </c>
      <c r="GH31" s="132">
        <f>IF(OR(GH$4="",$B31=""),0,SUMIF('DADOS BRUTOS'!$A$3:$A$500,$B31,'DADOS BRUTOS'!DH$3:DH$500)+IF($C31="",0,SUMIF('DADOS BRUTOS'!$A$3:$A$500,$C31,'DADOS BRUTOS'!DH$3:DH$500)))</f>
        <v/>
      </c>
      <c r="GI31" s="132">
        <f>IF(OR(GI$4="",$B31=""),0,SUMIF('DADOS BRUTOS'!$A$3:$A$500,$B31,'DADOS BRUTOS'!DI$3:DI$500)+IF($C31="",0,SUMIF('DADOS BRUTOS'!$A$3:$A$500,$C31,'DADOS BRUTOS'!DI$3:DI$500)))</f>
        <v/>
      </c>
      <c r="GJ31" s="132">
        <f>IF(OR(GJ$4="",$B31=""),0,SUMIF('DADOS BRUTOS'!$A$3:$A$500,$B31,'DADOS BRUTOS'!DJ$3:DJ$500)+IF($C31="",0,SUMIF('DADOS BRUTOS'!$A$3:$A$500,$C31,'DADOS BRUTOS'!DJ$3:DJ$500)))</f>
        <v/>
      </c>
      <c r="GK31" s="132">
        <f>IF(OR(GK$4="",$B31=""),0,SUMIF('DADOS BRUTOS'!$A$3:$A$500,$B31,'DADOS BRUTOS'!DK$3:DK$500)+IF($C31="",0,SUMIF('DADOS BRUTOS'!$A$3:$A$500,$C31,'DADOS BRUTOS'!DK$3:DK$500)))</f>
        <v/>
      </c>
      <c r="GL31" s="132">
        <f>IF(OR(GL$4="",$B31=""),0,SUMIF('DADOS BRUTOS'!$A$3:$A$500,$B31,'DADOS BRUTOS'!DL$3:DL$500)+IF($C31="",0,SUMIF('DADOS BRUTOS'!$A$3:$A$500,$C31,'DADOS BRUTOS'!DL$3:DL$500)))</f>
        <v/>
      </c>
      <c r="GM31" s="132">
        <f>IF(OR(GM$4="",$B31=""),0,SUMIF('DADOS BRUTOS'!$A$3:$A$500,$B31,'DADOS BRUTOS'!DM$3:DM$500)+IF($C31="",0,SUMIF('DADOS BRUTOS'!$A$3:$A$500,$C31,'DADOS BRUTOS'!DM$3:DM$500)))</f>
        <v/>
      </c>
      <c r="GN31" s="132">
        <f>IF(OR(GN$4="",$B31=""),0,SUMIF('DADOS BRUTOS'!$A$3:$A$500,$B31,'DADOS BRUTOS'!DN$3:DN$500)+IF($C31="",0,SUMIF('DADOS BRUTOS'!$A$3:$A$500,$C31,'DADOS BRUTOS'!DN$3:DN$500)))</f>
        <v/>
      </c>
      <c r="GO31" s="132">
        <f>IF(OR(GO$4="",$B31=""),0,SUMIF('DADOS BRUTOS'!$A$3:$A$500,$B31,'DADOS BRUTOS'!DO$3:DO$500)+IF($C31="",0,SUMIF('DADOS BRUTOS'!$A$3:$A$500,$C31,'DADOS BRUTOS'!DO$3:DO$500)))</f>
        <v/>
      </c>
      <c r="GP31" s="132">
        <f>IF(OR(GP$4="",$B31=""),0,SUMIF('DADOS BRUTOS'!$A$3:$A$500,$B31,'DADOS BRUTOS'!DP$3:DP$500)+IF($C31="",0,SUMIF('DADOS BRUTOS'!$A$3:$A$500,$C31,'DADOS BRUTOS'!DP$3:DP$500)))</f>
        <v/>
      </c>
      <c r="GQ31" s="132">
        <f>IF(OR(GQ$4="",$B31=""),0,SUMIF('DADOS BRUTOS'!$A$3:$A$500,$B31,'DADOS BRUTOS'!DQ$3:DQ$500)+IF($C31="",0,SUMIF('DADOS BRUTOS'!$A$3:$A$500,$C31,'DADOS BRUTOS'!DQ$3:DQ$500)))</f>
        <v/>
      </c>
      <c r="GR31" s="132">
        <f>IF(OR(GR$4="",$B31=""),0,SUMIF('DADOS BRUTOS'!$A$3:$A$500,$B31,'DADOS BRUTOS'!DR$3:DR$500)+IF($C31="",0,SUMIF('DADOS BRUTOS'!$A$3:$A$500,$C31,'DADOS BRUTOS'!DR$3:DR$500)))</f>
        <v/>
      </c>
      <c r="GS31" s="132">
        <f>IF(OR(GS$4="",$B31=""),0,SUMIF('DADOS BRUTOS'!$A$3:$A$500,$B31,'DADOS BRUTOS'!DS$3:DS$500)+IF($C31="",0,SUMIF('DADOS BRUTOS'!$A$3:$A$500,$C31,'DADOS BRUTOS'!DS$3:DS$500)))</f>
        <v/>
      </c>
      <c r="GT31" s="132">
        <f>IF(OR(GT$4="",$B31=""),0,SUMIF('DADOS BRUTOS'!$A$3:$A$500,$B31,'DADOS BRUTOS'!DT$3:DT$500)+IF($C31="",0,SUMIF('DADOS BRUTOS'!$A$3:$A$500,$C31,'DADOS BRUTOS'!DT$3:DT$500)))</f>
        <v/>
      </c>
      <c r="GU31" s="132">
        <f>IF(OR(GU$4="",$B31=""),0,SUMIF('DADOS BRUTOS'!$A$3:$A$500,$B31,'DADOS BRUTOS'!DU$3:DU$500)+IF($C31="",0,SUMIF('DADOS BRUTOS'!$A$3:$A$500,$C31,'DADOS BRUTOS'!DU$3:DU$500)))</f>
        <v/>
      </c>
      <c r="GV31" s="132">
        <f>IF(OR(GV$4="",$B31=""),0,SUMIF('DADOS BRUTOS'!$A$3:$A$500,$B31,'DADOS BRUTOS'!DV$3:DV$500)+IF($C31="",0,SUMIF('DADOS BRUTOS'!$A$3:$A$500,$C31,'DADOS BRUTOS'!DV$3:DV$500)))</f>
        <v/>
      </c>
      <c r="GW31" s="132">
        <f>IF(OR(GW$4="",$B31=""),0,SUMIF('DADOS BRUTOS'!$A$3:$A$500,$B31,'DADOS BRUTOS'!DW$3:DW$500)+IF($C31="",0,SUMIF('DADOS BRUTOS'!$A$3:$A$500,$C31,'DADOS BRUTOS'!DW$3:DW$500)))</f>
        <v/>
      </c>
      <c r="GX31" s="132">
        <f>IF(OR(GX$4="",$B31=""),0,SUMIF('DADOS BRUTOS'!$A$3:$A$500,$B31,'DADOS BRUTOS'!DX$3:DX$500)+IF($C31="",0,SUMIF('DADOS BRUTOS'!$A$3:$A$500,$C31,'DADOS BRUTOS'!DX$3:DX$500)))</f>
        <v/>
      </c>
      <c r="GY31" s="132">
        <f>IF(OR(GY$4="",$B31=""),0,SUMIF('DADOS BRUTOS'!$A$3:$A$500,$B31,'DADOS BRUTOS'!DY$3:DY$500)+IF($C31="",0,SUMIF('DADOS BRUTOS'!$A$3:$A$500,$C31,'DADOS BRUTOS'!DY$3:DY$500)))</f>
        <v/>
      </c>
      <c r="GZ31" s="132">
        <f>IF(OR(GZ$4="",$B31=""),0,SUMIF('DADOS BRUTOS'!$A$3:$A$500,$B31,'DADOS BRUTOS'!DZ$3:DZ$500)+IF($C31="",0,SUMIF('DADOS BRUTOS'!$A$3:$A$500,$C31,'DADOS BRUTOS'!DZ$3:DZ$500)))</f>
        <v/>
      </c>
      <c r="HA31" s="132">
        <f>IF(OR(HA$4="",$B31=""),0,SUMIF('DADOS BRUTOS'!$A$3:$A$500,$B31,'DADOS BRUTOS'!EA$3:EA$500)+IF($C31="",0,SUMIF('DADOS BRUTOS'!$A$3:$A$500,$C31,'DADOS BRUTOS'!EA$3:EA$500)))</f>
        <v/>
      </c>
      <c r="HB31" s="132">
        <f>IF(OR(HB$4="",$B31=""),0,SUMIF('DADOS BRUTOS'!$A$3:$A$500,$B31,'DADOS BRUTOS'!EB$3:EB$500)+IF($C31="",0,SUMIF('DADOS BRUTOS'!$A$3:$A$500,$C31,'DADOS BRUTOS'!EB$3:EB$500)))</f>
        <v/>
      </c>
      <c r="HC31" s="132">
        <f>IF(OR(HC$4="",$B31=""),0,SUMIF('DADOS BRUTOS'!$A$3:$A$500,$B31,'DADOS BRUTOS'!EC$3:EC$500)+IF($C31="",0,SUMIF('DADOS BRUTOS'!$A$3:$A$500,$C31,'DADOS BRUTOS'!EC$3:EC$500)))</f>
        <v/>
      </c>
      <c r="HD31" s="132">
        <f>IF(OR(HD$4="",$B31=""),0,SUMIF('DADOS BRUTOS'!$A$3:$A$500,$B31,'DADOS BRUTOS'!ED$3:ED$500)+IF($C31="",0,SUMIF('DADOS BRUTOS'!$A$3:$A$500,$C31,'DADOS BRUTOS'!ED$3:ED$500)))</f>
        <v/>
      </c>
      <c r="HE31" s="132">
        <f>IF(OR(HE$4="",$B31=""),0,SUMIF('DADOS BRUTOS'!$A$3:$A$500,$B31,'DADOS BRUTOS'!EE$3:EE$500)+IF($C31="",0,SUMIF('DADOS BRUTOS'!$A$3:$A$500,$C31,'DADOS BRUTOS'!EE$3:EE$500)))</f>
        <v/>
      </c>
      <c r="HF31" s="132">
        <f>IF(OR(HF$4="",$B31=""),0,SUMIF('DADOS BRUTOS'!$A$3:$A$500,$B31,'DADOS BRUTOS'!EF$3:EF$500)+IF($C31="",0,SUMIF('DADOS BRUTOS'!$A$3:$A$500,$C31,'DADOS BRUTOS'!EF$3:EF$500)))</f>
        <v/>
      </c>
      <c r="HG31" s="132">
        <f>IF(OR(HG$4="",$B31=""),0,SUMIF('DADOS BRUTOS'!$A$3:$A$500,$B31,'DADOS BRUTOS'!EG$3:EG$500)+IF($C31="",0,SUMIF('DADOS BRUTOS'!$A$3:$A$500,$C31,'DADOS BRUTOS'!EG$3:EG$500)))</f>
        <v/>
      </c>
      <c r="HH31" s="132">
        <f>IF(OR(HH$4="",$B31=""),0,SUMIF('DADOS BRUTOS'!$A$3:$A$500,$B31,'DADOS BRUTOS'!EH$3:EH$500)+IF($C31="",0,SUMIF('DADOS BRUTOS'!$A$3:$A$500,$C31,'DADOS BRUTOS'!EH$3:EH$500)))</f>
        <v/>
      </c>
      <c r="HI31" s="132">
        <f>IF(OR(HI$4="",$B31=""),0,SUMIF('DADOS BRUTOS'!$A$3:$A$500,$B31,'DADOS BRUTOS'!EI$3:EI$500)+IF($C31="",0,SUMIF('DADOS BRUTOS'!$A$3:$A$500,$C31,'DADOS BRUTOS'!EI$3:EI$500)))</f>
        <v/>
      </c>
      <c r="HJ31" s="132">
        <f>IF(OR(HJ$4="",$B31=""),0,SUMIF('DADOS BRUTOS'!$A$3:$A$500,$B31,'DADOS BRUTOS'!EJ$3:EJ$500)+IF($C31="",0,SUMIF('DADOS BRUTOS'!$A$3:$A$500,$C31,'DADOS BRUTOS'!EJ$3:EJ$500)))</f>
        <v/>
      </c>
      <c r="HK31" s="132">
        <f>IF(OR(HK$4="",$B31=""),0,SUMIF('DADOS BRUTOS'!$A$3:$A$500,$B31,'DADOS BRUTOS'!EK$3:EK$500)+IF($C31="",0,SUMIF('DADOS BRUTOS'!$A$3:$A$500,$C31,'DADOS BRUTOS'!EK$3:EK$500)))</f>
        <v/>
      </c>
      <c r="HL31" s="132">
        <f>IF(OR(HL$4="",$B31=""),0,SUMIF('DADOS BRUTOS'!$A$3:$A$500,$B31,'DADOS BRUTOS'!EL$3:EL$500)+IF($C31="",0,SUMIF('DADOS BRUTOS'!$A$3:$A$500,$C31,'DADOS BRUTOS'!EL$3:EL$500)))</f>
        <v/>
      </c>
      <c r="HM31" s="132">
        <f>IF(OR(HM$4="",$B31=""),0,SUMIF('DADOS BRUTOS'!$A$3:$A$500,$B31,'DADOS BRUTOS'!EM$3:EM$500)+IF($C31="",0,SUMIF('DADOS BRUTOS'!$A$3:$A$500,$C31,'DADOS BRUTOS'!EM$3:EM$500)))</f>
        <v/>
      </c>
      <c r="HN31" s="132">
        <f>IF(OR(HN$4="",$B31=""),0,SUMIF('DADOS BRUTOS'!$A$3:$A$500,$B31,'DADOS BRUTOS'!EN$3:EN$500)+IF($C31="",0,SUMIF('DADOS BRUTOS'!$A$3:$A$500,$C31,'DADOS BRUTOS'!EN$3:EN$500)))</f>
        <v/>
      </c>
      <c r="HO31" s="132">
        <f>IF(OR(HO$4="",$B31=""),0,SUMIF('DADOS BRUTOS'!$A$3:$A$500,$B31,'DADOS BRUTOS'!EO$3:EO$500)+IF($C31="",0,SUMIF('DADOS BRUTOS'!$A$3:$A$500,$C31,'DADOS BRUTOS'!EO$3:EO$500)))</f>
        <v/>
      </c>
      <c r="HP31" s="132">
        <f>IF(OR(HP$4="",$B31=""),0,SUMIF('DADOS BRUTOS'!$A$3:$A$500,$B31,'DADOS BRUTOS'!EP$3:EP$500)+IF($C31="",0,SUMIF('DADOS BRUTOS'!$A$3:$A$500,$C31,'DADOS BRUTOS'!EP$3:EP$500)))</f>
        <v/>
      </c>
      <c r="HQ31" s="132">
        <f>IF(OR(HQ$4="",$B31=""),0,SUMIF('DADOS BRUTOS'!$A$3:$A$500,$B31,'DADOS BRUTOS'!EQ$3:EQ$500)+IF($C31="",0,SUMIF('DADOS BRUTOS'!$A$3:$A$500,$C31,'DADOS BRUTOS'!EQ$3:EQ$500)))</f>
        <v/>
      </c>
      <c r="HR31" s="132">
        <f>IF(OR(HR$4="",$B31=""),0,SUMIF('DADOS BRUTOS'!$A$3:$A$500,$B31,'DADOS BRUTOS'!ER$3:ER$500)+IF($C31="",0,SUMIF('DADOS BRUTOS'!$A$3:$A$500,$C31,'DADOS BRUTOS'!ER$3:ER$500)))</f>
        <v/>
      </c>
      <c r="HS31" s="132">
        <f>IF(OR(HS$4="",$B31=""),0,SUMIF('DADOS BRUTOS'!$A$3:$A$500,$B31,'DADOS BRUTOS'!ES$3:ES$500)+IF($C31="",0,SUMIF('DADOS BRUTOS'!$A$3:$A$500,$C31,'DADOS BRUTOS'!ES$3:ES$500)))</f>
        <v/>
      </c>
      <c r="HT31" s="132">
        <f>IF(OR(HT$4="",$B31=""),0,SUMIF('DADOS BRUTOS'!$A$3:$A$500,$B31,'DADOS BRUTOS'!ET$3:ET$500)+IF($C31="",0,SUMIF('DADOS BRUTOS'!$A$3:$A$500,$C31,'DADOS BRUTOS'!ET$3:ET$500)))</f>
        <v/>
      </c>
      <c r="HU31" s="132">
        <f>IF(OR(HU$4="",$B31=""),0,SUMIF('DADOS BRUTOS'!$A$3:$A$500,$B31,'DADOS BRUTOS'!EU$3:EU$500)+IF($C31="",0,SUMIF('DADOS BRUTOS'!$A$3:$A$500,$C31,'DADOS BRUTOS'!EU$3:EU$500)))</f>
        <v/>
      </c>
      <c r="HV31" s="132">
        <f>IF(OR(HV$4="",$B31=""),0,SUMIF('DADOS BRUTOS'!$A$3:$A$500,$B31,'DADOS BRUTOS'!EV$3:EV$500)+IF($C31="",0,SUMIF('DADOS BRUTOS'!$A$3:$A$500,$C31,'DADOS BRUTOS'!EV$3:EV$500)))</f>
        <v/>
      </c>
      <c r="HW31" s="132">
        <f>IF(OR(HW$4="",$B31=""),0,SUMIF('DADOS BRUTOS'!$A$3:$A$500,$B31,'DADOS BRUTOS'!EW$3:EW$500)+IF($C31="",0,SUMIF('DADOS BRUTOS'!$A$3:$A$500,$C31,'DADOS BRUTOS'!EW$3:EW$500)))</f>
        <v/>
      </c>
      <c r="HX31" s="132">
        <f>IF(OR(HX$4="",$B31=""),0,SUMIF('DADOS BRUTOS'!$A$3:$A$500,$B31,'DADOS BRUTOS'!EX$3:EX$500)+IF($C31="",0,SUMIF('DADOS BRUTOS'!$A$3:$A$500,$C31,'DADOS BRUTOS'!EX$3:EX$500)))</f>
        <v/>
      </c>
      <c r="HY31" s="132">
        <f>IF(OR(HY$4="",$B31=""),0,SUMIF('DADOS BRUTOS'!$A$3:$A$500,$B31,'DADOS BRUTOS'!EY$3:EY$500)+IF($C31="",0,SUMIF('DADOS BRUTOS'!$A$3:$A$500,$C31,'DADOS BRUTOS'!EY$3:EY$500)))</f>
        <v/>
      </c>
      <c r="HZ31" s="132">
        <f>IF(OR(HZ$4="",$B31=""),0,SUMIF('DADOS BRUTOS'!$A$3:$A$500,$B31,'DADOS BRUTOS'!EZ$3:EZ$500)+IF($C31="",0,SUMIF('DADOS BRUTOS'!$A$3:$A$500,$C31,'DADOS BRUTOS'!EZ$3:EZ$500)))</f>
        <v/>
      </c>
      <c r="IA31" s="132">
        <f>IF(OR(IA$4="",$B31=""),0,SUMIF('DADOS BRUTOS'!$A$3:$A$500,$B31,'DADOS BRUTOS'!FA$3:FA$500)+IF($C31="",0,SUMIF('DADOS BRUTOS'!$A$3:$A$500,$C31,'DADOS BRUTOS'!FA$3:FA$500)))</f>
        <v/>
      </c>
      <c r="IB31" s="132">
        <f>IF(OR(IB$4="",$B31=""),0,SUMIF('DADOS BRUTOS'!$A$3:$A$500,$B31,'DADOS BRUTOS'!FB$3:FB$500)+IF($C31="",0,SUMIF('DADOS BRUTOS'!$A$3:$A$500,$C31,'DADOS BRUTOS'!FB$3:FB$500)))</f>
        <v/>
      </c>
      <c r="IC31" s="132">
        <f>IF(OR(IC$4="",$B31=""),0,SUMIF('DADOS BRUTOS'!$A$3:$A$500,$B31,'DADOS BRUTOS'!FC$3:FC$500)+IF($C31="",0,SUMIF('DADOS BRUTOS'!$A$3:$A$500,$C31,'DADOS BRUTOS'!FC$3:FC$500)))</f>
        <v/>
      </c>
      <c r="ID31" s="132">
        <f>IF(OR(ID$4="",$B31=""),0,SUMIF('DADOS BRUTOS'!$A$3:$A$500,$B31,'DADOS BRUTOS'!FD$3:FD$500)+IF($C31="",0,SUMIF('DADOS BRUTOS'!$A$3:$A$500,$C31,'DADOS BRUTOS'!FD$3:FD$500)))</f>
        <v/>
      </c>
      <c r="IE31" s="132">
        <f>IF(OR(IE$4="",$B31=""),0,SUMIF('DADOS BRUTOS'!$A$3:$A$500,$B31,'DADOS BRUTOS'!FE$3:FE$500)+IF($C31="",0,SUMIF('DADOS BRUTOS'!$A$3:$A$500,$C31,'DADOS BRUTOS'!FE$3:FE$500)))</f>
        <v/>
      </c>
      <c r="IF31" s="132">
        <f>IF(OR(IF$4="",$B31=""),0,SUMIF('DADOS BRUTOS'!$A$3:$A$500,$B31,'DADOS BRUTOS'!FF$3:FF$500)+IF($C31="",0,SUMIF('DADOS BRUTOS'!$A$3:$A$500,$C31,'DADOS BRUTOS'!FF$3:FF$500)))</f>
        <v/>
      </c>
      <c r="IG31" s="132">
        <f>IF(OR(IG$4="",$B31=""),0,SUMIF('DADOS BRUTOS'!$A$3:$A$500,$B31,'DADOS BRUTOS'!FG$3:FG$500)+IF($C31="",0,SUMIF('DADOS BRUTOS'!$A$3:$A$500,$C31,'DADOS BRUTOS'!FG$3:FG$500)))</f>
        <v/>
      </c>
      <c r="IH31" s="132">
        <f>IF(OR(IH$4="",$B31=""),0,SUMIF('DADOS BRUTOS'!$A$3:$A$500,$B31,'DADOS BRUTOS'!FH$3:FH$500)+IF($C31="",0,SUMIF('DADOS BRUTOS'!$A$3:$A$500,$C31,'DADOS BRUTOS'!FH$3:FH$500)))</f>
        <v/>
      </c>
      <c r="II31" s="132">
        <f>IF(OR(II$4="",$B31=""),0,SUMIF('DADOS BRUTOS'!$A$3:$A$500,$B31,'DADOS BRUTOS'!FI$3:FI$500)+IF($C31="",0,SUMIF('DADOS BRUTOS'!$A$3:$A$500,$C31,'DADOS BRUTOS'!FI$3:FI$500)))</f>
        <v/>
      </c>
      <c r="IJ31" s="132">
        <f>IF(OR(IJ$4="",$B31=""),0,SUMIF('DADOS BRUTOS'!$A$3:$A$500,$B31,'DADOS BRUTOS'!FJ$3:FJ$500)+IF($C31="",0,SUMIF('DADOS BRUTOS'!$A$3:$A$500,$C31,'DADOS BRUTOS'!FJ$3:FJ$500)))</f>
        <v/>
      </c>
      <c r="IK31" s="132">
        <f>IF(OR(IK$4="",$B31=""),0,SUMIF('DADOS BRUTOS'!$A$3:$A$500,$B31,'DADOS BRUTOS'!FK$3:FK$500)+IF($C31="",0,SUMIF('DADOS BRUTOS'!$A$3:$A$500,$C31,'DADOS BRUTOS'!FK$3:FK$500)))</f>
        <v/>
      </c>
      <c r="IL31" s="132">
        <f>IF(OR(IL$4="",$B31=""),0,SUMIF('DADOS BRUTOS'!$A$3:$A$500,$B31,'DADOS BRUTOS'!FL$3:FL$500)+IF($C31="",0,SUMIF('DADOS BRUTOS'!$A$3:$A$500,$C31,'DADOS BRUTOS'!FL$3:FL$500)))</f>
        <v/>
      </c>
      <c r="IM31" s="132">
        <f>IF(OR(IM$4="",$B31=""),0,SUMIF('DADOS BRUTOS'!$A$3:$A$500,$B31,'DADOS BRUTOS'!FM$3:FM$500)+IF($C31="",0,SUMIF('DADOS BRUTOS'!$A$3:$A$500,$C31,'DADOS BRUTOS'!FM$3:FM$500)))</f>
        <v/>
      </c>
      <c r="IN31" s="132">
        <f>IF(OR(IN$4="",$B31=""),0,SUMIF('DADOS BRUTOS'!$A$3:$A$500,$B31,'DADOS BRUTOS'!FN$3:FN$500)+IF($C31="",0,SUMIF('DADOS BRUTOS'!$A$3:$A$500,$C31,'DADOS BRUTOS'!FN$3:FN$500)))</f>
        <v/>
      </c>
      <c r="IO31" s="132">
        <f>IF(OR(IO$4="",$B31=""),0,SUMIF('DADOS BRUTOS'!$A$3:$A$500,$B31,'DADOS BRUTOS'!FO$3:FO$500)+IF($C31="",0,SUMIF('DADOS BRUTOS'!$A$3:$A$500,$C31,'DADOS BRUTOS'!FO$3:FO$500)))</f>
        <v/>
      </c>
      <c r="IP31" s="132">
        <f>IF(OR(IP$4="",$B31=""),0,SUMIF('DADOS BRUTOS'!$A$3:$A$500,$B31,'DADOS BRUTOS'!FP$3:FP$500)+IF($C31="",0,SUMIF('DADOS BRUTOS'!$A$3:$A$500,$C31,'DADOS BRUTOS'!FP$3:FP$500)))</f>
        <v/>
      </c>
      <c r="IQ31" s="132">
        <f>IF(OR(IQ$4="",$B31=""),0,SUMIF('DADOS BRUTOS'!$A$3:$A$500,$B31,'DADOS BRUTOS'!FQ$3:FQ$500)+IF($C31="",0,SUMIF('DADOS BRUTOS'!$A$3:$A$500,$C31,'DADOS BRUTOS'!FQ$3:FQ$500)))</f>
        <v/>
      </c>
      <c r="IR31" s="132">
        <f>IF(OR(IR$4="",$B31=""),0,SUMIF('DADOS BRUTOS'!$A$3:$A$500,$B31,'DADOS BRUTOS'!FR$3:FR$500)+IF($C31="",0,SUMIF('DADOS BRUTOS'!$A$3:$A$500,$C31,'DADOS BRUTOS'!FR$3:FR$500)))</f>
        <v/>
      </c>
      <c r="IS31" s="132">
        <f>IF(OR(IS$4="",$B31=""),0,SUMIF('DADOS BRUTOS'!$A$3:$A$500,$B31,'DADOS BRUTOS'!FS$3:FS$500)+IF($C31="",0,SUMIF('DADOS BRUTOS'!$A$3:$A$500,$C31,'DADOS BRUTOS'!FS$3:FS$500)))</f>
        <v/>
      </c>
      <c r="IT31" s="132">
        <f>IF(OR(IT$4="",$B31=""),0,SUMIF('DADOS BRUTOS'!$A$3:$A$500,$B31,'DADOS BRUTOS'!FT$3:FT$500)+IF($C31="",0,SUMIF('DADOS BRUTOS'!$A$3:$A$500,$C31,'DADOS BRUTOS'!FT$3:FT$500)))</f>
        <v/>
      </c>
      <c r="IU31" s="132">
        <f>IF(OR(IU$4="",$B31=""),0,SUMIF('DADOS BRUTOS'!$A$3:$A$500,$B31,'DADOS BRUTOS'!FU$3:FU$500)+IF($C31="",0,SUMIF('DADOS BRUTOS'!$A$3:$A$500,$C31,'DADOS BRUTOS'!FU$3:FU$500)))</f>
        <v/>
      </c>
      <c r="IV31" s="132">
        <f>IF(OR(IV$4="",$B31=""),0,SUMIF('DADOS BRUTOS'!$A$3:$A$500,$B31,'DADOS BRUTOS'!FV$3:FV$500)+IF($C31="",0,SUMIF('DADOS BRUTOS'!$A$3:$A$500,$C31,'DADOS BRUTOS'!FV$3:FV$500)))</f>
        <v/>
      </c>
      <c r="IW31" s="132">
        <f>IF(OR(IW$4="",$B31=""),0,SUMIF('DADOS BRUTOS'!$A$3:$A$500,$B31,'DADOS BRUTOS'!FW$3:FW$500)+IF($C31="",0,SUMIF('DADOS BRUTOS'!$A$3:$A$500,$C31,'DADOS BRUTOS'!FW$3:FW$500)))</f>
        <v/>
      </c>
      <c r="IX31" s="132">
        <f>IF(OR(IX$4="",$B31=""),0,SUMIF('DADOS BRUTOS'!$A$3:$A$500,$B31,'DADOS BRUTOS'!FX$3:FX$500)+IF($C31="",0,SUMIF('DADOS BRUTOS'!$A$3:$A$500,$C31,'DADOS BRUTOS'!FX$3:FX$500)))</f>
        <v/>
      </c>
      <c r="IY31" s="132">
        <f>IF(OR(IY$4="",$B31=""),0,SUMIF('DADOS BRUTOS'!$A$3:$A$500,$B31,'DADOS BRUTOS'!FY$3:FY$500)+IF($C31="",0,SUMIF('DADOS BRUTOS'!$A$3:$A$500,$C31,'DADOS BRUTOS'!FY$3:FY$500)))</f>
        <v/>
      </c>
      <c r="IZ31" s="132">
        <f>IF(OR(IZ$4="",$B31=""),0,SUMIF('DADOS BRUTOS'!$A$3:$A$500,$B31,'DADOS BRUTOS'!FZ$3:FZ$500)+IF($C31="",0,SUMIF('DADOS BRUTOS'!$A$3:$A$500,$C31,'DADOS BRUTOS'!FZ$3:FZ$500)))</f>
        <v/>
      </c>
      <c r="JA31" s="132">
        <f>IF(OR(JA$4="",$B31=""),0,SUMIF('DADOS BRUTOS'!$A$3:$A$500,$B31,'DADOS BRUTOS'!GA$3:GA$500)+IF($C31="",0,SUMIF('DADOS BRUTOS'!$A$3:$A$500,$C31,'DADOS BRUTOS'!GA$3:GA$500)))</f>
        <v/>
      </c>
      <c r="JB31" s="132">
        <f>IF(OR(JB$4="",$B31=""),0,SUMIF('DADOS BRUTOS'!$A$3:$A$500,$B31,'DADOS BRUTOS'!GB$3:GB$500)+IF($C31="",0,SUMIF('DADOS BRUTOS'!$A$3:$A$500,$C31,'DADOS BRUTOS'!GB$3:GB$500)))</f>
        <v/>
      </c>
      <c r="JC31" s="132">
        <f>IF(OR(JC$4="",$B31=""),0,SUMIF('DADOS BRUTOS'!$A$3:$A$500,$B31,'DADOS BRUTOS'!GC$3:GC$500)+IF($C31="",0,SUMIF('DADOS BRUTOS'!$A$3:$A$500,$C31,'DADOS BRUTOS'!GC$3:GC$500)))</f>
        <v/>
      </c>
      <c r="JD31" s="132">
        <f>IF(OR(JD$4="",$B31=""),0,SUMIF('DADOS BRUTOS'!$A$3:$A$500,$B31,'DADOS BRUTOS'!GD$3:GD$500)+IF($C31="",0,SUMIF('DADOS BRUTOS'!$A$3:$A$500,$C31,'DADOS BRUTOS'!GD$3:GD$500)))</f>
        <v/>
      </c>
      <c r="JE31" s="132">
        <f>IF(OR(JE$4="",$B31=""),0,SUMIF('DADOS BRUTOS'!$A$3:$A$500,$B31,'DADOS BRUTOS'!GE$3:GE$500)+IF($C31="",0,SUMIF('DADOS BRUTOS'!$A$3:$A$500,$C31,'DADOS BRUTOS'!GE$3:GE$500)))</f>
        <v/>
      </c>
      <c r="JF31" s="132">
        <f>IF(OR(JF$4="",$B31=""),0,SUMIF('DADOS BRUTOS'!$A$3:$A$500,$B31,'DADOS BRUTOS'!GF$3:GF$500)+IF($C31="",0,SUMIF('DADOS BRUTOS'!$A$3:$A$500,$C31,'DADOS BRUTOS'!GF$3:GF$500)))</f>
        <v/>
      </c>
      <c r="JG31" s="132">
        <f>IF(OR(JG$4="",$B31=""),0,SUMIF('DADOS BRUTOS'!$A$3:$A$500,$B31,'DADOS BRUTOS'!GG$3:GG$500)+IF($C31="",0,SUMIF('DADOS BRUTOS'!$A$3:$A$500,$C31,'DADOS BRUTOS'!GG$3:GG$500)))</f>
        <v/>
      </c>
      <c r="JH31" s="132">
        <f>IF(OR(JH$4="",$B31=""),0,SUMIF('DADOS BRUTOS'!$A$3:$A$500,$B31,'DADOS BRUTOS'!GH$3:GH$500)+IF($C31="",0,SUMIF('DADOS BRUTOS'!$A$3:$A$500,$C31,'DADOS BRUTOS'!GH$3:GH$500)))</f>
        <v/>
      </c>
      <c r="JI31" s="132">
        <f>IF(OR(JI$4="",$B31=""),0,SUMIF('DADOS BRUTOS'!$A$3:$A$500,$B31,'DADOS BRUTOS'!GI$3:GI$500)+IF($C31="",0,SUMIF('DADOS BRUTOS'!$A$3:$A$500,$C31,'DADOS BRUTOS'!GI$3:GI$500)))</f>
        <v/>
      </c>
      <c r="JJ31" s="132">
        <f>IF(OR(JJ$4="",$B31=""),0,SUMIF('DADOS BRUTOS'!$A$3:$A$500,$B31,'DADOS BRUTOS'!GJ$3:GJ$500)+IF($C31="",0,SUMIF('DADOS BRUTOS'!$A$3:$A$500,$C31,'DADOS BRUTOS'!GJ$3:GJ$500)))</f>
        <v/>
      </c>
      <c r="JK31" s="132">
        <f>IF(OR(JK$4="",$B31=""),0,SUMIF('DADOS BRUTOS'!$A$3:$A$500,$B31,'DADOS BRUTOS'!GK$3:GK$500)+IF($C31="",0,SUMIF('DADOS BRUTOS'!$A$3:$A$500,$C31,'DADOS BRUTOS'!GK$3:GK$500)))</f>
        <v/>
      </c>
      <c r="JL31" s="132">
        <f>IF(OR(JL$4="",$B31=""),0,SUMIF('DADOS BRUTOS'!$A$3:$A$500,$B31,'DADOS BRUTOS'!GL$3:GL$500)+IF($C31="",0,SUMIF('DADOS BRUTOS'!$A$3:$A$500,$C31,'DADOS BRUTOS'!GL$3:GL$500)))</f>
        <v/>
      </c>
      <c r="JM31" s="132">
        <f>IF(OR(JM$4="",$B31=""),0,SUMIF('DADOS BRUTOS'!$A$3:$A$500,$B31,'DADOS BRUTOS'!GM$3:GM$500)+IF($C31="",0,SUMIF('DADOS BRUTOS'!$A$3:$A$500,$C31,'DADOS BRUTOS'!GM$3:GM$500)))</f>
        <v/>
      </c>
      <c r="JN31" s="132">
        <f>IF(OR(JN$4="",$B31=""),0,SUMIF('DADOS BRUTOS'!$A$3:$A$500,$B31,'DADOS BRUTOS'!GN$3:GN$500)+IF($C31="",0,SUMIF('DADOS BRUTOS'!$A$3:$A$500,$C31,'DADOS BRUTOS'!GN$3:GN$500)))</f>
        <v/>
      </c>
      <c r="JO31" s="132">
        <f>IF(OR(JO$4="",$B31=""),0,SUMIF('DADOS BRUTOS'!$A$3:$A$500,$B31,'DADOS BRUTOS'!GO$3:GO$500)+IF($C31="",0,SUMIF('DADOS BRUTOS'!$A$3:$A$500,$C31,'DADOS BRUTOS'!GO$3:GO$500)))</f>
        <v/>
      </c>
      <c r="JP31" s="132">
        <f>IF(OR(JP$4="",$B31=""),0,SUMIF('DADOS BRUTOS'!$A$3:$A$500,$B31,'DADOS BRUTOS'!GP$3:GP$500)+IF($C31="",0,SUMIF('DADOS BRUTOS'!$A$3:$A$500,$C31,'DADOS BRUTOS'!GP$3:GP$500)))</f>
        <v/>
      </c>
      <c r="JQ31" s="132">
        <f>IF(OR(JQ$4="",$B31=""),0,SUMIF('DADOS BRUTOS'!$A$3:$A$500,$B31,'DADOS BRUTOS'!GQ$3:GQ$500)+IF($C31="",0,SUMIF('DADOS BRUTOS'!$A$3:$A$500,$C31,'DADOS BRUTOS'!GQ$3:GQ$500)))</f>
        <v/>
      </c>
      <c r="JR31" s="132">
        <f>IF(OR(JR$4="",$B31=""),0,SUMIF('DADOS BRUTOS'!$A$3:$A$500,$B31,'DADOS BRUTOS'!GR$3:GR$500)+IF($C31="",0,SUMIF('DADOS BRUTOS'!$A$3:$A$500,$C31,'DADOS BRUTOS'!GR$3:GR$500)))</f>
        <v/>
      </c>
      <c r="JS31" s="132">
        <f>IF(OR(JS$4="",$B31=""),0,SUMIF('DADOS BRUTOS'!$A$3:$A$500,$B31,'DADOS BRUTOS'!GS$3:GS$500)+IF($C31="",0,SUMIF('DADOS BRUTOS'!$A$3:$A$500,$C31,'DADOS BRUTOS'!GS$3:GS$500)))</f>
        <v/>
      </c>
    </row>
    <row r="32">
      <c r="A32" s="61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BZ32" s="49">
        <f>SUMPRODUCT(($CB$4:$JS$4&lt;&gt;"")*($CB$4:$JS$4&lt;=$D$4),$CB32:$JS32,$CB$1:$JS$1)</f>
        <v/>
      </c>
      <c r="CB32" s="132">
        <f>IF(OR(CB$4="",$B32=""),0,SUMIF('DADOS BRUTOS'!$A$3:$A$500,$B32,'DADOS BRUTOS'!B$3:B$500)+IF($C32="",0,SUMIF('DADOS BRUTOS'!$A$3:$A$500,$C32,'DADOS BRUTOS'!B$3:B$500)))</f>
        <v/>
      </c>
      <c r="CC32" s="132">
        <f>IF(OR(CC$4="",$B32=""),0,SUMIF('DADOS BRUTOS'!$A$3:$A$500,$B32,'DADOS BRUTOS'!C$3:C$500)+IF($C32="",0,SUMIF('DADOS BRUTOS'!$A$3:$A$500,$C32,'DADOS BRUTOS'!C$3:C$500)))</f>
        <v/>
      </c>
      <c r="CD32" s="132">
        <f>IF(OR(CD$4="",$B32=""),0,SUMIF('DADOS BRUTOS'!$A$3:$A$500,$B32,'DADOS BRUTOS'!D$3:D$500)+IF($C32="",0,SUMIF('DADOS BRUTOS'!$A$3:$A$500,$C32,'DADOS BRUTOS'!D$3:D$500)))</f>
        <v/>
      </c>
      <c r="CE32" s="132">
        <f>IF(OR(CE$4="",$B32=""),0,SUMIF('DADOS BRUTOS'!$A$3:$A$500,$B32,'DADOS BRUTOS'!E$3:E$500)+IF($C32="",0,SUMIF('DADOS BRUTOS'!$A$3:$A$500,$C32,'DADOS BRUTOS'!E$3:E$500)))</f>
        <v/>
      </c>
      <c r="CF32" s="132">
        <f>IF(OR(CF$4="",$B32=""),0,SUMIF('DADOS BRUTOS'!$A$3:$A$500,$B32,'DADOS BRUTOS'!F$3:F$500)+IF($C32="",0,SUMIF('DADOS BRUTOS'!$A$3:$A$500,$C32,'DADOS BRUTOS'!F$3:F$500)))</f>
        <v/>
      </c>
      <c r="CG32" s="132">
        <f>IF(OR(CG$4="",$B32=""),0,SUMIF('DADOS BRUTOS'!$A$3:$A$500,$B32,'DADOS BRUTOS'!G$3:G$500)+IF($C32="",0,SUMIF('DADOS BRUTOS'!$A$3:$A$500,$C32,'DADOS BRUTOS'!G$3:G$500)))</f>
        <v/>
      </c>
      <c r="CH32" s="132">
        <f>IF(OR(CH$4="",$B32=""),0,SUMIF('DADOS BRUTOS'!$A$3:$A$500,$B32,'DADOS BRUTOS'!H$3:H$500)+IF($C32="",0,SUMIF('DADOS BRUTOS'!$A$3:$A$500,$C32,'DADOS BRUTOS'!H$3:H$500)))</f>
        <v/>
      </c>
      <c r="CI32" s="132">
        <f>IF(OR(CI$4="",$B32=""),0,SUMIF('DADOS BRUTOS'!$A$3:$A$500,$B32,'DADOS BRUTOS'!I$3:I$500)+IF($C32="",0,SUMIF('DADOS BRUTOS'!$A$3:$A$500,$C32,'DADOS BRUTOS'!I$3:I$500)))</f>
        <v/>
      </c>
      <c r="CJ32" s="132">
        <f>IF(OR(CJ$4="",$B32=""),0,SUMIF('DADOS BRUTOS'!$A$3:$A$500,$B32,'DADOS BRUTOS'!J$3:J$500)+IF($C32="",0,SUMIF('DADOS BRUTOS'!$A$3:$A$500,$C32,'DADOS BRUTOS'!J$3:J$500)))</f>
        <v/>
      </c>
      <c r="CK32" s="132">
        <f>IF(OR(CK$4="",$B32=""),0,SUMIF('DADOS BRUTOS'!$A$3:$A$500,$B32,'DADOS BRUTOS'!K$3:K$500)+IF($C32="",0,SUMIF('DADOS BRUTOS'!$A$3:$A$500,$C32,'DADOS BRUTOS'!K$3:K$500)))</f>
        <v/>
      </c>
      <c r="CL32" s="132">
        <f>IF(OR(CL$4="",$B32=""),0,SUMIF('DADOS BRUTOS'!$A$3:$A$500,$B32,'DADOS BRUTOS'!L$3:L$500)+IF($C32="",0,SUMIF('DADOS BRUTOS'!$A$3:$A$500,$C32,'DADOS BRUTOS'!L$3:L$500)))</f>
        <v/>
      </c>
      <c r="CM32" s="132">
        <f>IF(OR(CM$4="",$B32=""),0,SUMIF('DADOS BRUTOS'!$A$3:$A$500,$B32,'DADOS BRUTOS'!M$3:M$500)+IF($C32="",0,SUMIF('DADOS BRUTOS'!$A$3:$A$500,$C32,'DADOS BRUTOS'!M$3:M$500)))</f>
        <v/>
      </c>
      <c r="CN32" s="132">
        <f>IF(OR(CN$4="",$B32=""),0,SUMIF('DADOS BRUTOS'!$A$3:$A$500,$B32,'DADOS BRUTOS'!N$3:N$500)+IF($C32="",0,SUMIF('DADOS BRUTOS'!$A$3:$A$500,$C32,'DADOS BRUTOS'!N$3:N$500)))</f>
        <v/>
      </c>
      <c r="CO32" s="132">
        <f>IF(OR(CO$4="",$B32=""),0,SUMIF('DADOS BRUTOS'!$A$3:$A$500,$B32,'DADOS BRUTOS'!O$3:O$500)+IF($C32="",0,SUMIF('DADOS BRUTOS'!$A$3:$A$500,$C32,'DADOS BRUTOS'!O$3:O$500)))</f>
        <v/>
      </c>
      <c r="CP32" s="132">
        <f>IF(OR(CP$4="",$B32=""),0,SUMIF('DADOS BRUTOS'!$A$3:$A$500,$B32,'DADOS BRUTOS'!P$3:P$500)+IF($C32="",0,SUMIF('DADOS BRUTOS'!$A$3:$A$500,$C32,'DADOS BRUTOS'!P$3:P$500)))</f>
        <v/>
      </c>
      <c r="CQ32" s="132">
        <f>IF(OR(CQ$4="",$B32=""),0,SUMIF('DADOS BRUTOS'!$A$3:$A$500,$B32,'DADOS BRUTOS'!Q$3:Q$500)+IF($C32="",0,SUMIF('DADOS BRUTOS'!$A$3:$A$500,$C32,'DADOS BRUTOS'!Q$3:Q$500)))</f>
        <v/>
      </c>
      <c r="CR32" s="132">
        <f>IF(OR(CR$4="",$B32=""),0,SUMIF('DADOS BRUTOS'!$A$3:$A$500,$B32,'DADOS BRUTOS'!R$3:R$500)+IF($C32="",0,SUMIF('DADOS BRUTOS'!$A$3:$A$500,$C32,'DADOS BRUTOS'!R$3:R$500)))</f>
        <v/>
      </c>
      <c r="CS32" s="132">
        <f>IF(OR(CS$4="",$B32=""),0,SUMIF('DADOS BRUTOS'!$A$3:$A$500,$B32,'DADOS BRUTOS'!S$3:S$500)+IF($C32="",0,SUMIF('DADOS BRUTOS'!$A$3:$A$500,$C32,'DADOS BRUTOS'!S$3:S$500)))</f>
        <v/>
      </c>
      <c r="CT32" s="132">
        <f>IF(OR(CT$4="",$B32=""),0,SUMIF('DADOS BRUTOS'!$A$3:$A$500,$B32,'DADOS BRUTOS'!T$3:T$500)+IF($C32="",0,SUMIF('DADOS BRUTOS'!$A$3:$A$500,$C32,'DADOS BRUTOS'!T$3:T$500)))</f>
        <v/>
      </c>
      <c r="CU32" s="132">
        <f>IF(OR(CU$4="",$B32=""),0,SUMIF('DADOS BRUTOS'!$A$3:$A$500,$B32,'DADOS BRUTOS'!U$3:U$500)+IF($C32="",0,SUMIF('DADOS BRUTOS'!$A$3:$A$500,$C32,'DADOS BRUTOS'!U$3:U$500)))</f>
        <v/>
      </c>
      <c r="CV32" s="132">
        <f>IF(OR(CV$4="",$B32=""),0,SUMIF('DADOS BRUTOS'!$A$3:$A$500,$B32,'DADOS BRUTOS'!V$3:V$500)+IF($C32="",0,SUMIF('DADOS BRUTOS'!$A$3:$A$500,$C32,'DADOS BRUTOS'!V$3:V$500)))</f>
        <v/>
      </c>
      <c r="CW32" s="132">
        <f>IF(OR(CW$4="",$B32=""),0,SUMIF('DADOS BRUTOS'!$A$3:$A$500,$B32,'DADOS BRUTOS'!W$3:W$500)+IF($C32="",0,SUMIF('DADOS BRUTOS'!$A$3:$A$500,$C32,'DADOS BRUTOS'!W$3:W$500)))</f>
        <v/>
      </c>
      <c r="CX32" s="132">
        <f>IF(OR(CX$4="",$B32=""),0,SUMIF('DADOS BRUTOS'!$A$3:$A$500,$B32,'DADOS BRUTOS'!X$3:X$500)+IF($C32="",0,SUMIF('DADOS BRUTOS'!$A$3:$A$500,$C32,'DADOS BRUTOS'!X$3:X$500)))</f>
        <v/>
      </c>
      <c r="CY32" s="132">
        <f>IF(OR(CY$4="",$B32=""),0,SUMIF('DADOS BRUTOS'!$A$3:$A$500,$B32,'DADOS BRUTOS'!Y$3:Y$500)+IF($C32="",0,SUMIF('DADOS BRUTOS'!$A$3:$A$500,$C32,'DADOS BRUTOS'!Y$3:Y$500)))</f>
        <v/>
      </c>
      <c r="CZ32" s="132">
        <f>IF(OR(CZ$4="",$B32=""),0,SUMIF('DADOS BRUTOS'!$A$3:$A$500,$B32,'DADOS BRUTOS'!Z$3:Z$500)+IF($C32="",0,SUMIF('DADOS BRUTOS'!$A$3:$A$500,$C32,'DADOS BRUTOS'!Z$3:Z$500)))</f>
        <v/>
      </c>
      <c r="DA32" s="132">
        <f>IF(OR(DA$4="",$B32=""),0,SUMIF('DADOS BRUTOS'!$A$3:$A$500,$B32,'DADOS BRUTOS'!AA$3:AA$500)+IF($C32="",0,SUMIF('DADOS BRUTOS'!$A$3:$A$500,$C32,'DADOS BRUTOS'!AA$3:AA$500)))</f>
        <v/>
      </c>
      <c r="DB32" s="132">
        <f>IF(OR(DB$4="",$B32=""),0,SUMIF('DADOS BRUTOS'!$A$3:$A$500,$B32,'DADOS BRUTOS'!AB$3:AB$500)+IF($C32="",0,SUMIF('DADOS BRUTOS'!$A$3:$A$500,$C32,'DADOS BRUTOS'!AB$3:AB$500)))</f>
        <v/>
      </c>
      <c r="DC32" s="132">
        <f>IF(OR(DC$4="",$B32=""),0,SUMIF('DADOS BRUTOS'!$A$3:$A$500,$B32,'DADOS BRUTOS'!AC$3:AC$500)+IF($C32="",0,SUMIF('DADOS BRUTOS'!$A$3:$A$500,$C32,'DADOS BRUTOS'!AC$3:AC$500)))</f>
        <v/>
      </c>
      <c r="DD32" s="132">
        <f>IF(OR(DD$4="",$B32=""),0,SUMIF('DADOS BRUTOS'!$A$3:$A$500,$B32,'DADOS BRUTOS'!AD$3:AD$500)+IF($C32="",0,SUMIF('DADOS BRUTOS'!$A$3:$A$500,$C32,'DADOS BRUTOS'!AD$3:AD$500)))</f>
        <v/>
      </c>
      <c r="DE32" s="132">
        <f>IF(OR(DE$4="",$B32=""),0,SUMIF('DADOS BRUTOS'!$A$3:$A$500,$B32,'DADOS BRUTOS'!AE$3:AE$500)+IF($C32="",0,SUMIF('DADOS BRUTOS'!$A$3:$A$500,$C32,'DADOS BRUTOS'!AE$3:AE$500)))</f>
        <v/>
      </c>
      <c r="DF32" s="132">
        <f>IF(OR(DF$4="",$B32=""),0,SUMIF('DADOS BRUTOS'!$A$3:$A$500,$B32,'DADOS BRUTOS'!AF$3:AF$500)+IF($C32="",0,SUMIF('DADOS BRUTOS'!$A$3:$A$500,$C32,'DADOS BRUTOS'!AF$3:AF$500)))</f>
        <v/>
      </c>
      <c r="DG32" s="132">
        <f>IF(OR(DG$4="",$B32=""),0,SUMIF('DADOS BRUTOS'!$A$3:$A$500,$B32,'DADOS BRUTOS'!AG$3:AG$500)+IF($C32="",0,SUMIF('DADOS BRUTOS'!$A$3:$A$500,$C32,'DADOS BRUTOS'!AG$3:AG$500)))</f>
        <v/>
      </c>
      <c r="DH32" s="132">
        <f>IF(OR(DH$4="",$B32=""),0,SUMIF('DADOS BRUTOS'!$A$3:$A$500,$B32,'DADOS BRUTOS'!AH$3:AH$500)+IF($C32="",0,SUMIF('DADOS BRUTOS'!$A$3:$A$500,$C32,'DADOS BRUTOS'!AH$3:AH$500)))</f>
        <v/>
      </c>
      <c r="DI32" s="132">
        <f>IF(OR(DI$4="",$B32=""),0,SUMIF('DADOS BRUTOS'!$A$3:$A$500,$B32,'DADOS BRUTOS'!AI$3:AI$500)+IF($C32="",0,SUMIF('DADOS BRUTOS'!$A$3:$A$500,$C32,'DADOS BRUTOS'!AI$3:AI$500)))</f>
        <v/>
      </c>
      <c r="DJ32" s="132">
        <f>IF(OR(DJ$4="",$B32=""),0,SUMIF('DADOS BRUTOS'!$A$3:$A$500,$B32,'DADOS BRUTOS'!AJ$3:AJ$500)+IF($C32="",0,SUMIF('DADOS BRUTOS'!$A$3:$A$500,$C32,'DADOS BRUTOS'!AJ$3:AJ$500)))</f>
        <v/>
      </c>
      <c r="DK32" s="132">
        <f>IF(OR(DK$4="",$B32=""),0,SUMIF('DADOS BRUTOS'!$A$3:$A$500,$B32,'DADOS BRUTOS'!AK$3:AK$500)+IF($C32="",0,SUMIF('DADOS BRUTOS'!$A$3:$A$500,$C32,'DADOS BRUTOS'!AK$3:AK$500)))</f>
        <v/>
      </c>
      <c r="DL32" s="132">
        <f>IF(OR(DL$4="",$B32=""),0,SUMIF('DADOS BRUTOS'!$A$3:$A$500,$B32,'DADOS BRUTOS'!AL$3:AL$500)+IF($C32="",0,SUMIF('DADOS BRUTOS'!$A$3:$A$500,$C32,'DADOS BRUTOS'!AL$3:AL$500)))</f>
        <v/>
      </c>
      <c r="DM32" s="132">
        <f>IF(OR(DM$4="",$B32=""),0,SUMIF('DADOS BRUTOS'!$A$3:$A$500,$B32,'DADOS BRUTOS'!AM$3:AM$500)+IF($C32="",0,SUMIF('DADOS BRUTOS'!$A$3:$A$500,$C32,'DADOS BRUTOS'!AM$3:AM$500)))</f>
        <v/>
      </c>
      <c r="DN32" s="132">
        <f>IF(OR(DN$4="",$B32=""),0,SUMIF('DADOS BRUTOS'!$A$3:$A$500,$B32,'DADOS BRUTOS'!AN$3:AN$500)+IF($C32="",0,SUMIF('DADOS BRUTOS'!$A$3:$A$500,$C32,'DADOS BRUTOS'!AN$3:AN$500)))</f>
        <v/>
      </c>
      <c r="DO32" s="132">
        <f>IF(OR(DO$4="",$B32=""),0,SUMIF('DADOS BRUTOS'!$A$3:$A$500,$B32,'DADOS BRUTOS'!AO$3:AO$500)+IF($C32="",0,SUMIF('DADOS BRUTOS'!$A$3:$A$500,$C32,'DADOS BRUTOS'!AO$3:AO$500)))</f>
        <v/>
      </c>
      <c r="DP32" s="132">
        <f>IF(OR(DP$4="",$B32=""),0,SUMIF('DADOS BRUTOS'!$A$3:$A$500,$B32,'DADOS BRUTOS'!AP$3:AP$500)+IF($C32="",0,SUMIF('DADOS BRUTOS'!$A$3:$A$500,$C32,'DADOS BRUTOS'!AP$3:AP$500)))</f>
        <v/>
      </c>
      <c r="DQ32" s="132">
        <f>IF(OR(DQ$4="",$B32=""),0,SUMIF('DADOS BRUTOS'!$A$3:$A$500,$B32,'DADOS BRUTOS'!AQ$3:AQ$500)+IF($C32="",0,SUMIF('DADOS BRUTOS'!$A$3:$A$500,$C32,'DADOS BRUTOS'!AQ$3:AQ$500)))</f>
        <v/>
      </c>
      <c r="DR32" s="132">
        <f>IF(OR(DR$4="",$B32=""),0,SUMIF('DADOS BRUTOS'!$A$3:$A$500,$B32,'DADOS BRUTOS'!AR$3:AR$500)+IF($C32="",0,SUMIF('DADOS BRUTOS'!$A$3:$A$500,$C32,'DADOS BRUTOS'!AR$3:AR$500)))</f>
        <v/>
      </c>
      <c r="DS32" s="132">
        <f>IF(OR(DS$4="",$B32=""),0,SUMIF('DADOS BRUTOS'!$A$3:$A$500,$B32,'DADOS BRUTOS'!AS$3:AS$500)+IF($C32="",0,SUMIF('DADOS BRUTOS'!$A$3:$A$500,$C32,'DADOS BRUTOS'!AS$3:AS$500)))</f>
        <v/>
      </c>
      <c r="DT32" s="132">
        <f>IF(OR(DT$4="",$B32=""),0,SUMIF('DADOS BRUTOS'!$A$3:$A$500,$B32,'DADOS BRUTOS'!AT$3:AT$500)+IF($C32="",0,SUMIF('DADOS BRUTOS'!$A$3:$A$500,$C32,'DADOS BRUTOS'!AT$3:AT$500)))</f>
        <v/>
      </c>
      <c r="DU32" s="132">
        <f>IF(OR(DU$4="",$B32=""),0,SUMIF('DADOS BRUTOS'!$A$3:$A$500,$B32,'DADOS BRUTOS'!AU$3:AU$500)+IF($C32="",0,SUMIF('DADOS BRUTOS'!$A$3:$A$500,$C32,'DADOS BRUTOS'!AU$3:AU$500)))</f>
        <v/>
      </c>
      <c r="DV32" s="132">
        <f>IF(OR(DV$4="",$B32=""),0,SUMIF('DADOS BRUTOS'!$A$3:$A$500,$B32,'DADOS BRUTOS'!AV$3:AV$500)+IF($C32="",0,SUMIF('DADOS BRUTOS'!$A$3:$A$500,$C32,'DADOS BRUTOS'!AV$3:AV$500)))</f>
        <v/>
      </c>
      <c r="DW32" s="132">
        <f>IF(OR(DW$4="",$B32=""),0,SUMIF('DADOS BRUTOS'!$A$3:$A$500,$B32,'DADOS BRUTOS'!AW$3:AW$500)+IF($C32="",0,SUMIF('DADOS BRUTOS'!$A$3:$A$500,$C32,'DADOS BRUTOS'!AW$3:AW$500)))</f>
        <v/>
      </c>
      <c r="DX32" s="132">
        <f>IF(OR(DX$4="",$B32=""),0,SUMIF('DADOS BRUTOS'!$A$3:$A$500,$B32,'DADOS BRUTOS'!AX$3:AX$500)+IF($C32="",0,SUMIF('DADOS BRUTOS'!$A$3:$A$500,$C32,'DADOS BRUTOS'!AX$3:AX$500)))</f>
        <v/>
      </c>
      <c r="DY32" s="132">
        <f>IF(OR(DY$4="",$B32=""),0,SUMIF('DADOS BRUTOS'!$A$3:$A$500,$B32,'DADOS BRUTOS'!AY$3:AY$500)+IF($C32="",0,SUMIF('DADOS BRUTOS'!$A$3:$A$500,$C32,'DADOS BRUTOS'!AY$3:AY$500)))</f>
        <v/>
      </c>
      <c r="DZ32" s="132">
        <f>IF(OR(DZ$4="",$B32=""),0,SUMIF('DADOS BRUTOS'!$A$3:$A$500,$B32,'DADOS BRUTOS'!AZ$3:AZ$500)+IF($C32="",0,SUMIF('DADOS BRUTOS'!$A$3:$A$500,$C32,'DADOS BRUTOS'!AZ$3:AZ$500)))</f>
        <v/>
      </c>
      <c r="EA32" s="132">
        <f>IF(OR(EA$4="",$B32=""),0,SUMIF('DADOS BRUTOS'!$A$3:$A$500,$B32,'DADOS BRUTOS'!BA$3:BA$500)+IF($C32="",0,SUMIF('DADOS BRUTOS'!$A$3:$A$500,$C32,'DADOS BRUTOS'!BA$3:BA$500)))</f>
        <v/>
      </c>
      <c r="EB32" s="132">
        <f>IF(OR(EB$4="",$B32=""),0,SUMIF('DADOS BRUTOS'!$A$3:$A$500,$B32,'DADOS BRUTOS'!BB$3:BB$500)+IF($C32="",0,SUMIF('DADOS BRUTOS'!$A$3:$A$500,$C32,'DADOS BRUTOS'!BB$3:BB$500)))</f>
        <v/>
      </c>
      <c r="EC32" s="132">
        <f>IF(OR(EC$4="",$B32=""),0,SUMIF('DADOS BRUTOS'!$A$3:$A$500,$B32,'DADOS BRUTOS'!BC$3:BC$500)+IF($C32="",0,SUMIF('DADOS BRUTOS'!$A$3:$A$500,$C32,'DADOS BRUTOS'!BC$3:BC$500)))</f>
        <v/>
      </c>
      <c r="ED32" s="132">
        <f>IF(OR(ED$4="",$B32=""),0,SUMIF('DADOS BRUTOS'!$A$3:$A$500,$B32,'DADOS BRUTOS'!BD$3:BD$500)+IF($C32="",0,SUMIF('DADOS BRUTOS'!$A$3:$A$500,$C32,'DADOS BRUTOS'!BD$3:BD$500)))</f>
        <v/>
      </c>
      <c r="EE32" s="132">
        <f>IF(OR(EE$4="",$B32=""),0,SUMIF('DADOS BRUTOS'!$A$3:$A$500,$B32,'DADOS BRUTOS'!BE$3:BE$500)+IF($C32="",0,SUMIF('DADOS BRUTOS'!$A$3:$A$500,$C32,'DADOS BRUTOS'!BE$3:BE$500)))</f>
        <v/>
      </c>
      <c r="EF32" s="132">
        <f>IF(OR(EF$4="",$B32=""),0,SUMIF('DADOS BRUTOS'!$A$3:$A$500,$B32,'DADOS BRUTOS'!BF$3:BF$500)+IF($C32="",0,SUMIF('DADOS BRUTOS'!$A$3:$A$500,$C32,'DADOS BRUTOS'!BF$3:BF$500)))</f>
        <v/>
      </c>
      <c r="EG32" s="132">
        <f>IF(OR(EG$4="",$B32=""),0,SUMIF('DADOS BRUTOS'!$A$3:$A$500,$B32,'DADOS BRUTOS'!BG$3:BG$500)+IF($C32="",0,SUMIF('DADOS BRUTOS'!$A$3:$A$500,$C32,'DADOS BRUTOS'!BG$3:BG$500)))</f>
        <v/>
      </c>
      <c r="EH32" s="132">
        <f>IF(OR(EH$4="",$B32=""),0,SUMIF('DADOS BRUTOS'!$A$3:$A$500,$B32,'DADOS BRUTOS'!BH$3:BH$500)+IF($C32="",0,SUMIF('DADOS BRUTOS'!$A$3:$A$500,$C32,'DADOS BRUTOS'!BH$3:BH$500)))</f>
        <v/>
      </c>
      <c r="EI32" s="132">
        <f>IF(OR(EI$4="",$B32=""),0,SUMIF('DADOS BRUTOS'!$A$3:$A$500,$B32,'DADOS BRUTOS'!BI$3:BI$500)+IF($C32="",0,SUMIF('DADOS BRUTOS'!$A$3:$A$500,$C32,'DADOS BRUTOS'!BI$3:BI$500)))</f>
        <v/>
      </c>
      <c r="EJ32" s="132">
        <f>IF(OR(EJ$4="",$B32=""),0,SUMIF('DADOS BRUTOS'!$A$3:$A$500,$B32,'DADOS BRUTOS'!BJ$3:BJ$500)+IF($C32="",0,SUMIF('DADOS BRUTOS'!$A$3:$A$500,$C32,'DADOS BRUTOS'!BJ$3:BJ$500)))</f>
        <v/>
      </c>
      <c r="EK32" s="132">
        <f>IF(OR(EK$4="",$B32=""),0,SUMIF('DADOS BRUTOS'!$A$3:$A$500,$B32,'DADOS BRUTOS'!BK$3:BK$500)+IF($C32="",0,SUMIF('DADOS BRUTOS'!$A$3:$A$500,$C32,'DADOS BRUTOS'!BK$3:BK$500)))</f>
        <v/>
      </c>
      <c r="EL32" s="132">
        <f>IF(OR(EL$4="",$B32=""),0,SUMIF('DADOS BRUTOS'!$A$3:$A$500,$B32,'DADOS BRUTOS'!BL$3:BL$500)+IF($C32="",0,SUMIF('DADOS BRUTOS'!$A$3:$A$500,$C32,'DADOS BRUTOS'!BL$3:BL$500)))</f>
        <v/>
      </c>
      <c r="EM32" s="132">
        <f>IF(OR(EM$4="",$B32=""),0,SUMIF('DADOS BRUTOS'!$A$3:$A$500,$B32,'DADOS BRUTOS'!BM$3:BM$500)+IF($C32="",0,SUMIF('DADOS BRUTOS'!$A$3:$A$500,$C32,'DADOS BRUTOS'!BM$3:BM$500)))</f>
        <v/>
      </c>
      <c r="EN32" s="132">
        <f>IF(OR(EN$4="",$B32=""),0,SUMIF('DADOS BRUTOS'!$A$3:$A$500,$B32,'DADOS BRUTOS'!BN$3:BN$500)+IF($C32="",0,SUMIF('DADOS BRUTOS'!$A$3:$A$500,$C32,'DADOS BRUTOS'!BN$3:BN$500)))</f>
        <v/>
      </c>
      <c r="EO32" s="132">
        <f>IF(OR(EO$4="",$B32=""),0,SUMIF('DADOS BRUTOS'!$A$3:$A$500,$B32,'DADOS BRUTOS'!BO$3:BO$500)+IF($C32="",0,SUMIF('DADOS BRUTOS'!$A$3:$A$500,$C32,'DADOS BRUTOS'!BO$3:BO$500)))</f>
        <v/>
      </c>
      <c r="EP32" s="132">
        <f>IF(OR(EP$4="",$B32=""),0,SUMIF('DADOS BRUTOS'!$A$3:$A$500,$B32,'DADOS BRUTOS'!BP$3:BP$500)+IF($C32="",0,SUMIF('DADOS BRUTOS'!$A$3:$A$500,$C32,'DADOS BRUTOS'!BP$3:BP$500)))</f>
        <v/>
      </c>
      <c r="EQ32" s="132">
        <f>IF(OR(EQ$4="",$B32=""),0,SUMIF('DADOS BRUTOS'!$A$3:$A$500,$B32,'DADOS BRUTOS'!BQ$3:BQ$500)+IF($C32="",0,SUMIF('DADOS BRUTOS'!$A$3:$A$500,$C32,'DADOS BRUTOS'!BQ$3:BQ$500)))</f>
        <v/>
      </c>
      <c r="ER32" s="132">
        <f>IF(OR(ER$4="",$B32=""),0,SUMIF('DADOS BRUTOS'!$A$3:$A$500,$B32,'DADOS BRUTOS'!BR$3:BR$500)+IF($C32="",0,SUMIF('DADOS BRUTOS'!$A$3:$A$500,$C32,'DADOS BRUTOS'!BR$3:BR$500)))</f>
        <v/>
      </c>
      <c r="ES32" s="132">
        <f>IF(OR(ES$4="",$B32=""),0,SUMIF('DADOS BRUTOS'!$A$3:$A$500,$B32,'DADOS BRUTOS'!BS$3:BS$500)+IF($C32="",0,SUMIF('DADOS BRUTOS'!$A$3:$A$500,$C32,'DADOS BRUTOS'!BS$3:BS$500)))</f>
        <v/>
      </c>
      <c r="ET32" s="132">
        <f>IF(OR(ET$4="",$B32=""),0,SUMIF('DADOS BRUTOS'!$A$3:$A$500,$B32,'DADOS BRUTOS'!BT$3:BT$500)+IF($C32="",0,SUMIF('DADOS BRUTOS'!$A$3:$A$500,$C32,'DADOS BRUTOS'!BT$3:BT$500)))</f>
        <v/>
      </c>
      <c r="EU32" s="132">
        <f>IF(OR(EU$4="",$B32=""),0,SUMIF('DADOS BRUTOS'!$A$3:$A$500,$B32,'DADOS BRUTOS'!BU$3:BU$500)+IF($C32="",0,SUMIF('DADOS BRUTOS'!$A$3:$A$500,$C32,'DADOS BRUTOS'!BU$3:BU$500)))</f>
        <v/>
      </c>
      <c r="EV32" s="132">
        <f>IF(OR(EV$4="",$B32=""),0,SUMIF('DADOS BRUTOS'!$A$3:$A$500,$B32,'DADOS BRUTOS'!BV$3:BV$500)+IF($C32="",0,SUMIF('DADOS BRUTOS'!$A$3:$A$500,$C32,'DADOS BRUTOS'!BV$3:BV$500)))</f>
        <v/>
      </c>
      <c r="EW32" s="132">
        <f>IF(OR(EW$4="",$B32=""),0,SUMIF('DADOS BRUTOS'!$A$3:$A$500,$B32,'DADOS BRUTOS'!BW$3:BW$500)+IF($C32="",0,SUMIF('DADOS BRUTOS'!$A$3:$A$500,$C32,'DADOS BRUTOS'!BW$3:BW$500)))</f>
        <v/>
      </c>
      <c r="EX32" s="132">
        <f>IF(OR(EX$4="",$B32=""),0,SUMIF('DADOS BRUTOS'!$A$3:$A$500,$B32,'DADOS BRUTOS'!BX$3:BX$500)+IF($C32="",0,SUMIF('DADOS BRUTOS'!$A$3:$A$500,$C32,'DADOS BRUTOS'!BX$3:BX$500)))</f>
        <v/>
      </c>
      <c r="EY32" s="132">
        <f>IF(OR(EY$4="",$B32=""),0,SUMIF('DADOS BRUTOS'!$A$3:$A$500,$B32,'DADOS BRUTOS'!BY$3:BY$500)+IF($C32="",0,SUMIF('DADOS BRUTOS'!$A$3:$A$500,$C32,'DADOS BRUTOS'!BY$3:BY$500)))</f>
        <v/>
      </c>
      <c r="EZ32" s="132">
        <f>IF(OR(EZ$4="",$B32=""),0,SUMIF('DADOS BRUTOS'!$A$3:$A$500,$B32,'DADOS BRUTOS'!BZ$3:BZ$500)+IF($C32="",0,SUMIF('DADOS BRUTOS'!$A$3:$A$500,$C32,'DADOS BRUTOS'!BZ$3:BZ$500)))</f>
        <v/>
      </c>
      <c r="FA32" s="132">
        <f>IF(OR(FA$4="",$B32=""),0,SUMIF('DADOS BRUTOS'!$A$3:$A$500,$B32,'DADOS BRUTOS'!CA$3:CA$500)+IF($C32="",0,SUMIF('DADOS BRUTOS'!$A$3:$A$500,$C32,'DADOS BRUTOS'!CA$3:CA$500)))</f>
        <v/>
      </c>
      <c r="FB32" s="132">
        <f>IF(OR(FB$4="",$B32=""),0,SUMIF('DADOS BRUTOS'!$A$3:$A$500,$B32,'DADOS BRUTOS'!CB$3:CB$500)+IF($C32="",0,SUMIF('DADOS BRUTOS'!$A$3:$A$500,$C32,'DADOS BRUTOS'!CB$3:CB$500)))</f>
        <v/>
      </c>
      <c r="FC32" s="132">
        <f>IF(OR(FC$4="",$B32=""),0,SUMIF('DADOS BRUTOS'!$A$3:$A$500,$B32,'DADOS BRUTOS'!CC$3:CC$500)+IF($C32="",0,SUMIF('DADOS BRUTOS'!$A$3:$A$500,$C32,'DADOS BRUTOS'!CC$3:CC$500)))</f>
        <v/>
      </c>
      <c r="FD32" s="132">
        <f>IF(OR(FD$4="",$B32=""),0,SUMIF('DADOS BRUTOS'!$A$3:$A$500,$B32,'DADOS BRUTOS'!CD$3:CD$500)+IF($C32="",0,SUMIF('DADOS BRUTOS'!$A$3:$A$500,$C32,'DADOS BRUTOS'!CD$3:CD$500)))</f>
        <v/>
      </c>
      <c r="FE32" s="132">
        <f>IF(OR(FE$4="",$B32=""),0,SUMIF('DADOS BRUTOS'!$A$3:$A$500,$B32,'DADOS BRUTOS'!CE$3:CE$500)+IF($C32="",0,SUMIF('DADOS BRUTOS'!$A$3:$A$500,$C32,'DADOS BRUTOS'!CE$3:CE$500)))</f>
        <v/>
      </c>
      <c r="FF32" s="132">
        <f>IF(OR(FF$4="",$B32=""),0,SUMIF('DADOS BRUTOS'!$A$3:$A$500,$B32,'DADOS BRUTOS'!CF$3:CF$500)+IF($C32="",0,SUMIF('DADOS BRUTOS'!$A$3:$A$500,$C32,'DADOS BRUTOS'!CF$3:CF$500)))</f>
        <v/>
      </c>
      <c r="FG32" s="132">
        <f>IF(OR(FG$4="",$B32=""),0,SUMIF('DADOS BRUTOS'!$A$3:$A$500,$B32,'DADOS BRUTOS'!CG$3:CG$500)+IF($C32="",0,SUMIF('DADOS BRUTOS'!$A$3:$A$500,$C32,'DADOS BRUTOS'!CG$3:CG$500)))</f>
        <v/>
      </c>
      <c r="FH32" s="132">
        <f>IF(OR(FH$4="",$B32=""),0,SUMIF('DADOS BRUTOS'!$A$3:$A$500,$B32,'DADOS BRUTOS'!CH$3:CH$500)+IF($C32="",0,SUMIF('DADOS BRUTOS'!$A$3:$A$500,$C32,'DADOS BRUTOS'!CH$3:CH$500)))</f>
        <v/>
      </c>
      <c r="FI32" s="132">
        <f>IF(OR(FI$4="",$B32=""),0,SUMIF('DADOS BRUTOS'!$A$3:$A$500,$B32,'DADOS BRUTOS'!CI$3:CI$500)+IF($C32="",0,SUMIF('DADOS BRUTOS'!$A$3:$A$500,$C32,'DADOS BRUTOS'!CI$3:CI$500)))</f>
        <v/>
      </c>
      <c r="FJ32" s="132">
        <f>IF(OR(FJ$4="",$B32=""),0,SUMIF('DADOS BRUTOS'!$A$3:$A$500,$B32,'DADOS BRUTOS'!CJ$3:CJ$500)+IF($C32="",0,SUMIF('DADOS BRUTOS'!$A$3:$A$500,$C32,'DADOS BRUTOS'!CJ$3:CJ$500)))</f>
        <v/>
      </c>
      <c r="FK32" s="132">
        <f>IF(OR(FK$4="",$B32=""),0,SUMIF('DADOS BRUTOS'!$A$3:$A$500,$B32,'DADOS BRUTOS'!CK$3:CK$500)+IF($C32="",0,SUMIF('DADOS BRUTOS'!$A$3:$A$500,$C32,'DADOS BRUTOS'!CK$3:CK$500)))</f>
        <v/>
      </c>
      <c r="FL32" s="132">
        <f>IF(OR(FL$4="",$B32=""),0,SUMIF('DADOS BRUTOS'!$A$3:$A$500,$B32,'DADOS BRUTOS'!CL$3:CL$500)+IF($C32="",0,SUMIF('DADOS BRUTOS'!$A$3:$A$500,$C32,'DADOS BRUTOS'!CL$3:CL$500)))</f>
        <v/>
      </c>
      <c r="FM32" s="132">
        <f>IF(OR(FM$4="",$B32=""),0,SUMIF('DADOS BRUTOS'!$A$3:$A$500,$B32,'DADOS BRUTOS'!CM$3:CM$500)+IF($C32="",0,SUMIF('DADOS BRUTOS'!$A$3:$A$500,$C32,'DADOS BRUTOS'!CM$3:CM$500)))</f>
        <v/>
      </c>
      <c r="FN32" s="132">
        <f>IF(OR(FN$4="",$B32=""),0,SUMIF('DADOS BRUTOS'!$A$3:$A$500,$B32,'DADOS BRUTOS'!CN$3:CN$500)+IF($C32="",0,SUMIF('DADOS BRUTOS'!$A$3:$A$500,$C32,'DADOS BRUTOS'!CN$3:CN$500)))</f>
        <v/>
      </c>
      <c r="FO32" s="132">
        <f>IF(OR(FO$4="",$B32=""),0,SUMIF('DADOS BRUTOS'!$A$3:$A$500,$B32,'DADOS BRUTOS'!CO$3:CO$500)+IF($C32="",0,SUMIF('DADOS BRUTOS'!$A$3:$A$500,$C32,'DADOS BRUTOS'!CO$3:CO$500)))</f>
        <v/>
      </c>
      <c r="FP32" s="132">
        <f>IF(OR(FP$4="",$B32=""),0,SUMIF('DADOS BRUTOS'!$A$3:$A$500,$B32,'DADOS BRUTOS'!CP$3:CP$500)+IF($C32="",0,SUMIF('DADOS BRUTOS'!$A$3:$A$500,$C32,'DADOS BRUTOS'!CP$3:CP$500)))</f>
        <v/>
      </c>
      <c r="FQ32" s="132">
        <f>IF(OR(FQ$4="",$B32=""),0,SUMIF('DADOS BRUTOS'!$A$3:$A$500,$B32,'DADOS BRUTOS'!CQ$3:CQ$500)+IF($C32="",0,SUMIF('DADOS BRUTOS'!$A$3:$A$500,$C32,'DADOS BRUTOS'!CQ$3:CQ$500)))</f>
        <v/>
      </c>
      <c r="FR32" s="132">
        <f>IF(OR(FR$4="",$B32=""),0,SUMIF('DADOS BRUTOS'!$A$3:$A$500,$B32,'DADOS BRUTOS'!CR$3:CR$500)+IF($C32="",0,SUMIF('DADOS BRUTOS'!$A$3:$A$500,$C32,'DADOS BRUTOS'!CR$3:CR$500)))</f>
        <v/>
      </c>
      <c r="FS32" s="132">
        <f>IF(OR(FS$4="",$B32=""),0,SUMIF('DADOS BRUTOS'!$A$3:$A$500,$B32,'DADOS BRUTOS'!CS$3:CS$500)+IF($C32="",0,SUMIF('DADOS BRUTOS'!$A$3:$A$500,$C32,'DADOS BRUTOS'!CS$3:CS$500)))</f>
        <v/>
      </c>
      <c r="FT32" s="132">
        <f>IF(OR(FT$4="",$B32=""),0,SUMIF('DADOS BRUTOS'!$A$3:$A$500,$B32,'DADOS BRUTOS'!CT$3:CT$500)+IF($C32="",0,SUMIF('DADOS BRUTOS'!$A$3:$A$500,$C32,'DADOS BRUTOS'!CT$3:CT$500)))</f>
        <v/>
      </c>
      <c r="FU32" s="132">
        <f>IF(OR(FU$4="",$B32=""),0,SUMIF('DADOS BRUTOS'!$A$3:$A$500,$B32,'DADOS BRUTOS'!CU$3:CU$500)+IF($C32="",0,SUMIF('DADOS BRUTOS'!$A$3:$A$500,$C32,'DADOS BRUTOS'!CU$3:CU$500)))</f>
        <v/>
      </c>
      <c r="FV32" s="132">
        <f>IF(OR(FV$4="",$B32=""),0,SUMIF('DADOS BRUTOS'!$A$3:$A$500,$B32,'DADOS BRUTOS'!CV$3:CV$500)+IF($C32="",0,SUMIF('DADOS BRUTOS'!$A$3:$A$500,$C32,'DADOS BRUTOS'!CV$3:CV$500)))</f>
        <v/>
      </c>
      <c r="FW32" s="132">
        <f>IF(OR(FW$4="",$B32=""),0,SUMIF('DADOS BRUTOS'!$A$3:$A$500,$B32,'DADOS BRUTOS'!CW$3:CW$500)+IF($C32="",0,SUMIF('DADOS BRUTOS'!$A$3:$A$500,$C32,'DADOS BRUTOS'!CW$3:CW$500)))</f>
        <v/>
      </c>
      <c r="FX32" s="132">
        <f>IF(OR(FX$4="",$B32=""),0,SUMIF('DADOS BRUTOS'!$A$3:$A$500,$B32,'DADOS BRUTOS'!CX$3:CX$500)+IF($C32="",0,SUMIF('DADOS BRUTOS'!$A$3:$A$500,$C32,'DADOS BRUTOS'!CX$3:CX$500)))</f>
        <v/>
      </c>
      <c r="FY32" s="132">
        <f>IF(OR(FY$4="",$B32=""),0,SUMIF('DADOS BRUTOS'!$A$3:$A$500,$B32,'DADOS BRUTOS'!CY$3:CY$500)+IF($C32="",0,SUMIF('DADOS BRUTOS'!$A$3:$A$500,$C32,'DADOS BRUTOS'!CY$3:CY$500)))</f>
        <v/>
      </c>
      <c r="FZ32" s="132">
        <f>IF(OR(FZ$4="",$B32=""),0,SUMIF('DADOS BRUTOS'!$A$3:$A$500,$B32,'DADOS BRUTOS'!CZ$3:CZ$500)+IF($C32="",0,SUMIF('DADOS BRUTOS'!$A$3:$A$500,$C32,'DADOS BRUTOS'!CZ$3:CZ$500)))</f>
        <v/>
      </c>
      <c r="GA32" s="132">
        <f>IF(OR(GA$4="",$B32=""),0,SUMIF('DADOS BRUTOS'!$A$3:$A$500,$B32,'DADOS BRUTOS'!DA$3:DA$500)+IF($C32="",0,SUMIF('DADOS BRUTOS'!$A$3:$A$500,$C32,'DADOS BRUTOS'!DA$3:DA$500)))</f>
        <v/>
      </c>
      <c r="GB32" s="132">
        <f>IF(OR(GB$4="",$B32=""),0,SUMIF('DADOS BRUTOS'!$A$3:$A$500,$B32,'DADOS BRUTOS'!DB$3:DB$500)+IF($C32="",0,SUMIF('DADOS BRUTOS'!$A$3:$A$500,$C32,'DADOS BRUTOS'!DB$3:DB$500)))</f>
        <v/>
      </c>
      <c r="GC32" s="132">
        <f>IF(OR(GC$4="",$B32=""),0,SUMIF('DADOS BRUTOS'!$A$3:$A$500,$B32,'DADOS BRUTOS'!DC$3:DC$500)+IF($C32="",0,SUMIF('DADOS BRUTOS'!$A$3:$A$500,$C32,'DADOS BRUTOS'!DC$3:DC$500)))</f>
        <v/>
      </c>
      <c r="GD32" s="132">
        <f>IF(OR(GD$4="",$B32=""),0,SUMIF('DADOS BRUTOS'!$A$3:$A$500,$B32,'DADOS BRUTOS'!DD$3:DD$500)+IF($C32="",0,SUMIF('DADOS BRUTOS'!$A$3:$A$500,$C32,'DADOS BRUTOS'!DD$3:DD$500)))</f>
        <v/>
      </c>
      <c r="GE32" s="132">
        <f>IF(OR(GE$4="",$B32=""),0,SUMIF('DADOS BRUTOS'!$A$3:$A$500,$B32,'DADOS BRUTOS'!DE$3:DE$500)+IF($C32="",0,SUMIF('DADOS BRUTOS'!$A$3:$A$500,$C32,'DADOS BRUTOS'!DE$3:DE$500)))</f>
        <v/>
      </c>
      <c r="GF32" s="132">
        <f>IF(OR(GF$4="",$B32=""),0,SUMIF('DADOS BRUTOS'!$A$3:$A$500,$B32,'DADOS BRUTOS'!DF$3:DF$500)+IF($C32="",0,SUMIF('DADOS BRUTOS'!$A$3:$A$500,$C32,'DADOS BRUTOS'!DF$3:DF$500)))</f>
        <v/>
      </c>
      <c r="GG32" s="132">
        <f>IF(OR(GG$4="",$B32=""),0,SUMIF('DADOS BRUTOS'!$A$3:$A$500,$B32,'DADOS BRUTOS'!DG$3:DG$500)+IF($C32="",0,SUMIF('DADOS BRUTOS'!$A$3:$A$500,$C32,'DADOS BRUTOS'!DG$3:DG$500)))</f>
        <v/>
      </c>
      <c r="GH32" s="132">
        <f>IF(OR(GH$4="",$B32=""),0,SUMIF('DADOS BRUTOS'!$A$3:$A$500,$B32,'DADOS BRUTOS'!DH$3:DH$500)+IF($C32="",0,SUMIF('DADOS BRUTOS'!$A$3:$A$500,$C32,'DADOS BRUTOS'!DH$3:DH$500)))</f>
        <v/>
      </c>
      <c r="GI32" s="132">
        <f>IF(OR(GI$4="",$B32=""),0,SUMIF('DADOS BRUTOS'!$A$3:$A$500,$B32,'DADOS BRUTOS'!DI$3:DI$500)+IF($C32="",0,SUMIF('DADOS BRUTOS'!$A$3:$A$500,$C32,'DADOS BRUTOS'!DI$3:DI$500)))</f>
        <v/>
      </c>
      <c r="GJ32" s="132">
        <f>IF(OR(GJ$4="",$B32=""),0,SUMIF('DADOS BRUTOS'!$A$3:$A$500,$B32,'DADOS BRUTOS'!DJ$3:DJ$500)+IF($C32="",0,SUMIF('DADOS BRUTOS'!$A$3:$A$500,$C32,'DADOS BRUTOS'!DJ$3:DJ$500)))</f>
        <v/>
      </c>
      <c r="GK32" s="132">
        <f>IF(OR(GK$4="",$B32=""),0,SUMIF('DADOS BRUTOS'!$A$3:$A$500,$B32,'DADOS BRUTOS'!DK$3:DK$500)+IF($C32="",0,SUMIF('DADOS BRUTOS'!$A$3:$A$500,$C32,'DADOS BRUTOS'!DK$3:DK$500)))</f>
        <v/>
      </c>
      <c r="GL32" s="132">
        <f>IF(OR(GL$4="",$B32=""),0,SUMIF('DADOS BRUTOS'!$A$3:$A$500,$B32,'DADOS BRUTOS'!DL$3:DL$500)+IF($C32="",0,SUMIF('DADOS BRUTOS'!$A$3:$A$500,$C32,'DADOS BRUTOS'!DL$3:DL$500)))</f>
        <v/>
      </c>
      <c r="GM32" s="132">
        <f>IF(OR(GM$4="",$B32=""),0,SUMIF('DADOS BRUTOS'!$A$3:$A$500,$B32,'DADOS BRUTOS'!DM$3:DM$500)+IF($C32="",0,SUMIF('DADOS BRUTOS'!$A$3:$A$500,$C32,'DADOS BRUTOS'!DM$3:DM$500)))</f>
        <v/>
      </c>
      <c r="GN32" s="132">
        <f>IF(OR(GN$4="",$B32=""),0,SUMIF('DADOS BRUTOS'!$A$3:$A$500,$B32,'DADOS BRUTOS'!DN$3:DN$500)+IF($C32="",0,SUMIF('DADOS BRUTOS'!$A$3:$A$500,$C32,'DADOS BRUTOS'!DN$3:DN$500)))</f>
        <v/>
      </c>
      <c r="GO32" s="132">
        <f>IF(OR(GO$4="",$B32=""),0,SUMIF('DADOS BRUTOS'!$A$3:$A$500,$B32,'DADOS BRUTOS'!DO$3:DO$500)+IF($C32="",0,SUMIF('DADOS BRUTOS'!$A$3:$A$500,$C32,'DADOS BRUTOS'!DO$3:DO$500)))</f>
        <v/>
      </c>
      <c r="GP32" s="132">
        <f>IF(OR(GP$4="",$B32=""),0,SUMIF('DADOS BRUTOS'!$A$3:$A$500,$B32,'DADOS BRUTOS'!DP$3:DP$500)+IF($C32="",0,SUMIF('DADOS BRUTOS'!$A$3:$A$500,$C32,'DADOS BRUTOS'!DP$3:DP$500)))</f>
        <v/>
      </c>
      <c r="GQ32" s="132">
        <f>IF(OR(GQ$4="",$B32=""),0,SUMIF('DADOS BRUTOS'!$A$3:$A$500,$B32,'DADOS BRUTOS'!DQ$3:DQ$500)+IF($C32="",0,SUMIF('DADOS BRUTOS'!$A$3:$A$500,$C32,'DADOS BRUTOS'!DQ$3:DQ$500)))</f>
        <v/>
      </c>
      <c r="GR32" s="132">
        <f>IF(OR(GR$4="",$B32=""),0,SUMIF('DADOS BRUTOS'!$A$3:$A$500,$B32,'DADOS BRUTOS'!DR$3:DR$500)+IF($C32="",0,SUMIF('DADOS BRUTOS'!$A$3:$A$500,$C32,'DADOS BRUTOS'!DR$3:DR$500)))</f>
        <v/>
      </c>
      <c r="GS32" s="132">
        <f>IF(OR(GS$4="",$B32=""),0,SUMIF('DADOS BRUTOS'!$A$3:$A$500,$B32,'DADOS BRUTOS'!DS$3:DS$500)+IF($C32="",0,SUMIF('DADOS BRUTOS'!$A$3:$A$500,$C32,'DADOS BRUTOS'!DS$3:DS$500)))</f>
        <v/>
      </c>
      <c r="GT32" s="132">
        <f>IF(OR(GT$4="",$B32=""),0,SUMIF('DADOS BRUTOS'!$A$3:$A$500,$B32,'DADOS BRUTOS'!DT$3:DT$500)+IF($C32="",0,SUMIF('DADOS BRUTOS'!$A$3:$A$500,$C32,'DADOS BRUTOS'!DT$3:DT$500)))</f>
        <v/>
      </c>
      <c r="GU32" s="132">
        <f>IF(OR(GU$4="",$B32=""),0,SUMIF('DADOS BRUTOS'!$A$3:$A$500,$B32,'DADOS BRUTOS'!DU$3:DU$500)+IF($C32="",0,SUMIF('DADOS BRUTOS'!$A$3:$A$500,$C32,'DADOS BRUTOS'!DU$3:DU$500)))</f>
        <v/>
      </c>
      <c r="GV32" s="132">
        <f>IF(OR(GV$4="",$B32=""),0,SUMIF('DADOS BRUTOS'!$A$3:$A$500,$B32,'DADOS BRUTOS'!DV$3:DV$500)+IF($C32="",0,SUMIF('DADOS BRUTOS'!$A$3:$A$500,$C32,'DADOS BRUTOS'!DV$3:DV$500)))</f>
        <v/>
      </c>
      <c r="GW32" s="132">
        <f>IF(OR(GW$4="",$B32=""),0,SUMIF('DADOS BRUTOS'!$A$3:$A$500,$B32,'DADOS BRUTOS'!DW$3:DW$500)+IF($C32="",0,SUMIF('DADOS BRUTOS'!$A$3:$A$500,$C32,'DADOS BRUTOS'!DW$3:DW$500)))</f>
        <v/>
      </c>
      <c r="GX32" s="132">
        <f>IF(OR(GX$4="",$B32=""),0,SUMIF('DADOS BRUTOS'!$A$3:$A$500,$B32,'DADOS BRUTOS'!DX$3:DX$500)+IF($C32="",0,SUMIF('DADOS BRUTOS'!$A$3:$A$500,$C32,'DADOS BRUTOS'!DX$3:DX$500)))</f>
        <v/>
      </c>
      <c r="GY32" s="132">
        <f>IF(OR(GY$4="",$B32=""),0,SUMIF('DADOS BRUTOS'!$A$3:$A$500,$B32,'DADOS BRUTOS'!DY$3:DY$500)+IF($C32="",0,SUMIF('DADOS BRUTOS'!$A$3:$A$500,$C32,'DADOS BRUTOS'!DY$3:DY$500)))</f>
        <v/>
      </c>
      <c r="GZ32" s="132">
        <f>IF(OR(GZ$4="",$B32=""),0,SUMIF('DADOS BRUTOS'!$A$3:$A$500,$B32,'DADOS BRUTOS'!DZ$3:DZ$500)+IF($C32="",0,SUMIF('DADOS BRUTOS'!$A$3:$A$500,$C32,'DADOS BRUTOS'!DZ$3:DZ$500)))</f>
        <v/>
      </c>
      <c r="HA32" s="132">
        <f>IF(OR(HA$4="",$B32=""),0,SUMIF('DADOS BRUTOS'!$A$3:$A$500,$B32,'DADOS BRUTOS'!EA$3:EA$500)+IF($C32="",0,SUMIF('DADOS BRUTOS'!$A$3:$A$500,$C32,'DADOS BRUTOS'!EA$3:EA$500)))</f>
        <v/>
      </c>
      <c r="HB32" s="132">
        <f>IF(OR(HB$4="",$B32=""),0,SUMIF('DADOS BRUTOS'!$A$3:$A$500,$B32,'DADOS BRUTOS'!EB$3:EB$500)+IF($C32="",0,SUMIF('DADOS BRUTOS'!$A$3:$A$500,$C32,'DADOS BRUTOS'!EB$3:EB$500)))</f>
        <v/>
      </c>
      <c r="HC32" s="132">
        <f>IF(OR(HC$4="",$B32=""),0,SUMIF('DADOS BRUTOS'!$A$3:$A$500,$B32,'DADOS BRUTOS'!EC$3:EC$500)+IF($C32="",0,SUMIF('DADOS BRUTOS'!$A$3:$A$500,$C32,'DADOS BRUTOS'!EC$3:EC$500)))</f>
        <v/>
      </c>
      <c r="HD32" s="132">
        <f>IF(OR(HD$4="",$B32=""),0,SUMIF('DADOS BRUTOS'!$A$3:$A$500,$B32,'DADOS BRUTOS'!ED$3:ED$500)+IF($C32="",0,SUMIF('DADOS BRUTOS'!$A$3:$A$500,$C32,'DADOS BRUTOS'!ED$3:ED$500)))</f>
        <v/>
      </c>
      <c r="HE32" s="132">
        <f>IF(OR(HE$4="",$B32=""),0,SUMIF('DADOS BRUTOS'!$A$3:$A$500,$B32,'DADOS BRUTOS'!EE$3:EE$500)+IF($C32="",0,SUMIF('DADOS BRUTOS'!$A$3:$A$500,$C32,'DADOS BRUTOS'!EE$3:EE$500)))</f>
        <v/>
      </c>
      <c r="HF32" s="132">
        <f>IF(OR(HF$4="",$B32=""),0,SUMIF('DADOS BRUTOS'!$A$3:$A$500,$B32,'DADOS BRUTOS'!EF$3:EF$500)+IF($C32="",0,SUMIF('DADOS BRUTOS'!$A$3:$A$500,$C32,'DADOS BRUTOS'!EF$3:EF$500)))</f>
        <v/>
      </c>
      <c r="HG32" s="132">
        <f>IF(OR(HG$4="",$B32=""),0,SUMIF('DADOS BRUTOS'!$A$3:$A$500,$B32,'DADOS BRUTOS'!EG$3:EG$500)+IF($C32="",0,SUMIF('DADOS BRUTOS'!$A$3:$A$500,$C32,'DADOS BRUTOS'!EG$3:EG$500)))</f>
        <v/>
      </c>
      <c r="HH32" s="132">
        <f>IF(OR(HH$4="",$B32=""),0,SUMIF('DADOS BRUTOS'!$A$3:$A$500,$B32,'DADOS BRUTOS'!EH$3:EH$500)+IF($C32="",0,SUMIF('DADOS BRUTOS'!$A$3:$A$500,$C32,'DADOS BRUTOS'!EH$3:EH$500)))</f>
        <v/>
      </c>
      <c r="HI32" s="132">
        <f>IF(OR(HI$4="",$B32=""),0,SUMIF('DADOS BRUTOS'!$A$3:$A$500,$B32,'DADOS BRUTOS'!EI$3:EI$500)+IF($C32="",0,SUMIF('DADOS BRUTOS'!$A$3:$A$500,$C32,'DADOS BRUTOS'!EI$3:EI$500)))</f>
        <v/>
      </c>
      <c r="HJ32" s="132">
        <f>IF(OR(HJ$4="",$B32=""),0,SUMIF('DADOS BRUTOS'!$A$3:$A$500,$B32,'DADOS BRUTOS'!EJ$3:EJ$500)+IF($C32="",0,SUMIF('DADOS BRUTOS'!$A$3:$A$500,$C32,'DADOS BRUTOS'!EJ$3:EJ$500)))</f>
        <v/>
      </c>
      <c r="HK32" s="132">
        <f>IF(OR(HK$4="",$B32=""),0,SUMIF('DADOS BRUTOS'!$A$3:$A$500,$B32,'DADOS BRUTOS'!EK$3:EK$500)+IF($C32="",0,SUMIF('DADOS BRUTOS'!$A$3:$A$500,$C32,'DADOS BRUTOS'!EK$3:EK$500)))</f>
        <v/>
      </c>
      <c r="HL32" s="132">
        <f>IF(OR(HL$4="",$B32=""),0,SUMIF('DADOS BRUTOS'!$A$3:$A$500,$B32,'DADOS BRUTOS'!EL$3:EL$500)+IF($C32="",0,SUMIF('DADOS BRUTOS'!$A$3:$A$500,$C32,'DADOS BRUTOS'!EL$3:EL$500)))</f>
        <v/>
      </c>
      <c r="HM32" s="132">
        <f>IF(OR(HM$4="",$B32=""),0,SUMIF('DADOS BRUTOS'!$A$3:$A$500,$B32,'DADOS BRUTOS'!EM$3:EM$500)+IF($C32="",0,SUMIF('DADOS BRUTOS'!$A$3:$A$500,$C32,'DADOS BRUTOS'!EM$3:EM$500)))</f>
        <v/>
      </c>
      <c r="HN32" s="132">
        <f>IF(OR(HN$4="",$B32=""),0,SUMIF('DADOS BRUTOS'!$A$3:$A$500,$B32,'DADOS BRUTOS'!EN$3:EN$500)+IF($C32="",0,SUMIF('DADOS BRUTOS'!$A$3:$A$500,$C32,'DADOS BRUTOS'!EN$3:EN$500)))</f>
        <v/>
      </c>
      <c r="HO32" s="132">
        <f>IF(OR(HO$4="",$B32=""),0,SUMIF('DADOS BRUTOS'!$A$3:$A$500,$B32,'DADOS BRUTOS'!EO$3:EO$500)+IF($C32="",0,SUMIF('DADOS BRUTOS'!$A$3:$A$500,$C32,'DADOS BRUTOS'!EO$3:EO$500)))</f>
        <v/>
      </c>
      <c r="HP32" s="132">
        <f>IF(OR(HP$4="",$B32=""),0,SUMIF('DADOS BRUTOS'!$A$3:$A$500,$B32,'DADOS BRUTOS'!EP$3:EP$500)+IF($C32="",0,SUMIF('DADOS BRUTOS'!$A$3:$A$500,$C32,'DADOS BRUTOS'!EP$3:EP$500)))</f>
        <v/>
      </c>
      <c r="HQ32" s="132">
        <f>IF(OR(HQ$4="",$B32=""),0,SUMIF('DADOS BRUTOS'!$A$3:$A$500,$B32,'DADOS BRUTOS'!EQ$3:EQ$500)+IF($C32="",0,SUMIF('DADOS BRUTOS'!$A$3:$A$500,$C32,'DADOS BRUTOS'!EQ$3:EQ$500)))</f>
        <v/>
      </c>
      <c r="HR32" s="132">
        <f>IF(OR(HR$4="",$B32=""),0,SUMIF('DADOS BRUTOS'!$A$3:$A$500,$B32,'DADOS BRUTOS'!ER$3:ER$500)+IF($C32="",0,SUMIF('DADOS BRUTOS'!$A$3:$A$500,$C32,'DADOS BRUTOS'!ER$3:ER$500)))</f>
        <v/>
      </c>
      <c r="HS32" s="132">
        <f>IF(OR(HS$4="",$B32=""),0,SUMIF('DADOS BRUTOS'!$A$3:$A$500,$B32,'DADOS BRUTOS'!ES$3:ES$500)+IF($C32="",0,SUMIF('DADOS BRUTOS'!$A$3:$A$500,$C32,'DADOS BRUTOS'!ES$3:ES$500)))</f>
        <v/>
      </c>
      <c r="HT32" s="132">
        <f>IF(OR(HT$4="",$B32=""),0,SUMIF('DADOS BRUTOS'!$A$3:$A$500,$B32,'DADOS BRUTOS'!ET$3:ET$500)+IF($C32="",0,SUMIF('DADOS BRUTOS'!$A$3:$A$500,$C32,'DADOS BRUTOS'!ET$3:ET$500)))</f>
        <v/>
      </c>
      <c r="HU32" s="132">
        <f>IF(OR(HU$4="",$B32=""),0,SUMIF('DADOS BRUTOS'!$A$3:$A$500,$B32,'DADOS BRUTOS'!EU$3:EU$500)+IF($C32="",0,SUMIF('DADOS BRUTOS'!$A$3:$A$500,$C32,'DADOS BRUTOS'!EU$3:EU$500)))</f>
        <v/>
      </c>
      <c r="HV32" s="132">
        <f>IF(OR(HV$4="",$B32=""),0,SUMIF('DADOS BRUTOS'!$A$3:$A$500,$B32,'DADOS BRUTOS'!EV$3:EV$500)+IF($C32="",0,SUMIF('DADOS BRUTOS'!$A$3:$A$500,$C32,'DADOS BRUTOS'!EV$3:EV$500)))</f>
        <v/>
      </c>
      <c r="HW32" s="132">
        <f>IF(OR(HW$4="",$B32=""),0,SUMIF('DADOS BRUTOS'!$A$3:$A$500,$B32,'DADOS BRUTOS'!EW$3:EW$500)+IF($C32="",0,SUMIF('DADOS BRUTOS'!$A$3:$A$500,$C32,'DADOS BRUTOS'!EW$3:EW$500)))</f>
        <v/>
      </c>
      <c r="HX32" s="132">
        <f>IF(OR(HX$4="",$B32=""),0,SUMIF('DADOS BRUTOS'!$A$3:$A$500,$B32,'DADOS BRUTOS'!EX$3:EX$500)+IF($C32="",0,SUMIF('DADOS BRUTOS'!$A$3:$A$500,$C32,'DADOS BRUTOS'!EX$3:EX$500)))</f>
        <v/>
      </c>
      <c r="HY32" s="132">
        <f>IF(OR(HY$4="",$B32=""),0,SUMIF('DADOS BRUTOS'!$A$3:$A$500,$B32,'DADOS BRUTOS'!EY$3:EY$500)+IF($C32="",0,SUMIF('DADOS BRUTOS'!$A$3:$A$500,$C32,'DADOS BRUTOS'!EY$3:EY$500)))</f>
        <v/>
      </c>
      <c r="HZ32" s="132">
        <f>IF(OR(HZ$4="",$B32=""),0,SUMIF('DADOS BRUTOS'!$A$3:$A$500,$B32,'DADOS BRUTOS'!EZ$3:EZ$500)+IF($C32="",0,SUMIF('DADOS BRUTOS'!$A$3:$A$500,$C32,'DADOS BRUTOS'!EZ$3:EZ$500)))</f>
        <v/>
      </c>
      <c r="IA32" s="132">
        <f>IF(OR(IA$4="",$B32=""),0,SUMIF('DADOS BRUTOS'!$A$3:$A$500,$B32,'DADOS BRUTOS'!FA$3:FA$500)+IF($C32="",0,SUMIF('DADOS BRUTOS'!$A$3:$A$500,$C32,'DADOS BRUTOS'!FA$3:FA$500)))</f>
        <v/>
      </c>
      <c r="IB32" s="132">
        <f>IF(OR(IB$4="",$B32=""),0,SUMIF('DADOS BRUTOS'!$A$3:$A$500,$B32,'DADOS BRUTOS'!FB$3:FB$500)+IF($C32="",0,SUMIF('DADOS BRUTOS'!$A$3:$A$500,$C32,'DADOS BRUTOS'!FB$3:FB$500)))</f>
        <v/>
      </c>
      <c r="IC32" s="132">
        <f>IF(OR(IC$4="",$B32=""),0,SUMIF('DADOS BRUTOS'!$A$3:$A$500,$B32,'DADOS BRUTOS'!FC$3:FC$500)+IF($C32="",0,SUMIF('DADOS BRUTOS'!$A$3:$A$500,$C32,'DADOS BRUTOS'!FC$3:FC$500)))</f>
        <v/>
      </c>
      <c r="ID32" s="132">
        <f>IF(OR(ID$4="",$B32=""),0,SUMIF('DADOS BRUTOS'!$A$3:$A$500,$B32,'DADOS BRUTOS'!FD$3:FD$500)+IF($C32="",0,SUMIF('DADOS BRUTOS'!$A$3:$A$500,$C32,'DADOS BRUTOS'!FD$3:FD$500)))</f>
        <v/>
      </c>
      <c r="IE32" s="132">
        <f>IF(OR(IE$4="",$B32=""),0,SUMIF('DADOS BRUTOS'!$A$3:$A$500,$B32,'DADOS BRUTOS'!FE$3:FE$500)+IF($C32="",0,SUMIF('DADOS BRUTOS'!$A$3:$A$500,$C32,'DADOS BRUTOS'!FE$3:FE$500)))</f>
        <v/>
      </c>
      <c r="IF32" s="132">
        <f>IF(OR(IF$4="",$B32=""),0,SUMIF('DADOS BRUTOS'!$A$3:$A$500,$B32,'DADOS BRUTOS'!FF$3:FF$500)+IF($C32="",0,SUMIF('DADOS BRUTOS'!$A$3:$A$500,$C32,'DADOS BRUTOS'!FF$3:FF$500)))</f>
        <v/>
      </c>
      <c r="IG32" s="132">
        <f>IF(OR(IG$4="",$B32=""),0,SUMIF('DADOS BRUTOS'!$A$3:$A$500,$B32,'DADOS BRUTOS'!FG$3:FG$500)+IF($C32="",0,SUMIF('DADOS BRUTOS'!$A$3:$A$500,$C32,'DADOS BRUTOS'!FG$3:FG$500)))</f>
        <v/>
      </c>
      <c r="IH32" s="132">
        <f>IF(OR(IH$4="",$B32=""),0,SUMIF('DADOS BRUTOS'!$A$3:$A$500,$B32,'DADOS BRUTOS'!FH$3:FH$500)+IF($C32="",0,SUMIF('DADOS BRUTOS'!$A$3:$A$500,$C32,'DADOS BRUTOS'!FH$3:FH$500)))</f>
        <v/>
      </c>
      <c r="II32" s="132">
        <f>IF(OR(II$4="",$B32=""),0,SUMIF('DADOS BRUTOS'!$A$3:$A$500,$B32,'DADOS BRUTOS'!FI$3:FI$500)+IF($C32="",0,SUMIF('DADOS BRUTOS'!$A$3:$A$500,$C32,'DADOS BRUTOS'!FI$3:FI$500)))</f>
        <v/>
      </c>
      <c r="IJ32" s="132">
        <f>IF(OR(IJ$4="",$B32=""),0,SUMIF('DADOS BRUTOS'!$A$3:$A$500,$B32,'DADOS BRUTOS'!FJ$3:FJ$500)+IF($C32="",0,SUMIF('DADOS BRUTOS'!$A$3:$A$500,$C32,'DADOS BRUTOS'!FJ$3:FJ$500)))</f>
        <v/>
      </c>
      <c r="IK32" s="132">
        <f>IF(OR(IK$4="",$B32=""),0,SUMIF('DADOS BRUTOS'!$A$3:$A$500,$B32,'DADOS BRUTOS'!FK$3:FK$500)+IF($C32="",0,SUMIF('DADOS BRUTOS'!$A$3:$A$500,$C32,'DADOS BRUTOS'!FK$3:FK$500)))</f>
        <v/>
      </c>
      <c r="IL32" s="132">
        <f>IF(OR(IL$4="",$B32=""),0,SUMIF('DADOS BRUTOS'!$A$3:$A$500,$B32,'DADOS BRUTOS'!FL$3:FL$500)+IF($C32="",0,SUMIF('DADOS BRUTOS'!$A$3:$A$500,$C32,'DADOS BRUTOS'!FL$3:FL$500)))</f>
        <v/>
      </c>
      <c r="IM32" s="132">
        <f>IF(OR(IM$4="",$B32=""),0,SUMIF('DADOS BRUTOS'!$A$3:$A$500,$B32,'DADOS BRUTOS'!FM$3:FM$500)+IF($C32="",0,SUMIF('DADOS BRUTOS'!$A$3:$A$500,$C32,'DADOS BRUTOS'!FM$3:FM$500)))</f>
        <v/>
      </c>
      <c r="IN32" s="132">
        <f>IF(OR(IN$4="",$B32=""),0,SUMIF('DADOS BRUTOS'!$A$3:$A$500,$B32,'DADOS BRUTOS'!FN$3:FN$500)+IF($C32="",0,SUMIF('DADOS BRUTOS'!$A$3:$A$500,$C32,'DADOS BRUTOS'!FN$3:FN$500)))</f>
        <v/>
      </c>
      <c r="IO32" s="132">
        <f>IF(OR(IO$4="",$B32=""),0,SUMIF('DADOS BRUTOS'!$A$3:$A$500,$B32,'DADOS BRUTOS'!FO$3:FO$500)+IF($C32="",0,SUMIF('DADOS BRUTOS'!$A$3:$A$500,$C32,'DADOS BRUTOS'!FO$3:FO$500)))</f>
        <v/>
      </c>
      <c r="IP32" s="132">
        <f>IF(OR(IP$4="",$B32=""),0,SUMIF('DADOS BRUTOS'!$A$3:$A$500,$B32,'DADOS BRUTOS'!FP$3:FP$500)+IF($C32="",0,SUMIF('DADOS BRUTOS'!$A$3:$A$500,$C32,'DADOS BRUTOS'!FP$3:FP$500)))</f>
        <v/>
      </c>
      <c r="IQ32" s="132">
        <f>IF(OR(IQ$4="",$B32=""),0,SUMIF('DADOS BRUTOS'!$A$3:$A$500,$B32,'DADOS BRUTOS'!FQ$3:FQ$500)+IF($C32="",0,SUMIF('DADOS BRUTOS'!$A$3:$A$500,$C32,'DADOS BRUTOS'!FQ$3:FQ$500)))</f>
        <v/>
      </c>
      <c r="IR32" s="132">
        <f>IF(OR(IR$4="",$B32=""),0,SUMIF('DADOS BRUTOS'!$A$3:$A$500,$B32,'DADOS BRUTOS'!FR$3:FR$500)+IF($C32="",0,SUMIF('DADOS BRUTOS'!$A$3:$A$500,$C32,'DADOS BRUTOS'!FR$3:FR$500)))</f>
        <v/>
      </c>
      <c r="IS32" s="132">
        <f>IF(OR(IS$4="",$B32=""),0,SUMIF('DADOS BRUTOS'!$A$3:$A$500,$B32,'DADOS BRUTOS'!FS$3:FS$500)+IF($C32="",0,SUMIF('DADOS BRUTOS'!$A$3:$A$500,$C32,'DADOS BRUTOS'!FS$3:FS$500)))</f>
        <v/>
      </c>
      <c r="IT32" s="132">
        <f>IF(OR(IT$4="",$B32=""),0,SUMIF('DADOS BRUTOS'!$A$3:$A$500,$B32,'DADOS BRUTOS'!FT$3:FT$500)+IF($C32="",0,SUMIF('DADOS BRUTOS'!$A$3:$A$500,$C32,'DADOS BRUTOS'!FT$3:FT$500)))</f>
        <v/>
      </c>
      <c r="IU32" s="132">
        <f>IF(OR(IU$4="",$B32=""),0,SUMIF('DADOS BRUTOS'!$A$3:$A$500,$B32,'DADOS BRUTOS'!FU$3:FU$500)+IF($C32="",0,SUMIF('DADOS BRUTOS'!$A$3:$A$500,$C32,'DADOS BRUTOS'!FU$3:FU$500)))</f>
        <v/>
      </c>
      <c r="IV32" s="132">
        <f>IF(OR(IV$4="",$B32=""),0,SUMIF('DADOS BRUTOS'!$A$3:$A$500,$B32,'DADOS BRUTOS'!FV$3:FV$500)+IF($C32="",0,SUMIF('DADOS BRUTOS'!$A$3:$A$500,$C32,'DADOS BRUTOS'!FV$3:FV$500)))</f>
        <v/>
      </c>
      <c r="IW32" s="132">
        <f>IF(OR(IW$4="",$B32=""),0,SUMIF('DADOS BRUTOS'!$A$3:$A$500,$B32,'DADOS BRUTOS'!FW$3:FW$500)+IF($C32="",0,SUMIF('DADOS BRUTOS'!$A$3:$A$500,$C32,'DADOS BRUTOS'!FW$3:FW$500)))</f>
        <v/>
      </c>
      <c r="IX32" s="132">
        <f>IF(OR(IX$4="",$B32=""),0,SUMIF('DADOS BRUTOS'!$A$3:$A$500,$B32,'DADOS BRUTOS'!FX$3:FX$500)+IF($C32="",0,SUMIF('DADOS BRUTOS'!$A$3:$A$500,$C32,'DADOS BRUTOS'!FX$3:FX$500)))</f>
        <v/>
      </c>
      <c r="IY32" s="132">
        <f>IF(OR(IY$4="",$B32=""),0,SUMIF('DADOS BRUTOS'!$A$3:$A$500,$B32,'DADOS BRUTOS'!FY$3:FY$500)+IF($C32="",0,SUMIF('DADOS BRUTOS'!$A$3:$A$500,$C32,'DADOS BRUTOS'!FY$3:FY$500)))</f>
        <v/>
      </c>
      <c r="IZ32" s="132">
        <f>IF(OR(IZ$4="",$B32=""),0,SUMIF('DADOS BRUTOS'!$A$3:$A$500,$B32,'DADOS BRUTOS'!FZ$3:FZ$500)+IF($C32="",0,SUMIF('DADOS BRUTOS'!$A$3:$A$500,$C32,'DADOS BRUTOS'!FZ$3:FZ$500)))</f>
        <v/>
      </c>
      <c r="JA32" s="132">
        <f>IF(OR(JA$4="",$B32=""),0,SUMIF('DADOS BRUTOS'!$A$3:$A$500,$B32,'DADOS BRUTOS'!GA$3:GA$500)+IF($C32="",0,SUMIF('DADOS BRUTOS'!$A$3:$A$500,$C32,'DADOS BRUTOS'!GA$3:GA$500)))</f>
        <v/>
      </c>
      <c r="JB32" s="132">
        <f>IF(OR(JB$4="",$B32=""),0,SUMIF('DADOS BRUTOS'!$A$3:$A$500,$B32,'DADOS BRUTOS'!GB$3:GB$500)+IF($C32="",0,SUMIF('DADOS BRUTOS'!$A$3:$A$500,$C32,'DADOS BRUTOS'!GB$3:GB$500)))</f>
        <v/>
      </c>
      <c r="JC32" s="132">
        <f>IF(OR(JC$4="",$B32=""),0,SUMIF('DADOS BRUTOS'!$A$3:$A$500,$B32,'DADOS BRUTOS'!GC$3:GC$500)+IF($C32="",0,SUMIF('DADOS BRUTOS'!$A$3:$A$500,$C32,'DADOS BRUTOS'!GC$3:GC$500)))</f>
        <v/>
      </c>
      <c r="JD32" s="132">
        <f>IF(OR(JD$4="",$B32=""),0,SUMIF('DADOS BRUTOS'!$A$3:$A$500,$B32,'DADOS BRUTOS'!GD$3:GD$500)+IF($C32="",0,SUMIF('DADOS BRUTOS'!$A$3:$A$500,$C32,'DADOS BRUTOS'!GD$3:GD$500)))</f>
        <v/>
      </c>
      <c r="JE32" s="132">
        <f>IF(OR(JE$4="",$B32=""),0,SUMIF('DADOS BRUTOS'!$A$3:$A$500,$B32,'DADOS BRUTOS'!GE$3:GE$500)+IF($C32="",0,SUMIF('DADOS BRUTOS'!$A$3:$A$500,$C32,'DADOS BRUTOS'!GE$3:GE$500)))</f>
        <v/>
      </c>
      <c r="JF32" s="132">
        <f>IF(OR(JF$4="",$B32=""),0,SUMIF('DADOS BRUTOS'!$A$3:$A$500,$B32,'DADOS BRUTOS'!GF$3:GF$500)+IF($C32="",0,SUMIF('DADOS BRUTOS'!$A$3:$A$500,$C32,'DADOS BRUTOS'!GF$3:GF$500)))</f>
        <v/>
      </c>
      <c r="JG32" s="132">
        <f>IF(OR(JG$4="",$B32=""),0,SUMIF('DADOS BRUTOS'!$A$3:$A$500,$B32,'DADOS BRUTOS'!GG$3:GG$500)+IF($C32="",0,SUMIF('DADOS BRUTOS'!$A$3:$A$500,$C32,'DADOS BRUTOS'!GG$3:GG$500)))</f>
        <v/>
      </c>
      <c r="JH32" s="132">
        <f>IF(OR(JH$4="",$B32=""),0,SUMIF('DADOS BRUTOS'!$A$3:$A$500,$B32,'DADOS BRUTOS'!GH$3:GH$500)+IF($C32="",0,SUMIF('DADOS BRUTOS'!$A$3:$A$500,$C32,'DADOS BRUTOS'!GH$3:GH$500)))</f>
        <v/>
      </c>
      <c r="JI32" s="132">
        <f>IF(OR(JI$4="",$B32=""),0,SUMIF('DADOS BRUTOS'!$A$3:$A$500,$B32,'DADOS BRUTOS'!GI$3:GI$500)+IF($C32="",0,SUMIF('DADOS BRUTOS'!$A$3:$A$500,$C32,'DADOS BRUTOS'!GI$3:GI$500)))</f>
        <v/>
      </c>
      <c r="JJ32" s="132">
        <f>IF(OR(JJ$4="",$B32=""),0,SUMIF('DADOS BRUTOS'!$A$3:$A$500,$B32,'DADOS BRUTOS'!GJ$3:GJ$500)+IF($C32="",0,SUMIF('DADOS BRUTOS'!$A$3:$A$500,$C32,'DADOS BRUTOS'!GJ$3:GJ$500)))</f>
        <v/>
      </c>
      <c r="JK32" s="132">
        <f>IF(OR(JK$4="",$B32=""),0,SUMIF('DADOS BRUTOS'!$A$3:$A$500,$B32,'DADOS BRUTOS'!GK$3:GK$500)+IF($C32="",0,SUMIF('DADOS BRUTOS'!$A$3:$A$500,$C32,'DADOS BRUTOS'!GK$3:GK$500)))</f>
        <v/>
      </c>
      <c r="JL32" s="132">
        <f>IF(OR(JL$4="",$B32=""),0,SUMIF('DADOS BRUTOS'!$A$3:$A$500,$B32,'DADOS BRUTOS'!GL$3:GL$500)+IF($C32="",0,SUMIF('DADOS BRUTOS'!$A$3:$A$500,$C32,'DADOS BRUTOS'!GL$3:GL$500)))</f>
        <v/>
      </c>
      <c r="JM32" s="132">
        <f>IF(OR(JM$4="",$B32=""),0,SUMIF('DADOS BRUTOS'!$A$3:$A$500,$B32,'DADOS BRUTOS'!GM$3:GM$500)+IF($C32="",0,SUMIF('DADOS BRUTOS'!$A$3:$A$500,$C32,'DADOS BRUTOS'!GM$3:GM$500)))</f>
        <v/>
      </c>
      <c r="JN32" s="132">
        <f>IF(OR(JN$4="",$B32=""),0,SUMIF('DADOS BRUTOS'!$A$3:$A$500,$B32,'DADOS BRUTOS'!GN$3:GN$500)+IF($C32="",0,SUMIF('DADOS BRUTOS'!$A$3:$A$500,$C32,'DADOS BRUTOS'!GN$3:GN$500)))</f>
        <v/>
      </c>
      <c r="JO32" s="132">
        <f>IF(OR(JO$4="",$B32=""),0,SUMIF('DADOS BRUTOS'!$A$3:$A$500,$B32,'DADOS BRUTOS'!GO$3:GO$500)+IF($C32="",0,SUMIF('DADOS BRUTOS'!$A$3:$A$500,$C32,'DADOS BRUTOS'!GO$3:GO$500)))</f>
        <v/>
      </c>
      <c r="JP32" s="132">
        <f>IF(OR(JP$4="",$B32=""),0,SUMIF('DADOS BRUTOS'!$A$3:$A$500,$B32,'DADOS BRUTOS'!GP$3:GP$500)+IF($C32="",0,SUMIF('DADOS BRUTOS'!$A$3:$A$500,$C32,'DADOS BRUTOS'!GP$3:GP$500)))</f>
        <v/>
      </c>
      <c r="JQ32" s="132">
        <f>IF(OR(JQ$4="",$B32=""),0,SUMIF('DADOS BRUTOS'!$A$3:$A$500,$B32,'DADOS BRUTOS'!GQ$3:GQ$500)+IF($C32="",0,SUMIF('DADOS BRUTOS'!$A$3:$A$500,$C32,'DADOS BRUTOS'!GQ$3:GQ$500)))</f>
        <v/>
      </c>
      <c r="JR32" s="132">
        <f>IF(OR(JR$4="",$B32=""),0,SUMIF('DADOS BRUTOS'!$A$3:$A$500,$B32,'DADOS BRUTOS'!GR$3:GR$500)+IF($C32="",0,SUMIF('DADOS BRUTOS'!$A$3:$A$500,$C32,'DADOS BRUTOS'!GR$3:GR$500)))</f>
        <v/>
      </c>
      <c r="JS32" s="132">
        <f>IF(OR(JS$4="",$B32=""),0,SUMIF('DADOS BRUTOS'!$A$3:$A$500,$B32,'DADOS BRUTOS'!GS$3:GS$500)+IF($C32="",0,SUMIF('DADOS BRUTOS'!$A$3:$A$500,$C32,'DADOS BRUTOS'!GS$3:GS$500)))</f>
        <v/>
      </c>
    </row>
    <row r="33">
      <c r="A33" s="61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BZ33" s="49">
        <f>SUMPRODUCT(($CB$4:$JS$4&lt;&gt;"")*($CB$4:$JS$4&lt;=$D$4),$CB33:$JS33,$CB$1:$JS$1)</f>
        <v/>
      </c>
      <c r="CB33" s="132">
        <f>IF(OR(CB$4="",$B33=""),0,SUMIF('DADOS BRUTOS'!$A$3:$A$500,$B33,'DADOS BRUTOS'!B$3:B$500)+IF($C33="",0,SUMIF('DADOS BRUTOS'!$A$3:$A$500,$C33,'DADOS BRUTOS'!B$3:B$500)))</f>
        <v/>
      </c>
      <c r="CC33" s="132">
        <f>IF(OR(CC$4="",$B33=""),0,SUMIF('DADOS BRUTOS'!$A$3:$A$500,$B33,'DADOS BRUTOS'!C$3:C$500)+IF($C33="",0,SUMIF('DADOS BRUTOS'!$A$3:$A$500,$C33,'DADOS BRUTOS'!C$3:C$500)))</f>
        <v/>
      </c>
      <c r="CD33" s="132">
        <f>IF(OR(CD$4="",$B33=""),0,SUMIF('DADOS BRUTOS'!$A$3:$A$500,$B33,'DADOS BRUTOS'!D$3:D$500)+IF($C33="",0,SUMIF('DADOS BRUTOS'!$A$3:$A$500,$C33,'DADOS BRUTOS'!D$3:D$500)))</f>
        <v/>
      </c>
      <c r="CE33" s="132">
        <f>IF(OR(CE$4="",$B33=""),0,SUMIF('DADOS BRUTOS'!$A$3:$A$500,$B33,'DADOS BRUTOS'!E$3:E$500)+IF($C33="",0,SUMIF('DADOS BRUTOS'!$A$3:$A$500,$C33,'DADOS BRUTOS'!E$3:E$500)))</f>
        <v/>
      </c>
      <c r="CF33" s="132">
        <f>IF(OR(CF$4="",$B33=""),0,SUMIF('DADOS BRUTOS'!$A$3:$A$500,$B33,'DADOS BRUTOS'!F$3:F$500)+IF($C33="",0,SUMIF('DADOS BRUTOS'!$A$3:$A$500,$C33,'DADOS BRUTOS'!F$3:F$500)))</f>
        <v/>
      </c>
      <c r="CG33" s="132">
        <f>IF(OR(CG$4="",$B33=""),0,SUMIF('DADOS BRUTOS'!$A$3:$A$500,$B33,'DADOS BRUTOS'!G$3:G$500)+IF($C33="",0,SUMIF('DADOS BRUTOS'!$A$3:$A$500,$C33,'DADOS BRUTOS'!G$3:G$500)))</f>
        <v/>
      </c>
      <c r="CH33" s="132">
        <f>IF(OR(CH$4="",$B33=""),0,SUMIF('DADOS BRUTOS'!$A$3:$A$500,$B33,'DADOS BRUTOS'!H$3:H$500)+IF($C33="",0,SUMIF('DADOS BRUTOS'!$A$3:$A$500,$C33,'DADOS BRUTOS'!H$3:H$500)))</f>
        <v/>
      </c>
      <c r="CI33" s="132">
        <f>IF(OR(CI$4="",$B33=""),0,SUMIF('DADOS BRUTOS'!$A$3:$A$500,$B33,'DADOS BRUTOS'!I$3:I$500)+IF($C33="",0,SUMIF('DADOS BRUTOS'!$A$3:$A$500,$C33,'DADOS BRUTOS'!I$3:I$500)))</f>
        <v/>
      </c>
      <c r="CJ33" s="132">
        <f>IF(OR(CJ$4="",$B33=""),0,SUMIF('DADOS BRUTOS'!$A$3:$A$500,$B33,'DADOS BRUTOS'!J$3:J$500)+IF($C33="",0,SUMIF('DADOS BRUTOS'!$A$3:$A$500,$C33,'DADOS BRUTOS'!J$3:J$500)))</f>
        <v/>
      </c>
      <c r="CK33" s="132">
        <f>IF(OR(CK$4="",$B33=""),0,SUMIF('DADOS BRUTOS'!$A$3:$A$500,$B33,'DADOS BRUTOS'!K$3:K$500)+IF($C33="",0,SUMIF('DADOS BRUTOS'!$A$3:$A$500,$C33,'DADOS BRUTOS'!K$3:K$500)))</f>
        <v/>
      </c>
      <c r="CL33" s="132">
        <f>IF(OR(CL$4="",$B33=""),0,SUMIF('DADOS BRUTOS'!$A$3:$A$500,$B33,'DADOS BRUTOS'!L$3:L$500)+IF($C33="",0,SUMIF('DADOS BRUTOS'!$A$3:$A$500,$C33,'DADOS BRUTOS'!L$3:L$500)))</f>
        <v/>
      </c>
      <c r="CM33" s="132">
        <f>IF(OR(CM$4="",$B33=""),0,SUMIF('DADOS BRUTOS'!$A$3:$A$500,$B33,'DADOS BRUTOS'!M$3:M$500)+IF($C33="",0,SUMIF('DADOS BRUTOS'!$A$3:$A$500,$C33,'DADOS BRUTOS'!M$3:M$500)))</f>
        <v/>
      </c>
      <c r="CN33" s="132">
        <f>IF(OR(CN$4="",$B33=""),0,SUMIF('DADOS BRUTOS'!$A$3:$A$500,$B33,'DADOS BRUTOS'!N$3:N$500)+IF($C33="",0,SUMIF('DADOS BRUTOS'!$A$3:$A$500,$C33,'DADOS BRUTOS'!N$3:N$500)))</f>
        <v/>
      </c>
      <c r="CO33" s="132">
        <f>IF(OR(CO$4="",$B33=""),0,SUMIF('DADOS BRUTOS'!$A$3:$A$500,$B33,'DADOS BRUTOS'!O$3:O$500)+IF($C33="",0,SUMIF('DADOS BRUTOS'!$A$3:$A$500,$C33,'DADOS BRUTOS'!O$3:O$500)))</f>
        <v/>
      </c>
      <c r="CP33" s="132">
        <f>IF(OR(CP$4="",$B33=""),0,SUMIF('DADOS BRUTOS'!$A$3:$A$500,$B33,'DADOS BRUTOS'!P$3:P$500)+IF($C33="",0,SUMIF('DADOS BRUTOS'!$A$3:$A$500,$C33,'DADOS BRUTOS'!P$3:P$500)))</f>
        <v/>
      </c>
      <c r="CQ33" s="132">
        <f>IF(OR(CQ$4="",$B33=""),0,SUMIF('DADOS BRUTOS'!$A$3:$A$500,$B33,'DADOS BRUTOS'!Q$3:Q$500)+IF($C33="",0,SUMIF('DADOS BRUTOS'!$A$3:$A$500,$C33,'DADOS BRUTOS'!Q$3:Q$500)))</f>
        <v/>
      </c>
      <c r="CR33" s="132">
        <f>IF(OR(CR$4="",$B33=""),0,SUMIF('DADOS BRUTOS'!$A$3:$A$500,$B33,'DADOS BRUTOS'!R$3:R$500)+IF($C33="",0,SUMIF('DADOS BRUTOS'!$A$3:$A$500,$C33,'DADOS BRUTOS'!R$3:R$500)))</f>
        <v/>
      </c>
      <c r="CS33" s="132">
        <f>IF(OR(CS$4="",$B33=""),0,SUMIF('DADOS BRUTOS'!$A$3:$A$500,$B33,'DADOS BRUTOS'!S$3:S$500)+IF($C33="",0,SUMIF('DADOS BRUTOS'!$A$3:$A$500,$C33,'DADOS BRUTOS'!S$3:S$500)))</f>
        <v/>
      </c>
      <c r="CT33" s="132">
        <f>IF(OR(CT$4="",$B33=""),0,SUMIF('DADOS BRUTOS'!$A$3:$A$500,$B33,'DADOS BRUTOS'!T$3:T$500)+IF($C33="",0,SUMIF('DADOS BRUTOS'!$A$3:$A$500,$C33,'DADOS BRUTOS'!T$3:T$500)))</f>
        <v/>
      </c>
      <c r="CU33" s="132">
        <f>IF(OR(CU$4="",$B33=""),0,SUMIF('DADOS BRUTOS'!$A$3:$A$500,$B33,'DADOS BRUTOS'!U$3:U$500)+IF($C33="",0,SUMIF('DADOS BRUTOS'!$A$3:$A$500,$C33,'DADOS BRUTOS'!U$3:U$500)))</f>
        <v/>
      </c>
      <c r="CV33" s="132">
        <f>IF(OR(CV$4="",$B33=""),0,SUMIF('DADOS BRUTOS'!$A$3:$A$500,$B33,'DADOS BRUTOS'!V$3:V$500)+IF($C33="",0,SUMIF('DADOS BRUTOS'!$A$3:$A$500,$C33,'DADOS BRUTOS'!V$3:V$500)))</f>
        <v/>
      </c>
      <c r="CW33" s="132">
        <f>IF(OR(CW$4="",$B33=""),0,SUMIF('DADOS BRUTOS'!$A$3:$A$500,$B33,'DADOS BRUTOS'!W$3:W$500)+IF($C33="",0,SUMIF('DADOS BRUTOS'!$A$3:$A$500,$C33,'DADOS BRUTOS'!W$3:W$500)))</f>
        <v/>
      </c>
      <c r="CX33" s="132">
        <f>IF(OR(CX$4="",$B33=""),0,SUMIF('DADOS BRUTOS'!$A$3:$A$500,$B33,'DADOS BRUTOS'!X$3:X$500)+IF($C33="",0,SUMIF('DADOS BRUTOS'!$A$3:$A$500,$C33,'DADOS BRUTOS'!X$3:X$500)))</f>
        <v/>
      </c>
      <c r="CY33" s="132">
        <f>IF(OR(CY$4="",$B33=""),0,SUMIF('DADOS BRUTOS'!$A$3:$A$500,$B33,'DADOS BRUTOS'!Y$3:Y$500)+IF($C33="",0,SUMIF('DADOS BRUTOS'!$A$3:$A$500,$C33,'DADOS BRUTOS'!Y$3:Y$500)))</f>
        <v/>
      </c>
      <c r="CZ33" s="132">
        <f>IF(OR(CZ$4="",$B33=""),0,SUMIF('DADOS BRUTOS'!$A$3:$A$500,$B33,'DADOS BRUTOS'!Z$3:Z$500)+IF($C33="",0,SUMIF('DADOS BRUTOS'!$A$3:$A$500,$C33,'DADOS BRUTOS'!Z$3:Z$500)))</f>
        <v/>
      </c>
      <c r="DA33" s="132">
        <f>IF(OR(DA$4="",$B33=""),0,SUMIF('DADOS BRUTOS'!$A$3:$A$500,$B33,'DADOS BRUTOS'!AA$3:AA$500)+IF($C33="",0,SUMIF('DADOS BRUTOS'!$A$3:$A$500,$C33,'DADOS BRUTOS'!AA$3:AA$500)))</f>
        <v/>
      </c>
      <c r="DB33" s="132">
        <f>IF(OR(DB$4="",$B33=""),0,SUMIF('DADOS BRUTOS'!$A$3:$A$500,$B33,'DADOS BRUTOS'!AB$3:AB$500)+IF($C33="",0,SUMIF('DADOS BRUTOS'!$A$3:$A$500,$C33,'DADOS BRUTOS'!AB$3:AB$500)))</f>
        <v/>
      </c>
      <c r="DC33" s="132">
        <f>IF(OR(DC$4="",$B33=""),0,SUMIF('DADOS BRUTOS'!$A$3:$A$500,$B33,'DADOS BRUTOS'!AC$3:AC$500)+IF($C33="",0,SUMIF('DADOS BRUTOS'!$A$3:$A$500,$C33,'DADOS BRUTOS'!AC$3:AC$500)))</f>
        <v/>
      </c>
      <c r="DD33" s="132">
        <f>IF(OR(DD$4="",$B33=""),0,SUMIF('DADOS BRUTOS'!$A$3:$A$500,$B33,'DADOS BRUTOS'!AD$3:AD$500)+IF($C33="",0,SUMIF('DADOS BRUTOS'!$A$3:$A$500,$C33,'DADOS BRUTOS'!AD$3:AD$500)))</f>
        <v/>
      </c>
      <c r="DE33" s="132">
        <f>IF(OR(DE$4="",$B33=""),0,SUMIF('DADOS BRUTOS'!$A$3:$A$500,$B33,'DADOS BRUTOS'!AE$3:AE$500)+IF($C33="",0,SUMIF('DADOS BRUTOS'!$A$3:$A$500,$C33,'DADOS BRUTOS'!AE$3:AE$500)))</f>
        <v/>
      </c>
      <c r="DF33" s="132">
        <f>IF(OR(DF$4="",$B33=""),0,SUMIF('DADOS BRUTOS'!$A$3:$A$500,$B33,'DADOS BRUTOS'!AF$3:AF$500)+IF($C33="",0,SUMIF('DADOS BRUTOS'!$A$3:$A$500,$C33,'DADOS BRUTOS'!AF$3:AF$500)))</f>
        <v/>
      </c>
      <c r="DG33" s="132">
        <f>IF(OR(DG$4="",$B33=""),0,SUMIF('DADOS BRUTOS'!$A$3:$A$500,$B33,'DADOS BRUTOS'!AG$3:AG$500)+IF($C33="",0,SUMIF('DADOS BRUTOS'!$A$3:$A$500,$C33,'DADOS BRUTOS'!AG$3:AG$500)))</f>
        <v/>
      </c>
      <c r="DH33" s="132">
        <f>IF(OR(DH$4="",$B33=""),0,SUMIF('DADOS BRUTOS'!$A$3:$A$500,$B33,'DADOS BRUTOS'!AH$3:AH$500)+IF($C33="",0,SUMIF('DADOS BRUTOS'!$A$3:$A$500,$C33,'DADOS BRUTOS'!AH$3:AH$500)))</f>
        <v/>
      </c>
      <c r="DI33" s="132">
        <f>IF(OR(DI$4="",$B33=""),0,SUMIF('DADOS BRUTOS'!$A$3:$A$500,$B33,'DADOS BRUTOS'!AI$3:AI$500)+IF($C33="",0,SUMIF('DADOS BRUTOS'!$A$3:$A$500,$C33,'DADOS BRUTOS'!AI$3:AI$500)))</f>
        <v/>
      </c>
      <c r="DJ33" s="132">
        <f>IF(OR(DJ$4="",$B33=""),0,SUMIF('DADOS BRUTOS'!$A$3:$A$500,$B33,'DADOS BRUTOS'!AJ$3:AJ$500)+IF($C33="",0,SUMIF('DADOS BRUTOS'!$A$3:$A$500,$C33,'DADOS BRUTOS'!AJ$3:AJ$500)))</f>
        <v/>
      </c>
      <c r="DK33" s="132">
        <f>IF(OR(DK$4="",$B33=""),0,SUMIF('DADOS BRUTOS'!$A$3:$A$500,$B33,'DADOS BRUTOS'!AK$3:AK$500)+IF($C33="",0,SUMIF('DADOS BRUTOS'!$A$3:$A$500,$C33,'DADOS BRUTOS'!AK$3:AK$500)))</f>
        <v/>
      </c>
      <c r="DL33" s="132">
        <f>IF(OR(DL$4="",$B33=""),0,SUMIF('DADOS BRUTOS'!$A$3:$A$500,$B33,'DADOS BRUTOS'!AL$3:AL$500)+IF($C33="",0,SUMIF('DADOS BRUTOS'!$A$3:$A$500,$C33,'DADOS BRUTOS'!AL$3:AL$500)))</f>
        <v/>
      </c>
      <c r="DM33" s="132">
        <f>IF(OR(DM$4="",$B33=""),0,SUMIF('DADOS BRUTOS'!$A$3:$A$500,$B33,'DADOS BRUTOS'!AM$3:AM$500)+IF($C33="",0,SUMIF('DADOS BRUTOS'!$A$3:$A$500,$C33,'DADOS BRUTOS'!AM$3:AM$500)))</f>
        <v/>
      </c>
      <c r="DN33" s="132">
        <f>IF(OR(DN$4="",$B33=""),0,SUMIF('DADOS BRUTOS'!$A$3:$A$500,$B33,'DADOS BRUTOS'!AN$3:AN$500)+IF($C33="",0,SUMIF('DADOS BRUTOS'!$A$3:$A$500,$C33,'DADOS BRUTOS'!AN$3:AN$500)))</f>
        <v/>
      </c>
      <c r="DO33" s="132">
        <f>IF(OR(DO$4="",$B33=""),0,SUMIF('DADOS BRUTOS'!$A$3:$A$500,$B33,'DADOS BRUTOS'!AO$3:AO$500)+IF($C33="",0,SUMIF('DADOS BRUTOS'!$A$3:$A$500,$C33,'DADOS BRUTOS'!AO$3:AO$500)))</f>
        <v/>
      </c>
      <c r="DP33" s="132">
        <f>IF(OR(DP$4="",$B33=""),0,SUMIF('DADOS BRUTOS'!$A$3:$A$500,$B33,'DADOS BRUTOS'!AP$3:AP$500)+IF($C33="",0,SUMIF('DADOS BRUTOS'!$A$3:$A$500,$C33,'DADOS BRUTOS'!AP$3:AP$500)))</f>
        <v/>
      </c>
      <c r="DQ33" s="132">
        <f>IF(OR(DQ$4="",$B33=""),0,SUMIF('DADOS BRUTOS'!$A$3:$A$500,$B33,'DADOS BRUTOS'!AQ$3:AQ$500)+IF($C33="",0,SUMIF('DADOS BRUTOS'!$A$3:$A$500,$C33,'DADOS BRUTOS'!AQ$3:AQ$500)))</f>
        <v/>
      </c>
      <c r="DR33" s="132">
        <f>IF(OR(DR$4="",$B33=""),0,SUMIF('DADOS BRUTOS'!$A$3:$A$500,$B33,'DADOS BRUTOS'!AR$3:AR$500)+IF($C33="",0,SUMIF('DADOS BRUTOS'!$A$3:$A$500,$C33,'DADOS BRUTOS'!AR$3:AR$500)))</f>
        <v/>
      </c>
      <c r="DS33" s="132">
        <f>IF(OR(DS$4="",$B33=""),0,SUMIF('DADOS BRUTOS'!$A$3:$A$500,$B33,'DADOS BRUTOS'!AS$3:AS$500)+IF($C33="",0,SUMIF('DADOS BRUTOS'!$A$3:$A$500,$C33,'DADOS BRUTOS'!AS$3:AS$500)))</f>
        <v/>
      </c>
      <c r="DT33" s="132">
        <f>IF(OR(DT$4="",$B33=""),0,SUMIF('DADOS BRUTOS'!$A$3:$A$500,$B33,'DADOS BRUTOS'!AT$3:AT$500)+IF($C33="",0,SUMIF('DADOS BRUTOS'!$A$3:$A$500,$C33,'DADOS BRUTOS'!AT$3:AT$500)))</f>
        <v/>
      </c>
      <c r="DU33" s="132">
        <f>IF(OR(DU$4="",$B33=""),0,SUMIF('DADOS BRUTOS'!$A$3:$A$500,$B33,'DADOS BRUTOS'!AU$3:AU$500)+IF($C33="",0,SUMIF('DADOS BRUTOS'!$A$3:$A$500,$C33,'DADOS BRUTOS'!AU$3:AU$500)))</f>
        <v/>
      </c>
      <c r="DV33" s="132">
        <f>IF(OR(DV$4="",$B33=""),0,SUMIF('DADOS BRUTOS'!$A$3:$A$500,$B33,'DADOS BRUTOS'!AV$3:AV$500)+IF($C33="",0,SUMIF('DADOS BRUTOS'!$A$3:$A$500,$C33,'DADOS BRUTOS'!AV$3:AV$500)))</f>
        <v/>
      </c>
      <c r="DW33" s="132">
        <f>IF(OR(DW$4="",$B33=""),0,SUMIF('DADOS BRUTOS'!$A$3:$A$500,$B33,'DADOS BRUTOS'!AW$3:AW$500)+IF($C33="",0,SUMIF('DADOS BRUTOS'!$A$3:$A$500,$C33,'DADOS BRUTOS'!AW$3:AW$500)))</f>
        <v/>
      </c>
      <c r="DX33" s="132">
        <f>IF(OR(DX$4="",$B33=""),0,SUMIF('DADOS BRUTOS'!$A$3:$A$500,$B33,'DADOS BRUTOS'!AX$3:AX$500)+IF($C33="",0,SUMIF('DADOS BRUTOS'!$A$3:$A$500,$C33,'DADOS BRUTOS'!AX$3:AX$500)))</f>
        <v/>
      </c>
      <c r="DY33" s="132">
        <f>IF(OR(DY$4="",$B33=""),0,SUMIF('DADOS BRUTOS'!$A$3:$A$500,$B33,'DADOS BRUTOS'!AY$3:AY$500)+IF($C33="",0,SUMIF('DADOS BRUTOS'!$A$3:$A$500,$C33,'DADOS BRUTOS'!AY$3:AY$500)))</f>
        <v/>
      </c>
      <c r="DZ33" s="132">
        <f>IF(OR(DZ$4="",$B33=""),0,SUMIF('DADOS BRUTOS'!$A$3:$A$500,$B33,'DADOS BRUTOS'!AZ$3:AZ$500)+IF($C33="",0,SUMIF('DADOS BRUTOS'!$A$3:$A$500,$C33,'DADOS BRUTOS'!AZ$3:AZ$500)))</f>
        <v/>
      </c>
      <c r="EA33" s="132">
        <f>IF(OR(EA$4="",$B33=""),0,SUMIF('DADOS BRUTOS'!$A$3:$A$500,$B33,'DADOS BRUTOS'!BA$3:BA$500)+IF($C33="",0,SUMIF('DADOS BRUTOS'!$A$3:$A$500,$C33,'DADOS BRUTOS'!BA$3:BA$500)))</f>
        <v/>
      </c>
      <c r="EB33" s="132">
        <f>IF(OR(EB$4="",$B33=""),0,SUMIF('DADOS BRUTOS'!$A$3:$A$500,$B33,'DADOS BRUTOS'!BB$3:BB$500)+IF($C33="",0,SUMIF('DADOS BRUTOS'!$A$3:$A$500,$C33,'DADOS BRUTOS'!BB$3:BB$500)))</f>
        <v/>
      </c>
      <c r="EC33" s="132">
        <f>IF(OR(EC$4="",$B33=""),0,SUMIF('DADOS BRUTOS'!$A$3:$A$500,$B33,'DADOS BRUTOS'!BC$3:BC$500)+IF($C33="",0,SUMIF('DADOS BRUTOS'!$A$3:$A$500,$C33,'DADOS BRUTOS'!BC$3:BC$500)))</f>
        <v/>
      </c>
      <c r="ED33" s="132">
        <f>IF(OR(ED$4="",$B33=""),0,SUMIF('DADOS BRUTOS'!$A$3:$A$500,$B33,'DADOS BRUTOS'!BD$3:BD$500)+IF($C33="",0,SUMIF('DADOS BRUTOS'!$A$3:$A$500,$C33,'DADOS BRUTOS'!BD$3:BD$500)))</f>
        <v/>
      </c>
      <c r="EE33" s="132">
        <f>IF(OR(EE$4="",$B33=""),0,SUMIF('DADOS BRUTOS'!$A$3:$A$500,$B33,'DADOS BRUTOS'!BE$3:BE$500)+IF($C33="",0,SUMIF('DADOS BRUTOS'!$A$3:$A$500,$C33,'DADOS BRUTOS'!BE$3:BE$500)))</f>
        <v/>
      </c>
      <c r="EF33" s="132">
        <f>IF(OR(EF$4="",$B33=""),0,SUMIF('DADOS BRUTOS'!$A$3:$A$500,$B33,'DADOS BRUTOS'!BF$3:BF$500)+IF($C33="",0,SUMIF('DADOS BRUTOS'!$A$3:$A$500,$C33,'DADOS BRUTOS'!BF$3:BF$500)))</f>
        <v/>
      </c>
      <c r="EG33" s="132">
        <f>IF(OR(EG$4="",$B33=""),0,SUMIF('DADOS BRUTOS'!$A$3:$A$500,$B33,'DADOS BRUTOS'!BG$3:BG$500)+IF($C33="",0,SUMIF('DADOS BRUTOS'!$A$3:$A$500,$C33,'DADOS BRUTOS'!BG$3:BG$500)))</f>
        <v/>
      </c>
      <c r="EH33" s="132">
        <f>IF(OR(EH$4="",$B33=""),0,SUMIF('DADOS BRUTOS'!$A$3:$A$500,$B33,'DADOS BRUTOS'!BH$3:BH$500)+IF($C33="",0,SUMIF('DADOS BRUTOS'!$A$3:$A$500,$C33,'DADOS BRUTOS'!BH$3:BH$500)))</f>
        <v/>
      </c>
      <c r="EI33" s="132">
        <f>IF(OR(EI$4="",$B33=""),0,SUMIF('DADOS BRUTOS'!$A$3:$A$500,$B33,'DADOS BRUTOS'!BI$3:BI$500)+IF($C33="",0,SUMIF('DADOS BRUTOS'!$A$3:$A$500,$C33,'DADOS BRUTOS'!BI$3:BI$500)))</f>
        <v/>
      </c>
      <c r="EJ33" s="132">
        <f>IF(OR(EJ$4="",$B33=""),0,SUMIF('DADOS BRUTOS'!$A$3:$A$500,$B33,'DADOS BRUTOS'!BJ$3:BJ$500)+IF($C33="",0,SUMIF('DADOS BRUTOS'!$A$3:$A$500,$C33,'DADOS BRUTOS'!BJ$3:BJ$500)))</f>
        <v/>
      </c>
      <c r="EK33" s="132">
        <f>IF(OR(EK$4="",$B33=""),0,SUMIF('DADOS BRUTOS'!$A$3:$A$500,$B33,'DADOS BRUTOS'!BK$3:BK$500)+IF($C33="",0,SUMIF('DADOS BRUTOS'!$A$3:$A$500,$C33,'DADOS BRUTOS'!BK$3:BK$500)))</f>
        <v/>
      </c>
      <c r="EL33" s="132">
        <f>IF(OR(EL$4="",$B33=""),0,SUMIF('DADOS BRUTOS'!$A$3:$A$500,$B33,'DADOS BRUTOS'!BL$3:BL$500)+IF($C33="",0,SUMIF('DADOS BRUTOS'!$A$3:$A$500,$C33,'DADOS BRUTOS'!BL$3:BL$500)))</f>
        <v/>
      </c>
      <c r="EM33" s="132">
        <f>IF(OR(EM$4="",$B33=""),0,SUMIF('DADOS BRUTOS'!$A$3:$A$500,$B33,'DADOS BRUTOS'!BM$3:BM$500)+IF($C33="",0,SUMIF('DADOS BRUTOS'!$A$3:$A$500,$C33,'DADOS BRUTOS'!BM$3:BM$500)))</f>
        <v/>
      </c>
      <c r="EN33" s="132">
        <f>IF(OR(EN$4="",$B33=""),0,SUMIF('DADOS BRUTOS'!$A$3:$A$500,$B33,'DADOS BRUTOS'!BN$3:BN$500)+IF($C33="",0,SUMIF('DADOS BRUTOS'!$A$3:$A$500,$C33,'DADOS BRUTOS'!BN$3:BN$500)))</f>
        <v/>
      </c>
      <c r="EO33" s="132">
        <f>IF(OR(EO$4="",$B33=""),0,SUMIF('DADOS BRUTOS'!$A$3:$A$500,$B33,'DADOS BRUTOS'!BO$3:BO$500)+IF($C33="",0,SUMIF('DADOS BRUTOS'!$A$3:$A$500,$C33,'DADOS BRUTOS'!BO$3:BO$500)))</f>
        <v/>
      </c>
      <c r="EP33" s="132">
        <f>IF(OR(EP$4="",$B33=""),0,SUMIF('DADOS BRUTOS'!$A$3:$A$500,$B33,'DADOS BRUTOS'!BP$3:BP$500)+IF($C33="",0,SUMIF('DADOS BRUTOS'!$A$3:$A$500,$C33,'DADOS BRUTOS'!BP$3:BP$500)))</f>
        <v/>
      </c>
      <c r="EQ33" s="132">
        <f>IF(OR(EQ$4="",$B33=""),0,SUMIF('DADOS BRUTOS'!$A$3:$A$500,$B33,'DADOS BRUTOS'!BQ$3:BQ$500)+IF($C33="",0,SUMIF('DADOS BRUTOS'!$A$3:$A$500,$C33,'DADOS BRUTOS'!BQ$3:BQ$500)))</f>
        <v/>
      </c>
      <c r="ER33" s="132">
        <f>IF(OR(ER$4="",$B33=""),0,SUMIF('DADOS BRUTOS'!$A$3:$A$500,$B33,'DADOS BRUTOS'!BR$3:BR$500)+IF($C33="",0,SUMIF('DADOS BRUTOS'!$A$3:$A$500,$C33,'DADOS BRUTOS'!BR$3:BR$500)))</f>
        <v/>
      </c>
      <c r="ES33" s="132">
        <f>IF(OR(ES$4="",$B33=""),0,SUMIF('DADOS BRUTOS'!$A$3:$A$500,$B33,'DADOS BRUTOS'!BS$3:BS$500)+IF($C33="",0,SUMIF('DADOS BRUTOS'!$A$3:$A$500,$C33,'DADOS BRUTOS'!BS$3:BS$500)))</f>
        <v/>
      </c>
      <c r="ET33" s="132">
        <f>IF(OR(ET$4="",$B33=""),0,SUMIF('DADOS BRUTOS'!$A$3:$A$500,$B33,'DADOS BRUTOS'!BT$3:BT$500)+IF($C33="",0,SUMIF('DADOS BRUTOS'!$A$3:$A$500,$C33,'DADOS BRUTOS'!BT$3:BT$500)))</f>
        <v/>
      </c>
      <c r="EU33" s="132">
        <f>IF(OR(EU$4="",$B33=""),0,SUMIF('DADOS BRUTOS'!$A$3:$A$500,$B33,'DADOS BRUTOS'!BU$3:BU$500)+IF($C33="",0,SUMIF('DADOS BRUTOS'!$A$3:$A$500,$C33,'DADOS BRUTOS'!BU$3:BU$500)))</f>
        <v/>
      </c>
      <c r="EV33" s="132">
        <f>IF(OR(EV$4="",$B33=""),0,SUMIF('DADOS BRUTOS'!$A$3:$A$500,$B33,'DADOS BRUTOS'!BV$3:BV$500)+IF($C33="",0,SUMIF('DADOS BRUTOS'!$A$3:$A$500,$C33,'DADOS BRUTOS'!BV$3:BV$500)))</f>
        <v/>
      </c>
      <c r="EW33" s="132">
        <f>IF(OR(EW$4="",$B33=""),0,SUMIF('DADOS BRUTOS'!$A$3:$A$500,$B33,'DADOS BRUTOS'!BW$3:BW$500)+IF($C33="",0,SUMIF('DADOS BRUTOS'!$A$3:$A$500,$C33,'DADOS BRUTOS'!BW$3:BW$500)))</f>
        <v/>
      </c>
      <c r="EX33" s="132">
        <f>IF(OR(EX$4="",$B33=""),0,SUMIF('DADOS BRUTOS'!$A$3:$A$500,$B33,'DADOS BRUTOS'!BX$3:BX$500)+IF($C33="",0,SUMIF('DADOS BRUTOS'!$A$3:$A$500,$C33,'DADOS BRUTOS'!BX$3:BX$500)))</f>
        <v/>
      </c>
      <c r="EY33" s="132">
        <f>IF(OR(EY$4="",$B33=""),0,SUMIF('DADOS BRUTOS'!$A$3:$A$500,$B33,'DADOS BRUTOS'!BY$3:BY$500)+IF($C33="",0,SUMIF('DADOS BRUTOS'!$A$3:$A$500,$C33,'DADOS BRUTOS'!BY$3:BY$500)))</f>
        <v/>
      </c>
      <c r="EZ33" s="132">
        <f>IF(OR(EZ$4="",$B33=""),0,SUMIF('DADOS BRUTOS'!$A$3:$A$500,$B33,'DADOS BRUTOS'!BZ$3:BZ$500)+IF($C33="",0,SUMIF('DADOS BRUTOS'!$A$3:$A$500,$C33,'DADOS BRUTOS'!BZ$3:BZ$500)))</f>
        <v/>
      </c>
      <c r="FA33" s="132">
        <f>IF(OR(FA$4="",$B33=""),0,SUMIF('DADOS BRUTOS'!$A$3:$A$500,$B33,'DADOS BRUTOS'!CA$3:CA$500)+IF($C33="",0,SUMIF('DADOS BRUTOS'!$A$3:$A$500,$C33,'DADOS BRUTOS'!CA$3:CA$500)))</f>
        <v/>
      </c>
      <c r="FB33" s="132">
        <f>IF(OR(FB$4="",$B33=""),0,SUMIF('DADOS BRUTOS'!$A$3:$A$500,$B33,'DADOS BRUTOS'!CB$3:CB$500)+IF($C33="",0,SUMIF('DADOS BRUTOS'!$A$3:$A$500,$C33,'DADOS BRUTOS'!CB$3:CB$500)))</f>
        <v/>
      </c>
      <c r="FC33" s="132">
        <f>IF(OR(FC$4="",$B33=""),0,SUMIF('DADOS BRUTOS'!$A$3:$A$500,$B33,'DADOS BRUTOS'!CC$3:CC$500)+IF($C33="",0,SUMIF('DADOS BRUTOS'!$A$3:$A$500,$C33,'DADOS BRUTOS'!CC$3:CC$500)))</f>
        <v/>
      </c>
      <c r="FD33" s="132">
        <f>IF(OR(FD$4="",$B33=""),0,SUMIF('DADOS BRUTOS'!$A$3:$A$500,$B33,'DADOS BRUTOS'!CD$3:CD$500)+IF($C33="",0,SUMIF('DADOS BRUTOS'!$A$3:$A$500,$C33,'DADOS BRUTOS'!CD$3:CD$500)))</f>
        <v/>
      </c>
      <c r="FE33" s="132">
        <f>IF(OR(FE$4="",$B33=""),0,SUMIF('DADOS BRUTOS'!$A$3:$A$500,$B33,'DADOS BRUTOS'!CE$3:CE$500)+IF($C33="",0,SUMIF('DADOS BRUTOS'!$A$3:$A$500,$C33,'DADOS BRUTOS'!CE$3:CE$500)))</f>
        <v/>
      </c>
      <c r="FF33" s="132">
        <f>IF(OR(FF$4="",$B33=""),0,SUMIF('DADOS BRUTOS'!$A$3:$A$500,$B33,'DADOS BRUTOS'!CF$3:CF$500)+IF($C33="",0,SUMIF('DADOS BRUTOS'!$A$3:$A$500,$C33,'DADOS BRUTOS'!CF$3:CF$500)))</f>
        <v/>
      </c>
      <c r="FG33" s="132">
        <f>IF(OR(FG$4="",$B33=""),0,SUMIF('DADOS BRUTOS'!$A$3:$A$500,$B33,'DADOS BRUTOS'!CG$3:CG$500)+IF($C33="",0,SUMIF('DADOS BRUTOS'!$A$3:$A$500,$C33,'DADOS BRUTOS'!CG$3:CG$500)))</f>
        <v/>
      </c>
      <c r="FH33" s="132">
        <f>IF(OR(FH$4="",$B33=""),0,SUMIF('DADOS BRUTOS'!$A$3:$A$500,$B33,'DADOS BRUTOS'!CH$3:CH$500)+IF($C33="",0,SUMIF('DADOS BRUTOS'!$A$3:$A$500,$C33,'DADOS BRUTOS'!CH$3:CH$500)))</f>
        <v/>
      </c>
      <c r="FI33" s="132">
        <f>IF(OR(FI$4="",$B33=""),0,SUMIF('DADOS BRUTOS'!$A$3:$A$500,$B33,'DADOS BRUTOS'!CI$3:CI$500)+IF($C33="",0,SUMIF('DADOS BRUTOS'!$A$3:$A$500,$C33,'DADOS BRUTOS'!CI$3:CI$500)))</f>
        <v/>
      </c>
      <c r="FJ33" s="132">
        <f>IF(OR(FJ$4="",$B33=""),0,SUMIF('DADOS BRUTOS'!$A$3:$A$500,$B33,'DADOS BRUTOS'!CJ$3:CJ$500)+IF($C33="",0,SUMIF('DADOS BRUTOS'!$A$3:$A$500,$C33,'DADOS BRUTOS'!CJ$3:CJ$500)))</f>
        <v/>
      </c>
      <c r="FK33" s="132">
        <f>IF(OR(FK$4="",$B33=""),0,SUMIF('DADOS BRUTOS'!$A$3:$A$500,$B33,'DADOS BRUTOS'!CK$3:CK$500)+IF($C33="",0,SUMIF('DADOS BRUTOS'!$A$3:$A$500,$C33,'DADOS BRUTOS'!CK$3:CK$500)))</f>
        <v/>
      </c>
      <c r="FL33" s="132">
        <f>IF(OR(FL$4="",$B33=""),0,SUMIF('DADOS BRUTOS'!$A$3:$A$500,$B33,'DADOS BRUTOS'!CL$3:CL$500)+IF($C33="",0,SUMIF('DADOS BRUTOS'!$A$3:$A$500,$C33,'DADOS BRUTOS'!CL$3:CL$500)))</f>
        <v/>
      </c>
      <c r="FM33" s="132">
        <f>IF(OR(FM$4="",$B33=""),0,SUMIF('DADOS BRUTOS'!$A$3:$A$500,$B33,'DADOS BRUTOS'!CM$3:CM$500)+IF($C33="",0,SUMIF('DADOS BRUTOS'!$A$3:$A$500,$C33,'DADOS BRUTOS'!CM$3:CM$500)))</f>
        <v/>
      </c>
      <c r="FN33" s="132">
        <f>IF(OR(FN$4="",$B33=""),0,SUMIF('DADOS BRUTOS'!$A$3:$A$500,$B33,'DADOS BRUTOS'!CN$3:CN$500)+IF($C33="",0,SUMIF('DADOS BRUTOS'!$A$3:$A$500,$C33,'DADOS BRUTOS'!CN$3:CN$500)))</f>
        <v/>
      </c>
      <c r="FO33" s="132">
        <f>IF(OR(FO$4="",$B33=""),0,SUMIF('DADOS BRUTOS'!$A$3:$A$500,$B33,'DADOS BRUTOS'!CO$3:CO$500)+IF($C33="",0,SUMIF('DADOS BRUTOS'!$A$3:$A$500,$C33,'DADOS BRUTOS'!CO$3:CO$500)))</f>
        <v/>
      </c>
      <c r="FP33" s="132">
        <f>IF(OR(FP$4="",$B33=""),0,SUMIF('DADOS BRUTOS'!$A$3:$A$500,$B33,'DADOS BRUTOS'!CP$3:CP$500)+IF($C33="",0,SUMIF('DADOS BRUTOS'!$A$3:$A$500,$C33,'DADOS BRUTOS'!CP$3:CP$500)))</f>
        <v/>
      </c>
      <c r="FQ33" s="132">
        <f>IF(OR(FQ$4="",$B33=""),0,SUMIF('DADOS BRUTOS'!$A$3:$A$500,$B33,'DADOS BRUTOS'!CQ$3:CQ$500)+IF($C33="",0,SUMIF('DADOS BRUTOS'!$A$3:$A$500,$C33,'DADOS BRUTOS'!CQ$3:CQ$500)))</f>
        <v/>
      </c>
      <c r="FR33" s="132">
        <f>IF(OR(FR$4="",$B33=""),0,SUMIF('DADOS BRUTOS'!$A$3:$A$500,$B33,'DADOS BRUTOS'!CR$3:CR$500)+IF($C33="",0,SUMIF('DADOS BRUTOS'!$A$3:$A$500,$C33,'DADOS BRUTOS'!CR$3:CR$500)))</f>
        <v/>
      </c>
      <c r="FS33" s="132">
        <f>IF(OR(FS$4="",$B33=""),0,SUMIF('DADOS BRUTOS'!$A$3:$A$500,$B33,'DADOS BRUTOS'!CS$3:CS$500)+IF($C33="",0,SUMIF('DADOS BRUTOS'!$A$3:$A$500,$C33,'DADOS BRUTOS'!CS$3:CS$500)))</f>
        <v/>
      </c>
      <c r="FT33" s="132">
        <f>IF(OR(FT$4="",$B33=""),0,SUMIF('DADOS BRUTOS'!$A$3:$A$500,$B33,'DADOS BRUTOS'!CT$3:CT$500)+IF($C33="",0,SUMIF('DADOS BRUTOS'!$A$3:$A$500,$C33,'DADOS BRUTOS'!CT$3:CT$500)))</f>
        <v/>
      </c>
      <c r="FU33" s="132">
        <f>IF(OR(FU$4="",$B33=""),0,SUMIF('DADOS BRUTOS'!$A$3:$A$500,$B33,'DADOS BRUTOS'!CU$3:CU$500)+IF($C33="",0,SUMIF('DADOS BRUTOS'!$A$3:$A$500,$C33,'DADOS BRUTOS'!CU$3:CU$500)))</f>
        <v/>
      </c>
      <c r="FV33" s="132">
        <f>IF(OR(FV$4="",$B33=""),0,SUMIF('DADOS BRUTOS'!$A$3:$A$500,$B33,'DADOS BRUTOS'!CV$3:CV$500)+IF($C33="",0,SUMIF('DADOS BRUTOS'!$A$3:$A$500,$C33,'DADOS BRUTOS'!CV$3:CV$500)))</f>
        <v/>
      </c>
      <c r="FW33" s="132">
        <f>IF(OR(FW$4="",$B33=""),0,SUMIF('DADOS BRUTOS'!$A$3:$A$500,$B33,'DADOS BRUTOS'!CW$3:CW$500)+IF($C33="",0,SUMIF('DADOS BRUTOS'!$A$3:$A$500,$C33,'DADOS BRUTOS'!CW$3:CW$500)))</f>
        <v/>
      </c>
      <c r="FX33" s="132">
        <f>IF(OR(FX$4="",$B33=""),0,SUMIF('DADOS BRUTOS'!$A$3:$A$500,$B33,'DADOS BRUTOS'!CX$3:CX$500)+IF($C33="",0,SUMIF('DADOS BRUTOS'!$A$3:$A$500,$C33,'DADOS BRUTOS'!CX$3:CX$500)))</f>
        <v/>
      </c>
      <c r="FY33" s="132">
        <f>IF(OR(FY$4="",$B33=""),0,SUMIF('DADOS BRUTOS'!$A$3:$A$500,$B33,'DADOS BRUTOS'!CY$3:CY$500)+IF($C33="",0,SUMIF('DADOS BRUTOS'!$A$3:$A$500,$C33,'DADOS BRUTOS'!CY$3:CY$500)))</f>
        <v/>
      </c>
      <c r="FZ33" s="132">
        <f>IF(OR(FZ$4="",$B33=""),0,SUMIF('DADOS BRUTOS'!$A$3:$A$500,$B33,'DADOS BRUTOS'!CZ$3:CZ$500)+IF($C33="",0,SUMIF('DADOS BRUTOS'!$A$3:$A$500,$C33,'DADOS BRUTOS'!CZ$3:CZ$500)))</f>
        <v/>
      </c>
      <c r="GA33" s="132">
        <f>IF(OR(GA$4="",$B33=""),0,SUMIF('DADOS BRUTOS'!$A$3:$A$500,$B33,'DADOS BRUTOS'!DA$3:DA$500)+IF($C33="",0,SUMIF('DADOS BRUTOS'!$A$3:$A$500,$C33,'DADOS BRUTOS'!DA$3:DA$500)))</f>
        <v/>
      </c>
      <c r="GB33" s="132">
        <f>IF(OR(GB$4="",$B33=""),0,SUMIF('DADOS BRUTOS'!$A$3:$A$500,$B33,'DADOS BRUTOS'!DB$3:DB$500)+IF($C33="",0,SUMIF('DADOS BRUTOS'!$A$3:$A$500,$C33,'DADOS BRUTOS'!DB$3:DB$500)))</f>
        <v/>
      </c>
      <c r="GC33" s="132">
        <f>IF(OR(GC$4="",$B33=""),0,SUMIF('DADOS BRUTOS'!$A$3:$A$500,$B33,'DADOS BRUTOS'!DC$3:DC$500)+IF($C33="",0,SUMIF('DADOS BRUTOS'!$A$3:$A$500,$C33,'DADOS BRUTOS'!DC$3:DC$500)))</f>
        <v/>
      </c>
      <c r="GD33" s="132">
        <f>IF(OR(GD$4="",$B33=""),0,SUMIF('DADOS BRUTOS'!$A$3:$A$500,$B33,'DADOS BRUTOS'!DD$3:DD$500)+IF($C33="",0,SUMIF('DADOS BRUTOS'!$A$3:$A$500,$C33,'DADOS BRUTOS'!DD$3:DD$500)))</f>
        <v/>
      </c>
      <c r="GE33" s="132">
        <f>IF(OR(GE$4="",$B33=""),0,SUMIF('DADOS BRUTOS'!$A$3:$A$500,$B33,'DADOS BRUTOS'!DE$3:DE$500)+IF($C33="",0,SUMIF('DADOS BRUTOS'!$A$3:$A$500,$C33,'DADOS BRUTOS'!DE$3:DE$500)))</f>
        <v/>
      </c>
      <c r="GF33" s="132">
        <f>IF(OR(GF$4="",$B33=""),0,SUMIF('DADOS BRUTOS'!$A$3:$A$500,$B33,'DADOS BRUTOS'!DF$3:DF$500)+IF($C33="",0,SUMIF('DADOS BRUTOS'!$A$3:$A$500,$C33,'DADOS BRUTOS'!DF$3:DF$500)))</f>
        <v/>
      </c>
      <c r="GG33" s="132">
        <f>IF(OR(GG$4="",$B33=""),0,SUMIF('DADOS BRUTOS'!$A$3:$A$500,$B33,'DADOS BRUTOS'!DG$3:DG$500)+IF($C33="",0,SUMIF('DADOS BRUTOS'!$A$3:$A$500,$C33,'DADOS BRUTOS'!DG$3:DG$500)))</f>
        <v/>
      </c>
      <c r="GH33" s="132">
        <f>IF(OR(GH$4="",$B33=""),0,SUMIF('DADOS BRUTOS'!$A$3:$A$500,$B33,'DADOS BRUTOS'!DH$3:DH$500)+IF($C33="",0,SUMIF('DADOS BRUTOS'!$A$3:$A$500,$C33,'DADOS BRUTOS'!DH$3:DH$500)))</f>
        <v/>
      </c>
      <c r="GI33" s="132">
        <f>IF(OR(GI$4="",$B33=""),0,SUMIF('DADOS BRUTOS'!$A$3:$A$500,$B33,'DADOS BRUTOS'!DI$3:DI$500)+IF($C33="",0,SUMIF('DADOS BRUTOS'!$A$3:$A$500,$C33,'DADOS BRUTOS'!DI$3:DI$500)))</f>
        <v/>
      </c>
      <c r="GJ33" s="132">
        <f>IF(OR(GJ$4="",$B33=""),0,SUMIF('DADOS BRUTOS'!$A$3:$A$500,$B33,'DADOS BRUTOS'!DJ$3:DJ$500)+IF($C33="",0,SUMIF('DADOS BRUTOS'!$A$3:$A$500,$C33,'DADOS BRUTOS'!DJ$3:DJ$500)))</f>
        <v/>
      </c>
      <c r="GK33" s="132">
        <f>IF(OR(GK$4="",$B33=""),0,SUMIF('DADOS BRUTOS'!$A$3:$A$500,$B33,'DADOS BRUTOS'!DK$3:DK$500)+IF($C33="",0,SUMIF('DADOS BRUTOS'!$A$3:$A$500,$C33,'DADOS BRUTOS'!DK$3:DK$500)))</f>
        <v/>
      </c>
      <c r="GL33" s="132">
        <f>IF(OR(GL$4="",$B33=""),0,SUMIF('DADOS BRUTOS'!$A$3:$A$500,$B33,'DADOS BRUTOS'!DL$3:DL$500)+IF($C33="",0,SUMIF('DADOS BRUTOS'!$A$3:$A$500,$C33,'DADOS BRUTOS'!DL$3:DL$500)))</f>
        <v/>
      </c>
      <c r="GM33" s="132">
        <f>IF(OR(GM$4="",$B33=""),0,SUMIF('DADOS BRUTOS'!$A$3:$A$500,$B33,'DADOS BRUTOS'!DM$3:DM$500)+IF($C33="",0,SUMIF('DADOS BRUTOS'!$A$3:$A$500,$C33,'DADOS BRUTOS'!DM$3:DM$500)))</f>
        <v/>
      </c>
      <c r="GN33" s="132">
        <f>IF(OR(GN$4="",$B33=""),0,SUMIF('DADOS BRUTOS'!$A$3:$A$500,$B33,'DADOS BRUTOS'!DN$3:DN$500)+IF($C33="",0,SUMIF('DADOS BRUTOS'!$A$3:$A$500,$C33,'DADOS BRUTOS'!DN$3:DN$500)))</f>
        <v/>
      </c>
      <c r="GO33" s="132">
        <f>IF(OR(GO$4="",$B33=""),0,SUMIF('DADOS BRUTOS'!$A$3:$A$500,$B33,'DADOS BRUTOS'!DO$3:DO$500)+IF($C33="",0,SUMIF('DADOS BRUTOS'!$A$3:$A$500,$C33,'DADOS BRUTOS'!DO$3:DO$500)))</f>
        <v/>
      </c>
      <c r="GP33" s="132">
        <f>IF(OR(GP$4="",$B33=""),0,SUMIF('DADOS BRUTOS'!$A$3:$A$500,$B33,'DADOS BRUTOS'!DP$3:DP$500)+IF($C33="",0,SUMIF('DADOS BRUTOS'!$A$3:$A$500,$C33,'DADOS BRUTOS'!DP$3:DP$500)))</f>
        <v/>
      </c>
      <c r="GQ33" s="132">
        <f>IF(OR(GQ$4="",$B33=""),0,SUMIF('DADOS BRUTOS'!$A$3:$A$500,$B33,'DADOS BRUTOS'!DQ$3:DQ$500)+IF($C33="",0,SUMIF('DADOS BRUTOS'!$A$3:$A$500,$C33,'DADOS BRUTOS'!DQ$3:DQ$500)))</f>
        <v/>
      </c>
      <c r="GR33" s="132">
        <f>IF(OR(GR$4="",$B33=""),0,SUMIF('DADOS BRUTOS'!$A$3:$A$500,$B33,'DADOS BRUTOS'!DR$3:DR$500)+IF($C33="",0,SUMIF('DADOS BRUTOS'!$A$3:$A$500,$C33,'DADOS BRUTOS'!DR$3:DR$500)))</f>
        <v/>
      </c>
      <c r="GS33" s="132">
        <f>IF(OR(GS$4="",$B33=""),0,SUMIF('DADOS BRUTOS'!$A$3:$A$500,$B33,'DADOS BRUTOS'!DS$3:DS$500)+IF($C33="",0,SUMIF('DADOS BRUTOS'!$A$3:$A$500,$C33,'DADOS BRUTOS'!DS$3:DS$500)))</f>
        <v/>
      </c>
      <c r="GT33" s="132">
        <f>IF(OR(GT$4="",$B33=""),0,SUMIF('DADOS BRUTOS'!$A$3:$A$500,$B33,'DADOS BRUTOS'!DT$3:DT$500)+IF($C33="",0,SUMIF('DADOS BRUTOS'!$A$3:$A$500,$C33,'DADOS BRUTOS'!DT$3:DT$500)))</f>
        <v/>
      </c>
      <c r="GU33" s="132">
        <f>IF(OR(GU$4="",$B33=""),0,SUMIF('DADOS BRUTOS'!$A$3:$A$500,$B33,'DADOS BRUTOS'!DU$3:DU$500)+IF($C33="",0,SUMIF('DADOS BRUTOS'!$A$3:$A$500,$C33,'DADOS BRUTOS'!DU$3:DU$500)))</f>
        <v/>
      </c>
      <c r="GV33" s="132">
        <f>IF(OR(GV$4="",$B33=""),0,SUMIF('DADOS BRUTOS'!$A$3:$A$500,$B33,'DADOS BRUTOS'!DV$3:DV$500)+IF($C33="",0,SUMIF('DADOS BRUTOS'!$A$3:$A$500,$C33,'DADOS BRUTOS'!DV$3:DV$500)))</f>
        <v/>
      </c>
      <c r="GW33" s="132">
        <f>IF(OR(GW$4="",$B33=""),0,SUMIF('DADOS BRUTOS'!$A$3:$A$500,$B33,'DADOS BRUTOS'!DW$3:DW$500)+IF($C33="",0,SUMIF('DADOS BRUTOS'!$A$3:$A$500,$C33,'DADOS BRUTOS'!DW$3:DW$500)))</f>
        <v/>
      </c>
      <c r="GX33" s="132">
        <f>IF(OR(GX$4="",$B33=""),0,SUMIF('DADOS BRUTOS'!$A$3:$A$500,$B33,'DADOS BRUTOS'!DX$3:DX$500)+IF($C33="",0,SUMIF('DADOS BRUTOS'!$A$3:$A$500,$C33,'DADOS BRUTOS'!DX$3:DX$500)))</f>
        <v/>
      </c>
      <c r="GY33" s="132">
        <f>IF(OR(GY$4="",$B33=""),0,SUMIF('DADOS BRUTOS'!$A$3:$A$500,$B33,'DADOS BRUTOS'!DY$3:DY$500)+IF($C33="",0,SUMIF('DADOS BRUTOS'!$A$3:$A$500,$C33,'DADOS BRUTOS'!DY$3:DY$500)))</f>
        <v/>
      </c>
      <c r="GZ33" s="132">
        <f>IF(OR(GZ$4="",$B33=""),0,SUMIF('DADOS BRUTOS'!$A$3:$A$500,$B33,'DADOS BRUTOS'!DZ$3:DZ$500)+IF($C33="",0,SUMIF('DADOS BRUTOS'!$A$3:$A$500,$C33,'DADOS BRUTOS'!DZ$3:DZ$500)))</f>
        <v/>
      </c>
      <c r="HA33" s="132">
        <f>IF(OR(HA$4="",$B33=""),0,SUMIF('DADOS BRUTOS'!$A$3:$A$500,$B33,'DADOS BRUTOS'!EA$3:EA$500)+IF($C33="",0,SUMIF('DADOS BRUTOS'!$A$3:$A$500,$C33,'DADOS BRUTOS'!EA$3:EA$500)))</f>
        <v/>
      </c>
      <c r="HB33" s="132">
        <f>IF(OR(HB$4="",$B33=""),0,SUMIF('DADOS BRUTOS'!$A$3:$A$500,$B33,'DADOS BRUTOS'!EB$3:EB$500)+IF($C33="",0,SUMIF('DADOS BRUTOS'!$A$3:$A$500,$C33,'DADOS BRUTOS'!EB$3:EB$500)))</f>
        <v/>
      </c>
      <c r="HC33" s="132">
        <f>IF(OR(HC$4="",$B33=""),0,SUMIF('DADOS BRUTOS'!$A$3:$A$500,$B33,'DADOS BRUTOS'!EC$3:EC$500)+IF($C33="",0,SUMIF('DADOS BRUTOS'!$A$3:$A$500,$C33,'DADOS BRUTOS'!EC$3:EC$500)))</f>
        <v/>
      </c>
      <c r="HD33" s="132">
        <f>IF(OR(HD$4="",$B33=""),0,SUMIF('DADOS BRUTOS'!$A$3:$A$500,$B33,'DADOS BRUTOS'!ED$3:ED$500)+IF($C33="",0,SUMIF('DADOS BRUTOS'!$A$3:$A$500,$C33,'DADOS BRUTOS'!ED$3:ED$500)))</f>
        <v/>
      </c>
      <c r="HE33" s="132">
        <f>IF(OR(HE$4="",$B33=""),0,SUMIF('DADOS BRUTOS'!$A$3:$A$500,$B33,'DADOS BRUTOS'!EE$3:EE$500)+IF($C33="",0,SUMIF('DADOS BRUTOS'!$A$3:$A$500,$C33,'DADOS BRUTOS'!EE$3:EE$500)))</f>
        <v/>
      </c>
      <c r="HF33" s="132">
        <f>IF(OR(HF$4="",$B33=""),0,SUMIF('DADOS BRUTOS'!$A$3:$A$500,$B33,'DADOS BRUTOS'!EF$3:EF$500)+IF($C33="",0,SUMIF('DADOS BRUTOS'!$A$3:$A$500,$C33,'DADOS BRUTOS'!EF$3:EF$500)))</f>
        <v/>
      </c>
      <c r="HG33" s="132">
        <f>IF(OR(HG$4="",$B33=""),0,SUMIF('DADOS BRUTOS'!$A$3:$A$500,$B33,'DADOS BRUTOS'!EG$3:EG$500)+IF($C33="",0,SUMIF('DADOS BRUTOS'!$A$3:$A$500,$C33,'DADOS BRUTOS'!EG$3:EG$500)))</f>
        <v/>
      </c>
      <c r="HH33" s="132">
        <f>IF(OR(HH$4="",$B33=""),0,SUMIF('DADOS BRUTOS'!$A$3:$A$500,$B33,'DADOS BRUTOS'!EH$3:EH$500)+IF($C33="",0,SUMIF('DADOS BRUTOS'!$A$3:$A$500,$C33,'DADOS BRUTOS'!EH$3:EH$500)))</f>
        <v/>
      </c>
      <c r="HI33" s="132">
        <f>IF(OR(HI$4="",$B33=""),0,SUMIF('DADOS BRUTOS'!$A$3:$A$500,$B33,'DADOS BRUTOS'!EI$3:EI$500)+IF($C33="",0,SUMIF('DADOS BRUTOS'!$A$3:$A$500,$C33,'DADOS BRUTOS'!EI$3:EI$500)))</f>
        <v/>
      </c>
      <c r="HJ33" s="132">
        <f>IF(OR(HJ$4="",$B33=""),0,SUMIF('DADOS BRUTOS'!$A$3:$A$500,$B33,'DADOS BRUTOS'!EJ$3:EJ$500)+IF($C33="",0,SUMIF('DADOS BRUTOS'!$A$3:$A$500,$C33,'DADOS BRUTOS'!EJ$3:EJ$500)))</f>
        <v/>
      </c>
      <c r="HK33" s="132">
        <f>IF(OR(HK$4="",$B33=""),0,SUMIF('DADOS BRUTOS'!$A$3:$A$500,$B33,'DADOS BRUTOS'!EK$3:EK$500)+IF($C33="",0,SUMIF('DADOS BRUTOS'!$A$3:$A$500,$C33,'DADOS BRUTOS'!EK$3:EK$500)))</f>
        <v/>
      </c>
      <c r="HL33" s="132">
        <f>IF(OR(HL$4="",$B33=""),0,SUMIF('DADOS BRUTOS'!$A$3:$A$500,$B33,'DADOS BRUTOS'!EL$3:EL$500)+IF($C33="",0,SUMIF('DADOS BRUTOS'!$A$3:$A$500,$C33,'DADOS BRUTOS'!EL$3:EL$500)))</f>
        <v/>
      </c>
      <c r="HM33" s="132">
        <f>IF(OR(HM$4="",$B33=""),0,SUMIF('DADOS BRUTOS'!$A$3:$A$500,$B33,'DADOS BRUTOS'!EM$3:EM$500)+IF($C33="",0,SUMIF('DADOS BRUTOS'!$A$3:$A$500,$C33,'DADOS BRUTOS'!EM$3:EM$500)))</f>
        <v/>
      </c>
      <c r="HN33" s="132">
        <f>IF(OR(HN$4="",$B33=""),0,SUMIF('DADOS BRUTOS'!$A$3:$A$500,$B33,'DADOS BRUTOS'!EN$3:EN$500)+IF($C33="",0,SUMIF('DADOS BRUTOS'!$A$3:$A$500,$C33,'DADOS BRUTOS'!EN$3:EN$500)))</f>
        <v/>
      </c>
      <c r="HO33" s="132">
        <f>IF(OR(HO$4="",$B33=""),0,SUMIF('DADOS BRUTOS'!$A$3:$A$500,$B33,'DADOS BRUTOS'!EO$3:EO$500)+IF($C33="",0,SUMIF('DADOS BRUTOS'!$A$3:$A$500,$C33,'DADOS BRUTOS'!EO$3:EO$500)))</f>
        <v/>
      </c>
      <c r="HP33" s="132">
        <f>IF(OR(HP$4="",$B33=""),0,SUMIF('DADOS BRUTOS'!$A$3:$A$500,$B33,'DADOS BRUTOS'!EP$3:EP$500)+IF($C33="",0,SUMIF('DADOS BRUTOS'!$A$3:$A$500,$C33,'DADOS BRUTOS'!EP$3:EP$500)))</f>
        <v/>
      </c>
      <c r="HQ33" s="132">
        <f>IF(OR(HQ$4="",$B33=""),0,SUMIF('DADOS BRUTOS'!$A$3:$A$500,$B33,'DADOS BRUTOS'!EQ$3:EQ$500)+IF($C33="",0,SUMIF('DADOS BRUTOS'!$A$3:$A$500,$C33,'DADOS BRUTOS'!EQ$3:EQ$500)))</f>
        <v/>
      </c>
      <c r="HR33" s="132">
        <f>IF(OR(HR$4="",$B33=""),0,SUMIF('DADOS BRUTOS'!$A$3:$A$500,$B33,'DADOS BRUTOS'!ER$3:ER$500)+IF($C33="",0,SUMIF('DADOS BRUTOS'!$A$3:$A$500,$C33,'DADOS BRUTOS'!ER$3:ER$500)))</f>
        <v/>
      </c>
      <c r="HS33" s="132">
        <f>IF(OR(HS$4="",$B33=""),0,SUMIF('DADOS BRUTOS'!$A$3:$A$500,$B33,'DADOS BRUTOS'!ES$3:ES$500)+IF($C33="",0,SUMIF('DADOS BRUTOS'!$A$3:$A$500,$C33,'DADOS BRUTOS'!ES$3:ES$500)))</f>
        <v/>
      </c>
      <c r="HT33" s="132">
        <f>IF(OR(HT$4="",$B33=""),0,SUMIF('DADOS BRUTOS'!$A$3:$A$500,$B33,'DADOS BRUTOS'!ET$3:ET$500)+IF($C33="",0,SUMIF('DADOS BRUTOS'!$A$3:$A$500,$C33,'DADOS BRUTOS'!ET$3:ET$500)))</f>
        <v/>
      </c>
      <c r="HU33" s="132">
        <f>IF(OR(HU$4="",$B33=""),0,SUMIF('DADOS BRUTOS'!$A$3:$A$500,$B33,'DADOS BRUTOS'!EU$3:EU$500)+IF($C33="",0,SUMIF('DADOS BRUTOS'!$A$3:$A$500,$C33,'DADOS BRUTOS'!EU$3:EU$500)))</f>
        <v/>
      </c>
      <c r="HV33" s="132">
        <f>IF(OR(HV$4="",$B33=""),0,SUMIF('DADOS BRUTOS'!$A$3:$A$500,$B33,'DADOS BRUTOS'!EV$3:EV$500)+IF($C33="",0,SUMIF('DADOS BRUTOS'!$A$3:$A$500,$C33,'DADOS BRUTOS'!EV$3:EV$500)))</f>
        <v/>
      </c>
      <c r="HW33" s="132">
        <f>IF(OR(HW$4="",$B33=""),0,SUMIF('DADOS BRUTOS'!$A$3:$A$500,$B33,'DADOS BRUTOS'!EW$3:EW$500)+IF($C33="",0,SUMIF('DADOS BRUTOS'!$A$3:$A$500,$C33,'DADOS BRUTOS'!EW$3:EW$500)))</f>
        <v/>
      </c>
      <c r="HX33" s="132">
        <f>IF(OR(HX$4="",$B33=""),0,SUMIF('DADOS BRUTOS'!$A$3:$A$500,$B33,'DADOS BRUTOS'!EX$3:EX$500)+IF($C33="",0,SUMIF('DADOS BRUTOS'!$A$3:$A$500,$C33,'DADOS BRUTOS'!EX$3:EX$500)))</f>
        <v/>
      </c>
      <c r="HY33" s="132">
        <f>IF(OR(HY$4="",$B33=""),0,SUMIF('DADOS BRUTOS'!$A$3:$A$500,$B33,'DADOS BRUTOS'!EY$3:EY$500)+IF($C33="",0,SUMIF('DADOS BRUTOS'!$A$3:$A$500,$C33,'DADOS BRUTOS'!EY$3:EY$500)))</f>
        <v/>
      </c>
      <c r="HZ33" s="132">
        <f>IF(OR(HZ$4="",$B33=""),0,SUMIF('DADOS BRUTOS'!$A$3:$A$500,$B33,'DADOS BRUTOS'!EZ$3:EZ$500)+IF($C33="",0,SUMIF('DADOS BRUTOS'!$A$3:$A$500,$C33,'DADOS BRUTOS'!EZ$3:EZ$500)))</f>
        <v/>
      </c>
      <c r="IA33" s="132">
        <f>IF(OR(IA$4="",$B33=""),0,SUMIF('DADOS BRUTOS'!$A$3:$A$500,$B33,'DADOS BRUTOS'!FA$3:FA$500)+IF($C33="",0,SUMIF('DADOS BRUTOS'!$A$3:$A$500,$C33,'DADOS BRUTOS'!FA$3:FA$500)))</f>
        <v/>
      </c>
      <c r="IB33" s="132">
        <f>IF(OR(IB$4="",$B33=""),0,SUMIF('DADOS BRUTOS'!$A$3:$A$500,$B33,'DADOS BRUTOS'!FB$3:FB$500)+IF($C33="",0,SUMIF('DADOS BRUTOS'!$A$3:$A$500,$C33,'DADOS BRUTOS'!FB$3:FB$500)))</f>
        <v/>
      </c>
      <c r="IC33" s="132">
        <f>IF(OR(IC$4="",$B33=""),0,SUMIF('DADOS BRUTOS'!$A$3:$A$500,$B33,'DADOS BRUTOS'!FC$3:FC$500)+IF($C33="",0,SUMIF('DADOS BRUTOS'!$A$3:$A$500,$C33,'DADOS BRUTOS'!FC$3:FC$500)))</f>
        <v/>
      </c>
      <c r="ID33" s="132">
        <f>IF(OR(ID$4="",$B33=""),0,SUMIF('DADOS BRUTOS'!$A$3:$A$500,$B33,'DADOS BRUTOS'!FD$3:FD$500)+IF($C33="",0,SUMIF('DADOS BRUTOS'!$A$3:$A$500,$C33,'DADOS BRUTOS'!FD$3:FD$500)))</f>
        <v/>
      </c>
      <c r="IE33" s="132">
        <f>IF(OR(IE$4="",$B33=""),0,SUMIF('DADOS BRUTOS'!$A$3:$A$500,$B33,'DADOS BRUTOS'!FE$3:FE$500)+IF($C33="",0,SUMIF('DADOS BRUTOS'!$A$3:$A$500,$C33,'DADOS BRUTOS'!FE$3:FE$500)))</f>
        <v/>
      </c>
      <c r="IF33" s="132">
        <f>IF(OR(IF$4="",$B33=""),0,SUMIF('DADOS BRUTOS'!$A$3:$A$500,$B33,'DADOS BRUTOS'!FF$3:FF$500)+IF($C33="",0,SUMIF('DADOS BRUTOS'!$A$3:$A$500,$C33,'DADOS BRUTOS'!FF$3:FF$500)))</f>
        <v/>
      </c>
      <c r="IG33" s="132">
        <f>IF(OR(IG$4="",$B33=""),0,SUMIF('DADOS BRUTOS'!$A$3:$A$500,$B33,'DADOS BRUTOS'!FG$3:FG$500)+IF($C33="",0,SUMIF('DADOS BRUTOS'!$A$3:$A$500,$C33,'DADOS BRUTOS'!FG$3:FG$500)))</f>
        <v/>
      </c>
      <c r="IH33" s="132">
        <f>IF(OR(IH$4="",$B33=""),0,SUMIF('DADOS BRUTOS'!$A$3:$A$500,$B33,'DADOS BRUTOS'!FH$3:FH$500)+IF($C33="",0,SUMIF('DADOS BRUTOS'!$A$3:$A$500,$C33,'DADOS BRUTOS'!FH$3:FH$500)))</f>
        <v/>
      </c>
      <c r="II33" s="132">
        <f>IF(OR(II$4="",$B33=""),0,SUMIF('DADOS BRUTOS'!$A$3:$A$500,$B33,'DADOS BRUTOS'!FI$3:FI$500)+IF($C33="",0,SUMIF('DADOS BRUTOS'!$A$3:$A$500,$C33,'DADOS BRUTOS'!FI$3:FI$500)))</f>
        <v/>
      </c>
      <c r="IJ33" s="132">
        <f>IF(OR(IJ$4="",$B33=""),0,SUMIF('DADOS BRUTOS'!$A$3:$A$500,$B33,'DADOS BRUTOS'!FJ$3:FJ$500)+IF($C33="",0,SUMIF('DADOS BRUTOS'!$A$3:$A$500,$C33,'DADOS BRUTOS'!FJ$3:FJ$500)))</f>
        <v/>
      </c>
      <c r="IK33" s="132">
        <f>IF(OR(IK$4="",$B33=""),0,SUMIF('DADOS BRUTOS'!$A$3:$A$500,$B33,'DADOS BRUTOS'!FK$3:FK$500)+IF($C33="",0,SUMIF('DADOS BRUTOS'!$A$3:$A$500,$C33,'DADOS BRUTOS'!FK$3:FK$500)))</f>
        <v/>
      </c>
      <c r="IL33" s="132">
        <f>IF(OR(IL$4="",$B33=""),0,SUMIF('DADOS BRUTOS'!$A$3:$A$500,$B33,'DADOS BRUTOS'!FL$3:FL$500)+IF($C33="",0,SUMIF('DADOS BRUTOS'!$A$3:$A$500,$C33,'DADOS BRUTOS'!FL$3:FL$500)))</f>
        <v/>
      </c>
      <c r="IM33" s="132">
        <f>IF(OR(IM$4="",$B33=""),0,SUMIF('DADOS BRUTOS'!$A$3:$A$500,$B33,'DADOS BRUTOS'!FM$3:FM$500)+IF($C33="",0,SUMIF('DADOS BRUTOS'!$A$3:$A$500,$C33,'DADOS BRUTOS'!FM$3:FM$500)))</f>
        <v/>
      </c>
      <c r="IN33" s="132">
        <f>IF(OR(IN$4="",$B33=""),0,SUMIF('DADOS BRUTOS'!$A$3:$A$500,$B33,'DADOS BRUTOS'!FN$3:FN$500)+IF($C33="",0,SUMIF('DADOS BRUTOS'!$A$3:$A$500,$C33,'DADOS BRUTOS'!FN$3:FN$500)))</f>
        <v/>
      </c>
      <c r="IO33" s="132">
        <f>IF(OR(IO$4="",$B33=""),0,SUMIF('DADOS BRUTOS'!$A$3:$A$500,$B33,'DADOS BRUTOS'!FO$3:FO$500)+IF($C33="",0,SUMIF('DADOS BRUTOS'!$A$3:$A$500,$C33,'DADOS BRUTOS'!FO$3:FO$500)))</f>
        <v/>
      </c>
      <c r="IP33" s="132">
        <f>IF(OR(IP$4="",$B33=""),0,SUMIF('DADOS BRUTOS'!$A$3:$A$500,$B33,'DADOS BRUTOS'!FP$3:FP$500)+IF($C33="",0,SUMIF('DADOS BRUTOS'!$A$3:$A$500,$C33,'DADOS BRUTOS'!FP$3:FP$500)))</f>
        <v/>
      </c>
      <c r="IQ33" s="132">
        <f>IF(OR(IQ$4="",$B33=""),0,SUMIF('DADOS BRUTOS'!$A$3:$A$500,$B33,'DADOS BRUTOS'!FQ$3:FQ$500)+IF($C33="",0,SUMIF('DADOS BRUTOS'!$A$3:$A$500,$C33,'DADOS BRUTOS'!FQ$3:FQ$500)))</f>
        <v/>
      </c>
      <c r="IR33" s="132">
        <f>IF(OR(IR$4="",$B33=""),0,SUMIF('DADOS BRUTOS'!$A$3:$A$500,$B33,'DADOS BRUTOS'!FR$3:FR$500)+IF($C33="",0,SUMIF('DADOS BRUTOS'!$A$3:$A$500,$C33,'DADOS BRUTOS'!FR$3:FR$500)))</f>
        <v/>
      </c>
      <c r="IS33" s="132">
        <f>IF(OR(IS$4="",$B33=""),0,SUMIF('DADOS BRUTOS'!$A$3:$A$500,$B33,'DADOS BRUTOS'!FS$3:FS$500)+IF($C33="",0,SUMIF('DADOS BRUTOS'!$A$3:$A$500,$C33,'DADOS BRUTOS'!FS$3:FS$500)))</f>
        <v/>
      </c>
      <c r="IT33" s="132">
        <f>IF(OR(IT$4="",$B33=""),0,SUMIF('DADOS BRUTOS'!$A$3:$A$500,$B33,'DADOS BRUTOS'!FT$3:FT$500)+IF($C33="",0,SUMIF('DADOS BRUTOS'!$A$3:$A$500,$C33,'DADOS BRUTOS'!FT$3:FT$500)))</f>
        <v/>
      </c>
      <c r="IU33" s="132">
        <f>IF(OR(IU$4="",$B33=""),0,SUMIF('DADOS BRUTOS'!$A$3:$A$500,$B33,'DADOS BRUTOS'!FU$3:FU$500)+IF($C33="",0,SUMIF('DADOS BRUTOS'!$A$3:$A$500,$C33,'DADOS BRUTOS'!FU$3:FU$500)))</f>
        <v/>
      </c>
      <c r="IV33" s="132">
        <f>IF(OR(IV$4="",$B33=""),0,SUMIF('DADOS BRUTOS'!$A$3:$A$500,$B33,'DADOS BRUTOS'!FV$3:FV$500)+IF($C33="",0,SUMIF('DADOS BRUTOS'!$A$3:$A$500,$C33,'DADOS BRUTOS'!FV$3:FV$500)))</f>
        <v/>
      </c>
      <c r="IW33" s="132">
        <f>IF(OR(IW$4="",$B33=""),0,SUMIF('DADOS BRUTOS'!$A$3:$A$500,$B33,'DADOS BRUTOS'!FW$3:FW$500)+IF($C33="",0,SUMIF('DADOS BRUTOS'!$A$3:$A$500,$C33,'DADOS BRUTOS'!FW$3:FW$500)))</f>
        <v/>
      </c>
      <c r="IX33" s="132">
        <f>IF(OR(IX$4="",$B33=""),0,SUMIF('DADOS BRUTOS'!$A$3:$A$500,$B33,'DADOS BRUTOS'!FX$3:FX$500)+IF($C33="",0,SUMIF('DADOS BRUTOS'!$A$3:$A$500,$C33,'DADOS BRUTOS'!FX$3:FX$500)))</f>
        <v/>
      </c>
      <c r="IY33" s="132">
        <f>IF(OR(IY$4="",$B33=""),0,SUMIF('DADOS BRUTOS'!$A$3:$A$500,$B33,'DADOS BRUTOS'!FY$3:FY$500)+IF($C33="",0,SUMIF('DADOS BRUTOS'!$A$3:$A$500,$C33,'DADOS BRUTOS'!FY$3:FY$500)))</f>
        <v/>
      </c>
      <c r="IZ33" s="132">
        <f>IF(OR(IZ$4="",$B33=""),0,SUMIF('DADOS BRUTOS'!$A$3:$A$500,$B33,'DADOS BRUTOS'!FZ$3:FZ$500)+IF($C33="",0,SUMIF('DADOS BRUTOS'!$A$3:$A$500,$C33,'DADOS BRUTOS'!FZ$3:FZ$500)))</f>
        <v/>
      </c>
      <c r="JA33" s="132">
        <f>IF(OR(JA$4="",$B33=""),0,SUMIF('DADOS BRUTOS'!$A$3:$A$500,$B33,'DADOS BRUTOS'!GA$3:GA$500)+IF($C33="",0,SUMIF('DADOS BRUTOS'!$A$3:$A$500,$C33,'DADOS BRUTOS'!GA$3:GA$500)))</f>
        <v/>
      </c>
      <c r="JB33" s="132">
        <f>IF(OR(JB$4="",$B33=""),0,SUMIF('DADOS BRUTOS'!$A$3:$A$500,$B33,'DADOS BRUTOS'!GB$3:GB$500)+IF($C33="",0,SUMIF('DADOS BRUTOS'!$A$3:$A$500,$C33,'DADOS BRUTOS'!GB$3:GB$500)))</f>
        <v/>
      </c>
      <c r="JC33" s="132">
        <f>IF(OR(JC$4="",$B33=""),0,SUMIF('DADOS BRUTOS'!$A$3:$A$500,$B33,'DADOS BRUTOS'!GC$3:GC$500)+IF($C33="",0,SUMIF('DADOS BRUTOS'!$A$3:$A$500,$C33,'DADOS BRUTOS'!GC$3:GC$500)))</f>
        <v/>
      </c>
      <c r="JD33" s="132">
        <f>IF(OR(JD$4="",$B33=""),0,SUMIF('DADOS BRUTOS'!$A$3:$A$500,$B33,'DADOS BRUTOS'!GD$3:GD$500)+IF($C33="",0,SUMIF('DADOS BRUTOS'!$A$3:$A$500,$C33,'DADOS BRUTOS'!GD$3:GD$500)))</f>
        <v/>
      </c>
      <c r="JE33" s="132">
        <f>IF(OR(JE$4="",$B33=""),0,SUMIF('DADOS BRUTOS'!$A$3:$A$500,$B33,'DADOS BRUTOS'!GE$3:GE$500)+IF($C33="",0,SUMIF('DADOS BRUTOS'!$A$3:$A$500,$C33,'DADOS BRUTOS'!GE$3:GE$500)))</f>
        <v/>
      </c>
      <c r="JF33" s="132">
        <f>IF(OR(JF$4="",$B33=""),0,SUMIF('DADOS BRUTOS'!$A$3:$A$500,$B33,'DADOS BRUTOS'!GF$3:GF$500)+IF($C33="",0,SUMIF('DADOS BRUTOS'!$A$3:$A$500,$C33,'DADOS BRUTOS'!GF$3:GF$500)))</f>
        <v/>
      </c>
      <c r="JG33" s="132">
        <f>IF(OR(JG$4="",$B33=""),0,SUMIF('DADOS BRUTOS'!$A$3:$A$500,$B33,'DADOS BRUTOS'!GG$3:GG$500)+IF($C33="",0,SUMIF('DADOS BRUTOS'!$A$3:$A$500,$C33,'DADOS BRUTOS'!GG$3:GG$500)))</f>
        <v/>
      </c>
      <c r="JH33" s="132">
        <f>IF(OR(JH$4="",$B33=""),0,SUMIF('DADOS BRUTOS'!$A$3:$A$500,$B33,'DADOS BRUTOS'!GH$3:GH$500)+IF($C33="",0,SUMIF('DADOS BRUTOS'!$A$3:$A$500,$C33,'DADOS BRUTOS'!GH$3:GH$500)))</f>
        <v/>
      </c>
      <c r="JI33" s="132">
        <f>IF(OR(JI$4="",$B33=""),0,SUMIF('DADOS BRUTOS'!$A$3:$A$500,$B33,'DADOS BRUTOS'!GI$3:GI$500)+IF($C33="",0,SUMIF('DADOS BRUTOS'!$A$3:$A$500,$C33,'DADOS BRUTOS'!GI$3:GI$500)))</f>
        <v/>
      </c>
      <c r="JJ33" s="132">
        <f>IF(OR(JJ$4="",$B33=""),0,SUMIF('DADOS BRUTOS'!$A$3:$A$500,$B33,'DADOS BRUTOS'!GJ$3:GJ$500)+IF($C33="",0,SUMIF('DADOS BRUTOS'!$A$3:$A$500,$C33,'DADOS BRUTOS'!GJ$3:GJ$500)))</f>
        <v/>
      </c>
      <c r="JK33" s="132">
        <f>IF(OR(JK$4="",$B33=""),0,SUMIF('DADOS BRUTOS'!$A$3:$A$500,$B33,'DADOS BRUTOS'!GK$3:GK$500)+IF($C33="",0,SUMIF('DADOS BRUTOS'!$A$3:$A$500,$C33,'DADOS BRUTOS'!GK$3:GK$500)))</f>
        <v/>
      </c>
      <c r="JL33" s="132">
        <f>IF(OR(JL$4="",$B33=""),0,SUMIF('DADOS BRUTOS'!$A$3:$A$500,$B33,'DADOS BRUTOS'!GL$3:GL$500)+IF($C33="",0,SUMIF('DADOS BRUTOS'!$A$3:$A$500,$C33,'DADOS BRUTOS'!GL$3:GL$500)))</f>
        <v/>
      </c>
      <c r="JM33" s="132">
        <f>IF(OR(JM$4="",$B33=""),0,SUMIF('DADOS BRUTOS'!$A$3:$A$500,$B33,'DADOS BRUTOS'!GM$3:GM$500)+IF($C33="",0,SUMIF('DADOS BRUTOS'!$A$3:$A$500,$C33,'DADOS BRUTOS'!GM$3:GM$500)))</f>
        <v/>
      </c>
      <c r="JN33" s="132">
        <f>IF(OR(JN$4="",$B33=""),0,SUMIF('DADOS BRUTOS'!$A$3:$A$500,$B33,'DADOS BRUTOS'!GN$3:GN$500)+IF($C33="",0,SUMIF('DADOS BRUTOS'!$A$3:$A$500,$C33,'DADOS BRUTOS'!GN$3:GN$500)))</f>
        <v/>
      </c>
      <c r="JO33" s="132">
        <f>IF(OR(JO$4="",$B33=""),0,SUMIF('DADOS BRUTOS'!$A$3:$A$500,$B33,'DADOS BRUTOS'!GO$3:GO$500)+IF($C33="",0,SUMIF('DADOS BRUTOS'!$A$3:$A$500,$C33,'DADOS BRUTOS'!GO$3:GO$500)))</f>
        <v/>
      </c>
      <c r="JP33" s="132">
        <f>IF(OR(JP$4="",$B33=""),0,SUMIF('DADOS BRUTOS'!$A$3:$A$500,$B33,'DADOS BRUTOS'!GP$3:GP$500)+IF($C33="",0,SUMIF('DADOS BRUTOS'!$A$3:$A$500,$C33,'DADOS BRUTOS'!GP$3:GP$500)))</f>
        <v/>
      </c>
      <c r="JQ33" s="132">
        <f>IF(OR(JQ$4="",$B33=""),0,SUMIF('DADOS BRUTOS'!$A$3:$A$500,$B33,'DADOS BRUTOS'!GQ$3:GQ$500)+IF($C33="",0,SUMIF('DADOS BRUTOS'!$A$3:$A$500,$C33,'DADOS BRUTOS'!GQ$3:GQ$500)))</f>
        <v/>
      </c>
      <c r="JR33" s="132">
        <f>IF(OR(JR$4="",$B33=""),0,SUMIF('DADOS BRUTOS'!$A$3:$A$500,$B33,'DADOS BRUTOS'!GR$3:GR$500)+IF($C33="",0,SUMIF('DADOS BRUTOS'!$A$3:$A$500,$C33,'DADOS BRUTOS'!GR$3:GR$500)))</f>
        <v/>
      </c>
      <c r="JS33" s="132">
        <f>IF(OR(JS$4="",$B33=""),0,SUMIF('DADOS BRUTOS'!$A$3:$A$500,$B33,'DADOS BRUTOS'!GS$3:GS$500)+IF($C33="",0,SUMIF('DADOS BRUTOS'!$A$3:$A$500,$C33,'DADOS BRUTOS'!GS$3:GS$500)))</f>
        <v/>
      </c>
    </row>
    <row r="34">
      <c r="A34" s="61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BZ34" s="49">
        <f>SUMPRODUCT(($CB$4:$JS$4&lt;&gt;"")*($CB$4:$JS$4&lt;=$D$4),$CB34:$JS34,$CB$1:$JS$1)</f>
        <v/>
      </c>
      <c r="CB34" s="132">
        <f>IF(OR(CB$4="",$B34=""),0,SUMIF('DADOS BRUTOS'!$A$3:$A$500,$B34,'DADOS BRUTOS'!B$3:B$500)+IF($C34="",0,SUMIF('DADOS BRUTOS'!$A$3:$A$500,$C34,'DADOS BRUTOS'!B$3:B$500)))</f>
        <v/>
      </c>
      <c r="CC34" s="132">
        <f>IF(OR(CC$4="",$B34=""),0,SUMIF('DADOS BRUTOS'!$A$3:$A$500,$B34,'DADOS BRUTOS'!C$3:C$500)+IF($C34="",0,SUMIF('DADOS BRUTOS'!$A$3:$A$500,$C34,'DADOS BRUTOS'!C$3:C$500)))</f>
        <v/>
      </c>
      <c r="CD34" s="132">
        <f>IF(OR(CD$4="",$B34=""),0,SUMIF('DADOS BRUTOS'!$A$3:$A$500,$B34,'DADOS BRUTOS'!D$3:D$500)+IF($C34="",0,SUMIF('DADOS BRUTOS'!$A$3:$A$500,$C34,'DADOS BRUTOS'!D$3:D$500)))</f>
        <v/>
      </c>
      <c r="CE34" s="132">
        <f>IF(OR(CE$4="",$B34=""),0,SUMIF('DADOS BRUTOS'!$A$3:$A$500,$B34,'DADOS BRUTOS'!E$3:E$500)+IF($C34="",0,SUMIF('DADOS BRUTOS'!$A$3:$A$500,$C34,'DADOS BRUTOS'!E$3:E$500)))</f>
        <v/>
      </c>
      <c r="CF34" s="132">
        <f>IF(OR(CF$4="",$B34=""),0,SUMIF('DADOS BRUTOS'!$A$3:$A$500,$B34,'DADOS BRUTOS'!F$3:F$500)+IF($C34="",0,SUMIF('DADOS BRUTOS'!$A$3:$A$500,$C34,'DADOS BRUTOS'!F$3:F$500)))</f>
        <v/>
      </c>
      <c r="CG34" s="132">
        <f>IF(OR(CG$4="",$B34=""),0,SUMIF('DADOS BRUTOS'!$A$3:$A$500,$B34,'DADOS BRUTOS'!G$3:G$500)+IF($C34="",0,SUMIF('DADOS BRUTOS'!$A$3:$A$500,$C34,'DADOS BRUTOS'!G$3:G$500)))</f>
        <v/>
      </c>
      <c r="CH34" s="132">
        <f>IF(OR(CH$4="",$B34=""),0,SUMIF('DADOS BRUTOS'!$A$3:$A$500,$B34,'DADOS BRUTOS'!H$3:H$500)+IF($C34="",0,SUMIF('DADOS BRUTOS'!$A$3:$A$500,$C34,'DADOS BRUTOS'!H$3:H$500)))</f>
        <v/>
      </c>
      <c r="CI34" s="132">
        <f>IF(OR(CI$4="",$B34=""),0,SUMIF('DADOS BRUTOS'!$A$3:$A$500,$B34,'DADOS BRUTOS'!I$3:I$500)+IF($C34="",0,SUMIF('DADOS BRUTOS'!$A$3:$A$500,$C34,'DADOS BRUTOS'!I$3:I$500)))</f>
        <v/>
      </c>
      <c r="CJ34" s="132">
        <f>IF(OR(CJ$4="",$B34=""),0,SUMIF('DADOS BRUTOS'!$A$3:$A$500,$B34,'DADOS BRUTOS'!J$3:J$500)+IF($C34="",0,SUMIF('DADOS BRUTOS'!$A$3:$A$500,$C34,'DADOS BRUTOS'!J$3:J$500)))</f>
        <v/>
      </c>
      <c r="CK34" s="132">
        <f>IF(OR(CK$4="",$B34=""),0,SUMIF('DADOS BRUTOS'!$A$3:$A$500,$B34,'DADOS BRUTOS'!K$3:K$500)+IF($C34="",0,SUMIF('DADOS BRUTOS'!$A$3:$A$500,$C34,'DADOS BRUTOS'!K$3:K$500)))</f>
        <v/>
      </c>
      <c r="CL34" s="132">
        <f>IF(OR(CL$4="",$B34=""),0,SUMIF('DADOS BRUTOS'!$A$3:$A$500,$B34,'DADOS BRUTOS'!L$3:L$500)+IF($C34="",0,SUMIF('DADOS BRUTOS'!$A$3:$A$500,$C34,'DADOS BRUTOS'!L$3:L$500)))</f>
        <v/>
      </c>
      <c r="CM34" s="132">
        <f>IF(OR(CM$4="",$B34=""),0,SUMIF('DADOS BRUTOS'!$A$3:$A$500,$B34,'DADOS BRUTOS'!M$3:M$500)+IF($C34="",0,SUMIF('DADOS BRUTOS'!$A$3:$A$500,$C34,'DADOS BRUTOS'!M$3:M$500)))</f>
        <v/>
      </c>
      <c r="CN34" s="132">
        <f>IF(OR(CN$4="",$B34=""),0,SUMIF('DADOS BRUTOS'!$A$3:$A$500,$B34,'DADOS BRUTOS'!N$3:N$500)+IF($C34="",0,SUMIF('DADOS BRUTOS'!$A$3:$A$500,$C34,'DADOS BRUTOS'!N$3:N$500)))</f>
        <v/>
      </c>
      <c r="CO34" s="132">
        <f>IF(OR(CO$4="",$B34=""),0,SUMIF('DADOS BRUTOS'!$A$3:$A$500,$B34,'DADOS BRUTOS'!O$3:O$500)+IF($C34="",0,SUMIF('DADOS BRUTOS'!$A$3:$A$500,$C34,'DADOS BRUTOS'!O$3:O$500)))</f>
        <v/>
      </c>
      <c r="CP34" s="132">
        <f>IF(OR(CP$4="",$B34=""),0,SUMIF('DADOS BRUTOS'!$A$3:$A$500,$B34,'DADOS BRUTOS'!P$3:P$500)+IF($C34="",0,SUMIF('DADOS BRUTOS'!$A$3:$A$500,$C34,'DADOS BRUTOS'!P$3:P$500)))</f>
        <v/>
      </c>
      <c r="CQ34" s="132">
        <f>IF(OR(CQ$4="",$B34=""),0,SUMIF('DADOS BRUTOS'!$A$3:$A$500,$B34,'DADOS BRUTOS'!Q$3:Q$500)+IF($C34="",0,SUMIF('DADOS BRUTOS'!$A$3:$A$500,$C34,'DADOS BRUTOS'!Q$3:Q$500)))</f>
        <v/>
      </c>
      <c r="CR34" s="132">
        <f>IF(OR(CR$4="",$B34=""),0,SUMIF('DADOS BRUTOS'!$A$3:$A$500,$B34,'DADOS BRUTOS'!R$3:R$500)+IF($C34="",0,SUMIF('DADOS BRUTOS'!$A$3:$A$500,$C34,'DADOS BRUTOS'!R$3:R$500)))</f>
        <v/>
      </c>
      <c r="CS34" s="132">
        <f>IF(OR(CS$4="",$B34=""),0,SUMIF('DADOS BRUTOS'!$A$3:$A$500,$B34,'DADOS BRUTOS'!S$3:S$500)+IF($C34="",0,SUMIF('DADOS BRUTOS'!$A$3:$A$500,$C34,'DADOS BRUTOS'!S$3:S$500)))</f>
        <v/>
      </c>
      <c r="CT34" s="132">
        <f>IF(OR(CT$4="",$B34=""),0,SUMIF('DADOS BRUTOS'!$A$3:$A$500,$B34,'DADOS BRUTOS'!T$3:T$500)+IF($C34="",0,SUMIF('DADOS BRUTOS'!$A$3:$A$500,$C34,'DADOS BRUTOS'!T$3:T$500)))</f>
        <v/>
      </c>
      <c r="CU34" s="132">
        <f>IF(OR(CU$4="",$B34=""),0,SUMIF('DADOS BRUTOS'!$A$3:$A$500,$B34,'DADOS BRUTOS'!U$3:U$500)+IF($C34="",0,SUMIF('DADOS BRUTOS'!$A$3:$A$500,$C34,'DADOS BRUTOS'!U$3:U$500)))</f>
        <v/>
      </c>
      <c r="CV34" s="132">
        <f>IF(OR(CV$4="",$B34=""),0,SUMIF('DADOS BRUTOS'!$A$3:$A$500,$B34,'DADOS BRUTOS'!V$3:V$500)+IF($C34="",0,SUMIF('DADOS BRUTOS'!$A$3:$A$500,$C34,'DADOS BRUTOS'!V$3:V$500)))</f>
        <v/>
      </c>
      <c r="CW34" s="132">
        <f>IF(OR(CW$4="",$B34=""),0,SUMIF('DADOS BRUTOS'!$A$3:$A$500,$B34,'DADOS BRUTOS'!W$3:W$500)+IF($C34="",0,SUMIF('DADOS BRUTOS'!$A$3:$A$500,$C34,'DADOS BRUTOS'!W$3:W$500)))</f>
        <v/>
      </c>
      <c r="CX34" s="132">
        <f>IF(OR(CX$4="",$B34=""),0,SUMIF('DADOS BRUTOS'!$A$3:$A$500,$B34,'DADOS BRUTOS'!X$3:X$500)+IF($C34="",0,SUMIF('DADOS BRUTOS'!$A$3:$A$500,$C34,'DADOS BRUTOS'!X$3:X$500)))</f>
        <v/>
      </c>
      <c r="CY34" s="132">
        <f>IF(OR(CY$4="",$B34=""),0,SUMIF('DADOS BRUTOS'!$A$3:$A$500,$B34,'DADOS BRUTOS'!Y$3:Y$500)+IF($C34="",0,SUMIF('DADOS BRUTOS'!$A$3:$A$500,$C34,'DADOS BRUTOS'!Y$3:Y$500)))</f>
        <v/>
      </c>
      <c r="CZ34" s="132">
        <f>IF(OR(CZ$4="",$B34=""),0,SUMIF('DADOS BRUTOS'!$A$3:$A$500,$B34,'DADOS BRUTOS'!Z$3:Z$500)+IF($C34="",0,SUMIF('DADOS BRUTOS'!$A$3:$A$500,$C34,'DADOS BRUTOS'!Z$3:Z$500)))</f>
        <v/>
      </c>
      <c r="DA34" s="132">
        <f>IF(OR(DA$4="",$B34=""),0,SUMIF('DADOS BRUTOS'!$A$3:$A$500,$B34,'DADOS BRUTOS'!AA$3:AA$500)+IF($C34="",0,SUMIF('DADOS BRUTOS'!$A$3:$A$500,$C34,'DADOS BRUTOS'!AA$3:AA$500)))</f>
        <v/>
      </c>
      <c r="DB34" s="132">
        <f>IF(OR(DB$4="",$B34=""),0,SUMIF('DADOS BRUTOS'!$A$3:$A$500,$B34,'DADOS BRUTOS'!AB$3:AB$500)+IF($C34="",0,SUMIF('DADOS BRUTOS'!$A$3:$A$500,$C34,'DADOS BRUTOS'!AB$3:AB$500)))</f>
        <v/>
      </c>
      <c r="DC34" s="132">
        <f>IF(OR(DC$4="",$B34=""),0,SUMIF('DADOS BRUTOS'!$A$3:$A$500,$B34,'DADOS BRUTOS'!AC$3:AC$500)+IF($C34="",0,SUMIF('DADOS BRUTOS'!$A$3:$A$500,$C34,'DADOS BRUTOS'!AC$3:AC$500)))</f>
        <v/>
      </c>
      <c r="DD34" s="132">
        <f>IF(OR(DD$4="",$B34=""),0,SUMIF('DADOS BRUTOS'!$A$3:$A$500,$B34,'DADOS BRUTOS'!AD$3:AD$500)+IF($C34="",0,SUMIF('DADOS BRUTOS'!$A$3:$A$500,$C34,'DADOS BRUTOS'!AD$3:AD$500)))</f>
        <v/>
      </c>
      <c r="DE34" s="132">
        <f>IF(OR(DE$4="",$B34=""),0,SUMIF('DADOS BRUTOS'!$A$3:$A$500,$B34,'DADOS BRUTOS'!AE$3:AE$500)+IF($C34="",0,SUMIF('DADOS BRUTOS'!$A$3:$A$500,$C34,'DADOS BRUTOS'!AE$3:AE$500)))</f>
        <v/>
      </c>
      <c r="DF34" s="132">
        <f>IF(OR(DF$4="",$B34=""),0,SUMIF('DADOS BRUTOS'!$A$3:$A$500,$B34,'DADOS BRUTOS'!AF$3:AF$500)+IF($C34="",0,SUMIF('DADOS BRUTOS'!$A$3:$A$500,$C34,'DADOS BRUTOS'!AF$3:AF$500)))</f>
        <v/>
      </c>
      <c r="DG34" s="132">
        <f>IF(OR(DG$4="",$B34=""),0,SUMIF('DADOS BRUTOS'!$A$3:$A$500,$B34,'DADOS BRUTOS'!AG$3:AG$500)+IF($C34="",0,SUMIF('DADOS BRUTOS'!$A$3:$A$500,$C34,'DADOS BRUTOS'!AG$3:AG$500)))</f>
        <v/>
      </c>
      <c r="DH34" s="132">
        <f>IF(OR(DH$4="",$B34=""),0,SUMIF('DADOS BRUTOS'!$A$3:$A$500,$B34,'DADOS BRUTOS'!AH$3:AH$500)+IF($C34="",0,SUMIF('DADOS BRUTOS'!$A$3:$A$500,$C34,'DADOS BRUTOS'!AH$3:AH$500)))</f>
        <v/>
      </c>
      <c r="DI34" s="132">
        <f>IF(OR(DI$4="",$B34=""),0,SUMIF('DADOS BRUTOS'!$A$3:$A$500,$B34,'DADOS BRUTOS'!AI$3:AI$500)+IF($C34="",0,SUMIF('DADOS BRUTOS'!$A$3:$A$500,$C34,'DADOS BRUTOS'!AI$3:AI$500)))</f>
        <v/>
      </c>
      <c r="DJ34" s="132">
        <f>IF(OR(DJ$4="",$B34=""),0,SUMIF('DADOS BRUTOS'!$A$3:$A$500,$B34,'DADOS BRUTOS'!AJ$3:AJ$500)+IF($C34="",0,SUMIF('DADOS BRUTOS'!$A$3:$A$500,$C34,'DADOS BRUTOS'!AJ$3:AJ$500)))</f>
        <v/>
      </c>
      <c r="DK34" s="132">
        <f>IF(OR(DK$4="",$B34=""),0,SUMIF('DADOS BRUTOS'!$A$3:$A$500,$B34,'DADOS BRUTOS'!AK$3:AK$500)+IF($C34="",0,SUMIF('DADOS BRUTOS'!$A$3:$A$500,$C34,'DADOS BRUTOS'!AK$3:AK$500)))</f>
        <v/>
      </c>
      <c r="DL34" s="132">
        <f>IF(OR(DL$4="",$B34=""),0,SUMIF('DADOS BRUTOS'!$A$3:$A$500,$B34,'DADOS BRUTOS'!AL$3:AL$500)+IF($C34="",0,SUMIF('DADOS BRUTOS'!$A$3:$A$500,$C34,'DADOS BRUTOS'!AL$3:AL$500)))</f>
        <v/>
      </c>
      <c r="DM34" s="132">
        <f>IF(OR(DM$4="",$B34=""),0,SUMIF('DADOS BRUTOS'!$A$3:$A$500,$B34,'DADOS BRUTOS'!AM$3:AM$500)+IF($C34="",0,SUMIF('DADOS BRUTOS'!$A$3:$A$500,$C34,'DADOS BRUTOS'!AM$3:AM$500)))</f>
        <v/>
      </c>
      <c r="DN34" s="132">
        <f>IF(OR(DN$4="",$B34=""),0,SUMIF('DADOS BRUTOS'!$A$3:$A$500,$B34,'DADOS BRUTOS'!AN$3:AN$500)+IF($C34="",0,SUMIF('DADOS BRUTOS'!$A$3:$A$500,$C34,'DADOS BRUTOS'!AN$3:AN$500)))</f>
        <v/>
      </c>
      <c r="DO34" s="132">
        <f>IF(OR(DO$4="",$B34=""),0,SUMIF('DADOS BRUTOS'!$A$3:$A$500,$B34,'DADOS BRUTOS'!AO$3:AO$500)+IF($C34="",0,SUMIF('DADOS BRUTOS'!$A$3:$A$500,$C34,'DADOS BRUTOS'!AO$3:AO$500)))</f>
        <v/>
      </c>
      <c r="DP34" s="132">
        <f>IF(OR(DP$4="",$B34=""),0,SUMIF('DADOS BRUTOS'!$A$3:$A$500,$B34,'DADOS BRUTOS'!AP$3:AP$500)+IF($C34="",0,SUMIF('DADOS BRUTOS'!$A$3:$A$500,$C34,'DADOS BRUTOS'!AP$3:AP$500)))</f>
        <v/>
      </c>
      <c r="DQ34" s="132">
        <f>IF(OR(DQ$4="",$B34=""),0,SUMIF('DADOS BRUTOS'!$A$3:$A$500,$B34,'DADOS BRUTOS'!AQ$3:AQ$500)+IF($C34="",0,SUMIF('DADOS BRUTOS'!$A$3:$A$500,$C34,'DADOS BRUTOS'!AQ$3:AQ$500)))</f>
        <v/>
      </c>
      <c r="DR34" s="132">
        <f>IF(OR(DR$4="",$B34=""),0,SUMIF('DADOS BRUTOS'!$A$3:$A$500,$B34,'DADOS BRUTOS'!AR$3:AR$500)+IF($C34="",0,SUMIF('DADOS BRUTOS'!$A$3:$A$500,$C34,'DADOS BRUTOS'!AR$3:AR$500)))</f>
        <v/>
      </c>
      <c r="DS34" s="132">
        <f>IF(OR(DS$4="",$B34=""),0,SUMIF('DADOS BRUTOS'!$A$3:$A$500,$B34,'DADOS BRUTOS'!AS$3:AS$500)+IF($C34="",0,SUMIF('DADOS BRUTOS'!$A$3:$A$500,$C34,'DADOS BRUTOS'!AS$3:AS$500)))</f>
        <v/>
      </c>
      <c r="DT34" s="132">
        <f>IF(OR(DT$4="",$B34=""),0,SUMIF('DADOS BRUTOS'!$A$3:$A$500,$B34,'DADOS BRUTOS'!AT$3:AT$500)+IF($C34="",0,SUMIF('DADOS BRUTOS'!$A$3:$A$500,$C34,'DADOS BRUTOS'!AT$3:AT$500)))</f>
        <v/>
      </c>
      <c r="DU34" s="132">
        <f>IF(OR(DU$4="",$B34=""),0,SUMIF('DADOS BRUTOS'!$A$3:$A$500,$B34,'DADOS BRUTOS'!AU$3:AU$500)+IF($C34="",0,SUMIF('DADOS BRUTOS'!$A$3:$A$500,$C34,'DADOS BRUTOS'!AU$3:AU$500)))</f>
        <v/>
      </c>
      <c r="DV34" s="132">
        <f>IF(OR(DV$4="",$B34=""),0,SUMIF('DADOS BRUTOS'!$A$3:$A$500,$B34,'DADOS BRUTOS'!AV$3:AV$500)+IF($C34="",0,SUMIF('DADOS BRUTOS'!$A$3:$A$500,$C34,'DADOS BRUTOS'!AV$3:AV$500)))</f>
        <v/>
      </c>
      <c r="DW34" s="132">
        <f>IF(OR(DW$4="",$B34=""),0,SUMIF('DADOS BRUTOS'!$A$3:$A$500,$B34,'DADOS BRUTOS'!AW$3:AW$500)+IF($C34="",0,SUMIF('DADOS BRUTOS'!$A$3:$A$500,$C34,'DADOS BRUTOS'!AW$3:AW$500)))</f>
        <v/>
      </c>
      <c r="DX34" s="132">
        <f>IF(OR(DX$4="",$B34=""),0,SUMIF('DADOS BRUTOS'!$A$3:$A$500,$B34,'DADOS BRUTOS'!AX$3:AX$500)+IF($C34="",0,SUMIF('DADOS BRUTOS'!$A$3:$A$500,$C34,'DADOS BRUTOS'!AX$3:AX$500)))</f>
        <v/>
      </c>
      <c r="DY34" s="132">
        <f>IF(OR(DY$4="",$B34=""),0,SUMIF('DADOS BRUTOS'!$A$3:$A$500,$B34,'DADOS BRUTOS'!AY$3:AY$500)+IF($C34="",0,SUMIF('DADOS BRUTOS'!$A$3:$A$500,$C34,'DADOS BRUTOS'!AY$3:AY$500)))</f>
        <v/>
      </c>
      <c r="DZ34" s="132">
        <f>IF(OR(DZ$4="",$B34=""),0,SUMIF('DADOS BRUTOS'!$A$3:$A$500,$B34,'DADOS BRUTOS'!AZ$3:AZ$500)+IF($C34="",0,SUMIF('DADOS BRUTOS'!$A$3:$A$500,$C34,'DADOS BRUTOS'!AZ$3:AZ$500)))</f>
        <v/>
      </c>
      <c r="EA34" s="132">
        <f>IF(OR(EA$4="",$B34=""),0,SUMIF('DADOS BRUTOS'!$A$3:$A$500,$B34,'DADOS BRUTOS'!BA$3:BA$500)+IF($C34="",0,SUMIF('DADOS BRUTOS'!$A$3:$A$500,$C34,'DADOS BRUTOS'!BA$3:BA$500)))</f>
        <v/>
      </c>
      <c r="EB34" s="132">
        <f>IF(OR(EB$4="",$B34=""),0,SUMIF('DADOS BRUTOS'!$A$3:$A$500,$B34,'DADOS BRUTOS'!BB$3:BB$500)+IF($C34="",0,SUMIF('DADOS BRUTOS'!$A$3:$A$500,$C34,'DADOS BRUTOS'!BB$3:BB$500)))</f>
        <v/>
      </c>
      <c r="EC34" s="132">
        <f>IF(OR(EC$4="",$B34=""),0,SUMIF('DADOS BRUTOS'!$A$3:$A$500,$B34,'DADOS BRUTOS'!BC$3:BC$500)+IF($C34="",0,SUMIF('DADOS BRUTOS'!$A$3:$A$500,$C34,'DADOS BRUTOS'!BC$3:BC$500)))</f>
        <v/>
      </c>
      <c r="ED34" s="132">
        <f>IF(OR(ED$4="",$B34=""),0,SUMIF('DADOS BRUTOS'!$A$3:$A$500,$B34,'DADOS BRUTOS'!BD$3:BD$500)+IF($C34="",0,SUMIF('DADOS BRUTOS'!$A$3:$A$500,$C34,'DADOS BRUTOS'!BD$3:BD$500)))</f>
        <v/>
      </c>
      <c r="EE34" s="132">
        <f>IF(OR(EE$4="",$B34=""),0,SUMIF('DADOS BRUTOS'!$A$3:$A$500,$B34,'DADOS BRUTOS'!BE$3:BE$500)+IF($C34="",0,SUMIF('DADOS BRUTOS'!$A$3:$A$500,$C34,'DADOS BRUTOS'!BE$3:BE$500)))</f>
        <v/>
      </c>
      <c r="EF34" s="132">
        <f>IF(OR(EF$4="",$B34=""),0,SUMIF('DADOS BRUTOS'!$A$3:$A$500,$B34,'DADOS BRUTOS'!BF$3:BF$500)+IF($C34="",0,SUMIF('DADOS BRUTOS'!$A$3:$A$500,$C34,'DADOS BRUTOS'!BF$3:BF$500)))</f>
        <v/>
      </c>
      <c r="EG34" s="132">
        <f>IF(OR(EG$4="",$B34=""),0,SUMIF('DADOS BRUTOS'!$A$3:$A$500,$B34,'DADOS BRUTOS'!BG$3:BG$500)+IF($C34="",0,SUMIF('DADOS BRUTOS'!$A$3:$A$500,$C34,'DADOS BRUTOS'!BG$3:BG$500)))</f>
        <v/>
      </c>
      <c r="EH34" s="132">
        <f>IF(OR(EH$4="",$B34=""),0,SUMIF('DADOS BRUTOS'!$A$3:$A$500,$B34,'DADOS BRUTOS'!BH$3:BH$500)+IF($C34="",0,SUMIF('DADOS BRUTOS'!$A$3:$A$500,$C34,'DADOS BRUTOS'!BH$3:BH$500)))</f>
        <v/>
      </c>
      <c r="EI34" s="132">
        <f>IF(OR(EI$4="",$B34=""),0,SUMIF('DADOS BRUTOS'!$A$3:$A$500,$B34,'DADOS BRUTOS'!BI$3:BI$500)+IF($C34="",0,SUMIF('DADOS BRUTOS'!$A$3:$A$500,$C34,'DADOS BRUTOS'!BI$3:BI$500)))</f>
        <v/>
      </c>
      <c r="EJ34" s="132">
        <f>IF(OR(EJ$4="",$B34=""),0,SUMIF('DADOS BRUTOS'!$A$3:$A$500,$B34,'DADOS BRUTOS'!BJ$3:BJ$500)+IF($C34="",0,SUMIF('DADOS BRUTOS'!$A$3:$A$500,$C34,'DADOS BRUTOS'!BJ$3:BJ$500)))</f>
        <v/>
      </c>
      <c r="EK34" s="132">
        <f>IF(OR(EK$4="",$B34=""),0,SUMIF('DADOS BRUTOS'!$A$3:$A$500,$B34,'DADOS BRUTOS'!BK$3:BK$500)+IF($C34="",0,SUMIF('DADOS BRUTOS'!$A$3:$A$500,$C34,'DADOS BRUTOS'!BK$3:BK$500)))</f>
        <v/>
      </c>
      <c r="EL34" s="132">
        <f>IF(OR(EL$4="",$B34=""),0,SUMIF('DADOS BRUTOS'!$A$3:$A$500,$B34,'DADOS BRUTOS'!BL$3:BL$500)+IF($C34="",0,SUMIF('DADOS BRUTOS'!$A$3:$A$500,$C34,'DADOS BRUTOS'!BL$3:BL$500)))</f>
        <v/>
      </c>
      <c r="EM34" s="132">
        <f>IF(OR(EM$4="",$B34=""),0,SUMIF('DADOS BRUTOS'!$A$3:$A$500,$B34,'DADOS BRUTOS'!BM$3:BM$500)+IF($C34="",0,SUMIF('DADOS BRUTOS'!$A$3:$A$500,$C34,'DADOS BRUTOS'!BM$3:BM$500)))</f>
        <v/>
      </c>
      <c r="EN34" s="132">
        <f>IF(OR(EN$4="",$B34=""),0,SUMIF('DADOS BRUTOS'!$A$3:$A$500,$B34,'DADOS BRUTOS'!BN$3:BN$500)+IF($C34="",0,SUMIF('DADOS BRUTOS'!$A$3:$A$500,$C34,'DADOS BRUTOS'!BN$3:BN$500)))</f>
        <v/>
      </c>
      <c r="EO34" s="132">
        <f>IF(OR(EO$4="",$B34=""),0,SUMIF('DADOS BRUTOS'!$A$3:$A$500,$B34,'DADOS BRUTOS'!BO$3:BO$500)+IF($C34="",0,SUMIF('DADOS BRUTOS'!$A$3:$A$500,$C34,'DADOS BRUTOS'!BO$3:BO$500)))</f>
        <v/>
      </c>
      <c r="EP34" s="132">
        <f>IF(OR(EP$4="",$B34=""),0,SUMIF('DADOS BRUTOS'!$A$3:$A$500,$B34,'DADOS BRUTOS'!BP$3:BP$500)+IF($C34="",0,SUMIF('DADOS BRUTOS'!$A$3:$A$500,$C34,'DADOS BRUTOS'!BP$3:BP$500)))</f>
        <v/>
      </c>
      <c r="EQ34" s="132">
        <f>IF(OR(EQ$4="",$B34=""),0,SUMIF('DADOS BRUTOS'!$A$3:$A$500,$B34,'DADOS BRUTOS'!BQ$3:BQ$500)+IF($C34="",0,SUMIF('DADOS BRUTOS'!$A$3:$A$500,$C34,'DADOS BRUTOS'!BQ$3:BQ$500)))</f>
        <v/>
      </c>
      <c r="ER34" s="132">
        <f>IF(OR(ER$4="",$B34=""),0,SUMIF('DADOS BRUTOS'!$A$3:$A$500,$B34,'DADOS BRUTOS'!BR$3:BR$500)+IF($C34="",0,SUMIF('DADOS BRUTOS'!$A$3:$A$500,$C34,'DADOS BRUTOS'!BR$3:BR$500)))</f>
        <v/>
      </c>
      <c r="ES34" s="132">
        <f>IF(OR(ES$4="",$B34=""),0,SUMIF('DADOS BRUTOS'!$A$3:$A$500,$B34,'DADOS BRUTOS'!BS$3:BS$500)+IF($C34="",0,SUMIF('DADOS BRUTOS'!$A$3:$A$500,$C34,'DADOS BRUTOS'!BS$3:BS$500)))</f>
        <v/>
      </c>
      <c r="ET34" s="132">
        <f>IF(OR(ET$4="",$B34=""),0,SUMIF('DADOS BRUTOS'!$A$3:$A$500,$B34,'DADOS BRUTOS'!BT$3:BT$500)+IF($C34="",0,SUMIF('DADOS BRUTOS'!$A$3:$A$500,$C34,'DADOS BRUTOS'!BT$3:BT$500)))</f>
        <v/>
      </c>
      <c r="EU34" s="132">
        <f>IF(OR(EU$4="",$B34=""),0,SUMIF('DADOS BRUTOS'!$A$3:$A$500,$B34,'DADOS BRUTOS'!BU$3:BU$500)+IF($C34="",0,SUMIF('DADOS BRUTOS'!$A$3:$A$500,$C34,'DADOS BRUTOS'!BU$3:BU$500)))</f>
        <v/>
      </c>
      <c r="EV34" s="132">
        <f>IF(OR(EV$4="",$B34=""),0,SUMIF('DADOS BRUTOS'!$A$3:$A$500,$B34,'DADOS BRUTOS'!BV$3:BV$500)+IF($C34="",0,SUMIF('DADOS BRUTOS'!$A$3:$A$500,$C34,'DADOS BRUTOS'!BV$3:BV$500)))</f>
        <v/>
      </c>
      <c r="EW34" s="132">
        <f>IF(OR(EW$4="",$B34=""),0,SUMIF('DADOS BRUTOS'!$A$3:$A$500,$B34,'DADOS BRUTOS'!BW$3:BW$500)+IF($C34="",0,SUMIF('DADOS BRUTOS'!$A$3:$A$500,$C34,'DADOS BRUTOS'!BW$3:BW$500)))</f>
        <v/>
      </c>
      <c r="EX34" s="132">
        <f>IF(OR(EX$4="",$B34=""),0,SUMIF('DADOS BRUTOS'!$A$3:$A$500,$B34,'DADOS BRUTOS'!BX$3:BX$500)+IF($C34="",0,SUMIF('DADOS BRUTOS'!$A$3:$A$500,$C34,'DADOS BRUTOS'!BX$3:BX$500)))</f>
        <v/>
      </c>
      <c r="EY34" s="132">
        <f>IF(OR(EY$4="",$B34=""),0,SUMIF('DADOS BRUTOS'!$A$3:$A$500,$B34,'DADOS BRUTOS'!BY$3:BY$500)+IF($C34="",0,SUMIF('DADOS BRUTOS'!$A$3:$A$500,$C34,'DADOS BRUTOS'!BY$3:BY$500)))</f>
        <v/>
      </c>
      <c r="EZ34" s="132">
        <f>IF(OR(EZ$4="",$B34=""),0,SUMIF('DADOS BRUTOS'!$A$3:$A$500,$B34,'DADOS BRUTOS'!BZ$3:BZ$500)+IF($C34="",0,SUMIF('DADOS BRUTOS'!$A$3:$A$500,$C34,'DADOS BRUTOS'!BZ$3:BZ$500)))</f>
        <v/>
      </c>
      <c r="FA34" s="132">
        <f>IF(OR(FA$4="",$B34=""),0,SUMIF('DADOS BRUTOS'!$A$3:$A$500,$B34,'DADOS BRUTOS'!CA$3:CA$500)+IF($C34="",0,SUMIF('DADOS BRUTOS'!$A$3:$A$500,$C34,'DADOS BRUTOS'!CA$3:CA$500)))</f>
        <v/>
      </c>
      <c r="FB34" s="132">
        <f>IF(OR(FB$4="",$B34=""),0,SUMIF('DADOS BRUTOS'!$A$3:$A$500,$B34,'DADOS BRUTOS'!CB$3:CB$500)+IF($C34="",0,SUMIF('DADOS BRUTOS'!$A$3:$A$500,$C34,'DADOS BRUTOS'!CB$3:CB$500)))</f>
        <v/>
      </c>
      <c r="FC34" s="132">
        <f>IF(OR(FC$4="",$B34=""),0,SUMIF('DADOS BRUTOS'!$A$3:$A$500,$B34,'DADOS BRUTOS'!CC$3:CC$500)+IF($C34="",0,SUMIF('DADOS BRUTOS'!$A$3:$A$500,$C34,'DADOS BRUTOS'!CC$3:CC$500)))</f>
        <v/>
      </c>
      <c r="FD34" s="132">
        <f>IF(OR(FD$4="",$B34=""),0,SUMIF('DADOS BRUTOS'!$A$3:$A$500,$B34,'DADOS BRUTOS'!CD$3:CD$500)+IF($C34="",0,SUMIF('DADOS BRUTOS'!$A$3:$A$500,$C34,'DADOS BRUTOS'!CD$3:CD$500)))</f>
        <v/>
      </c>
      <c r="FE34" s="132">
        <f>IF(OR(FE$4="",$B34=""),0,SUMIF('DADOS BRUTOS'!$A$3:$A$500,$B34,'DADOS BRUTOS'!CE$3:CE$500)+IF($C34="",0,SUMIF('DADOS BRUTOS'!$A$3:$A$500,$C34,'DADOS BRUTOS'!CE$3:CE$500)))</f>
        <v/>
      </c>
      <c r="FF34" s="132">
        <f>IF(OR(FF$4="",$B34=""),0,SUMIF('DADOS BRUTOS'!$A$3:$A$500,$B34,'DADOS BRUTOS'!CF$3:CF$500)+IF($C34="",0,SUMIF('DADOS BRUTOS'!$A$3:$A$500,$C34,'DADOS BRUTOS'!CF$3:CF$500)))</f>
        <v/>
      </c>
      <c r="FG34" s="132">
        <f>IF(OR(FG$4="",$B34=""),0,SUMIF('DADOS BRUTOS'!$A$3:$A$500,$B34,'DADOS BRUTOS'!CG$3:CG$500)+IF($C34="",0,SUMIF('DADOS BRUTOS'!$A$3:$A$500,$C34,'DADOS BRUTOS'!CG$3:CG$500)))</f>
        <v/>
      </c>
      <c r="FH34" s="132">
        <f>IF(OR(FH$4="",$B34=""),0,SUMIF('DADOS BRUTOS'!$A$3:$A$500,$B34,'DADOS BRUTOS'!CH$3:CH$500)+IF($C34="",0,SUMIF('DADOS BRUTOS'!$A$3:$A$500,$C34,'DADOS BRUTOS'!CH$3:CH$500)))</f>
        <v/>
      </c>
      <c r="FI34" s="132">
        <f>IF(OR(FI$4="",$B34=""),0,SUMIF('DADOS BRUTOS'!$A$3:$A$500,$B34,'DADOS BRUTOS'!CI$3:CI$500)+IF($C34="",0,SUMIF('DADOS BRUTOS'!$A$3:$A$500,$C34,'DADOS BRUTOS'!CI$3:CI$500)))</f>
        <v/>
      </c>
      <c r="FJ34" s="132">
        <f>IF(OR(FJ$4="",$B34=""),0,SUMIF('DADOS BRUTOS'!$A$3:$A$500,$B34,'DADOS BRUTOS'!CJ$3:CJ$500)+IF($C34="",0,SUMIF('DADOS BRUTOS'!$A$3:$A$500,$C34,'DADOS BRUTOS'!CJ$3:CJ$500)))</f>
        <v/>
      </c>
      <c r="FK34" s="132">
        <f>IF(OR(FK$4="",$B34=""),0,SUMIF('DADOS BRUTOS'!$A$3:$A$500,$B34,'DADOS BRUTOS'!CK$3:CK$500)+IF($C34="",0,SUMIF('DADOS BRUTOS'!$A$3:$A$500,$C34,'DADOS BRUTOS'!CK$3:CK$500)))</f>
        <v/>
      </c>
      <c r="FL34" s="132">
        <f>IF(OR(FL$4="",$B34=""),0,SUMIF('DADOS BRUTOS'!$A$3:$A$500,$B34,'DADOS BRUTOS'!CL$3:CL$500)+IF($C34="",0,SUMIF('DADOS BRUTOS'!$A$3:$A$500,$C34,'DADOS BRUTOS'!CL$3:CL$500)))</f>
        <v/>
      </c>
      <c r="FM34" s="132">
        <f>IF(OR(FM$4="",$B34=""),0,SUMIF('DADOS BRUTOS'!$A$3:$A$500,$B34,'DADOS BRUTOS'!CM$3:CM$500)+IF($C34="",0,SUMIF('DADOS BRUTOS'!$A$3:$A$500,$C34,'DADOS BRUTOS'!CM$3:CM$500)))</f>
        <v/>
      </c>
      <c r="FN34" s="132">
        <f>IF(OR(FN$4="",$B34=""),0,SUMIF('DADOS BRUTOS'!$A$3:$A$500,$B34,'DADOS BRUTOS'!CN$3:CN$500)+IF($C34="",0,SUMIF('DADOS BRUTOS'!$A$3:$A$500,$C34,'DADOS BRUTOS'!CN$3:CN$500)))</f>
        <v/>
      </c>
      <c r="FO34" s="132">
        <f>IF(OR(FO$4="",$B34=""),0,SUMIF('DADOS BRUTOS'!$A$3:$A$500,$B34,'DADOS BRUTOS'!CO$3:CO$500)+IF($C34="",0,SUMIF('DADOS BRUTOS'!$A$3:$A$500,$C34,'DADOS BRUTOS'!CO$3:CO$500)))</f>
        <v/>
      </c>
      <c r="FP34" s="132">
        <f>IF(OR(FP$4="",$B34=""),0,SUMIF('DADOS BRUTOS'!$A$3:$A$500,$B34,'DADOS BRUTOS'!CP$3:CP$500)+IF($C34="",0,SUMIF('DADOS BRUTOS'!$A$3:$A$500,$C34,'DADOS BRUTOS'!CP$3:CP$500)))</f>
        <v/>
      </c>
      <c r="FQ34" s="132">
        <f>IF(OR(FQ$4="",$B34=""),0,SUMIF('DADOS BRUTOS'!$A$3:$A$500,$B34,'DADOS BRUTOS'!CQ$3:CQ$500)+IF($C34="",0,SUMIF('DADOS BRUTOS'!$A$3:$A$500,$C34,'DADOS BRUTOS'!CQ$3:CQ$500)))</f>
        <v/>
      </c>
      <c r="FR34" s="132">
        <f>IF(OR(FR$4="",$B34=""),0,SUMIF('DADOS BRUTOS'!$A$3:$A$500,$B34,'DADOS BRUTOS'!CR$3:CR$500)+IF($C34="",0,SUMIF('DADOS BRUTOS'!$A$3:$A$500,$C34,'DADOS BRUTOS'!CR$3:CR$500)))</f>
        <v/>
      </c>
      <c r="FS34" s="132">
        <f>IF(OR(FS$4="",$B34=""),0,SUMIF('DADOS BRUTOS'!$A$3:$A$500,$B34,'DADOS BRUTOS'!CS$3:CS$500)+IF($C34="",0,SUMIF('DADOS BRUTOS'!$A$3:$A$500,$C34,'DADOS BRUTOS'!CS$3:CS$500)))</f>
        <v/>
      </c>
      <c r="FT34" s="132">
        <f>IF(OR(FT$4="",$B34=""),0,SUMIF('DADOS BRUTOS'!$A$3:$A$500,$B34,'DADOS BRUTOS'!CT$3:CT$500)+IF($C34="",0,SUMIF('DADOS BRUTOS'!$A$3:$A$500,$C34,'DADOS BRUTOS'!CT$3:CT$500)))</f>
        <v/>
      </c>
      <c r="FU34" s="132">
        <f>IF(OR(FU$4="",$B34=""),0,SUMIF('DADOS BRUTOS'!$A$3:$A$500,$B34,'DADOS BRUTOS'!CU$3:CU$500)+IF($C34="",0,SUMIF('DADOS BRUTOS'!$A$3:$A$500,$C34,'DADOS BRUTOS'!CU$3:CU$500)))</f>
        <v/>
      </c>
      <c r="FV34" s="132">
        <f>IF(OR(FV$4="",$B34=""),0,SUMIF('DADOS BRUTOS'!$A$3:$A$500,$B34,'DADOS BRUTOS'!CV$3:CV$500)+IF($C34="",0,SUMIF('DADOS BRUTOS'!$A$3:$A$500,$C34,'DADOS BRUTOS'!CV$3:CV$500)))</f>
        <v/>
      </c>
      <c r="FW34" s="132">
        <f>IF(OR(FW$4="",$B34=""),0,SUMIF('DADOS BRUTOS'!$A$3:$A$500,$B34,'DADOS BRUTOS'!CW$3:CW$500)+IF($C34="",0,SUMIF('DADOS BRUTOS'!$A$3:$A$500,$C34,'DADOS BRUTOS'!CW$3:CW$500)))</f>
        <v/>
      </c>
      <c r="FX34" s="132">
        <f>IF(OR(FX$4="",$B34=""),0,SUMIF('DADOS BRUTOS'!$A$3:$A$500,$B34,'DADOS BRUTOS'!CX$3:CX$500)+IF($C34="",0,SUMIF('DADOS BRUTOS'!$A$3:$A$500,$C34,'DADOS BRUTOS'!CX$3:CX$500)))</f>
        <v/>
      </c>
      <c r="FY34" s="132">
        <f>IF(OR(FY$4="",$B34=""),0,SUMIF('DADOS BRUTOS'!$A$3:$A$500,$B34,'DADOS BRUTOS'!CY$3:CY$500)+IF($C34="",0,SUMIF('DADOS BRUTOS'!$A$3:$A$500,$C34,'DADOS BRUTOS'!CY$3:CY$500)))</f>
        <v/>
      </c>
      <c r="FZ34" s="132">
        <f>IF(OR(FZ$4="",$B34=""),0,SUMIF('DADOS BRUTOS'!$A$3:$A$500,$B34,'DADOS BRUTOS'!CZ$3:CZ$500)+IF($C34="",0,SUMIF('DADOS BRUTOS'!$A$3:$A$500,$C34,'DADOS BRUTOS'!CZ$3:CZ$500)))</f>
        <v/>
      </c>
      <c r="GA34" s="132">
        <f>IF(OR(GA$4="",$B34=""),0,SUMIF('DADOS BRUTOS'!$A$3:$A$500,$B34,'DADOS BRUTOS'!DA$3:DA$500)+IF($C34="",0,SUMIF('DADOS BRUTOS'!$A$3:$A$500,$C34,'DADOS BRUTOS'!DA$3:DA$500)))</f>
        <v/>
      </c>
      <c r="GB34" s="132">
        <f>IF(OR(GB$4="",$B34=""),0,SUMIF('DADOS BRUTOS'!$A$3:$A$500,$B34,'DADOS BRUTOS'!DB$3:DB$500)+IF($C34="",0,SUMIF('DADOS BRUTOS'!$A$3:$A$500,$C34,'DADOS BRUTOS'!DB$3:DB$500)))</f>
        <v/>
      </c>
      <c r="GC34" s="132">
        <f>IF(OR(GC$4="",$B34=""),0,SUMIF('DADOS BRUTOS'!$A$3:$A$500,$B34,'DADOS BRUTOS'!DC$3:DC$500)+IF($C34="",0,SUMIF('DADOS BRUTOS'!$A$3:$A$500,$C34,'DADOS BRUTOS'!DC$3:DC$500)))</f>
        <v/>
      </c>
      <c r="GD34" s="132">
        <f>IF(OR(GD$4="",$B34=""),0,SUMIF('DADOS BRUTOS'!$A$3:$A$500,$B34,'DADOS BRUTOS'!DD$3:DD$500)+IF($C34="",0,SUMIF('DADOS BRUTOS'!$A$3:$A$500,$C34,'DADOS BRUTOS'!DD$3:DD$500)))</f>
        <v/>
      </c>
      <c r="GE34" s="132">
        <f>IF(OR(GE$4="",$B34=""),0,SUMIF('DADOS BRUTOS'!$A$3:$A$500,$B34,'DADOS BRUTOS'!DE$3:DE$500)+IF($C34="",0,SUMIF('DADOS BRUTOS'!$A$3:$A$500,$C34,'DADOS BRUTOS'!DE$3:DE$500)))</f>
        <v/>
      </c>
      <c r="GF34" s="132">
        <f>IF(OR(GF$4="",$B34=""),0,SUMIF('DADOS BRUTOS'!$A$3:$A$500,$B34,'DADOS BRUTOS'!DF$3:DF$500)+IF($C34="",0,SUMIF('DADOS BRUTOS'!$A$3:$A$500,$C34,'DADOS BRUTOS'!DF$3:DF$500)))</f>
        <v/>
      </c>
      <c r="GG34" s="132">
        <f>IF(OR(GG$4="",$B34=""),0,SUMIF('DADOS BRUTOS'!$A$3:$A$500,$B34,'DADOS BRUTOS'!DG$3:DG$500)+IF($C34="",0,SUMIF('DADOS BRUTOS'!$A$3:$A$500,$C34,'DADOS BRUTOS'!DG$3:DG$500)))</f>
        <v/>
      </c>
      <c r="GH34" s="132">
        <f>IF(OR(GH$4="",$B34=""),0,SUMIF('DADOS BRUTOS'!$A$3:$A$500,$B34,'DADOS BRUTOS'!DH$3:DH$500)+IF($C34="",0,SUMIF('DADOS BRUTOS'!$A$3:$A$500,$C34,'DADOS BRUTOS'!DH$3:DH$500)))</f>
        <v/>
      </c>
      <c r="GI34" s="132">
        <f>IF(OR(GI$4="",$B34=""),0,SUMIF('DADOS BRUTOS'!$A$3:$A$500,$B34,'DADOS BRUTOS'!DI$3:DI$500)+IF($C34="",0,SUMIF('DADOS BRUTOS'!$A$3:$A$500,$C34,'DADOS BRUTOS'!DI$3:DI$500)))</f>
        <v/>
      </c>
      <c r="GJ34" s="132">
        <f>IF(OR(GJ$4="",$B34=""),0,SUMIF('DADOS BRUTOS'!$A$3:$A$500,$B34,'DADOS BRUTOS'!DJ$3:DJ$500)+IF($C34="",0,SUMIF('DADOS BRUTOS'!$A$3:$A$500,$C34,'DADOS BRUTOS'!DJ$3:DJ$500)))</f>
        <v/>
      </c>
      <c r="GK34" s="132">
        <f>IF(OR(GK$4="",$B34=""),0,SUMIF('DADOS BRUTOS'!$A$3:$A$500,$B34,'DADOS BRUTOS'!DK$3:DK$500)+IF($C34="",0,SUMIF('DADOS BRUTOS'!$A$3:$A$500,$C34,'DADOS BRUTOS'!DK$3:DK$500)))</f>
        <v/>
      </c>
      <c r="GL34" s="132">
        <f>IF(OR(GL$4="",$B34=""),0,SUMIF('DADOS BRUTOS'!$A$3:$A$500,$B34,'DADOS BRUTOS'!DL$3:DL$500)+IF($C34="",0,SUMIF('DADOS BRUTOS'!$A$3:$A$500,$C34,'DADOS BRUTOS'!DL$3:DL$500)))</f>
        <v/>
      </c>
      <c r="GM34" s="132">
        <f>IF(OR(GM$4="",$B34=""),0,SUMIF('DADOS BRUTOS'!$A$3:$A$500,$B34,'DADOS BRUTOS'!DM$3:DM$500)+IF($C34="",0,SUMIF('DADOS BRUTOS'!$A$3:$A$500,$C34,'DADOS BRUTOS'!DM$3:DM$500)))</f>
        <v/>
      </c>
      <c r="GN34" s="132">
        <f>IF(OR(GN$4="",$B34=""),0,SUMIF('DADOS BRUTOS'!$A$3:$A$500,$B34,'DADOS BRUTOS'!DN$3:DN$500)+IF($C34="",0,SUMIF('DADOS BRUTOS'!$A$3:$A$500,$C34,'DADOS BRUTOS'!DN$3:DN$500)))</f>
        <v/>
      </c>
      <c r="GO34" s="132">
        <f>IF(OR(GO$4="",$B34=""),0,SUMIF('DADOS BRUTOS'!$A$3:$A$500,$B34,'DADOS BRUTOS'!DO$3:DO$500)+IF($C34="",0,SUMIF('DADOS BRUTOS'!$A$3:$A$500,$C34,'DADOS BRUTOS'!DO$3:DO$500)))</f>
        <v/>
      </c>
      <c r="GP34" s="132">
        <f>IF(OR(GP$4="",$B34=""),0,SUMIF('DADOS BRUTOS'!$A$3:$A$500,$B34,'DADOS BRUTOS'!DP$3:DP$500)+IF($C34="",0,SUMIF('DADOS BRUTOS'!$A$3:$A$500,$C34,'DADOS BRUTOS'!DP$3:DP$500)))</f>
        <v/>
      </c>
      <c r="GQ34" s="132">
        <f>IF(OR(GQ$4="",$B34=""),0,SUMIF('DADOS BRUTOS'!$A$3:$A$500,$B34,'DADOS BRUTOS'!DQ$3:DQ$500)+IF($C34="",0,SUMIF('DADOS BRUTOS'!$A$3:$A$500,$C34,'DADOS BRUTOS'!DQ$3:DQ$500)))</f>
        <v/>
      </c>
      <c r="GR34" s="132">
        <f>IF(OR(GR$4="",$B34=""),0,SUMIF('DADOS BRUTOS'!$A$3:$A$500,$B34,'DADOS BRUTOS'!DR$3:DR$500)+IF($C34="",0,SUMIF('DADOS BRUTOS'!$A$3:$A$500,$C34,'DADOS BRUTOS'!DR$3:DR$500)))</f>
        <v/>
      </c>
      <c r="GS34" s="132">
        <f>IF(OR(GS$4="",$B34=""),0,SUMIF('DADOS BRUTOS'!$A$3:$A$500,$B34,'DADOS BRUTOS'!DS$3:DS$500)+IF($C34="",0,SUMIF('DADOS BRUTOS'!$A$3:$A$500,$C34,'DADOS BRUTOS'!DS$3:DS$500)))</f>
        <v/>
      </c>
      <c r="GT34" s="132">
        <f>IF(OR(GT$4="",$B34=""),0,SUMIF('DADOS BRUTOS'!$A$3:$A$500,$B34,'DADOS BRUTOS'!DT$3:DT$500)+IF($C34="",0,SUMIF('DADOS BRUTOS'!$A$3:$A$500,$C34,'DADOS BRUTOS'!DT$3:DT$500)))</f>
        <v/>
      </c>
      <c r="GU34" s="132">
        <f>IF(OR(GU$4="",$B34=""),0,SUMIF('DADOS BRUTOS'!$A$3:$A$500,$B34,'DADOS BRUTOS'!DU$3:DU$500)+IF($C34="",0,SUMIF('DADOS BRUTOS'!$A$3:$A$500,$C34,'DADOS BRUTOS'!DU$3:DU$500)))</f>
        <v/>
      </c>
      <c r="GV34" s="132">
        <f>IF(OR(GV$4="",$B34=""),0,SUMIF('DADOS BRUTOS'!$A$3:$A$500,$B34,'DADOS BRUTOS'!DV$3:DV$500)+IF($C34="",0,SUMIF('DADOS BRUTOS'!$A$3:$A$500,$C34,'DADOS BRUTOS'!DV$3:DV$500)))</f>
        <v/>
      </c>
      <c r="GW34" s="132">
        <f>IF(OR(GW$4="",$B34=""),0,SUMIF('DADOS BRUTOS'!$A$3:$A$500,$B34,'DADOS BRUTOS'!DW$3:DW$500)+IF($C34="",0,SUMIF('DADOS BRUTOS'!$A$3:$A$500,$C34,'DADOS BRUTOS'!DW$3:DW$500)))</f>
        <v/>
      </c>
      <c r="GX34" s="132">
        <f>IF(OR(GX$4="",$B34=""),0,SUMIF('DADOS BRUTOS'!$A$3:$A$500,$B34,'DADOS BRUTOS'!DX$3:DX$500)+IF($C34="",0,SUMIF('DADOS BRUTOS'!$A$3:$A$500,$C34,'DADOS BRUTOS'!DX$3:DX$500)))</f>
        <v/>
      </c>
      <c r="GY34" s="132">
        <f>IF(OR(GY$4="",$B34=""),0,SUMIF('DADOS BRUTOS'!$A$3:$A$500,$B34,'DADOS BRUTOS'!DY$3:DY$500)+IF($C34="",0,SUMIF('DADOS BRUTOS'!$A$3:$A$500,$C34,'DADOS BRUTOS'!DY$3:DY$500)))</f>
        <v/>
      </c>
      <c r="GZ34" s="132">
        <f>IF(OR(GZ$4="",$B34=""),0,SUMIF('DADOS BRUTOS'!$A$3:$A$500,$B34,'DADOS BRUTOS'!DZ$3:DZ$500)+IF($C34="",0,SUMIF('DADOS BRUTOS'!$A$3:$A$500,$C34,'DADOS BRUTOS'!DZ$3:DZ$500)))</f>
        <v/>
      </c>
      <c r="HA34" s="132">
        <f>IF(OR(HA$4="",$B34=""),0,SUMIF('DADOS BRUTOS'!$A$3:$A$500,$B34,'DADOS BRUTOS'!EA$3:EA$500)+IF($C34="",0,SUMIF('DADOS BRUTOS'!$A$3:$A$500,$C34,'DADOS BRUTOS'!EA$3:EA$500)))</f>
        <v/>
      </c>
      <c r="HB34" s="132">
        <f>IF(OR(HB$4="",$B34=""),0,SUMIF('DADOS BRUTOS'!$A$3:$A$500,$B34,'DADOS BRUTOS'!EB$3:EB$500)+IF($C34="",0,SUMIF('DADOS BRUTOS'!$A$3:$A$500,$C34,'DADOS BRUTOS'!EB$3:EB$500)))</f>
        <v/>
      </c>
      <c r="HC34" s="132">
        <f>IF(OR(HC$4="",$B34=""),0,SUMIF('DADOS BRUTOS'!$A$3:$A$500,$B34,'DADOS BRUTOS'!EC$3:EC$500)+IF($C34="",0,SUMIF('DADOS BRUTOS'!$A$3:$A$500,$C34,'DADOS BRUTOS'!EC$3:EC$500)))</f>
        <v/>
      </c>
      <c r="HD34" s="132">
        <f>IF(OR(HD$4="",$B34=""),0,SUMIF('DADOS BRUTOS'!$A$3:$A$500,$B34,'DADOS BRUTOS'!ED$3:ED$500)+IF($C34="",0,SUMIF('DADOS BRUTOS'!$A$3:$A$500,$C34,'DADOS BRUTOS'!ED$3:ED$500)))</f>
        <v/>
      </c>
      <c r="HE34" s="132">
        <f>IF(OR(HE$4="",$B34=""),0,SUMIF('DADOS BRUTOS'!$A$3:$A$500,$B34,'DADOS BRUTOS'!EE$3:EE$500)+IF($C34="",0,SUMIF('DADOS BRUTOS'!$A$3:$A$500,$C34,'DADOS BRUTOS'!EE$3:EE$500)))</f>
        <v/>
      </c>
      <c r="HF34" s="132">
        <f>IF(OR(HF$4="",$B34=""),0,SUMIF('DADOS BRUTOS'!$A$3:$A$500,$B34,'DADOS BRUTOS'!EF$3:EF$500)+IF($C34="",0,SUMIF('DADOS BRUTOS'!$A$3:$A$500,$C34,'DADOS BRUTOS'!EF$3:EF$500)))</f>
        <v/>
      </c>
      <c r="HG34" s="132">
        <f>IF(OR(HG$4="",$B34=""),0,SUMIF('DADOS BRUTOS'!$A$3:$A$500,$B34,'DADOS BRUTOS'!EG$3:EG$500)+IF($C34="",0,SUMIF('DADOS BRUTOS'!$A$3:$A$500,$C34,'DADOS BRUTOS'!EG$3:EG$500)))</f>
        <v/>
      </c>
      <c r="HH34" s="132">
        <f>IF(OR(HH$4="",$B34=""),0,SUMIF('DADOS BRUTOS'!$A$3:$A$500,$B34,'DADOS BRUTOS'!EH$3:EH$500)+IF($C34="",0,SUMIF('DADOS BRUTOS'!$A$3:$A$500,$C34,'DADOS BRUTOS'!EH$3:EH$500)))</f>
        <v/>
      </c>
      <c r="HI34" s="132">
        <f>IF(OR(HI$4="",$B34=""),0,SUMIF('DADOS BRUTOS'!$A$3:$A$500,$B34,'DADOS BRUTOS'!EI$3:EI$500)+IF($C34="",0,SUMIF('DADOS BRUTOS'!$A$3:$A$500,$C34,'DADOS BRUTOS'!EI$3:EI$500)))</f>
        <v/>
      </c>
      <c r="HJ34" s="132">
        <f>IF(OR(HJ$4="",$B34=""),0,SUMIF('DADOS BRUTOS'!$A$3:$A$500,$B34,'DADOS BRUTOS'!EJ$3:EJ$500)+IF($C34="",0,SUMIF('DADOS BRUTOS'!$A$3:$A$500,$C34,'DADOS BRUTOS'!EJ$3:EJ$500)))</f>
        <v/>
      </c>
      <c r="HK34" s="132">
        <f>IF(OR(HK$4="",$B34=""),0,SUMIF('DADOS BRUTOS'!$A$3:$A$500,$B34,'DADOS BRUTOS'!EK$3:EK$500)+IF($C34="",0,SUMIF('DADOS BRUTOS'!$A$3:$A$500,$C34,'DADOS BRUTOS'!EK$3:EK$500)))</f>
        <v/>
      </c>
      <c r="HL34" s="132">
        <f>IF(OR(HL$4="",$B34=""),0,SUMIF('DADOS BRUTOS'!$A$3:$A$500,$B34,'DADOS BRUTOS'!EL$3:EL$500)+IF($C34="",0,SUMIF('DADOS BRUTOS'!$A$3:$A$500,$C34,'DADOS BRUTOS'!EL$3:EL$500)))</f>
        <v/>
      </c>
      <c r="HM34" s="132">
        <f>IF(OR(HM$4="",$B34=""),0,SUMIF('DADOS BRUTOS'!$A$3:$A$500,$B34,'DADOS BRUTOS'!EM$3:EM$500)+IF($C34="",0,SUMIF('DADOS BRUTOS'!$A$3:$A$500,$C34,'DADOS BRUTOS'!EM$3:EM$500)))</f>
        <v/>
      </c>
      <c r="HN34" s="132">
        <f>IF(OR(HN$4="",$B34=""),0,SUMIF('DADOS BRUTOS'!$A$3:$A$500,$B34,'DADOS BRUTOS'!EN$3:EN$500)+IF($C34="",0,SUMIF('DADOS BRUTOS'!$A$3:$A$500,$C34,'DADOS BRUTOS'!EN$3:EN$500)))</f>
        <v/>
      </c>
      <c r="HO34" s="132">
        <f>IF(OR(HO$4="",$B34=""),0,SUMIF('DADOS BRUTOS'!$A$3:$A$500,$B34,'DADOS BRUTOS'!EO$3:EO$500)+IF($C34="",0,SUMIF('DADOS BRUTOS'!$A$3:$A$500,$C34,'DADOS BRUTOS'!EO$3:EO$500)))</f>
        <v/>
      </c>
      <c r="HP34" s="132">
        <f>IF(OR(HP$4="",$B34=""),0,SUMIF('DADOS BRUTOS'!$A$3:$A$500,$B34,'DADOS BRUTOS'!EP$3:EP$500)+IF($C34="",0,SUMIF('DADOS BRUTOS'!$A$3:$A$500,$C34,'DADOS BRUTOS'!EP$3:EP$500)))</f>
        <v/>
      </c>
      <c r="HQ34" s="132">
        <f>IF(OR(HQ$4="",$B34=""),0,SUMIF('DADOS BRUTOS'!$A$3:$A$500,$B34,'DADOS BRUTOS'!EQ$3:EQ$500)+IF($C34="",0,SUMIF('DADOS BRUTOS'!$A$3:$A$500,$C34,'DADOS BRUTOS'!EQ$3:EQ$500)))</f>
        <v/>
      </c>
      <c r="HR34" s="132">
        <f>IF(OR(HR$4="",$B34=""),0,SUMIF('DADOS BRUTOS'!$A$3:$A$500,$B34,'DADOS BRUTOS'!ER$3:ER$500)+IF($C34="",0,SUMIF('DADOS BRUTOS'!$A$3:$A$500,$C34,'DADOS BRUTOS'!ER$3:ER$500)))</f>
        <v/>
      </c>
      <c r="HS34" s="132">
        <f>IF(OR(HS$4="",$B34=""),0,SUMIF('DADOS BRUTOS'!$A$3:$A$500,$B34,'DADOS BRUTOS'!ES$3:ES$500)+IF($C34="",0,SUMIF('DADOS BRUTOS'!$A$3:$A$500,$C34,'DADOS BRUTOS'!ES$3:ES$500)))</f>
        <v/>
      </c>
      <c r="HT34" s="132">
        <f>IF(OR(HT$4="",$B34=""),0,SUMIF('DADOS BRUTOS'!$A$3:$A$500,$B34,'DADOS BRUTOS'!ET$3:ET$500)+IF($C34="",0,SUMIF('DADOS BRUTOS'!$A$3:$A$500,$C34,'DADOS BRUTOS'!ET$3:ET$500)))</f>
        <v/>
      </c>
      <c r="HU34" s="132">
        <f>IF(OR(HU$4="",$B34=""),0,SUMIF('DADOS BRUTOS'!$A$3:$A$500,$B34,'DADOS BRUTOS'!EU$3:EU$500)+IF($C34="",0,SUMIF('DADOS BRUTOS'!$A$3:$A$500,$C34,'DADOS BRUTOS'!EU$3:EU$500)))</f>
        <v/>
      </c>
      <c r="HV34" s="132">
        <f>IF(OR(HV$4="",$B34=""),0,SUMIF('DADOS BRUTOS'!$A$3:$A$500,$B34,'DADOS BRUTOS'!EV$3:EV$500)+IF($C34="",0,SUMIF('DADOS BRUTOS'!$A$3:$A$500,$C34,'DADOS BRUTOS'!EV$3:EV$500)))</f>
        <v/>
      </c>
      <c r="HW34" s="132">
        <f>IF(OR(HW$4="",$B34=""),0,SUMIF('DADOS BRUTOS'!$A$3:$A$500,$B34,'DADOS BRUTOS'!EW$3:EW$500)+IF($C34="",0,SUMIF('DADOS BRUTOS'!$A$3:$A$500,$C34,'DADOS BRUTOS'!EW$3:EW$500)))</f>
        <v/>
      </c>
      <c r="HX34" s="132">
        <f>IF(OR(HX$4="",$B34=""),0,SUMIF('DADOS BRUTOS'!$A$3:$A$500,$B34,'DADOS BRUTOS'!EX$3:EX$500)+IF($C34="",0,SUMIF('DADOS BRUTOS'!$A$3:$A$500,$C34,'DADOS BRUTOS'!EX$3:EX$500)))</f>
        <v/>
      </c>
      <c r="HY34" s="132">
        <f>IF(OR(HY$4="",$B34=""),0,SUMIF('DADOS BRUTOS'!$A$3:$A$500,$B34,'DADOS BRUTOS'!EY$3:EY$500)+IF($C34="",0,SUMIF('DADOS BRUTOS'!$A$3:$A$500,$C34,'DADOS BRUTOS'!EY$3:EY$500)))</f>
        <v/>
      </c>
      <c r="HZ34" s="132">
        <f>IF(OR(HZ$4="",$B34=""),0,SUMIF('DADOS BRUTOS'!$A$3:$A$500,$B34,'DADOS BRUTOS'!EZ$3:EZ$500)+IF($C34="",0,SUMIF('DADOS BRUTOS'!$A$3:$A$500,$C34,'DADOS BRUTOS'!EZ$3:EZ$500)))</f>
        <v/>
      </c>
      <c r="IA34" s="132">
        <f>IF(OR(IA$4="",$B34=""),0,SUMIF('DADOS BRUTOS'!$A$3:$A$500,$B34,'DADOS BRUTOS'!FA$3:FA$500)+IF($C34="",0,SUMIF('DADOS BRUTOS'!$A$3:$A$500,$C34,'DADOS BRUTOS'!FA$3:FA$500)))</f>
        <v/>
      </c>
      <c r="IB34" s="132">
        <f>IF(OR(IB$4="",$B34=""),0,SUMIF('DADOS BRUTOS'!$A$3:$A$500,$B34,'DADOS BRUTOS'!FB$3:FB$500)+IF($C34="",0,SUMIF('DADOS BRUTOS'!$A$3:$A$500,$C34,'DADOS BRUTOS'!FB$3:FB$500)))</f>
        <v/>
      </c>
      <c r="IC34" s="132">
        <f>IF(OR(IC$4="",$B34=""),0,SUMIF('DADOS BRUTOS'!$A$3:$A$500,$B34,'DADOS BRUTOS'!FC$3:FC$500)+IF($C34="",0,SUMIF('DADOS BRUTOS'!$A$3:$A$500,$C34,'DADOS BRUTOS'!FC$3:FC$500)))</f>
        <v/>
      </c>
      <c r="ID34" s="132">
        <f>IF(OR(ID$4="",$B34=""),0,SUMIF('DADOS BRUTOS'!$A$3:$A$500,$B34,'DADOS BRUTOS'!FD$3:FD$500)+IF($C34="",0,SUMIF('DADOS BRUTOS'!$A$3:$A$500,$C34,'DADOS BRUTOS'!FD$3:FD$500)))</f>
        <v/>
      </c>
      <c r="IE34" s="132">
        <f>IF(OR(IE$4="",$B34=""),0,SUMIF('DADOS BRUTOS'!$A$3:$A$500,$B34,'DADOS BRUTOS'!FE$3:FE$500)+IF($C34="",0,SUMIF('DADOS BRUTOS'!$A$3:$A$500,$C34,'DADOS BRUTOS'!FE$3:FE$500)))</f>
        <v/>
      </c>
      <c r="IF34" s="132">
        <f>IF(OR(IF$4="",$B34=""),0,SUMIF('DADOS BRUTOS'!$A$3:$A$500,$B34,'DADOS BRUTOS'!FF$3:FF$500)+IF($C34="",0,SUMIF('DADOS BRUTOS'!$A$3:$A$500,$C34,'DADOS BRUTOS'!FF$3:FF$500)))</f>
        <v/>
      </c>
      <c r="IG34" s="132">
        <f>IF(OR(IG$4="",$B34=""),0,SUMIF('DADOS BRUTOS'!$A$3:$A$500,$B34,'DADOS BRUTOS'!FG$3:FG$500)+IF($C34="",0,SUMIF('DADOS BRUTOS'!$A$3:$A$500,$C34,'DADOS BRUTOS'!FG$3:FG$500)))</f>
        <v/>
      </c>
      <c r="IH34" s="132">
        <f>IF(OR(IH$4="",$B34=""),0,SUMIF('DADOS BRUTOS'!$A$3:$A$500,$B34,'DADOS BRUTOS'!FH$3:FH$500)+IF($C34="",0,SUMIF('DADOS BRUTOS'!$A$3:$A$500,$C34,'DADOS BRUTOS'!FH$3:FH$500)))</f>
        <v/>
      </c>
      <c r="II34" s="132">
        <f>IF(OR(II$4="",$B34=""),0,SUMIF('DADOS BRUTOS'!$A$3:$A$500,$B34,'DADOS BRUTOS'!FI$3:FI$500)+IF($C34="",0,SUMIF('DADOS BRUTOS'!$A$3:$A$500,$C34,'DADOS BRUTOS'!FI$3:FI$500)))</f>
        <v/>
      </c>
      <c r="IJ34" s="132">
        <f>IF(OR(IJ$4="",$B34=""),0,SUMIF('DADOS BRUTOS'!$A$3:$A$500,$B34,'DADOS BRUTOS'!FJ$3:FJ$500)+IF($C34="",0,SUMIF('DADOS BRUTOS'!$A$3:$A$500,$C34,'DADOS BRUTOS'!FJ$3:FJ$500)))</f>
        <v/>
      </c>
      <c r="IK34" s="132">
        <f>IF(OR(IK$4="",$B34=""),0,SUMIF('DADOS BRUTOS'!$A$3:$A$500,$B34,'DADOS BRUTOS'!FK$3:FK$500)+IF($C34="",0,SUMIF('DADOS BRUTOS'!$A$3:$A$500,$C34,'DADOS BRUTOS'!FK$3:FK$500)))</f>
        <v/>
      </c>
      <c r="IL34" s="132">
        <f>IF(OR(IL$4="",$B34=""),0,SUMIF('DADOS BRUTOS'!$A$3:$A$500,$B34,'DADOS BRUTOS'!FL$3:FL$500)+IF($C34="",0,SUMIF('DADOS BRUTOS'!$A$3:$A$500,$C34,'DADOS BRUTOS'!FL$3:FL$500)))</f>
        <v/>
      </c>
      <c r="IM34" s="132">
        <f>IF(OR(IM$4="",$B34=""),0,SUMIF('DADOS BRUTOS'!$A$3:$A$500,$B34,'DADOS BRUTOS'!FM$3:FM$500)+IF($C34="",0,SUMIF('DADOS BRUTOS'!$A$3:$A$500,$C34,'DADOS BRUTOS'!FM$3:FM$500)))</f>
        <v/>
      </c>
      <c r="IN34" s="132">
        <f>IF(OR(IN$4="",$B34=""),0,SUMIF('DADOS BRUTOS'!$A$3:$A$500,$B34,'DADOS BRUTOS'!FN$3:FN$500)+IF($C34="",0,SUMIF('DADOS BRUTOS'!$A$3:$A$500,$C34,'DADOS BRUTOS'!FN$3:FN$500)))</f>
        <v/>
      </c>
      <c r="IO34" s="132">
        <f>IF(OR(IO$4="",$B34=""),0,SUMIF('DADOS BRUTOS'!$A$3:$A$500,$B34,'DADOS BRUTOS'!FO$3:FO$500)+IF($C34="",0,SUMIF('DADOS BRUTOS'!$A$3:$A$500,$C34,'DADOS BRUTOS'!FO$3:FO$500)))</f>
        <v/>
      </c>
      <c r="IP34" s="132">
        <f>IF(OR(IP$4="",$B34=""),0,SUMIF('DADOS BRUTOS'!$A$3:$A$500,$B34,'DADOS BRUTOS'!FP$3:FP$500)+IF($C34="",0,SUMIF('DADOS BRUTOS'!$A$3:$A$500,$C34,'DADOS BRUTOS'!FP$3:FP$500)))</f>
        <v/>
      </c>
      <c r="IQ34" s="132">
        <f>IF(OR(IQ$4="",$B34=""),0,SUMIF('DADOS BRUTOS'!$A$3:$A$500,$B34,'DADOS BRUTOS'!FQ$3:FQ$500)+IF($C34="",0,SUMIF('DADOS BRUTOS'!$A$3:$A$500,$C34,'DADOS BRUTOS'!FQ$3:FQ$500)))</f>
        <v/>
      </c>
      <c r="IR34" s="132">
        <f>IF(OR(IR$4="",$B34=""),0,SUMIF('DADOS BRUTOS'!$A$3:$A$500,$B34,'DADOS BRUTOS'!FR$3:FR$500)+IF($C34="",0,SUMIF('DADOS BRUTOS'!$A$3:$A$500,$C34,'DADOS BRUTOS'!FR$3:FR$500)))</f>
        <v/>
      </c>
      <c r="IS34" s="132">
        <f>IF(OR(IS$4="",$B34=""),0,SUMIF('DADOS BRUTOS'!$A$3:$A$500,$B34,'DADOS BRUTOS'!FS$3:FS$500)+IF($C34="",0,SUMIF('DADOS BRUTOS'!$A$3:$A$500,$C34,'DADOS BRUTOS'!FS$3:FS$500)))</f>
        <v/>
      </c>
      <c r="IT34" s="132">
        <f>IF(OR(IT$4="",$B34=""),0,SUMIF('DADOS BRUTOS'!$A$3:$A$500,$B34,'DADOS BRUTOS'!FT$3:FT$500)+IF($C34="",0,SUMIF('DADOS BRUTOS'!$A$3:$A$500,$C34,'DADOS BRUTOS'!FT$3:FT$500)))</f>
        <v/>
      </c>
      <c r="IU34" s="132">
        <f>IF(OR(IU$4="",$B34=""),0,SUMIF('DADOS BRUTOS'!$A$3:$A$500,$B34,'DADOS BRUTOS'!FU$3:FU$500)+IF($C34="",0,SUMIF('DADOS BRUTOS'!$A$3:$A$500,$C34,'DADOS BRUTOS'!FU$3:FU$500)))</f>
        <v/>
      </c>
      <c r="IV34" s="132">
        <f>IF(OR(IV$4="",$B34=""),0,SUMIF('DADOS BRUTOS'!$A$3:$A$500,$B34,'DADOS BRUTOS'!FV$3:FV$500)+IF($C34="",0,SUMIF('DADOS BRUTOS'!$A$3:$A$500,$C34,'DADOS BRUTOS'!FV$3:FV$500)))</f>
        <v/>
      </c>
      <c r="IW34" s="132">
        <f>IF(OR(IW$4="",$B34=""),0,SUMIF('DADOS BRUTOS'!$A$3:$A$500,$B34,'DADOS BRUTOS'!FW$3:FW$500)+IF($C34="",0,SUMIF('DADOS BRUTOS'!$A$3:$A$500,$C34,'DADOS BRUTOS'!FW$3:FW$500)))</f>
        <v/>
      </c>
      <c r="IX34" s="132">
        <f>IF(OR(IX$4="",$B34=""),0,SUMIF('DADOS BRUTOS'!$A$3:$A$500,$B34,'DADOS BRUTOS'!FX$3:FX$500)+IF($C34="",0,SUMIF('DADOS BRUTOS'!$A$3:$A$500,$C34,'DADOS BRUTOS'!FX$3:FX$500)))</f>
        <v/>
      </c>
      <c r="IY34" s="132">
        <f>IF(OR(IY$4="",$B34=""),0,SUMIF('DADOS BRUTOS'!$A$3:$A$500,$B34,'DADOS BRUTOS'!FY$3:FY$500)+IF($C34="",0,SUMIF('DADOS BRUTOS'!$A$3:$A$500,$C34,'DADOS BRUTOS'!FY$3:FY$500)))</f>
        <v/>
      </c>
      <c r="IZ34" s="132">
        <f>IF(OR(IZ$4="",$B34=""),0,SUMIF('DADOS BRUTOS'!$A$3:$A$500,$B34,'DADOS BRUTOS'!FZ$3:FZ$500)+IF($C34="",0,SUMIF('DADOS BRUTOS'!$A$3:$A$500,$C34,'DADOS BRUTOS'!FZ$3:FZ$500)))</f>
        <v/>
      </c>
      <c r="JA34" s="132">
        <f>IF(OR(JA$4="",$B34=""),0,SUMIF('DADOS BRUTOS'!$A$3:$A$500,$B34,'DADOS BRUTOS'!GA$3:GA$500)+IF($C34="",0,SUMIF('DADOS BRUTOS'!$A$3:$A$500,$C34,'DADOS BRUTOS'!GA$3:GA$500)))</f>
        <v/>
      </c>
      <c r="JB34" s="132">
        <f>IF(OR(JB$4="",$B34=""),0,SUMIF('DADOS BRUTOS'!$A$3:$A$500,$B34,'DADOS BRUTOS'!GB$3:GB$500)+IF($C34="",0,SUMIF('DADOS BRUTOS'!$A$3:$A$500,$C34,'DADOS BRUTOS'!GB$3:GB$500)))</f>
        <v/>
      </c>
      <c r="JC34" s="132">
        <f>IF(OR(JC$4="",$B34=""),0,SUMIF('DADOS BRUTOS'!$A$3:$A$500,$B34,'DADOS BRUTOS'!GC$3:GC$500)+IF($C34="",0,SUMIF('DADOS BRUTOS'!$A$3:$A$500,$C34,'DADOS BRUTOS'!GC$3:GC$500)))</f>
        <v/>
      </c>
      <c r="JD34" s="132">
        <f>IF(OR(JD$4="",$B34=""),0,SUMIF('DADOS BRUTOS'!$A$3:$A$500,$B34,'DADOS BRUTOS'!GD$3:GD$500)+IF($C34="",0,SUMIF('DADOS BRUTOS'!$A$3:$A$500,$C34,'DADOS BRUTOS'!GD$3:GD$500)))</f>
        <v/>
      </c>
      <c r="JE34" s="132">
        <f>IF(OR(JE$4="",$B34=""),0,SUMIF('DADOS BRUTOS'!$A$3:$A$500,$B34,'DADOS BRUTOS'!GE$3:GE$500)+IF($C34="",0,SUMIF('DADOS BRUTOS'!$A$3:$A$500,$C34,'DADOS BRUTOS'!GE$3:GE$500)))</f>
        <v/>
      </c>
      <c r="JF34" s="132">
        <f>IF(OR(JF$4="",$B34=""),0,SUMIF('DADOS BRUTOS'!$A$3:$A$500,$B34,'DADOS BRUTOS'!GF$3:GF$500)+IF($C34="",0,SUMIF('DADOS BRUTOS'!$A$3:$A$500,$C34,'DADOS BRUTOS'!GF$3:GF$500)))</f>
        <v/>
      </c>
      <c r="JG34" s="132">
        <f>IF(OR(JG$4="",$B34=""),0,SUMIF('DADOS BRUTOS'!$A$3:$A$500,$B34,'DADOS BRUTOS'!GG$3:GG$500)+IF($C34="",0,SUMIF('DADOS BRUTOS'!$A$3:$A$500,$C34,'DADOS BRUTOS'!GG$3:GG$500)))</f>
        <v/>
      </c>
      <c r="JH34" s="132">
        <f>IF(OR(JH$4="",$B34=""),0,SUMIF('DADOS BRUTOS'!$A$3:$A$500,$B34,'DADOS BRUTOS'!GH$3:GH$500)+IF($C34="",0,SUMIF('DADOS BRUTOS'!$A$3:$A$500,$C34,'DADOS BRUTOS'!GH$3:GH$500)))</f>
        <v/>
      </c>
      <c r="JI34" s="132">
        <f>IF(OR(JI$4="",$B34=""),0,SUMIF('DADOS BRUTOS'!$A$3:$A$500,$B34,'DADOS BRUTOS'!GI$3:GI$500)+IF($C34="",0,SUMIF('DADOS BRUTOS'!$A$3:$A$500,$C34,'DADOS BRUTOS'!GI$3:GI$500)))</f>
        <v/>
      </c>
      <c r="JJ34" s="132">
        <f>IF(OR(JJ$4="",$B34=""),0,SUMIF('DADOS BRUTOS'!$A$3:$A$500,$B34,'DADOS BRUTOS'!GJ$3:GJ$500)+IF($C34="",0,SUMIF('DADOS BRUTOS'!$A$3:$A$500,$C34,'DADOS BRUTOS'!GJ$3:GJ$500)))</f>
        <v/>
      </c>
      <c r="JK34" s="132">
        <f>IF(OR(JK$4="",$B34=""),0,SUMIF('DADOS BRUTOS'!$A$3:$A$500,$B34,'DADOS BRUTOS'!GK$3:GK$500)+IF($C34="",0,SUMIF('DADOS BRUTOS'!$A$3:$A$500,$C34,'DADOS BRUTOS'!GK$3:GK$500)))</f>
        <v/>
      </c>
      <c r="JL34" s="132">
        <f>IF(OR(JL$4="",$B34=""),0,SUMIF('DADOS BRUTOS'!$A$3:$A$500,$B34,'DADOS BRUTOS'!GL$3:GL$500)+IF($C34="",0,SUMIF('DADOS BRUTOS'!$A$3:$A$500,$C34,'DADOS BRUTOS'!GL$3:GL$500)))</f>
        <v/>
      </c>
      <c r="JM34" s="132">
        <f>IF(OR(JM$4="",$B34=""),0,SUMIF('DADOS BRUTOS'!$A$3:$A$500,$B34,'DADOS BRUTOS'!GM$3:GM$500)+IF($C34="",0,SUMIF('DADOS BRUTOS'!$A$3:$A$500,$C34,'DADOS BRUTOS'!GM$3:GM$500)))</f>
        <v/>
      </c>
      <c r="JN34" s="132">
        <f>IF(OR(JN$4="",$B34=""),0,SUMIF('DADOS BRUTOS'!$A$3:$A$500,$B34,'DADOS BRUTOS'!GN$3:GN$500)+IF($C34="",0,SUMIF('DADOS BRUTOS'!$A$3:$A$500,$C34,'DADOS BRUTOS'!GN$3:GN$500)))</f>
        <v/>
      </c>
      <c r="JO34" s="132">
        <f>IF(OR(JO$4="",$B34=""),0,SUMIF('DADOS BRUTOS'!$A$3:$A$500,$B34,'DADOS BRUTOS'!GO$3:GO$500)+IF($C34="",0,SUMIF('DADOS BRUTOS'!$A$3:$A$500,$C34,'DADOS BRUTOS'!GO$3:GO$500)))</f>
        <v/>
      </c>
      <c r="JP34" s="132">
        <f>IF(OR(JP$4="",$B34=""),0,SUMIF('DADOS BRUTOS'!$A$3:$A$500,$B34,'DADOS BRUTOS'!GP$3:GP$500)+IF($C34="",0,SUMIF('DADOS BRUTOS'!$A$3:$A$500,$C34,'DADOS BRUTOS'!GP$3:GP$500)))</f>
        <v/>
      </c>
      <c r="JQ34" s="132">
        <f>IF(OR(JQ$4="",$B34=""),0,SUMIF('DADOS BRUTOS'!$A$3:$A$500,$B34,'DADOS BRUTOS'!GQ$3:GQ$500)+IF($C34="",0,SUMIF('DADOS BRUTOS'!$A$3:$A$500,$C34,'DADOS BRUTOS'!GQ$3:GQ$500)))</f>
        <v/>
      </c>
      <c r="JR34" s="132">
        <f>IF(OR(JR$4="",$B34=""),0,SUMIF('DADOS BRUTOS'!$A$3:$A$500,$B34,'DADOS BRUTOS'!GR$3:GR$500)+IF($C34="",0,SUMIF('DADOS BRUTOS'!$A$3:$A$500,$C34,'DADOS BRUTOS'!GR$3:GR$500)))</f>
        <v/>
      </c>
      <c r="JS34" s="132">
        <f>IF(OR(JS$4="",$B34=""),0,SUMIF('DADOS BRUTOS'!$A$3:$A$500,$B34,'DADOS BRUTOS'!GS$3:GS$500)+IF($C34="",0,SUMIF('DADOS BRUTOS'!$A$3:$A$500,$C34,'DADOS BRUTOS'!GS$3:GS$500)))</f>
        <v/>
      </c>
    </row>
    <row r="35">
      <c r="A35" s="61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BZ35" s="49">
        <f>SUMPRODUCT(($CB$4:$JS$4&lt;&gt;"")*($CB$4:$JS$4&lt;=$D$4),$CB35:$JS35,$CB$1:$JS$1)</f>
        <v/>
      </c>
      <c r="CB35" s="132">
        <f>IF(OR(CB$4="",$B35=""),0,SUMIF('DADOS BRUTOS'!$A$3:$A$500,$B35,'DADOS BRUTOS'!B$3:B$500)+IF($C35="",0,SUMIF('DADOS BRUTOS'!$A$3:$A$500,$C35,'DADOS BRUTOS'!B$3:B$500)))</f>
        <v/>
      </c>
      <c r="CC35" s="132">
        <f>IF(OR(CC$4="",$B35=""),0,SUMIF('DADOS BRUTOS'!$A$3:$A$500,$B35,'DADOS BRUTOS'!C$3:C$500)+IF($C35="",0,SUMIF('DADOS BRUTOS'!$A$3:$A$500,$C35,'DADOS BRUTOS'!C$3:C$500)))</f>
        <v/>
      </c>
      <c r="CD35" s="132">
        <f>IF(OR(CD$4="",$B35=""),0,SUMIF('DADOS BRUTOS'!$A$3:$A$500,$B35,'DADOS BRUTOS'!D$3:D$500)+IF($C35="",0,SUMIF('DADOS BRUTOS'!$A$3:$A$500,$C35,'DADOS BRUTOS'!D$3:D$500)))</f>
        <v/>
      </c>
      <c r="CE35" s="132">
        <f>IF(OR(CE$4="",$B35=""),0,SUMIF('DADOS BRUTOS'!$A$3:$A$500,$B35,'DADOS BRUTOS'!E$3:E$500)+IF($C35="",0,SUMIF('DADOS BRUTOS'!$A$3:$A$500,$C35,'DADOS BRUTOS'!E$3:E$500)))</f>
        <v/>
      </c>
      <c r="CF35" s="132">
        <f>IF(OR(CF$4="",$B35=""),0,SUMIF('DADOS BRUTOS'!$A$3:$A$500,$B35,'DADOS BRUTOS'!F$3:F$500)+IF($C35="",0,SUMIF('DADOS BRUTOS'!$A$3:$A$500,$C35,'DADOS BRUTOS'!F$3:F$500)))</f>
        <v/>
      </c>
      <c r="CG35" s="132">
        <f>IF(OR(CG$4="",$B35=""),0,SUMIF('DADOS BRUTOS'!$A$3:$A$500,$B35,'DADOS BRUTOS'!G$3:G$500)+IF($C35="",0,SUMIF('DADOS BRUTOS'!$A$3:$A$500,$C35,'DADOS BRUTOS'!G$3:G$500)))</f>
        <v/>
      </c>
      <c r="CH35" s="132">
        <f>IF(OR(CH$4="",$B35=""),0,SUMIF('DADOS BRUTOS'!$A$3:$A$500,$B35,'DADOS BRUTOS'!H$3:H$500)+IF($C35="",0,SUMIF('DADOS BRUTOS'!$A$3:$A$500,$C35,'DADOS BRUTOS'!H$3:H$500)))</f>
        <v/>
      </c>
      <c r="CI35" s="132">
        <f>IF(OR(CI$4="",$B35=""),0,SUMIF('DADOS BRUTOS'!$A$3:$A$500,$B35,'DADOS BRUTOS'!I$3:I$500)+IF($C35="",0,SUMIF('DADOS BRUTOS'!$A$3:$A$500,$C35,'DADOS BRUTOS'!I$3:I$500)))</f>
        <v/>
      </c>
      <c r="CJ35" s="132">
        <f>IF(OR(CJ$4="",$B35=""),0,SUMIF('DADOS BRUTOS'!$A$3:$A$500,$B35,'DADOS BRUTOS'!J$3:J$500)+IF($C35="",0,SUMIF('DADOS BRUTOS'!$A$3:$A$500,$C35,'DADOS BRUTOS'!J$3:J$500)))</f>
        <v/>
      </c>
      <c r="CK35" s="132">
        <f>IF(OR(CK$4="",$B35=""),0,SUMIF('DADOS BRUTOS'!$A$3:$A$500,$B35,'DADOS BRUTOS'!K$3:K$500)+IF($C35="",0,SUMIF('DADOS BRUTOS'!$A$3:$A$500,$C35,'DADOS BRUTOS'!K$3:K$500)))</f>
        <v/>
      </c>
      <c r="CL35" s="132">
        <f>IF(OR(CL$4="",$B35=""),0,SUMIF('DADOS BRUTOS'!$A$3:$A$500,$B35,'DADOS BRUTOS'!L$3:L$500)+IF($C35="",0,SUMIF('DADOS BRUTOS'!$A$3:$A$500,$C35,'DADOS BRUTOS'!L$3:L$500)))</f>
        <v/>
      </c>
      <c r="CM35" s="132">
        <f>IF(OR(CM$4="",$B35=""),0,SUMIF('DADOS BRUTOS'!$A$3:$A$500,$B35,'DADOS BRUTOS'!M$3:M$500)+IF($C35="",0,SUMIF('DADOS BRUTOS'!$A$3:$A$500,$C35,'DADOS BRUTOS'!M$3:M$500)))</f>
        <v/>
      </c>
      <c r="CN35" s="132">
        <f>IF(OR(CN$4="",$B35=""),0,SUMIF('DADOS BRUTOS'!$A$3:$A$500,$B35,'DADOS BRUTOS'!N$3:N$500)+IF($C35="",0,SUMIF('DADOS BRUTOS'!$A$3:$A$500,$C35,'DADOS BRUTOS'!N$3:N$500)))</f>
        <v/>
      </c>
      <c r="CO35" s="132">
        <f>IF(OR(CO$4="",$B35=""),0,SUMIF('DADOS BRUTOS'!$A$3:$A$500,$B35,'DADOS BRUTOS'!O$3:O$500)+IF($C35="",0,SUMIF('DADOS BRUTOS'!$A$3:$A$500,$C35,'DADOS BRUTOS'!O$3:O$500)))</f>
        <v/>
      </c>
      <c r="CP35" s="132">
        <f>IF(OR(CP$4="",$B35=""),0,SUMIF('DADOS BRUTOS'!$A$3:$A$500,$B35,'DADOS BRUTOS'!P$3:P$500)+IF($C35="",0,SUMIF('DADOS BRUTOS'!$A$3:$A$500,$C35,'DADOS BRUTOS'!P$3:P$500)))</f>
        <v/>
      </c>
      <c r="CQ35" s="132">
        <f>IF(OR(CQ$4="",$B35=""),0,SUMIF('DADOS BRUTOS'!$A$3:$A$500,$B35,'DADOS BRUTOS'!Q$3:Q$500)+IF($C35="",0,SUMIF('DADOS BRUTOS'!$A$3:$A$500,$C35,'DADOS BRUTOS'!Q$3:Q$500)))</f>
        <v/>
      </c>
      <c r="CR35" s="132">
        <f>IF(OR(CR$4="",$B35=""),0,SUMIF('DADOS BRUTOS'!$A$3:$A$500,$B35,'DADOS BRUTOS'!R$3:R$500)+IF($C35="",0,SUMIF('DADOS BRUTOS'!$A$3:$A$500,$C35,'DADOS BRUTOS'!R$3:R$500)))</f>
        <v/>
      </c>
      <c r="CS35" s="132">
        <f>IF(OR(CS$4="",$B35=""),0,SUMIF('DADOS BRUTOS'!$A$3:$A$500,$B35,'DADOS BRUTOS'!S$3:S$500)+IF($C35="",0,SUMIF('DADOS BRUTOS'!$A$3:$A$500,$C35,'DADOS BRUTOS'!S$3:S$500)))</f>
        <v/>
      </c>
      <c r="CT35" s="132">
        <f>IF(OR(CT$4="",$B35=""),0,SUMIF('DADOS BRUTOS'!$A$3:$A$500,$B35,'DADOS BRUTOS'!T$3:T$500)+IF($C35="",0,SUMIF('DADOS BRUTOS'!$A$3:$A$500,$C35,'DADOS BRUTOS'!T$3:T$500)))</f>
        <v/>
      </c>
      <c r="CU35" s="132">
        <f>IF(OR(CU$4="",$B35=""),0,SUMIF('DADOS BRUTOS'!$A$3:$A$500,$B35,'DADOS BRUTOS'!U$3:U$500)+IF($C35="",0,SUMIF('DADOS BRUTOS'!$A$3:$A$500,$C35,'DADOS BRUTOS'!U$3:U$500)))</f>
        <v/>
      </c>
      <c r="CV35" s="132">
        <f>IF(OR(CV$4="",$B35=""),0,SUMIF('DADOS BRUTOS'!$A$3:$A$500,$B35,'DADOS BRUTOS'!V$3:V$500)+IF($C35="",0,SUMIF('DADOS BRUTOS'!$A$3:$A$500,$C35,'DADOS BRUTOS'!V$3:V$500)))</f>
        <v/>
      </c>
      <c r="CW35" s="132">
        <f>IF(OR(CW$4="",$B35=""),0,SUMIF('DADOS BRUTOS'!$A$3:$A$500,$B35,'DADOS BRUTOS'!W$3:W$500)+IF($C35="",0,SUMIF('DADOS BRUTOS'!$A$3:$A$500,$C35,'DADOS BRUTOS'!W$3:W$500)))</f>
        <v/>
      </c>
      <c r="CX35" s="132">
        <f>IF(OR(CX$4="",$B35=""),0,SUMIF('DADOS BRUTOS'!$A$3:$A$500,$B35,'DADOS BRUTOS'!X$3:X$500)+IF($C35="",0,SUMIF('DADOS BRUTOS'!$A$3:$A$500,$C35,'DADOS BRUTOS'!X$3:X$500)))</f>
        <v/>
      </c>
      <c r="CY35" s="132">
        <f>IF(OR(CY$4="",$B35=""),0,SUMIF('DADOS BRUTOS'!$A$3:$A$500,$B35,'DADOS BRUTOS'!Y$3:Y$500)+IF($C35="",0,SUMIF('DADOS BRUTOS'!$A$3:$A$500,$C35,'DADOS BRUTOS'!Y$3:Y$500)))</f>
        <v/>
      </c>
      <c r="CZ35" s="132">
        <f>IF(OR(CZ$4="",$B35=""),0,SUMIF('DADOS BRUTOS'!$A$3:$A$500,$B35,'DADOS BRUTOS'!Z$3:Z$500)+IF($C35="",0,SUMIF('DADOS BRUTOS'!$A$3:$A$500,$C35,'DADOS BRUTOS'!Z$3:Z$500)))</f>
        <v/>
      </c>
      <c r="DA35" s="132">
        <f>IF(OR(DA$4="",$B35=""),0,SUMIF('DADOS BRUTOS'!$A$3:$A$500,$B35,'DADOS BRUTOS'!AA$3:AA$500)+IF($C35="",0,SUMIF('DADOS BRUTOS'!$A$3:$A$500,$C35,'DADOS BRUTOS'!AA$3:AA$500)))</f>
        <v/>
      </c>
      <c r="DB35" s="132">
        <f>IF(OR(DB$4="",$B35=""),0,SUMIF('DADOS BRUTOS'!$A$3:$A$500,$B35,'DADOS BRUTOS'!AB$3:AB$500)+IF($C35="",0,SUMIF('DADOS BRUTOS'!$A$3:$A$500,$C35,'DADOS BRUTOS'!AB$3:AB$500)))</f>
        <v/>
      </c>
      <c r="DC35" s="132">
        <f>IF(OR(DC$4="",$B35=""),0,SUMIF('DADOS BRUTOS'!$A$3:$A$500,$B35,'DADOS BRUTOS'!AC$3:AC$500)+IF($C35="",0,SUMIF('DADOS BRUTOS'!$A$3:$A$500,$C35,'DADOS BRUTOS'!AC$3:AC$500)))</f>
        <v/>
      </c>
      <c r="DD35" s="132">
        <f>IF(OR(DD$4="",$B35=""),0,SUMIF('DADOS BRUTOS'!$A$3:$A$500,$B35,'DADOS BRUTOS'!AD$3:AD$500)+IF($C35="",0,SUMIF('DADOS BRUTOS'!$A$3:$A$500,$C35,'DADOS BRUTOS'!AD$3:AD$500)))</f>
        <v/>
      </c>
      <c r="DE35" s="132">
        <f>IF(OR(DE$4="",$B35=""),0,SUMIF('DADOS BRUTOS'!$A$3:$A$500,$B35,'DADOS BRUTOS'!AE$3:AE$500)+IF($C35="",0,SUMIF('DADOS BRUTOS'!$A$3:$A$500,$C35,'DADOS BRUTOS'!AE$3:AE$500)))</f>
        <v/>
      </c>
      <c r="DF35" s="132">
        <f>IF(OR(DF$4="",$B35=""),0,SUMIF('DADOS BRUTOS'!$A$3:$A$500,$B35,'DADOS BRUTOS'!AF$3:AF$500)+IF($C35="",0,SUMIF('DADOS BRUTOS'!$A$3:$A$500,$C35,'DADOS BRUTOS'!AF$3:AF$500)))</f>
        <v/>
      </c>
      <c r="DG35" s="132">
        <f>IF(OR(DG$4="",$B35=""),0,SUMIF('DADOS BRUTOS'!$A$3:$A$500,$B35,'DADOS BRUTOS'!AG$3:AG$500)+IF($C35="",0,SUMIF('DADOS BRUTOS'!$A$3:$A$500,$C35,'DADOS BRUTOS'!AG$3:AG$500)))</f>
        <v/>
      </c>
      <c r="DH35" s="132">
        <f>IF(OR(DH$4="",$B35=""),0,SUMIF('DADOS BRUTOS'!$A$3:$A$500,$B35,'DADOS BRUTOS'!AH$3:AH$500)+IF($C35="",0,SUMIF('DADOS BRUTOS'!$A$3:$A$500,$C35,'DADOS BRUTOS'!AH$3:AH$500)))</f>
        <v/>
      </c>
      <c r="DI35" s="132">
        <f>IF(OR(DI$4="",$B35=""),0,SUMIF('DADOS BRUTOS'!$A$3:$A$500,$B35,'DADOS BRUTOS'!AI$3:AI$500)+IF($C35="",0,SUMIF('DADOS BRUTOS'!$A$3:$A$500,$C35,'DADOS BRUTOS'!AI$3:AI$500)))</f>
        <v/>
      </c>
      <c r="DJ35" s="132">
        <f>IF(OR(DJ$4="",$B35=""),0,SUMIF('DADOS BRUTOS'!$A$3:$A$500,$B35,'DADOS BRUTOS'!AJ$3:AJ$500)+IF($C35="",0,SUMIF('DADOS BRUTOS'!$A$3:$A$500,$C35,'DADOS BRUTOS'!AJ$3:AJ$500)))</f>
        <v/>
      </c>
      <c r="DK35" s="132">
        <f>IF(OR(DK$4="",$B35=""),0,SUMIF('DADOS BRUTOS'!$A$3:$A$500,$B35,'DADOS BRUTOS'!AK$3:AK$500)+IF($C35="",0,SUMIF('DADOS BRUTOS'!$A$3:$A$500,$C35,'DADOS BRUTOS'!AK$3:AK$500)))</f>
        <v/>
      </c>
      <c r="DL35" s="132">
        <f>IF(OR(DL$4="",$B35=""),0,SUMIF('DADOS BRUTOS'!$A$3:$A$500,$B35,'DADOS BRUTOS'!AL$3:AL$500)+IF($C35="",0,SUMIF('DADOS BRUTOS'!$A$3:$A$500,$C35,'DADOS BRUTOS'!AL$3:AL$500)))</f>
        <v/>
      </c>
      <c r="DM35" s="132">
        <f>IF(OR(DM$4="",$B35=""),0,SUMIF('DADOS BRUTOS'!$A$3:$A$500,$B35,'DADOS BRUTOS'!AM$3:AM$500)+IF($C35="",0,SUMIF('DADOS BRUTOS'!$A$3:$A$500,$C35,'DADOS BRUTOS'!AM$3:AM$500)))</f>
        <v/>
      </c>
      <c r="DN35" s="132">
        <f>IF(OR(DN$4="",$B35=""),0,SUMIF('DADOS BRUTOS'!$A$3:$A$500,$B35,'DADOS BRUTOS'!AN$3:AN$500)+IF($C35="",0,SUMIF('DADOS BRUTOS'!$A$3:$A$500,$C35,'DADOS BRUTOS'!AN$3:AN$500)))</f>
        <v/>
      </c>
      <c r="DO35" s="132">
        <f>IF(OR(DO$4="",$B35=""),0,SUMIF('DADOS BRUTOS'!$A$3:$A$500,$B35,'DADOS BRUTOS'!AO$3:AO$500)+IF($C35="",0,SUMIF('DADOS BRUTOS'!$A$3:$A$500,$C35,'DADOS BRUTOS'!AO$3:AO$500)))</f>
        <v/>
      </c>
      <c r="DP35" s="132">
        <f>IF(OR(DP$4="",$B35=""),0,SUMIF('DADOS BRUTOS'!$A$3:$A$500,$B35,'DADOS BRUTOS'!AP$3:AP$500)+IF($C35="",0,SUMIF('DADOS BRUTOS'!$A$3:$A$500,$C35,'DADOS BRUTOS'!AP$3:AP$500)))</f>
        <v/>
      </c>
      <c r="DQ35" s="132">
        <f>IF(OR(DQ$4="",$B35=""),0,SUMIF('DADOS BRUTOS'!$A$3:$A$500,$B35,'DADOS BRUTOS'!AQ$3:AQ$500)+IF($C35="",0,SUMIF('DADOS BRUTOS'!$A$3:$A$500,$C35,'DADOS BRUTOS'!AQ$3:AQ$500)))</f>
        <v/>
      </c>
      <c r="DR35" s="132">
        <f>IF(OR(DR$4="",$B35=""),0,SUMIF('DADOS BRUTOS'!$A$3:$A$500,$B35,'DADOS BRUTOS'!AR$3:AR$500)+IF($C35="",0,SUMIF('DADOS BRUTOS'!$A$3:$A$500,$C35,'DADOS BRUTOS'!AR$3:AR$500)))</f>
        <v/>
      </c>
      <c r="DS35" s="132">
        <f>IF(OR(DS$4="",$B35=""),0,SUMIF('DADOS BRUTOS'!$A$3:$A$500,$B35,'DADOS BRUTOS'!AS$3:AS$500)+IF($C35="",0,SUMIF('DADOS BRUTOS'!$A$3:$A$500,$C35,'DADOS BRUTOS'!AS$3:AS$500)))</f>
        <v/>
      </c>
      <c r="DT35" s="132">
        <f>IF(OR(DT$4="",$B35=""),0,SUMIF('DADOS BRUTOS'!$A$3:$A$500,$B35,'DADOS BRUTOS'!AT$3:AT$500)+IF($C35="",0,SUMIF('DADOS BRUTOS'!$A$3:$A$500,$C35,'DADOS BRUTOS'!AT$3:AT$500)))</f>
        <v/>
      </c>
      <c r="DU35" s="132">
        <f>IF(OR(DU$4="",$B35=""),0,SUMIF('DADOS BRUTOS'!$A$3:$A$500,$B35,'DADOS BRUTOS'!AU$3:AU$500)+IF($C35="",0,SUMIF('DADOS BRUTOS'!$A$3:$A$500,$C35,'DADOS BRUTOS'!AU$3:AU$500)))</f>
        <v/>
      </c>
      <c r="DV35" s="132">
        <f>IF(OR(DV$4="",$B35=""),0,SUMIF('DADOS BRUTOS'!$A$3:$A$500,$B35,'DADOS BRUTOS'!AV$3:AV$500)+IF($C35="",0,SUMIF('DADOS BRUTOS'!$A$3:$A$500,$C35,'DADOS BRUTOS'!AV$3:AV$500)))</f>
        <v/>
      </c>
      <c r="DW35" s="132">
        <f>IF(OR(DW$4="",$B35=""),0,SUMIF('DADOS BRUTOS'!$A$3:$A$500,$B35,'DADOS BRUTOS'!AW$3:AW$500)+IF($C35="",0,SUMIF('DADOS BRUTOS'!$A$3:$A$500,$C35,'DADOS BRUTOS'!AW$3:AW$500)))</f>
        <v/>
      </c>
      <c r="DX35" s="132">
        <f>IF(OR(DX$4="",$B35=""),0,SUMIF('DADOS BRUTOS'!$A$3:$A$500,$B35,'DADOS BRUTOS'!AX$3:AX$500)+IF($C35="",0,SUMIF('DADOS BRUTOS'!$A$3:$A$500,$C35,'DADOS BRUTOS'!AX$3:AX$500)))</f>
        <v/>
      </c>
      <c r="DY35" s="132">
        <f>IF(OR(DY$4="",$B35=""),0,SUMIF('DADOS BRUTOS'!$A$3:$A$500,$B35,'DADOS BRUTOS'!AY$3:AY$500)+IF($C35="",0,SUMIF('DADOS BRUTOS'!$A$3:$A$500,$C35,'DADOS BRUTOS'!AY$3:AY$500)))</f>
        <v/>
      </c>
      <c r="DZ35" s="132">
        <f>IF(OR(DZ$4="",$B35=""),0,SUMIF('DADOS BRUTOS'!$A$3:$A$500,$B35,'DADOS BRUTOS'!AZ$3:AZ$500)+IF($C35="",0,SUMIF('DADOS BRUTOS'!$A$3:$A$500,$C35,'DADOS BRUTOS'!AZ$3:AZ$500)))</f>
        <v/>
      </c>
      <c r="EA35" s="132">
        <f>IF(OR(EA$4="",$B35=""),0,SUMIF('DADOS BRUTOS'!$A$3:$A$500,$B35,'DADOS BRUTOS'!BA$3:BA$500)+IF($C35="",0,SUMIF('DADOS BRUTOS'!$A$3:$A$500,$C35,'DADOS BRUTOS'!BA$3:BA$500)))</f>
        <v/>
      </c>
      <c r="EB35" s="132">
        <f>IF(OR(EB$4="",$B35=""),0,SUMIF('DADOS BRUTOS'!$A$3:$A$500,$B35,'DADOS BRUTOS'!BB$3:BB$500)+IF($C35="",0,SUMIF('DADOS BRUTOS'!$A$3:$A$500,$C35,'DADOS BRUTOS'!BB$3:BB$500)))</f>
        <v/>
      </c>
      <c r="EC35" s="132">
        <f>IF(OR(EC$4="",$B35=""),0,SUMIF('DADOS BRUTOS'!$A$3:$A$500,$B35,'DADOS BRUTOS'!BC$3:BC$500)+IF($C35="",0,SUMIF('DADOS BRUTOS'!$A$3:$A$500,$C35,'DADOS BRUTOS'!BC$3:BC$500)))</f>
        <v/>
      </c>
      <c r="ED35" s="132">
        <f>IF(OR(ED$4="",$B35=""),0,SUMIF('DADOS BRUTOS'!$A$3:$A$500,$B35,'DADOS BRUTOS'!BD$3:BD$500)+IF($C35="",0,SUMIF('DADOS BRUTOS'!$A$3:$A$500,$C35,'DADOS BRUTOS'!BD$3:BD$500)))</f>
        <v/>
      </c>
      <c r="EE35" s="132">
        <f>IF(OR(EE$4="",$B35=""),0,SUMIF('DADOS BRUTOS'!$A$3:$A$500,$B35,'DADOS BRUTOS'!BE$3:BE$500)+IF($C35="",0,SUMIF('DADOS BRUTOS'!$A$3:$A$500,$C35,'DADOS BRUTOS'!BE$3:BE$500)))</f>
        <v/>
      </c>
      <c r="EF35" s="132">
        <f>IF(OR(EF$4="",$B35=""),0,SUMIF('DADOS BRUTOS'!$A$3:$A$500,$B35,'DADOS BRUTOS'!BF$3:BF$500)+IF($C35="",0,SUMIF('DADOS BRUTOS'!$A$3:$A$500,$C35,'DADOS BRUTOS'!BF$3:BF$500)))</f>
        <v/>
      </c>
      <c r="EG35" s="132">
        <f>IF(OR(EG$4="",$B35=""),0,SUMIF('DADOS BRUTOS'!$A$3:$A$500,$B35,'DADOS BRUTOS'!BG$3:BG$500)+IF($C35="",0,SUMIF('DADOS BRUTOS'!$A$3:$A$500,$C35,'DADOS BRUTOS'!BG$3:BG$500)))</f>
        <v/>
      </c>
      <c r="EH35" s="132">
        <f>IF(OR(EH$4="",$B35=""),0,SUMIF('DADOS BRUTOS'!$A$3:$A$500,$B35,'DADOS BRUTOS'!BH$3:BH$500)+IF($C35="",0,SUMIF('DADOS BRUTOS'!$A$3:$A$500,$C35,'DADOS BRUTOS'!BH$3:BH$500)))</f>
        <v/>
      </c>
      <c r="EI35" s="132">
        <f>IF(OR(EI$4="",$B35=""),0,SUMIF('DADOS BRUTOS'!$A$3:$A$500,$B35,'DADOS BRUTOS'!BI$3:BI$500)+IF($C35="",0,SUMIF('DADOS BRUTOS'!$A$3:$A$500,$C35,'DADOS BRUTOS'!BI$3:BI$500)))</f>
        <v/>
      </c>
      <c r="EJ35" s="132">
        <f>IF(OR(EJ$4="",$B35=""),0,SUMIF('DADOS BRUTOS'!$A$3:$A$500,$B35,'DADOS BRUTOS'!BJ$3:BJ$500)+IF($C35="",0,SUMIF('DADOS BRUTOS'!$A$3:$A$500,$C35,'DADOS BRUTOS'!BJ$3:BJ$500)))</f>
        <v/>
      </c>
      <c r="EK35" s="132">
        <f>IF(OR(EK$4="",$B35=""),0,SUMIF('DADOS BRUTOS'!$A$3:$A$500,$B35,'DADOS BRUTOS'!BK$3:BK$500)+IF($C35="",0,SUMIF('DADOS BRUTOS'!$A$3:$A$500,$C35,'DADOS BRUTOS'!BK$3:BK$500)))</f>
        <v/>
      </c>
      <c r="EL35" s="132">
        <f>IF(OR(EL$4="",$B35=""),0,SUMIF('DADOS BRUTOS'!$A$3:$A$500,$B35,'DADOS BRUTOS'!BL$3:BL$500)+IF($C35="",0,SUMIF('DADOS BRUTOS'!$A$3:$A$500,$C35,'DADOS BRUTOS'!BL$3:BL$500)))</f>
        <v/>
      </c>
      <c r="EM35" s="132">
        <f>IF(OR(EM$4="",$B35=""),0,SUMIF('DADOS BRUTOS'!$A$3:$A$500,$B35,'DADOS BRUTOS'!BM$3:BM$500)+IF($C35="",0,SUMIF('DADOS BRUTOS'!$A$3:$A$500,$C35,'DADOS BRUTOS'!BM$3:BM$500)))</f>
        <v/>
      </c>
      <c r="EN35" s="132">
        <f>IF(OR(EN$4="",$B35=""),0,SUMIF('DADOS BRUTOS'!$A$3:$A$500,$B35,'DADOS BRUTOS'!BN$3:BN$500)+IF($C35="",0,SUMIF('DADOS BRUTOS'!$A$3:$A$500,$C35,'DADOS BRUTOS'!BN$3:BN$500)))</f>
        <v/>
      </c>
      <c r="EO35" s="132">
        <f>IF(OR(EO$4="",$B35=""),0,SUMIF('DADOS BRUTOS'!$A$3:$A$500,$B35,'DADOS BRUTOS'!BO$3:BO$500)+IF($C35="",0,SUMIF('DADOS BRUTOS'!$A$3:$A$500,$C35,'DADOS BRUTOS'!BO$3:BO$500)))</f>
        <v/>
      </c>
      <c r="EP35" s="132">
        <f>IF(OR(EP$4="",$B35=""),0,SUMIF('DADOS BRUTOS'!$A$3:$A$500,$B35,'DADOS BRUTOS'!BP$3:BP$500)+IF($C35="",0,SUMIF('DADOS BRUTOS'!$A$3:$A$500,$C35,'DADOS BRUTOS'!BP$3:BP$500)))</f>
        <v/>
      </c>
      <c r="EQ35" s="132">
        <f>IF(OR(EQ$4="",$B35=""),0,SUMIF('DADOS BRUTOS'!$A$3:$A$500,$B35,'DADOS BRUTOS'!BQ$3:BQ$500)+IF($C35="",0,SUMIF('DADOS BRUTOS'!$A$3:$A$500,$C35,'DADOS BRUTOS'!BQ$3:BQ$500)))</f>
        <v/>
      </c>
      <c r="ER35" s="132">
        <f>IF(OR(ER$4="",$B35=""),0,SUMIF('DADOS BRUTOS'!$A$3:$A$500,$B35,'DADOS BRUTOS'!BR$3:BR$500)+IF($C35="",0,SUMIF('DADOS BRUTOS'!$A$3:$A$500,$C35,'DADOS BRUTOS'!BR$3:BR$500)))</f>
        <v/>
      </c>
      <c r="ES35" s="132">
        <f>IF(OR(ES$4="",$B35=""),0,SUMIF('DADOS BRUTOS'!$A$3:$A$500,$B35,'DADOS BRUTOS'!BS$3:BS$500)+IF($C35="",0,SUMIF('DADOS BRUTOS'!$A$3:$A$500,$C35,'DADOS BRUTOS'!BS$3:BS$500)))</f>
        <v/>
      </c>
      <c r="ET35" s="132">
        <f>IF(OR(ET$4="",$B35=""),0,SUMIF('DADOS BRUTOS'!$A$3:$A$500,$B35,'DADOS BRUTOS'!BT$3:BT$500)+IF($C35="",0,SUMIF('DADOS BRUTOS'!$A$3:$A$500,$C35,'DADOS BRUTOS'!BT$3:BT$500)))</f>
        <v/>
      </c>
      <c r="EU35" s="132">
        <f>IF(OR(EU$4="",$B35=""),0,SUMIF('DADOS BRUTOS'!$A$3:$A$500,$B35,'DADOS BRUTOS'!BU$3:BU$500)+IF($C35="",0,SUMIF('DADOS BRUTOS'!$A$3:$A$500,$C35,'DADOS BRUTOS'!BU$3:BU$500)))</f>
        <v/>
      </c>
      <c r="EV35" s="132">
        <f>IF(OR(EV$4="",$B35=""),0,SUMIF('DADOS BRUTOS'!$A$3:$A$500,$B35,'DADOS BRUTOS'!BV$3:BV$500)+IF($C35="",0,SUMIF('DADOS BRUTOS'!$A$3:$A$500,$C35,'DADOS BRUTOS'!BV$3:BV$500)))</f>
        <v/>
      </c>
      <c r="EW35" s="132">
        <f>IF(OR(EW$4="",$B35=""),0,SUMIF('DADOS BRUTOS'!$A$3:$A$500,$B35,'DADOS BRUTOS'!BW$3:BW$500)+IF($C35="",0,SUMIF('DADOS BRUTOS'!$A$3:$A$500,$C35,'DADOS BRUTOS'!BW$3:BW$500)))</f>
        <v/>
      </c>
      <c r="EX35" s="132">
        <f>IF(OR(EX$4="",$B35=""),0,SUMIF('DADOS BRUTOS'!$A$3:$A$500,$B35,'DADOS BRUTOS'!BX$3:BX$500)+IF($C35="",0,SUMIF('DADOS BRUTOS'!$A$3:$A$500,$C35,'DADOS BRUTOS'!BX$3:BX$500)))</f>
        <v/>
      </c>
      <c r="EY35" s="132">
        <f>IF(OR(EY$4="",$B35=""),0,SUMIF('DADOS BRUTOS'!$A$3:$A$500,$B35,'DADOS BRUTOS'!BY$3:BY$500)+IF($C35="",0,SUMIF('DADOS BRUTOS'!$A$3:$A$500,$C35,'DADOS BRUTOS'!BY$3:BY$500)))</f>
        <v/>
      </c>
      <c r="EZ35" s="132">
        <f>IF(OR(EZ$4="",$B35=""),0,SUMIF('DADOS BRUTOS'!$A$3:$A$500,$B35,'DADOS BRUTOS'!BZ$3:BZ$500)+IF($C35="",0,SUMIF('DADOS BRUTOS'!$A$3:$A$500,$C35,'DADOS BRUTOS'!BZ$3:BZ$500)))</f>
        <v/>
      </c>
      <c r="FA35" s="132">
        <f>IF(OR(FA$4="",$B35=""),0,SUMIF('DADOS BRUTOS'!$A$3:$A$500,$B35,'DADOS BRUTOS'!CA$3:CA$500)+IF($C35="",0,SUMIF('DADOS BRUTOS'!$A$3:$A$500,$C35,'DADOS BRUTOS'!CA$3:CA$500)))</f>
        <v/>
      </c>
      <c r="FB35" s="132">
        <f>IF(OR(FB$4="",$B35=""),0,SUMIF('DADOS BRUTOS'!$A$3:$A$500,$B35,'DADOS BRUTOS'!CB$3:CB$500)+IF($C35="",0,SUMIF('DADOS BRUTOS'!$A$3:$A$500,$C35,'DADOS BRUTOS'!CB$3:CB$500)))</f>
        <v/>
      </c>
      <c r="FC35" s="132">
        <f>IF(OR(FC$4="",$B35=""),0,SUMIF('DADOS BRUTOS'!$A$3:$A$500,$B35,'DADOS BRUTOS'!CC$3:CC$500)+IF($C35="",0,SUMIF('DADOS BRUTOS'!$A$3:$A$500,$C35,'DADOS BRUTOS'!CC$3:CC$500)))</f>
        <v/>
      </c>
      <c r="FD35" s="132">
        <f>IF(OR(FD$4="",$B35=""),0,SUMIF('DADOS BRUTOS'!$A$3:$A$500,$B35,'DADOS BRUTOS'!CD$3:CD$500)+IF($C35="",0,SUMIF('DADOS BRUTOS'!$A$3:$A$500,$C35,'DADOS BRUTOS'!CD$3:CD$500)))</f>
        <v/>
      </c>
      <c r="FE35" s="132">
        <f>IF(OR(FE$4="",$B35=""),0,SUMIF('DADOS BRUTOS'!$A$3:$A$500,$B35,'DADOS BRUTOS'!CE$3:CE$500)+IF($C35="",0,SUMIF('DADOS BRUTOS'!$A$3:$A$500,$C35,'DADOS BRUTOS'!CE$3:CE$500)))</f>
        <v/>
      </c>
      <c r="FF35" s="132">
        <f>IF(OR(FF$4="",$B35=""),0,SUMIF('DADOS BRUTOS'!$A$3:$A$500,$B35,'DADOS BRUTOS'!CF$3:CF$500)+IF($C35="",0,SUMIF('DADOS BRUTOS'!$A$3:$A$500,$C35,'DADOS BRUTOS'!CF$3:CF$500)))</f>
        <v/>
      </c>
      <c r="FG35" s="132">
        <f>IF(OR(FG$4="",$B35=""),0,SUMIF('DADOS BRUTOS'!$A$3:$A$500,$B35,'DADOS BRUTOS'!CG$3:CG$500)+IF($C35="",0,SUMIF('DADOS BRUTOS'!$A$3:$A$500,$C35,'DADOS BRUTOS'!CG$3:CG$500)))</f>
        <v/>
      </c>
      <c r="FH35" s="132">
        <f>IF(OR(FH$4="",$B35=""),0,SUMIF('DADOS BRUTOS'!$A$3:$A$500,$B35,'DADOS BRUTOS'!CH$3:CH$500)+IF($C35="",0,SUMIF('DADOS BRUTOS'!$A$3:$A$500,$C35,'DADOS BRUTOS'!CH$3:CH$500)))</f>
        <v/>
      </c>
      <c r="FI35" s="132">
        <f>IF(OR(FI$4="",$B35=""),0,SUMIF('DADOS BRUTOS'!$A$3:$A$500,$B35,'DADOS BRUTOS'!CI$3:CI$500)+IF($C35="",0,SUMIF('DADOS BRUTOS'!$A$3:$A$500,$C35,'DADOS BRUTOS'!CI$3:CI$500)))</f>
        <v/>
      </c>
      <c r="FJ35" s="132">
        <f>IF(OR(FJ$4="",$B35=""),0,SUMIF('DADOS BRUTOS'!$A$3:$A$500,$B35,'DADOS BRUTOS'!CJ$3:CJ$500)+IF($C35="",0,SUMIF('DADOS BRUTOS'!$A$3:$A$500,$C35,'DADOS BRUTOS'!CJ$3:CJ$500)))</f>
        <v/>
      </c>
      <c r="FK35" s="132">
        <f>IF(OR(FK$4="",$B35=""),0,SUMIF('DADOS BRUTOS'!$A$3:$A$500,$B35,'DADOS BRUTOS'!CK$3:CK$500)+IF($C35="",0,SUMIF('DADOS BRUTOS'!$A$3:$A$500,$C35,'DADOS BRUTOS'!CK$3:CK$500)))</f>
        <v/>
      </c>
      <c r="FL35" s="132">
        <f>IF(OR(FL$4="",$B35=""),0,SUMIF('DADOS BRUTOS'!$A$3:$A$500,$B35,'DADOS BRUTOS'!CL$3:CL$500)+IF($C35="",0,SUMIF('DADOS BRUTOS'!$A$3:$A$500,$C35,'DADOS BRUTOS'!CL$3:CL$500)))</f>
        <v/>
      </c>
      <c r="FM35" s="132">
        <f>IF(OR(FM$4="",$B35=""),0,SUMIF('DADOS BRUTOS'!$A$3:$A$500,$B35,'DADOS BRUTOS'!CM$3:CM$500)+IF($C35="",0,SUMIF('DADOS BRUTOS'!$A$3:$A$500,$C35,'DADOS BRUTOS'!CM$3:CM$500)))</f>
        <v/>
      </c>
      <c r="FN35" s="132">
        <f>IF(OR(FN$4="",$B35=""),0,SUMIF('DADOS BRUTOS'!$A$3:$A$500,$B35,'DADOS BRUTOS'!CN$3:CN$500)+IF($C35="",0,SUMIF('DADOS BRUTOS'!$A$3:$A$500,$C35,'DADOS BRUTOS'!CN$3:CN$500)))</f>
        <v/>
      </c>
      <c r="FO35" s="132">
        <f>IF(OR(FO$4="",$B35=""),0,SUMIF('DADOS BRUTOS'!$A$3:$A$500,$B35,'DADOS BRUTOS'!CO$3:CO$500)+IF($C35="",0,SUMIF('DADOS BRUTOS'!$A$3:$A$500,$C35,'DADOS BRUTOS'!CO$3:CO$500)))</f>
        <v/>
      </c>
      <c r="FP35" s="132">
        <f>IF(OR(FP$4="",$B35=""),0,SUMIF('DADOS BRUTOS'!$A$3:$A$500,$B35,'DADOS BRUTOS'!CP$3:CP$500)+IF($C35="",0,SUMIF('DADOS BRUTOS'!$A$3:$A$500,$C35,'DADOS BRUTOS'!CP$3:CP$500)))</f>
        <v/>
      </c>
      <c r="FQ35" s="132">
        <f>IF(OR(FQ$4="",$B35=""),0,SUMIF('DADOS BRUTOS'!$A$3:$A$500,$B35,'DADOS BRUTOS'!CQ$3:CQ$500)+IF($C35="",0,SUMIF('DADOS BRUTOS'!$A$3:$A$500,$C35,'DADOS BRUTOS'!CQ$3:CQ$500)))</f>
        <v/>
      </c>
      <c r="FR35" s="132">
        <f>IF(OR(FR$4="",$B35=""),0,SUMIF('DADOS BRUTOS'!$A$3:$A$500,$B35,'DADOS BRUTOS'!CR$3:CR$500)+IF($C35="",0,SUMIF('DADOS BRUTOS'!$A$3:$A$500,$C35,'DADOS BRUTOS'!CR$3:CR$500)))</f>
        <v/>
      </c>
      <c r="FS35" s="132">
        <f>IF(OR(FS$4="",$B35=""),0,SUMIF('DADOS BRUTOS'!$A$3:$A$500,$B35,'DADOS BRUTOS'!CS$3:CS$500)+IF($C35="",0,SUMIF('DADOS BRUTOS'!$A$3:$A$500,$C35,'DADOS BRUTOS'!CS$3:CS$500)))</f>
        <v/>
      </c>
      <c r="FT35" s="132">
        <f>IF(OR(FT$4="",$B35=""),0,SUMIF('DADOS BRUTOS'!$A$3:$A$500,$B35,'DADOS BRUTOS'!CT$3:CT$500)+IF($C35="",0,SUMIF('DADOS BRUTOS'!$A$3:$A$500,$C35,'DADOS BRUTOS'!CT$3:CT$500)))</f>
        <v/>
      </c>
      <c r="FU35" s="132">
        <f>IF(OR(FU$4="",$B35=""),0,SUMIF('DADOS BRUTOS'!$A$3:$A$500,$B35,'DADOS BRUTOS'!CU$3:CU$500)+IF($C35="",0,SUMIF('DADOS BRUTOS'!$A$3:$A$500,$C35,'DADOS BRUTOS'!CU$3:CU$500)))</f>
        <v/>
      </c>
      <c r="FV35" s="132">
        <f>IF(OR(FV$4="",$B35=""),0,SUMIF('DADOS BRUTOS'!$A$3:$A$500,$B35,'DADOS BRUTOS'!CV$3:CV$500)+IF($C35="",0,SUMIF('DADOS BRUTOS'!$A$3:$A$500,$C35,'DADOS BRUTOS'!CV$3:CV$500)))</f>
        <v/>
      </c>
      <c r="FW35" s="132">
        <f>IF(OR(FW$4="",$B35=""),0,SUMIF('DADOS BRUTOS'!$A$3:$A$500,$B35,'DADOS BRUTOS'!CW$3:CW$500)+IF($C35="",0,SUMIF('DADOS BRUTOS'!$A$3:$A$500,$C35,'DADOS BRUTOS'!CW$3:CW$500)))</f>
        <v/>
      </c>
      <c r="FX35" s="132">
        <f>IF(OR(FX$4="",$B35=""),0,SUMIF('DADOS BRUTOS'!$A$3:$A$500,$B35,'DADOS BRUTOS'!CX$3:CX$500)+IF($C35="",0,SUMIF('DADOS BRUTOS'!$A$3:$A$500,$C35,'DADOS BRUTOS'!CX$3:CX$500)))</f>
        <v/>
      </c>
      <c r="FY35" s="132">
        <f>IF(OR(FY$4="",$B35=""),0,SUMIF('DADOS BRUTOS'!$A$3:$A$500,$B35,'DADOS BRUTOS'!CY$3:CY$500)+IF($C35="",0,SUMIF('DADOS BRUTOS'!$A$3:$A$500,$C35,'DADOS BRUTOS'!CY$3:CY$500)))</f>
        <v/>
      </c>
      <c r="FZ35" s="132">
        <f>IF(OR(FZ$4="",$B35=""),0,SUMIF('DADOS BRUTOS'!$A$3:$A$500,$B35,'DADOS BRUTOS'!CZ$3:CZ$500)+IF($C35="",0,SUMIF('DADOS BRUTOS'!$A$3:$A$500,$C35,'DADOS BRUTOS'!CZ$3:CZ$500)))</f>
        <v/>
      </c>
      <c r="GA35" s="132">
        <f>IF(OR(GA$4="",$B35=""),0,SUMIF('DADOS BRUTOS'!$A$3:$A$500,$B35,'DADOS BRUTOS'!DA$3:DA$500)+IF($C35="",0,SUMIF('DADOS BRUTOS'!$A$3:$A$500,$C35,'DADOS BRUTOS'!DA$3:DA$500)))</f>
        <v/>
      </c>
      <c r="GB35" s="132">
        <f>IF(OR(GB$4="",$B35=""),0,SUMIF('DADOS BRUTOS'!$A$3:$A$500,$B35,'DADOS BRUTOS'!DB$3:DB$500)+IF($C35="",0,SUMIF('DADOS BRUTOS'!$A$3:$A$500,$C35,'DADOS BRUTOS'!DB$3:DB$500)))</f>
        <v/>
      </c>
      <c r="GC35" s="132">
        <f>IF(OR(GC$4="",$B35=""),0,SUMIF('DADOS BRUTOS'!$A$3:$A$500,$B35,'DADOS BRUTOS'!DC$3:DC$500)+IF($C35="",0,SUMIF('DADOS BRUTOS'!$A$3:$A$500,$C35,'DADOS BRUTOS'!DC$3:DC$500)))</f>
        <v/>
      </c>
      <c r="GD35" s="132">
        <f>IF(OR(GD$4="",$B35=""),0,SUMIF('DADOS BRUTOS'!$A$3:$A$500,$B35,'DADOS BRUTOS'!DD$3:DD$500)+IF($C35="",0,SUMIF('DADOS BRUTOS'!$A$3:$A$500,$C35,'DADOS BRUTOS'!DD$3:DD$500)))</f>
        <v/>
      </c>
      <c r="GE35" s="132">
        <f>IF(OR(GE$4="",$B35=""),0,SUMIF('DADOS BRUTOS'!$A$3:$A$500,$B35,'DADOS BRUTOS'!DE$3:DE$500)+IF($C35="",0,SUMIF('DADOS BRUTOS'!$A$3:$A$500,$C35,'DADOS BRUTOS'!DE$3:DE$500)))</f>
        <v/>
      </c>
      <c r="GF35" s="132">
        <f>IF(OR(GF$4="",$B35=""),0,SUMIF('DADOS BRUTOS'!$A$3:$A$500,$B35,'DADOS BRUTOS'!DF$3:DF$500)+IF($C35="",0,SUMIF('DADOS BRUTOS'!$A$3:$A$500,$C35,'DADOS BRUTOS'!DF$3:DF$500)))</f>
        <v/>
      </c>
      <c r="GG35" s="132">
        <f>IF(OR(GG$4="",$B35=""),0,SUMIF('DADOS BRUTOS'!$A$3:$A$500,$B35,'DADOS BRUTOS'!DG$3:DG$500)+IF($C35="",0,SUMIF('DADOS BRUTOS'!$A$3:$A$500,$C35,'DADOS BRUTOS'!DG$3:DG$500)))</f>
        <v/>
      </c>
      <c r="GH35" s="132">
        <f>IF(OR(GH$4="",$B35=""),0,SUMIF('DADOS BRUTOS'!$A$3:$A$500,$B35,'DADOS BRUTOS'!DH$3:DH$500)+IF($C35="",0,SUMIF('DADOS BRUTOS'!$A$3:$A$500,$C35,'DADOS BRUTOS'!DH$3:DH$500)))</f>
        <v/>
      </c>
      <c r="GI35" s="132">
        <f>IF(OR(GI$4="",$B35=""),0,SUMIF('DADOS BRUTOS'!$A$3:$A$500,$B35,'DADOS BRUTOS'!DI$3:DI$500)+IF($C35="",0,SUMIF('DADOS BRUTOS'!$A$3:$A$500,$C35,'DADOS BRUTOS'!DI$3:DI$500)))</f>
        <v/>
      </c>
      <c r="GJ35" s="132">
        <f>IF(OR(GJ$4="",$B35=""),0,SUMIF('DADOS BRUTOS'!$A$3:$A$500,$B35,'DADOS BRUTOS'!DJ$3:DJ$500)+IF($C35="",0,SUMIF('DADOS BRUTOS'!$A$3:$A$500,$C35,'DADOS BRUTOS'!DJ$3:DJ$500)))</f>
        <v/>
      </c>
      <c r="GK35" s="132">
        <f>IF(OR(GK$4="",$B35=""),0,SUMIF('DADOS BRUTOS'!$A$3:$A$500,$B35,'DADOS BRUTOS'!DK$3:DK$500)+IF($C35="",0,SUMIF('DADOS BRUTOS'!$A$3:$A$500,$C35,'DADOS BRUTOS'!DK$3:DK$500)))</f>
        <v/>
      </c>
      <c r="GL35" s="132">
        <f>IF(OR(GL$4="",$B35=""),0,SUMIF('DADOS BRUTOS'!$A$3:$A$500,$B35,'DADOS BRUTOS'!DL$3:DL$500)+IF($C35="",0,SUMIF('DADOS BRUTOS'!$A$3:$A$500,$C35,'DADOS BRUTOS'!DL$3:DL$500)))</f>
        <v/>
      </c>
      <c r="GM35" s="132">
        <f>IF(OR(GM$4="",$B35=""),0,SUMIF('DADOS BRUTOS'!$A$3:$A$500,$B35,'DADOS BRUTOS'!DM$3:DM$500)+IF($C35="",0,SUMIF('DADOS BRUTOS'!$A$3:$A$500,$C35,'DADOS BRUTOS'!DM$3:DM$500)))</f>
        <v/>
      </c>
      <c r="GN35" s="132">
        <f>IF(OR(GN$4="",$B35=""),0,SUMIF('DADOS BRUTOS'!$A$3:$A$500,$B35,'DADOS BRUTOS'!DN$3:DN$500)+IF($C35="",0,SUMIF('DADOS BRUTOS'!$A$3:$A$500,$C35,'DADOS BRUTOS'!DN$3:DN$500)))</f>
        <v/>
      </c>
      <c r="GO35" s="132">
        <f>IF(OR(GO$4="",$B35=""),0,SUMIF('DADOS BRUTOS'!$A$3:$A$500,$B35,'DADOS BRUTOS'!DO$3:DO$500)+IF($C35="",0,SUMIF('DADOS BRUTOS'!$A$3:$A$500,$C35,'DADOS BRUTOS'!DO$3:DO$500)))</f>
        <v/>
      </c>
      <c r="GP35" s="132">
        <f>IF(OR(GP$4="",$B35=""),0,SUMIF('DADOS BRUTOS'!$A$3:$A$500,$B35,'DADOS BRUTOS'!DP$3:DP$500)+IF($C35="",0,SUMIF('DADOS BRUTOS'!$A$3:$A$500,$C35,'DADOS BRUTOS'!DP$3:DP$500)))</f>
        <v/>
      </c>
      <c r="GQ35" s="132">
        <f>IF(OR(GQ$4="",$B35=""),0,SUMIF('DADOS BRUTOS'!$A$3:$A$500,$B35,'DADOS BRUTOS'!DQ$3:DQ$500)+IF($C35="",0,SUMIF('DADOS BRUTOS'!$A$3:$A$500,$C35,'DADOS BRUTOS'!DQ$3:DQ$500)))</f>
        <v/>
      </c>
      <c r="GR35" s="132">
        <f>IF(OR(GR$4="",$B35=""),0,SUMIF('DADOS BRUTOS'!$A$3:$A$500,$B35,'DADOS BRUTOS'!DR$3:DR$500)+IF($C35="",0,SUMIF('DADOS BRUTOS'!$A$3:$A$500,$C35,'DADOS BRUTOS'!DR$3:DR$500)))</f>
        <v/>
      </c>
      <c r="GS35" s="132">
        <f>IF(OR(GS$4="",$B35=""),0,SUMIF('DADOS BRUTOS'!$A$3:$A$500,$B35,'DADOS BRUTOS'!DS$3:DS$500)+IF($C35="",0,SUMIF('DADOS BRUTOS'!$A$3:$A$500,$C35,'DADOS BRUTOS'!DS$3:DS$500)))</f>
        <v/>
      </c>
      <c r="GT35" s="132">
        <f>IF(OR(GT$4="",$B35=""),0,SUMIF('DADOS BRUTOS'!$A$3:$A$500,$B35,'DADOS BRUTOS'!DT$3:DT$500)+IF($C35="",0,SUMIF('DADOS BRUTOS'!$A$3:$A$500,$C35,'DADOS BRUTOS'!DT$3:DT$500)))</f>
        <v/>
      </c>
      <c r="GU35" s="132">
        <f>IF(OR(GU$4="",$B35=""),0,SUMIF('DADOS BRUTOS'!$A$3:$A$500,$B35,'DADOS BRUTOS'!DU$3:DU$500)+IF($C35="",0,SUMIF('DADOS BRUTOS'!$A$3:$A$500,$C35,'DADOS BRUTOS'!DU$3:DU$500)))</f>
        <v/>
      </c>
      <c r="GV35" s="132">
        <f>IF(OR(GV$4="",$B35=""),0,SUMIF('DADOS BRUTOS'!$A$3:$A$500,$B35,'DADOS BRUTOS'!DV$3:DV$500)+IF($C35="",0,SUMIF('DADOS BRUTOS'!$A$3:$A$500,$C35,'DADOS BRUTOS'!DV$3:DV$500)))</f>
        <v/>
      </c>
      <c r="GW35" s="132">
        <f>IF(OR(GW$4="",$B35=""),0,SUMIF('DADOS BRUTOS'!$A$3:$A$500,$B35,'DADOS BRUTOS'!DW$3:DW$500)+IF($C35="",0,SUMIF('DADOS BRUTOS'!$A$3:$A$500,$C35,'DADOS BRUTOS'!DW$3:DW$500)))</f>
        <v/>
      </c>
      <c r="GX35" s="132">
        <f>IF(OR(GX$4="",$B35=""),0,SUMIF('DADOS BRUTOS'!$A$3:$A$500,$B35,'DADOS BRUTOS'!DX$3:DX$500)+IF($C35="",0,SUMIF('DADOS BRUTOS'!$A$3:$A$500,$C35,'DADOS BRUTOS'!DX$3:DX$500)))</f>
        <v/>
      </c>
      <c r="GY35" s="132">
        <f>IF(OR(GY$4="",$B35=""),0,SUMIF('DADOS BRUTOS'!$A$3:$A$500,$B35,'DADOS BRUTOS'!DY$3:DY$500)+IF($C35="",0,SUMIF('DADOS BRUTOS'!$A$3:$A$500,$C35,'DADOS BRUTOS'!DY$3:DY$500)))</f>
        <v/>
      </c>
      <c r="GZ35" s="132">
        <f>IF(OR(GZ$4="",$B35=""),0,SUMIF('DADOS BRUTOS'!$A$3:$A$500,$B35,'DADOS BRUTOS'!DZ$3:DZ$500)+IF($C35="",0,SUMIF('DADOS BRUTOS'!$A$3:$A$500,$C35,'DADOS BRUTOS'!DZ$3:DZ$500)))</f>
        <v/>
      </c>
      <c r="HA35" s="132">
        <f>IF(OR(HA$4="",$B35=""),0,SUMIF('DADOS BRUTOS'!$A$3:$A$500,$B35,'DADOS BRUTOS'!EA$3:EA$500)+IF($C35="",0,SUMIF('DADOS BRUTOS'!$A$3:$A$500,$C35,'DADOS BRUTOS'!EA$3:EA$500)))</f>
        <v/>
      </c>
      <c r="HB35" s="132">
        <f>IF(OR(HB$4="",$B35=""),0,SUMIF('DADOS BRUTOS'!$A$3:$A$500,$B35,'DADOS BRUTOS'!EB$3:EB$500)+IF($C35="",0,SUMIF('DADOS BRUTOS'!$A$3:$A$500,$C35,'DADOS BRUTOS'!EB$3:EB$500)))</f>
        <v/>
      </c>
      <c r="HC35" s="132">
        <f>IF(OR(HC$4="",$B35=""),0,SUMIF('DADOS BRUTOS'!$A$3:$A$500,$B35,'DADOS BRUTOS'!EC$3:EC$500)+IF($C35="",0,SUMIF('DADOS BRUTOS'!$A$3:$A$500,$C35,'DADOS BRUTOS'!EC$3:EC$500)))</f>
        <v/>
      </c>
      <c r="HD35" s="132">
        <f>IF(OR(HD$4="",$B35=""),0,SUMIF('DADOS BRUTOS'!$A$3:$A$500,$B35,'DADOS BRUTOS'!ED$3:ED$500)+IF($C35="",0,SUMIF('DADOS BRUTOS'!$A$3:$A$500,$C35,'DADOS BRUTOS'!ED$3:ED$500)))</f>
        <v/>
      </c>
      <c r="HE35" s="132">
        <f>IF(OR(HE$4="",$B35=""),0,SUMIF('DADOS BRUTOS'!$A$3:$A$500,$B35,'DADOS BRUTOS'!EE$3:EE$500)+IF($C35="",0,SUMIF('DADOS BRUTOS'!$A$3:$A$500,$C35,'DADOS BRUTOS'!EE$3:EE$500)))</f>
        <v/>
      </c>
      <c r="HF35" s="132">
        <f>IF(OR(HF$4="",$B35=""),0,SUMIF('DADOS BRUTOS'!$A$3:$A$500,$B35,'DADOS BRUTOS'!EF$3:EF$500)+IF($C35="",0,SUMIF('DADOS BRUTOS'!$A$3:$A$500,$C35,'DADOS BRUTOS'!EF$3:EF$500)))</f>
        <v/>
      </c>
      <c r="HG35" s="132">
        <f>IF(OR(HG$4="",$B35=""),0,SUMIF('DADOS BRUTOS'!$A$3:$A$500,$B35,'DADOS BRUTOS'!EG$3:EG$500)+IF($C35="",0,SUMIF('DADOS BRUTOS'!$A$3:$A$500,$C35,'DADOS BRUTOS'!EG$3:EG$500)))</f>
        <v/>
      </c>
      <c r="HH35" s="132">
        <f>IF(OR(HH$4="",$B35=""),0,SUMIF('DADOS BRUTOS'!$A$3:$A$500,$B35,'DADOS BRUTOS'!EH$3:EH$500)+IF($C35="",0,SUMIF('DADOS BRUTOS'!$A$3:$A$500,$C35,'DADOS BRUTOS'!EH$3:EH$500)))</f>
        <v/>
      </c>
      <c r="HI35" s="132">
        <f>IF(OR(HI$4="",$B35=""),0,SUMIF('DADOS BRUTOS'!$A$3:$A$500,$B35,'DADOS BRUTOS'!EI$3:EI$500)+IF($C35="",0,SUMIF('DADOS BRUTOS'!$A$3:$A$500,$C35,'DADOS BRUTOS'!EI$3:EI$500)))</f>
        <v/>
      </c>
      <c r="HJ35" s="132">
        <f>IF(OR(HJ$4="",$B35=""),0,SUMIF('DADOS BRUTOS'!$A$3:$A$500,$B35,'DADOS BRUTOS'!EJ$3:EJ$500)+IF($C35="",0,SUMIF('DADOS BRUTOS'!$A$3:$A$500,$C35,'DADOS BRUTOS'!EJ$3:EJ$500)))</f>
        <v/>
      </c>
      <c r="HK35" s="132">
        <f>IF(OR(HK$4="",$B35=""),0,SUMIF('DADOS BRUTOS'!$A$3:$A$500,$B35,'DADOS BRUTOS'!EK$3:EK$500)+IF($C35="",0,SUMIF('DADOS BRUTOS'!$A$3:$A$500,$C35,'DADOS BRUTOS'!EK$3:EK$500)))</f>
        <v/>
      </c>
      <c r="HL35" s="132">
        <f>IF(OR(HL$4="",$B35=""),0,SUMIF('DADOS BRUTOS'!$A$3:$A$500,$B35,'DADOS BRUTOS'!EL$3:EL$500)+IF($C35="",0,SUMIF('DADOS BRUTOS'!$A$3:$A$500,$C35,'DADOS BRUTOS'!EL$3:EL$500)))</f>
        <v/>
      </c>
      <c r="HM35" s="132">
        <f>IF(OR(HM$4="",$B35=""),0,SUMIF('DADOS BRUTOS'!$A$3:$A$500,$B35,'DADOS BRUTOS'!EM$3:EM$500)+IF($C35="",0,SUMIF('DADOS BRUTOS'!$A$3:$A$500,$C35,'DADOS BRUTOS'!EM$3:EM$500)))</f>
        <v/>
      </c>
      <c r="HN35" s="132">
        <f>IF(OR(HN$4="",$B35=""),0,SUMIF('DADOS BRUTOS'!$A$3:$A$500,$B35,'DADOS BRUTOS'!EN$3:EN$500)+IF($C35="",0,SUMIF('DADOS BRUTOS'!$A$3:$A$500,$C35,'DADOS BRUTOS'!EN$3:EN$500)))</f>
        <v/>
      </c>
      <c r="HO35" s="132">
        <f>IF(OR(HO$4="",$B35=""),0,SUMIF('DADOS BRUTOS'!$A$3:$A$500,$B35,'DADOS BRUTOS'!EO$3:EO$500)+IF($C35="",0,SUMIF('DADOS BRUTOS'!$A$3:$A$500,$C35,'DADOS BRUTOS'!EO$3:EO$500)))</f>
        <v/>
      </c>
      <c r="HP35" s="132">
        <f>IF(OR(HP$4="",$B35=""),0,SUMIF('DADOS BRUTOS'!$A$3:$A$500,$B35,'DADOS BRUTOS'!EP$3:EP$500)+IF($C35="",0,SUMIF('DADOS BRUTOS'!$A$3:$A$500,$C35,'DADOS BRUTOS'!EP$3:EP$500)))</f>
        <v/>
      </c>
      <c r="HQ35" s="132">
        <f>IF(OR(HQ$4="",$B35=""),0,SUMIF('DADOS BRUTOS'!$A$3:$A$500,$B35,'DADOS BRUTOS'!EQ$3:EQ$500)+IF($C35="",0,SUMIF('DADOS BRUTOS'!$A$3:$A$500,$C35,'DADOS BRUTOS'!EQ$3:EQ$500)))</f>
        <v/>
      </c>
      <c r="HR35" s="132">
        <f>IF(OR(HR$4="",$B35=""),0,SUMIF('DADOS BRUTOS'!$A$3:$A$500,$B35,'DADOS BRUTOS'!ER$3:ER$500)+IF($C35="",0,SUMIF('DADOS BRUTOS'!$A$3:$A$500,$C35,'DADOS BRUTOS'!ER$3:ER$500)))</f>
        <v/>
      </c>
      <c r="HS35" s="132">
        <f>IF(OR(HS$4="",$B35=""),0,SUMIF('DADOS BRUTOS'!$A$3:$A$500,$B35,'DADOS BRUTOS'!ES$3:ES$500)+IF($C35="",0,SUMIF('DADOS BRUTOS'!$A$3:$A$500,$C35,'DADOS BRUTOS'!ES$3:ES$500)))</f>
        <v/>
      </c>
      <c r="HT35" s="132">
        <f>IF(OR(HT$4="",$B35=""),0,SUMIF('DADOS BRUTOS'!$A$3:$A$500,$B35,'DADOS BRUTOS'!ET$3:ET$500)+IF($C35="",0,SUMIF('DADOS BRUTOS'!$A$3:$A$500,$C35,'DADOS BRUTOS'!ET$3:ET$500)))</f>
        <v/>
      </c>
      <c r="HU35" s="132">
        <f>IF(OR(HU$4="",$B35=""),0,SUMIF('DADOS BRUTOS'!$A$3:$A$500,$B35,'DADOS BRUTOS'!EU$3:EU$500)+IF($C35="",0,SUMIF('DADOS BRUTOS'!$A$3:$A$500,$C35,'DADOS BRUTOS'!EU$3:EU$500)))</f>
        <v/>
      </c>
      <c r="HV35" s="132">
        <f>IF(OR(HV$4="",$B35=""),0,SUMIF('DADOS BRUTOS'!$A$3:$A$500,$B35,'DADOS BRUTOS'!EV$3:EV$500)+IF($C35="",0,SUMIF('DADOS BRUTOS'!$A$3:$A$500,$C35,'DADOS BRUTOS'!EV$3:EV$500)))</f>
        <v/>
      </c>
      <c r="HW35" s="132">
        <f>IF(OR(HW$4="",$B35=""),0,SUMIF('DADOS BRUTOS'!$A$3:$A$500,$B35,'DADOS BRUTOS'!EW$3:EW$500)+IF($C35="",0,SUMIF('DADOS BRUTOS'!$A$3:$A$500,$C35,'DADOS BRUTOS'!EW$3:EW$500)))</f>
        <v/>
      </c>
      <c r="HX35" s="132">
        <f>IF(OR(HX$4="",$B35=""),0,SUMIF('DADOS BRUTOS'!$A$3:$A$500,$B35,'DADOS BRUTOS'!EX$3:EX$500)+IF($C35="",0,SUMIF('DADOS BRUTOS'!$A$3:$A$500,$C35,'DADOS BRUTOS'!EX$3:EX$500)))</f>
        <v/>
      </c>
      <c r="HY35" s="132">
        <f>IF(OR(HY$4="",$B35=""),0,SUMIF('DADOS BRUTOS'!$A$3:$A$500,$B35,'DADOS BRUTOS'!EY$3:EY$500)+IF($C35="",0,SUMIF('DADOS BRUTOS'!$A$3:$A$500,$C35,'DADOS BRUTOS'!EY$3:EY$500)))</f>
        <v/>
      </c>
      <c r="HZ35" s="132">
        <f>IF(OR(HZ$4="",$B35=""),0,SUMIF('DADOS BRUTOS'!$A$3:$A$500,$B35,'DADOS BRUTOS'!EZ$3:EZ$500)+IF($C35="",0,SUMIF('DADOS BRUTOS'!$A$3:$A$500,$C35,'DADOS BRUTOS'!EZ$3:EZ$500)))</f>
        <v/>
      </c>
      <c r="IA35" s="132">
        <f>IF(OR(IA$4="",$B35=""),0,SUMIF('DADOS BRUTOS'!$A$3:$A$500,$B35,'DADOS BRUTOS'!FA$3:FA$500)+IF($C35="",0,SUMIF('DADOS BRUTOS'!$A$3:$A$500,$C35,'DADOS BRUTOS'!FA$3:FA$500)))</f>
        <v/>
      </c>
      <c r="IB35" s="132">
        <f>IF(OR(IB$4="",$B35=""),0,SUMIF('DADOS BRUTOS'!$A$3:$A$500,$B35,'DADOS BRUTOS'!FB$3:FB$500)+IF($C35="",0,SUMIF('DADOS BRUTOS'!$A$3:$A$500,$C35,'DADOS BRUTOS'!FB$3:FB$500)))</f>
        <v/>
      </c>
      <c r="IC35" s="132">
        <f>IF(OR(IC$4="",$B35=""),0,SUMIF('DADOS BRUTOS'!$A$3:$A$500,$B35,'DADOS BRUTOS'!FC$3:FC$500)+IF($C35="",0,SUMIF('DADOS BRUTOS'!$A$3:$A$500,$C35,'DADOS BRUTOS'!FC$3:FC$500)))</f>
        <v/>
      </c>
      <c r="ID35" s="132">
        <f>IF(OR(ID$4="",$B35=""),0,SUMIF('DADOS BRUTOS'!$A$3:$A$500,$B35,'DADOS BRUTOS'!FD$3:FD$500)+IF($C35="",0,SUMIF('DADOS BRUTOS'!$A$3:$A$500,$C35,'DADOS BRUTOS'!FD$3:FD$500)))</f>
        <v/>
      </c>
      <c r="IE35" s="132">
        <f>IF(OR(IE$4="",$B35=""),0,SUMIF('DADOS BRUTOS'!$A$3:$A$500,$B35,'DADOS BRUTOS'!FE$3:FE$500)+IF($C35="",0,SUMIF('DADOS BRUTOS'!$A$3:$A$500,$C35,'DADOS BRUTOS'!FE$3:FE$500)))</f>
        <v/>
      </c>
      <c r="IF35" s="132">
        <f>IF(OR(IF$4="",$B35=""),0,SUMIF('DADOS BRUTOS'!$A$3:$A$500,$B35,'DADOS BRUTOS'!FF$3:FF$500)+IF($C35="",0,SUMIF('DADOS BRUTOS'!$A$3:$A$500,$C35,'DADOS BRUTOS'!FF$3:FF$500)))</f>
        <v/>
      </c>
      <c r="IG35" s="132">
        <f>IF(OR(IG$4="",$B35=""),0,SUMIF('DADOS BRUTOS'!$A$3:$A$500,$B35,'DADOS BRUTOS'!FG$3:FG$500)+IF($C35="",0,SUMIF('DADOS BRUTOS'!$A$3:$A$500,$C35,'DADOS BRUTOS'!FG$3:FG$500)))</f>
        <v/>
      </c>
      <c r="IH35" s="132">
        <f>IF(OR(IH$4="",$B35=""),0,SUMIF('DADOS BRUTOS'!$A$3:$A$500,$B35,'DADOS BRUTOS'!FH$3:FH$500)+IF($C35="",0,SUMIF('DADOS BRUTOS'!$A$3:$A$500,$C35,'DADOS BRUTOS'!FH$3:FH$500)))</f>
        <v/>
      </c>
      <c r="II35" s="132">
        <f>IF(OR(II$4="",$B35=""),0,SUMIF('DADOS BRUTOS'!$A$3:$A$500,$B35,'DADOS BRUTOS'!FI$3:FI$500)+IF($C35="",0,SUMIF('DADOS BRUTOS'!$A$3:$A$500,$C35,'DADOS BRUTOS'!FI$3:FI$500)))</f>
        <v/>
      </c>
      <c r="IJ35" s="132">
        <f>IF(OR(IJ$4="",$B35=""),0,SUMIF('DADOS BRUTOS'!$A$3:$A$500,$B35,'DADOS BRUTOS'!FJ$3:FJ$500)+IF($C35="",0,SUMIF('DADOS BRUTOS'!$A$3:$A$500,$C35,'DADOS BRUTOS'!FJ$3:FJ$500)))</f>
        <v/>
      </c>
      <c r="IK35" s="132">
        <f>IF(OR(IK$4="",$B35=""),0,SUMIF('DADOS BRUTOS'!$A$3:$A$500,$B35,'DADOS BRUTOS'!FK$3:FK$500)+IF($C35="",0,SUMIF('DADOS BRUTOS'!$A$3:$A$500,$C35,'DADOS BRUTOS'!FK$3:FK$500)))</f>
        <v/>
      </c>
      <c r="IL35" s="132">
        <f>IF(OR(IL$4="",$B35=""),0,SUMIF('DADOS BRUTOS'!$A$3:$A$500,$B35,'DADOS BRUTOS'!FL$3:FL$500)+IF($C35="",0,SUMIF('DADOS BRUTOS'!$A$3:$A$500,$C35,'DADOS BRUTOS'!FL$3:FL$500)))</f>
        <v/>
      </c>
      <c r="IM35" s="132">
        <f>IF(OR(IM$4="",$B35=""),0,SUMIF('DADOS BRUTOS'!$A$3:$A$500,$B35,'DADOS BRUTOS'!FM$3:FM$500)+IF($C35="",0,SUMIF('DADOS BRUTOS'!$A$3:$A$500,$C35,'DADOS BRUTOS'!FM$3:FM$500)))</f>
        <v/>
      </c>
      <c r="IN35" s="132">
        <f>IF(OR(IN$4="",$B35=""),0,SUMIF('DADOS BRUTOS'!$A$3:$A$500,$B35,'DADOS BRUTOS'!FN$3:FN$500)+IF($C35="",0,SUMIF('DADOS BRUTOS'!$A$3:$A$500,$C35,'DADOS BRUTOS'!FN$3:FN$500)))</f>
        <v/>
      </c>
      <c r="IO35" s="132">
        <f>IF(OR(IO$4="",$B35=""),0,SUMIF('DADOS BRUTOS'!$A$3:$A$500,$B35,'DADOS BRUTOS'!FO$3:FO$500)+IF($C35="",0,SUMIF('DADOS BRUTOS'!$A$3:$A$500,$C35,'DADOS BRUTOS'!FO$3:FO$500)))</f>
        <v/>
      </c>
      <c r="IP35" s="132">
        <f>IF(OR(IP$4="",$B35=""),0,SUMIF('DADOS BRUTOS'!$A$3:$A$500,$B35,'DADOS BRUTOS'!FP$3:FP$500)+IF($C35="",0,SUMIF('DADOS BRUTOS'!$A$3:$A$500,$C35,'DADOS BRUTOS'!FP$3:FP$500)))</f>
        <v/>
      </c>
      <c r="IQ35" s="132">
        <f>IF(OR(IQ$4="",$B35=""),0,SUMIF('DADOS BRUTOS'!$A$3:$A$500,$B35,'DADOS BRUTOS'!FQ$3:FQ$500)+IF($C35="",0,SUMIF('DADOS BRUTOS'!$A$3:$A$500,$C35,'DADOS BRUTOS'!FQ$3:FQ$500)))</f>
        <v/>
      </c>
      <c r="IR35" s="132">
        <f>IF(OR(IR$4="",$B35=""),0,SUMIF('DADOS BRUTOS'!$A$3:$A$500,$B35,'DADOS BRUTOS'!FR$3:FR$500)+IF($C35="",0,SUMIF('DADOS BRUTOS'!$A$3:$A$500,$C35,'DADOS BRUTOS'!FR$3:FR$500)))</f>
        <v/>
      </c>
      <c r="IS35" s="132">
        <f>IF(OR(IS$4="",$B35=""),0,SUMIF('DADOS BRUTOS'!$A$3:$A$500,$B35,'DADOS BRUTOS'!FS$3:FS$500)+IF($C35="",0,SUMIF('DADOS BRUTOS'!$A$3:$A$500,$C35,'DADOS BRUTOS'!FS$3:FS$500)))</f>
        <v/>
      </c>
      <c r="IT35" s="132">
        <f>IF(OR(IT$4="",$B35=""),0,SUMIF('DADOS BRUTOS'!$A$3:$A$500,$B35,'DADOS BRUTOS'!FT$3:FT$500)+IF($C35="",0,SUMIF('DADOS BRUTOS'!$A$3:$A$500,$C35,'DADOS BRUTOS'!FT$3:FT$500)))</f>
        <v/>
      </c>
      <c r="IU35" s="132">
        <f>IF(OR(IU$4="",$B35=""),0,SUMIF('DADOS BRUTOS'!$A$3:$A$500,$B35,'DADOS BRUTOS'!FU$3:FU$500)+IF($C35="",0,SUMIF('DADOS BRUTOS'!$A$3:$A$500,$C35,'DADOS BRUTOS'!FU$3:FU$500)))</f>
        <v/>
      </c>
      <c r="IV35" s="132">
        <f>IF(OR(IV$4="",$B35=""),0,SUMIF('DADOS BRUTOS'!$A$3:$A$500,$B35,'DADOS BRUTOS'!FV$3:FV$500)+IF($C35="",0,SUMIF('DADOS BRUTOS'!$A$3:$A$500,$C35,'DADOS BRUTOS'!FV$3:FV$500)))</f>
        <v/>
      </c>
      <c r="IW35" s="132">
        <f>IF(OR(IW$4="",$B35=""),0,SUMIF('DADOS BRUTOS'!$A$3:$A$500,$B35,'DADOS BRUTOS'!FW$3:FW$500)+IF($C35="",0,SUMIF('DADOS BRUTOS'!$A$3:$A$500,$C35,'DADOS BRUTOS'!FW$3:FW$500)))</f>
        <v/>
      </c>
      <c r="IX35" s="132">
        <f>IF(OR(IX$4="",$B35=""),0,SUMIF('DADOS BRUTOS'!$A$3:$A$500,$B35,'DADOS BRUTOS'!FX$3:FX$500)+IF($C35="",0,SUMIF('DADOS BRUTOS'!$A$3:$A$500,$C35,'DADOS BRUTOS'!FX$3:FX$500)))</f>
        <v/>
      </c>
      <c r="IY35" s="132">
        <f>IF(OR(IY$4="",$B35=""),0,SUMIF('DADOS BRUTOS'!$A$3:$A$500,$B35,'DADOS BRUTOS'!FY$3:FY$500)+IF($C35="",0,SUMIF('DADOS BRUTOS'!$A$3:$A$500,$C35,'DADOS BRUTOS'!FY$3:FY$500)))</f>
        <v/>
      </c>
      <c r="IZ35" s="132">
        <f>IF(OR(IZ$4="",$B35=""),0,SUMIF('DADOS BRUTOS'!$A$3:$A$500,$B35,'DADOS BRUTOS'!FZ$3:FZ$500)+IF($C35="",0,SUMIF('DADOS BRUTOS'!$A$3:$A$500,$C35,'DADOS BRUTOS'!FZ$3:FZ$500)))</f>
        <v/>
      </c>
      <c r="JA35" s="132">
        <f>IF(OR(JA$4="",$B35=""),0,SUMIF('DADOS BRUTOS'!$A$3:$A$500,$B35,'DADOS BRUTOS'!GA$3:GA$500)+IF($C35="",0,SUMIF('DADOS BRUTOS'!$A$3:$A$500,$C35,'DADOS BRUTOS'!GA$3:GA$500)))</f>
        <v/>
      </c>
      <c r="JB35" s="132">
        <f>IF(OR(JB$4="",$B35=""),0,SUMIF('DADOS BRUTOS'!$A$3:$A$500,$B35,'DADOS BRUTOS'!GB$3:GB$500)+IF($C35="",0,SUMIF('DADOS BRUTOS'!$A$3:$A$500,$C35,'DADOS BRUTOS'!GB$3:GB$500)))</f>
        <v/>
      </c>
      <c r="JC35" s="132">
        <f>IF(OR(JC$4="",$B35=""),0,SUMIF('DADOS BRUTOS'!$A$3:$A$500,$B35,'DADOS BRUTOS'!GC$3:GC$500)+IF($C35="",0,SUMIF('DADOS BRUTOS'!$A$3:$A$500,$C35,'DADOS BRUTOS'!GC$3:GC$500)))</f>
        <v/>
      </c>
      <c r="JD35" s="132">
        <f>IF(OR(JD$4="",$B35=""),0,SUMIF('DADOS BRUTOS'!$A$3:$A$500,$B35,'DADOS BRUTOS'!GD$3:GD$500)+IF($C35="",0,SUMIF('DADOS BRUTOS'!$A$3:$A$500,$C35,'DADOS BRUTOS'!GD$3:GD$500)))</f>
        <v/>
      </c>
      <c r="JE35" s="132">
        <f>IF(OR(JE$4="",$B35=""),0,SUMIF('DADOS BRUTOS'!$A$3:$A$500,$B35,'DADOS BRUTOS'!GE$3:GE$500)+IF($C35="",0,SUMIF('DADOS BRUTOS'!$A$3:$A$500,$C35,'DADOS BRUTOS'!GE$3:GE$500)))</f>
        <v/>
      </c>
      <c r="JF35" s="132">
        <f>IF(OR(JF$4="",$B35=""),0,SUMIF('DADOS BRUTOS'!$A$3:$A$500,$B35,'DADOS BRUTOS'!GF$3:GF$500)+IF($C35="",0,SUMIF('DADOS BRUTOS'!$A$3:$A$500,$C35,'DADOS BRUTOS'!GF$3:GF$500)))</f>
        <v/>
      </c>
      <c r="JG35" s="132">
        <f>IF(OR(JG$4="",$B35=""),0,SUMIF('DADOS BRUTOS'!$A$3:$A$500,$B35,'DADOS BRUTOS'!GG$3:GG$500)+IF($C35="",0,SUMIF('DADOS BRUTOS'!$A$3:$A$500,$C35,'DADOS BRUTOS'!GG$3:GG$500)))</f>
        <v/>
      </c>
      <c r="JH35" s="132">
        <f>IF(OR(JH$4="",$B35=""),0,SUMIF('DADOS BRUTOS'!$A$3:$A$500,$B35,'DADOS BRUTOS'!GH$3:GH$500)+IF($C35="",0,SUMIF('DADOS BRUTOS'!$A$3:$A$500,$C35,'DADOS BRUTOS'!GH$3:GH$500)))</f>
        <v/>
      </c>
      <c r="JI35" s="132">
        <f>IF(OR(JI$4="",$B35=""),0,SUMIF('DADOS BRUTOS'!$A$3:$A$500,$B35,'DADOS BRUTOS'!GI$3:GI$500)+IF($C35="",0,SUMIF('DADOS BRUTOS'!$A$3:$A$500,$C35,'DADOS BRUTOS'!GI$3:GI$500)))</f>
        <v/>
      </c>
      <c r="JJ35" s="132">
        <f>IF(OR(JJ$4="",$B35=""),0,SUMIF('DADOS BRUTOS'!$A$3:$A$500,$B35,'DADOS BRUTOS'!GJ$3:GJ$500)+IF($C35="",0,SUMIF('DADOS BRUTOS'!$A$3:$A$500,$C35,'DADOS BRUTOS'!GJ$3:GJ$500)))</f>
        <v/>
      </c>
      <c r="JK35" s="132">
        <f>IF(OR(JK$4="",$B35=""),0,SUMIF('DADOS BRUTOS'!$A$3:$A$500,$B35,'DADOS BRUTOS'!GK$3:GK$500)+IF($C35="",0,SUMIF('DADOS BRUTOS'!$A$3:$A$500,$C35,'DADOS BRUTOS'!GK$3:GK$500)))</f>
        <v/>
      </c>
      <c r="JL35" s="132">
        <f>IF(OR(JL$4="",$B35=""),0,SUMIF('DADOS BRUTOS'!$A$3:$A$500,$B35,'DADOS BRUTOS'!GL$3:GL$500)+IF($C35="",0,SUMIF('DADOS BRUTOS'!$A$3:$A$500,$C35,'DADOS BRUTOS'!GL$3:GL$500)))</f>
        <v/>
      </c>
      <c r="JM35" s="132">
        <f>IF(OR(JM$4="",$B35=""),0,SUMIF('DADOS BRUTOS'!$A$3:$A$500,$B35,'DADOS BRUTOS'!GM$3:GM$500)+IF($C35="",0,SUMIF('DADOS BRUTOS'!$A$3:$A$500,$C35,'DADOS BRUTOS'!GM$3:GM$500)))</f>
        <v/>
      </c>
      <c r="JN35" s="132">
        <f>IF(OR(JN$4="",$B35=""),0,SUMIF('DADOS BRUTOS'!$A$3:$A$500,$B35,'DADOS BRUTOS'!GN$3:GN$500)+IF($C35="",0,SUMIF('DADOS BRUTOS'!$A$3:$A$500,$C35,'DADOS BRUTOS'!GN$3:GN$500)))</f>
        <v/>
      </c>
      <c r="JO35" s="132">
        <f>IF(OR(JO$4="",$B35=""),0,SUMIF('DADOS BRUTOS'!$A$3:$A$500,$B35,'DADOS BRUTOS'!GO$3:GO$500)+IF($C35="",0,SUMIF('DADOS BRUTOS'!$A$3:$A$500,$C35,'DADOS BRUTOS'!GO$3:GO$500)))</f>
        <v/>
      </c>
      <c r="JP35" s="132">
        <f>IF(OR(JP$4="",$B35=""),0,SUMIF('DADOS BRUTOS'!$A$3:$A$500,$B35,'DADOS BRUTOS'!GP$3:GP$500)+IF($C35="",0,SUMIF('DADOS BRUTOS'!$A$3:$A$500,$C35,'DADOS BRUTOS'!GP$3:GP$500)))</f>
        <v/>
      </c>
      <c r="JQ35" s="132">
        <f>IF(OR(JQ$4="",$B35=""),0,SUMIF('DADOS BRUTOS'!$A$3:$A$500,$B35,'DADOS BRUTOS'!GQ$3:GQ$500)+IF($C35="",0,SUMIF('DADOS BRUTOS'!$A$3:$A$500,$C35,'DADOS BRUTOS'!GQ$3:GQ$500)))</f>
        <v/>
      </c>
      <c r="JR35" s="132">
        <f>IF(OR(JR$4="",$B35=""),0,SUMIF('DADOS BRUTOS'!$A$3:$A$500,$B35,'DADOS BRUTOS'!GR$3:GR$500)+IF($C35="",0,SUMIF('DADOS BRUTOS'!$A$3:$A$500,$C35,'DADOS BRUTOS'!GR$3:GR$500)))</f>
        <v/>
      </c>
      <c r="JS35" s="132">
        <f>IF(OR(JS$4="",$B35=""),0,SUMIF('DADOS BRUTOS'!$A$3:$A$500,$B35,'DADOS BRUTOS'!GS$3:GS$500)+IF($C35="",0,SUMIF('DADOS BRUTOS'!$A$3:$A$500,$C35,'DADOS BRUTOS'!GS$3:GS$500)))</f>
        <v/>
      </c>
    </row>
    <row r="36">
      <c r="A36" s="61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BZ36" s="49">
        <f>SUMPRODUCT(($CB$4:$JS$4&lt;&gt;"")*($CB$4:$JS$4&lt;=$D$4),$CB36:$JS36,$CB$1:$JS$1)</f>
        <v/>
      </c>
      <c r="CB36" s="132">
        <f>IF(OR(CB$4="",$B36=""),0,SUMIF('DADOS BRUTOS'!$A$3:$A$500,$B36,'DADOS BRUTOS'!B$3:B$500)+IF($C36="",0,SUMIF('DADOS BRUTOS'!$A$3:$A$500,$C36,'DADOS BRUTOS'!B$3:B$500)))</f>
        <v/>
      </c>
      <c r="CC36" s="132">
        <f>IF(OR(CC$4="",$B36=""),0,SUMIF('DADOS BRUTOS'!$A$3:$A$500,$B36,'DADOS BRUTOS'!C$3:C$500)+IF($C36="",0,SUMIF('DADOS BRUTOS'!$A$3:$A$500,$C36,'DADOS BRUTOS'!C$3:C$500)))</f>
        <v/>
      </c>
      <c r="CD36" s="132">
        <f>IF(OR(CD$4="",$B36=""),0,SUMIF('DADOS BRUTOS'!$A$3:$A$500,$B36,'DADOS BRUTOS'!D$3:D$500)+IF($C36="",0,SUMIF('DADOS BRUTOS'!$A$3:$A$500,$C36,'DADOS BRUTOS'!D$3:D$500)))</f>
        <v/>
      </c>
      <c r="CE36" s="132">
        <f>IF(OR(CE$4="",$B36=""),0,SUMIF('DADOS BRUTOS'!$A$3:$A$500,$B36,'DADOS BRUTOS'!E$3:E$500)+IF($C36="",0,SUMIF('DADOS BRUTOS'!$A$3:$A$500,$C36,'DADOS BRUTOS'!E$3:E$500)))</f>
        <v/>
      </c>
      <c r="CF36" s="132">
        <f>IF(OR(CF$4="",$B36=""),0,SUMIF('DADOS BRUTOS'!$A$3:$A$500,$B36,'DADOS BRUTOS'!F$3:F$500)+IF($C36="",0,SUMIF('DADOS BRUTOS'!$A$3:$A$500,$C36,'DADOS BRUTOS'!F$3:F$500)))</f>
        <v/>
      </c>
      <c r="CG36" s="132">
        <f>IF(OR(CG$4="",$B36=""),0,SUMIF('DADOS BRUTOS'!$A$3:$A$500,$B36,'DADOS BRUTOS'!G$3:G$500)+IF($C36="",0,SUMIF('DADOS BRUTOS'!$A$3:$A$500,$C36,'DADOS BRUTOS'!G$3:G$500)))</f>
        <v/>
      </c>
      <c r="CH36" s="132">
        <f>IF(OR(CH$4="",$B36=""),0,SUMIF('DADOS BRUTOS'!$A$3:$A$500,$B36,'DADOS BRUTOS'!H$3:H$500)+IF($C36="",0,SUMIF('DADOS BRUTOS'!$A$3:$A$500,$C36,'DADOS BRUTOS'!H$3:H$500)))</f>
        <v/>
      </c>
      <c r="CI36" s="132">
        <f>IF(OR(CI$4="",$B36=""),0,SUMIF('DADOS BRUTOS'!$A$3:$A$500,$B36,'DADOS BRUTOS'!I$3:I$500)+IF($C36="",0,SUMIF('DADOS BRUTOS'!$A$3:$A$500,$C36,'DADOS BRUTOS'!I$3:I$500)))</f>
        <v/>
      </c>
      <c r="CJ36" s="132">
        <f>IF(OR(CJ$4="",$B36=""),0,SUMIF('DADOS BRUTOS'!$A$3:$A$500,$B36,'DADOS BRUTOS'!J$3:J$500)+IF($C36="",0,SUMIF('DADOS BRUTOS'!$A$3:$A$500,$C36,'DADOS BRUTOS'!J$3:J$500)))</f>
        <v/>
      </c>
      <c r="CK36" s="132">
        <f>IF(OR(CK$4="",$B36=""),0,SUMIF('DADOS BRUTOS'!$A$3:$A$500,$B36,'DADOS BRUTOS'!K$3:K$500)+IF($C36="",0,SUMIF('DADOS BRUTOS'!$A$3:$A$500,$C36,'DADOS BRUTOS'!K$3:K$500)))</f>
        <v/>
      </c>
      <c r="CL36" s="132">
        <f>IF(OR(CL$4="",$B36=""),0,SUMIF('DADOS BRUTOS'!$A$3:$A$500,$B36,'DADOS BRUTOS'!L$3:L$500)+IF($C36="",0,SUMIF('DADOS BRUTOS'!$A$3:$A$500,$C36,'DADOS BRUTOS'!L$3:L$500)))</f>
        <v/>
      </c>
      <c r="CM36" s="132">
        <f>IF(OR(CM$4="",$B36=""),0,SUMIF('DADOS BRUTOS'!$A$3:$A$500,$B36,'DADOS BRUTOS'!M$3:M$500)+IF($C36="",0,SUMIF('DADOS BRUTOS'!$A$3:$A$500,$C36,'DADOS BRUTOS'!M$3:M$500)))</f>
        <v/>
      </c>
      <c r="CN36" s="132">
        <f>IF(OR(CN$4="",$B36=""),0,SUMIF('DADOS BRUTOS'!$A$3:$A$500,$B36,'DADOS BRUTOS'!N$3:N$500)+IF($C36="",0,SUMIF('DADOS BRUTOS'!$A$3:$A$500,$C36,'DADOS BRUTOS'!N$3:N$500)))</f>
        <v/>
      </c>
      <c r="CO36" s="132">
        <f>IF(OR(CO$4="",$B36=""),0,SUMIF('DADOS BRUTOS'!$A$3:$A$500,$B36,'DADOS BRUTOS'!O$3:O$500)+IF($C36="",0,SUMIF('DADOS BRUTOS'!$A$3:$A$500,$C36,'DADOS BRUTOS'!O$3:O$500)))</f>
        <v/>
      </c>
      <c r="CP36" s="132">
        <f>IF(OR(CP$4="",$B36=""),0,SUMIF('DADOS BRUTOS'!$A$3:$A$500,$B36,'DADOS BRUTOS'!P$3:P$500)+IF($C36="",0,SUMIF('DADOS BRUTOS'!$A$3:$A$500,$C36,'DADOS BRUTOS'!P$3:P$500)))</f>
        <v/>
      </c>
      <c r="CQ36" s="132">
        <f>IF(OR(CQ$4="",$B36=""),0,SUMIF('DADOS BRUTOS'!$A$3:$A$500,$B36,'DADOS BRUTOS'!Q$3:Q$500)+IF($C36="",0,SUMIF('DADOS BRUTOS'!$A$3:$A$500,$C36,'DADOS BRUTOS'!Q$3:Q$500)))</f>
        <v/>
      </c>
      <c r="CR36" s="132">
        <f>IF(OR(CR$4="",$B36=""),0,SUMIF('DADOS BRUTOS'!$A$3:$A$500,$B36,'DADOS BRUTOS'!R$3:R$500)+IF($C36="",0,SUMIF('DADOS BRUTOS'!$A$3:$A$500,$C36,'DADOS BRUTOS'!R$3:R$500)))</f>
        <v/>
      </c>
      <c r="CS36" s="132">
        <f>IF(OR(CS$4="",$B36=""),0,SUMIF('DADOS BRUTOS'!$A$3:$A$500,$B36,'DADOS BRUTOS'!S$3:S$500)+IF($C36="",0,SUMIF('DADOS BRUTOS'!$A$3:$A$500,$C36,'DADOS BRUTOS'!S$3:S$500)))</f>
        <v/>
      </c>
      <c r="CT36" s="132">
        <f>IF(OR(CT$4="",$B36=""),0,SUMIF('DADOS BRUTOS'!$A$3:$A$500,$B36,'DADOS BRUTOS'!T$3:T$500)+IF($C36="",0,SUMIF('DADOS BRUTOS'!$A$3:$A$500,$C36,'DADOS BRUTOS'!T$3:T$500)))</f>
        <v/>
      </c>
      <c r="CU36" s="132">
        <f>IF(OR(CU$4="",$B36=""),0,SUMIF('DADOS BRUTOS'!$A$3:$A$500,$B36,'DADOS BRUTOS'!U$3:U$500)+IF($C36="",0,SUMIF('DADOS BRUTOS'!$A$3:$A$500,$C36,'DADOS BRUTOS'!U$3:U$500)))</f>
        <v/>
      </c>
      <c r="CV36" s="132">
        <f>IF(OR(CV$4="",$B36=""),0,SUMIF('DADOS BRUTOS'!$A$3:$A$500,$B36,'DADOS BRUTOS'!V$3:V$500)+IF($C36="",0,SUMIF('DADOS BRUTOS'!$A$3:$A$500,$C36,'DADOS BRUTOS'!V$3:V$500)))</f>
        <v/>
      </c>
      <c r="CW36" s="132">
        <f>IF(OR(CW$4="",$B36=""),0,SUMIF('DADOS BRUTOS'!$A$3:$A$500,$B36,'DADOS BRUTOS'!W$3:W$500)+IF($C36="",0,SUMIF('DADOS BRUTOS'!$A$3:$A$500,$C36,'DADOS BRUTOS'!W$3:W$500)))</f>
        <v/>
      </c>
      <c r="CX36" s="132">
        <f>IF(OR(CX$4="",$B36=""),0,SUMIF('DADOS BRUTOS'!$A$3:$A$500,$B36,'DADOS BRUTOS'!X$3:X$500)+IF($C36="",0,SUMIF('DADOS BRUTOS'!$A$3:$A$500,$C36,'DADOS BRUTOS'!X$3:X$500)))</f>
        <v/>
      </c>
      <c r="CY36" s="132">
        <f>IF(OR(CY$4="",$B36=""),0,SUMIF('DADOS BRUTOS'!$A$3:$A$500,$B36,'DADOS BRUTOS'!Y$3:Y$500)+IF($C36="",0,SUMIF('DADOS BRUTOS'!$A$3:$A$500,$C36,'DADOS BRUTOS'!Y$3:Y$500)))</f>
        <v/>
      </c>
      <c r="CZ36" s="132">
        <f>IF(OR(CZ$4="",$B36=""),0,SUMIF('DADOS BRUTOS'!$A$3:$A$500,$B36,'DADOS BRUTOS'!Z$3:Z$500)+IF($C36="",0,SUMIF('DADOS BRUTOS'!$A$3:$A$500,$C36,'DADOS BRUTOS'!Z$3:Z$500)))</f>
        <v/>
      </c>
      <c r="DA36" s="132">
        <f>IF(OR(DA$4="",$B36=""),0,SUMIF('DADOS BRUTOS'!$A$3:$A$500,$B36,'DADOS BRUTOS'!AA$3:AA$500)+IF($C36="",0,SUMIF('DADOS BRUTOS'!$A$3:$A$500,$C36,'DADOS BRUTOS'!AA$3:AA$500)))</f>
        <v/>
      </c>
      <c r="DB36" s="132">
        <f>IF(OR(DB$4="",$B36=""),0,SUMIF('DADOS BRUTOS'!$A$3:$A$500,$B36,'DADOS BRUTOS'!AB$3:AB$500)+IF($C36="",0,SUMIF('DADOS BRUTOS'!$A$3:$A$500,$C36,'DADOS BRUTOS'!AB$3:AB$500)))</f>
        <v/>
      </c>
      <c r="DC36" s="132">
        <f>IF(OR(DC$4="",$B36=""),0,SUMIF('DADOS BRUTOS'!$A$3:$A$500,$B36,'DADOS BRUTOS'!AC$3:AC$500)+IF($C36="",0,SUMIF('DADOS BRUTOS'!$A$3:$A$500,$C36,'DADOS BRUTOS'!AC$3:AC$500)))</f>
        <v/>
      </c>
      <c r="DD36" s="132">
        <f>IF(OR(DD$4="",$B36=""),0,SUMIF('DADOS BRUTOS'!$A$3:$A$500,$B36,'DADOS BRUTOS'!AD$3:AD$500)+IF($C36="",0,SUMIF('DADOS BRUTOS'!$A$3:$A$500,$C36,'DADOS BRUTOS'!AD$3:AD$500)))</f>
        <v/>
      </c>
      <c r="DE36" s="132">
        <f>IF(OR(DE$4="",$B36=""),0,SUMIF('DADOS BRUTOS'!$A$3:$A$500,$B36,'DADOS BRUTOS'!AE$3:AE$500)+IF($C36="",0,SUMIF('DADOS BRUTOS'!$A$3:$A$500,$C36,'DADOS BRUTOS'!AE$3:AE$500)))</f>
        <v/>
      </c>
      <c r="DF36" s="132">
        <f>IF(OR(DF$4="",$B36=""),0,SUMIF('DADOS BRUTOS'!$A$3:$A$500,$B36,'DADOS BRUTOS'!AF$3:AF$500)+IF($C36="",0,SUMIF('DADOS BRUTOS'!$A$3:$A$500,$C36,'DADOS BRUTOS'!AF$3:AF$500)))</f>
        <v/>
      </c>
      <c r="DG36" s="132">
        <f>IF(OR(DG$4="",$B36=""),0,SUMIF('DADOS BRUTOS'!$A$3:$A$500,$B36,'DADOS BRUTOS'!AG$3:AG$500)+IF($C36="",0,SUMIF('DADOS BRUTOS'!$A$3:$A$500,$C36,'DADOS BRUTOS'!AG$3:AG$500)))</f>
        <v/>
      </c>
      <c r="DH36" s="132">
        <f>IF(OR(DH$4="",$B36=""),0,SUMIF('DADOS BRUTOS'!$A$3:$A$500,$B36,'DADOS BRUTOS'!AH$3:AH$500)+IF($C36="",0,SUMIF('DADOS BRUTOS'!$A$3:$A$500,$C36,'DADOS BRUTOS'!AH$3:AH$500)))</f>
        <v/>
      </c>
      <c r="DI36" s="132">
        <f>IF(OR(DI$4="",$B36=""),0,SUMIF('DADOS BRUTOS'!$A$3:$A$500,$B36,'DADOS BRUTOS'!AI$3:AI$500)+IF($C36="",0,SUMIF('DADOS BRUTOS'!$A$3:$A$500,$C36,'DADOS BRUTOS'!AI$3:AI$500)))</f>
        <v/>
      </c>
      <c r="DJ36" s="132">
        <f>IF(OR(DJ$4="",$B36=""),0,SUMIF('DADOS BRUTOS'!$A$3:$A$500,$B36,'DADOS BRUTOS'!AJ$3:AJ$500)+IF($C36="",0,SUMIF('DADOS BRUTOS'!$A$3:$A$500,$C36,'DADOS BRUTOS'!AJ$3:AJ$500)))</f>
        <v/>
      </c>
      <c r="DK36" s="132">
        <f>IF(OR(DK$4="",$B36=""),0,SUMIF('DADOS BRUTOS'!$A$3:$A$500,$B36,'DADOS BRUTOS'!AK$3:AK$500)+IF($C36="",0,SUMIF('DADOS BRUTOS'!$A$3:$A$500,$C36,'DADOS BRUTOS'!AK$3:AK$500)))</f>
        <v/>
      </c>
      <c r="DL36" s="132">
        <f>IF(OR(DL$4="",$B36=""),0,SUMIF('DADOS BRUTOS'!$A$3:$A$500,$B36,'DADOS BRUTOS'!AL$3:AL$500)+IF($C36="",0,SUMIF('DADOS BRUTOS'!$A$3:$A$500,$C36,'DADOS BRUTOS'!AL$3:AL$500)))</f>
        <v/>
      </c>
      <c r="DM36" s="132">
        <f>IF(OR(DM$4="",$B36=""),0,SUMIF('DADOS BRUTOS'!$A$3:$A$500,$B36,'DADOS BRUTOS'!AM$3:AM$500)+IF($C36="",0,SUMIF('DADOS BRUTOS'!$A$3:$A$500,$C36,'DADOS BRUTOS'!AM$3:AM$500)))</f>
        <v/>
      </c>
      <c r="DN36" s="132">
        <f>IF(OR(DN$4="",$B36=""),0,SUMIF('DADOS BRUTOS'!$A$3:$A$500,$B36,'DADOS BRUTOS'!AN$3:AN$500)+IF($C36="",0,SUMIF('DADOS BRUTOS'!$A$3:$A$500,$C36,'DADOS BRUTOS'!AN$3:AN$500)))</f>
        <v/>
      </c>
      <c r="DO36" s="132">
        <f>IF(OR(DO$4="",$B36=""),0,SUMIF('DADOS BRUTOS'!$A$3:$A$500,$B36,'DADOS BRUTOS'!AO$3:AO$500)+IF($C36="",0,SUMIF('DADOS BRUTOS'!$A$3:$A$500,$C36,'DADOS BRUTOS'!AO$3:AO$500)))</f>
        <v/>
      </c>
      <c r="DP36" s="132">
        <f>IF(OR(DP$4="",$B36=""),0,SUMIF('DADOS BRUTOS'!$A$3:$A$500,$B36,'DADOS BRUTOS'!AP$3:AP$500)+IF($C36="",0,SUMIF('DADOS BRUTOS'!$A$3:$A$500,$C36,'DADOS BRUTOS'!AP$3:AP$500)))</f>
        <v/>
      </c>
      <c r="DQ36" s="132">
        <f>IF(OR(DQ$4="",$B36=""),0,SUMIF('DADOS BRUTOS'!$A$3:$A$500,$B36,'DADOS BRUTOS'!AQ$3:AQ$500)+IF($C36="",0,SUMIF('DADOS BRUTOS'!$A$3:$A$500,$C36,'DADOS BRUTOS'!AQ$3:AQ$500)))</f>
        <v/>
      </c>
      <c r="DR36" s="132">
        <f>IF(OR(DR$4="",$B36=""),0,SUMIF('DADOS BRUTOS'!$A$3:$A$500,$B36,'DADOS BRUTOS'!AR$3:AR$500)+IF($C36="",0,SUMIF('DADOS BRUTOS'!$A$3:$A$500,$C36,'DADOS BRUTOS'!AR$3:AR$500)))</f>
        <v/>
      </c>
      <c r="DS36" s="132">
        <f>IF(OR(DS$4="",$B36=""),0,SUMIF('DADOS BRUTOS'!$A$3:$A$500,$B36,'DADOS BRUTOS'!AS$3:AS$500)+IF($C36="",0,SUMIF('DADOS BRUTOS'!$A$3:$A$500,$C36,'DADOS BRUTOS'!AS$3:AS$500)))</f>
        <v/>
      </c>
      <c r="DT36" s="132">
        <f>IF(OR(DT$4="",$B36=""),0,SUMIF('DADOS BRUTOS'!$A$3:$A$500,$B36,'DADOS BRUTOS'!AT$3:AT$500)+IF($C36="",0,SUMIF('DADOS BRUTOS'!$A$3:$A$500,$C36,'DADOS BRUTOS'!AT$3:AT$500)))</f>
        <v/>
      </c>
      <c r="DU36" s="132">
        <f>IF(OR(DU$4="",$B36=""),0,SUMIF('DADOS BRUTOS'!$A$3:$A$500,$B36,'DADOS BRUTOS'!AU$3:AU$500)+IF($C36="",0,SUMIF('DADOS BRUTOS'!$A$3:$A$500,$C36,'DADOS BRUTOS'!AU$3:AU$500)))</f>
        <v/>
      </c>
      <c r="DV36" s="132">
        <f>IF(OR(DV$4="",$B36=""),0,SUMIF('DADOS BRUTOS'!$A$3:$A$500,$B36,'DADOS BRUTOS'!AV$3:AV$500)+IF($C36="",0,SUMIF('DADOS BRUTOS'!$A$3:$A$500,$C36,'DADOS BRUTOS'!AV$3:AV$500)))</f>
        <v/>
      </c>
      <c r="DW36" s="132">
        <f>IF(OR(DW$4="",$B36=""),0,SUMIF('DADOS BRUTOS'!$A$3:$A$500,$B36,'DADOS BRUTOS'!AW$3:AW$500)+IF($C36="",0,SUMIF('DADOS BRUTOS'!$A$3:$A$500,$C36,'DADOS BRUTOS'!AW$3:AW$500)))</f>
        <v/>
      </c>
      <c r="DX36" s="132">
        <f>IF(OR(DX$4="",$B36=""),0,SUMIF('DADOS BRUTOS'!$A$3:$A$500,$B36,'DADOS BRUTOS'!AX$3:AX$500)+IF($C36="",0,SUMIF('DADOS BRUTOS'!$A$3:$A$500,$C36,'DADOS BRUTOS'!AX$3:AX$500)))</f>
        <v/>
      </c>
      <c r="DY36" s="132">
        <f>IF(OR(DY$4="",$B36=""),0,SUMIF('DADOS BRUTOS'!$A$3:$A$500,$B36,'DADOS BRUTOS'!AY$3:AY$500)+IF($C36="",0,SUMIF('DADOS BRUTOS'!$A$3:$A$500,$C36,'DADOS BRUTOS'!AY$3:AY$500)))</f>
        <v/>
      </c>
      <c r="DZ36" s="132">
        <f>IF(OR(DZ$4="",$B36=""),0,SUMIF('DADOS BRUTOS'!$A$3:$A$500,$B36,'DADOS BRUTOS'!AZ$3:AZ$500)+IF($C36="",0,SUMIF('DADOS BRUTOS'!$A$3:$A$500,$C36,'DADOS BRUTOS'!AZ$3:AZ$500)))</f>
        <v/>
      </c>
      <c r="EA36" s="132">
        <f>IF(OR(EA$4="",$B36=""),0,SUMIF('DADOS BRUTOS'!$A$3:$A$500,$B36,'DADOS BRUTOS'!BA$3:BA$500)+IF($C36="",0,SUMIF('DADOS BRUTOS'!$A$3:$A$500,$C36,'DADOS BRUTOS'!BA$3:BA$500)))</f>
        <v/>
      </c>
      <c r="EB36" s="132">
        <f>IF(OR(EB$4="",$B36=""),0,SUMIF('DADOS BRUTOS'!$A$3:$A$500,$B36,'DADOS BRUTOS'!BB$3:BB$500)+IF($C36="",0,SUMIF('DADOS BRUTOS'!$A$3:$A$500,$C36,'DADOS BRUTOS'!BB$3:BB$500)))</f>
        <v/>
      </c>
      <c r="EC36" s="132">
        <f>IF(OR(EC$4="",$B36=""),0,SUMIF('DADOS BRUTOS'!$A$3:$A$500,$B36,'DADOS BRUTOS'!BC$3:BC$500)+IF($C36="",0,SUMIF('DADOS BRUTOS'!$A$3:$A$500,$C36,'DADOS BRUTOS'!BC$3:BC$500)))</f>
        <v/>
      </c>
      <c r="ED36" s="132">
        <f>IF(OR(ED$4="",$B36=""),0,SUMIF('DADOS BRUTOS'!$A$3:$A$500,$B36,'DADOS BRUTOS'!BD$3:BD$500)+IF($C36="",0,SUMIF('DADOS BRUTOS'!$A$3:$A$500,$C36,'DADOS BRUTOS'!BD$3:BD$500)))</f>
        <v/>
      </c>
      <c r="EE36" s="132">
        <f>IF(OR(EE$4="",$B36=""),0,SUMIF('DADOS BRUTOS'!$A$3:$A$500,$B36,'DADOS BRUTOS'!BE$3:BE$500)+IF($C36="",0,SUMIF('DADOS BRUTOS'!$A$3:$A$500,$C36,'DADOS BRUTOS'!BE$3:BE$500)))</f>
        <v/>
      </c>
      <c r="EF36" s="132">
        <f>IF(OR(EF$4="",$B36=""),0,SUMIF('DADOS BRUTOS'!$A$3:$A$500,$B36,'DADOS BRUTOS'!BF$3:BF$500)+IF($C36="",0,SUMIF('DADOS BRUTOS'!$A$3:$A$500,$C36,'DADOS BRUTOS'!BF$3:BF$500)))</f>
        <v/>
      </c>
      <c r="EG36" s="132">
        <f>IF(OR(EG$4="",$B36=""),0,SUMIF('DADOS BRUTOS'!$A$3:$A$500,$B36,'DADOS BRUTOS'!BG$3:BG$500)+IF($C36="",0,SUMIF('DADOS BRUTOS'!$A$3:$A$500,$C36,'DADOS BRUTOS'!BG$3:BG$500)))</f>
        <v/>
      </c>
      <c r="EH36" s="132">
        <f>IF(OR(EH$4="",$B36=""),0,SUMIF('DADOS BRUTOS'!$A$3:$A$500,$B36,'DADOS BRUTOS'!BH$3:BH$500)+IF($C36="",0,SUMIF('DADOS BRUTOS'!$A$3:$A$500,$C36,'DADOS BRUTOS'!BH$3:BH$500)))</f>
        <v/>
      </c>
      <c r="EI36" s="132">
        <f>IF(OR(EI$4="",$B36=""),0,SUMIF('DADOS BRUTOS'!$A$3:$A$500,$B36,'DADOS BRUTOS'!BI$3:BI$500)+IF($C36="",0,SUMIF('DADOS BRUTOS'!$A$3:$A$500,$C36,'DADOS BRUTOS'!BI$3:BI$500)))</f>
        <v/>
      </c>
      <c r="EJ36" s="132">
        <f>IF(OR(EJ$4="",$B36=""),0,SUMIF('DADOS BRUTOS'!$A$3:$A$500,$B36,'DADOS BRUTOS'!BJ$3:BJ$500)+IF($C36="",0,SUMIF('DADOS BRUTOS'!$A$3:$A$500,$C36,'DADOS BRUTOS'!BJ$3:BJ$500)))</f>
        <v/>
      </c>
      <c r="EK36" s="132">
        <f>IF(OR(EK$4="",$B36=""),0,SUMIF('DADOS BRUTOS'!$A$3:$A$500,$B36,'DADOS BRUTOS'!BK$3:BK$500)+IF($C36="",0,SUMIF('DADOS BRUTOS'!$A$3:$A$500,$C36,'DADOS BRUTOS'!BK$3:BK$500)))</f>
        <v/>
      </c>
      <c r="EL36" s="132">
        <f>IF(OR(EL$4="",$B36=""),0,SUMIF('DADOS BRUTOS'!$A$3:$A$500,$B36,'DADOS BRUTOS'!BL$3:BL$500)+IF($C36="",0,SUMIF('DADOS BRUTOS'!$A$3:$A$500,$C36,'DADOS BRUTOS'!BL$3:BL$500)))</f>
        <v/>
      </c>
      <c r="EM36" s="132">
        <f>IF(OR(EM$4="",$B36=""),0,SUMIF('DADOS BRUTOS'!$A$3:$A$500,$B36,'DADOS BRUTOS'!BM$3:BM$500)+IF($C36="",0,SUMIF('DADOS BRUTOS'!$A$3:$A$500,$C36,'DADOS BRUTOS'!BM$3:BM$500)))</f>
        <v/>
      </c>
      <c r="EN36" s="132">
        <f>IF(OR(EN$4="",$B36=""),0,SUMIF('DADOS BRUTOS'!$A$3:$A$500,$B36,'DADOS BRUTOS'!BN$3:BN$500)+IF($C36="",0,SUMIF('DADOS BRUTOS'!$A$3:$A$500,$C36,'DADOS BRUTOS'!BN$3:BN$500)))</f>
        <v/>
      </c>
      <c r="EO36" s="132">
        <f>IF(OR(EO$4="",$B36=""),0,SUMIF('DADOS BRUTOS'!$A$3:$A$500,$B36,'DADOS BRUTOS'!BO$3:BO$500)+IF($C36="",0,SUMIF('DADOS BRUTOS'!$A$3:$A$500,$C36,'DADOS BRUTOS'!BO$3:BO$500)))</f>
        <v/>
      </c>
      <c r="EP36" s="132">
        <f>IF(OR(EP$4="",$B36=""),0,SUMIF('DADOS BRUTOS'!$A$3:$A$500,$B36,'DADOS BRUTOS'!BP$3:BP$500)+IF($C36="",0,SUMIF('DADOS BRUTOS'!$A$3:$A$500,$C36,'DADOS BRUTOS'!BP$3:BP$500)))</f>
        <v/>
      </c>
      <c r="EQ36" s="132">
        <f>IF(OR(EQ$4="",$B36=""),0,SUMIF('DADOS BRUTOS'!$A$3:$A$500,$B36,'DADOS BRUTOS'!BQ$3:BQ$500)+IF($C36="",0,SUMIF('DADOS BRUTOS'!$A$3:$A$500,$C36,'DADOS BRUTOS'!BQ$3:BQ$500)))</f>
        <v/>
      </c>
      <c r="ER36" s="132">
        <f>IF(OR(ER$4="",$B36=""),0,SUMIF('DADOS BRUTOS'!$A$3:$A$500,$B36,'DADOS BRUTOS'!BR$3:BR$500)+IF($C36="",0,SUMIF('DADOS BRUTOS'!$A$3:$A$500,$C36,'DADOS BRUTOS'!BR$3:BR$500)))</f>
        <v/>
      </c>
      <c r="ES36" s="132">
        <f>IF(OR(ES$4="",$B36=""),0,SUMIF('DADOS BRUTOS'!$A$3:$A$500,$B36,'DADOS BRUTOS'!BS$3:BS$500)+IF($C36="",0,SUMIF('DADOS BRUTOS'!$A$3:$A$500,$C36,'DADOS BRUTOS'!BS$3:BS$500)))</f>
        <v/>
      </c>
      <c r="ET36" s="132">
        <f>IF(OR(ET$4="",$B36=""),0,SUMIF('DADOS BRUTOS'!$A$3:$A$500,$B36,'DADOS BRUTOS'!BT$3:BT$500)+IF($C36="",0,SUMIF('DADOS BRUTOS'!$A$3:$A$500,$C36,'DADOS BRUTOS'!BT$3:BT$500)))</f>
        <v/>
      </c>
      <c r="EU36" s="132">
        <f>IF(OR(EU$4="",$B36=""),0,SUMIF('DADOS BRUTOS'!$A$3:$A$500,$B36,'DADOS BRUTOS'!BU$3:BU$500)+IF($C36="",0,SUMIF('DADOS BRUTOS'!$A$3:$A$500,$C36,'DADOS BRUTOS'!BU$3:BU$500)))</f>
        <v/>
      </c>
      <c r="EV36" s="132">
        <f>IF(OR(EV$4="",$B36=""),0,SUMIF('DADOS BRUTOS'!$A$3:$A$500,$B36,'DADOS BRUTOS'!BV$3:BV$500)+IF($C36="",0,SUMIF('DADOS BRUTOS'!$A$3:$A$500,$C36,'DADOS BRUTOS'!BV$3:BV$500)))</f>
        <v/>
      </c>
      <c r="EW36" s="132">
        <f>IF(OR(EW$4="",$B36=""),0,SUMIF('DADOS BRUTOS'!$A$3:$A$500,$B36,'DADOS BRUTOS'!BW$3:BW$500)+IF($C36="",0,SUMIF('DADOS BRUTOS'!$A$3:$A$500,$C36,'DADOS BRUTOS'!BW$3:BW$500)))</f>
        <v/>
      </c>
      <c r="EX36" s="132">
        <f>IF(OR(EX$4="",$B36=""),0,SUMIF('DADOS BRUTOS'!$A$3:$A$500,$B36,'DADOS BRUTOS'!BX$3:BX$500)+IF($C36="",0,SUMIF('DADOS BRUTOS'!$A$3:$A$500,$C36,'DADOS BRUTOS'!BX$3:BX$500)))</f>
        <v/>
      </c>
      <c r="EY36" s="132">
        <f>IF(OR(EY$4="",$B36=""),0,SUMIF('DADOS BRUTOS'!$A$3:$A$500,$B36,'DADOS BRUTOS'!BY$3:BY$500)+IF($C36="",0,SUMIF('DADOS BRUTOS'!$A$3:$A$500,$C36,'DADOS BRUTOS'!BY$3:BY$500)))</f>
        <v/>
      </c>
      <c r="EZ36" s="132">
        <f>IF(OR(EZ$4="",$B36=""),0,SUMIF('DADOS BRUTOS'!$A$3:$A$500,$B36,'DADOS BRUTOS'!BZ$3:BZ$500)+IF($C36="",0,SUMIF('DADOS BRUTOS'!$A$3:$A$500,$C36,'DADOS BRUTOS'!BZ$3:BZ$500)))</f>
        <v/>
      </c>
      <c r="FA36" s="132">
        <f>IF(OR(FA$4="",$B36=""),0,SUMIF('DADOS BRUTOS'!$A$3:$A$500,$B36,'DADOS BRUTOS'!CA$3:CA$500)+IF($C36="",0,SUMIF('DADOS BRUTOS'!$A$3:$A$500,$C36,'DADOS BRUTOS'!CA$3:CA$500)))</f>
        <v/>
      </c>
      <c r="FB36" s="132">
        <f>IF(OR(FB$4="",$B36=""),0,SUMIF('DADOS BRUTOS'!$A$3:$A$500,$B36,'DADOS BRUTOS'!CB$3:CB$500)+IF($C36="",0,SUMIF('DADOS BRUTOS'!$A$3:$A$500,$C36,'DADOS BRUTOS'!CB$3:CB$500)))</f>
        <v/>
      </c>
      <c r="FC36" s="132">
        <f>IF(OR(FC$4="",$B36=""),0,SUMIF('DADOS BRUTOS'!$A$3:$A$500,$B36,'DADOS BRUTOS'!CC$3:CC$500)+IF($C36="",0,SUMIF('DADOS BRUTOS'!$A$3:$A$500,$C36,'DADOS BRUTOS'!CC$3:CC$500)))</f>
        <v/>
      </c>
      <c r="FD36" s="132">
        <f>IF(OR(FD$4="",$B36=""),0,SUMIF('DADOS BRUTOS'!$A$3:$A$500,$B36,'DADOS BRUTOS'!CD$3:CD$500)+IF($C36="",0,SUMIF('DADOS BRUTOS'!$A$3:$A$500,$C36,'DADOS BRUTOS'!CD$3:CD$500)))</f>
        <v/>
      </c>
      <c r="FE36" s="132">
        <f>IF(OR(FE$4="",$B36=""),0,SUMIF('DADOS BRUTOS'!$A$3:$A$500,$B36,'DADOS BRUTOS'!CE$3:CE$500)+IF($C36="",0,SUMIF('DADOS BRUTOS'!$A$3:$A$500,$C36,'DADOS BRUTOS'!CE$3:CE$500)))</f>
        <v/>
      </c>
      <c r="FF36" s="132">
        <f>IF(OR(FF$4="",$B36=""),0,SUMIF('DADOS BRUTOS'!$A$3:$A$500,$B36,'DADOS BRUTOS'!CF$3:CF$500)+IF($C36="",0,SUMIF('DADOS BRUTOS'!$A$3:$A$500,$C36,'DADOS BRUTOS'!CF$3:CF$500)))</f>
        <v/>
      </c>
      <c r="FG36" s="132">
        <f>IF(OR(FG$4="",$B36=""),0,SUMIF('DADOS BRUTOS'!$A$3:$A$500,$B36,'DADOS BRUTOS'!CG$3:CG$500)+IF($C36="",0,SUMIF('DADOS BRUTOS'!$A$3:$A$500,$C36,'DADOS BRUTOS'!CG$3:CG$500)))</f>
        <v/>
      </c>
      <c r="FH36" s="132">
        <f>IF(OR(FH$4="",$B36=""),0,SUMIF('DADOS BRUTOS'!$A$3:$A$500,$B36,'DADOS BRUTOS'!CH$3:CH$500)+IF($C36="",0,SUMIF('DADOS BRUTOS'!$A$3:$A$500,$C36,'DADOS BRUTOS'!CH$3:CH$500)))</f>
        <v/>
      </c>
      <c r="FI36" s="132">
        <f>IF(OR(FI$4="",$B36=""),0,SUMIF('DADOS BRUTOS'!$A$3:$A$500,$B36,'DADOS BRUTOS'!CI$3:CI$500)+IF($C36="",0,SUMIF('DADOS BRUTOS'!$A$3:$A$500,$C36,'DADOS BRUTOS'!CI$3:CI$500)))</f>
        <v/>
      </c>
      <c r="FJ36" s="132">
        <f>IF(OR(FJ$4="",$B36=""),0,SUMIF('DADOS BRUTOS'!$A$3:$A$500,$B36,'DADOS BRUTOS'!CJ$3:CJ$500)+IF($C36="",0,SUMIF('DADOS BRUTOS'!$A$3:$A$500,$C36,'DADOS BRUTOS'!CJ$3:CJ$500)))</f>
        <v/>
      </c>
      <c r="FK36" s="132">
        <f>IF(OR(FK$4="",$B36=""),0,SUMIF('DADOS BRUTOS'!$A$3:$A$500,$B36,'DADOS BRUTOS'!CK$3:CK$500)+IF($C36="",0,SUMIF('DADOS BRUTOS'!$A$3:$A$500,$C36,'DADOS BRUTOS'!CK$3:CK$500)))</f>
        <v/>
      </c>
      <c r="FL36" s="132">
        <f>IF(OR(FL$4="",$B36=""),0,SUMIF('DADOS BRUTOS'!$A$3:$A$500,$B36,'DADOS BRUTOS'!CL$3:CL$500)+IF($C36="",0,SUMIF('DADOS BRUTOS'!$A$3:$A$500,$C36,'DADOS BRUTOS'!CL$3:CL$500)))</f>
        <v/>
      </c>
      <c r="FM36" s="132">
        <f>IF(OR(FM$4="",$B36=""),0,SUMIF('DADOS BRUTOS'!$A$3:$A$500,$B36,'DADOS BRUTOS'!CM$3:CM$500)+IF($C36="",0,SUMIF('DADOS BRUTOS'!$A$3:$A$500,$C36,'DADOS BRUTOS'!CM$3:CM$500)))</f>
        <v/>
      </c>
      <c r="FN36" s="132">
        <f>IF(OR(FN$4="",$B36=""),0,SUMIF('DADOS BRUTOS'!$A$3:$A$500,$B36,'DADOS BRUTOS'!CN$3:CN$500)+IF($C36="",0,SUMIF('DADOS BRUTOS'!$A$3:$A$500,$C36,'DADOS BRUTOS'!CN$3:CN$500)))</f>
        <v/>
      </c>
      <c r="FO36" s="132">
        <f>IF(OR(FO$4="",$B36=""),0,SUMIF('DADOS BRUTOS'!$A$3:$A$500,$B36,'DADOS BRUTOS'!CO$3:CO$500)+IF($C36="",0,SUMIF('DADOS BRUTOS'!$A$3:$A$500,$C36,'DADOS BRUTOS'!CO$3:CO$500)))</f>
        <v/>
      </c>
      <c r="FP36" s="132">
        <f>IF(OR(FP$4="",$B36=""),0,SUMIF('DADOS BRUTOS'!$A$3:$A$500,$B36,'DADOS BRUTOS'!CP$3:CP$500)+IF($C36="",0,SUMIF('DADOS BRUTOS'!$A$3:$A$500,$C36,'DADOS BRUTOS'!CP$3:CP$500)))</f>
        <v/>
      </c>
      <c r="FQ36" s="132">
        <f>IF(OR(FQ$4="",$B36=""),0,SUMIF('DADOS BRUTOS'!$A$3:$A$500,$B36,'DADOS BRUTOS'!CQ$3:CQ$500)+IF($C36="",0,SUMIF('DADOS BRUTOS'!$A$3:$A$500,$C36,'DADOS BRUTOS'!CQ$3:CQ$500)))</f>
        <v/>
      </c>
      <c r="FR36" s="132">
        <f>IF(OR(FR$4="",$B36=""),0,SUMIF('DADOS BRUTOS'!$A$3:$A$500,$B36,'DADOS BRUTOS'!CR$3:CR$500)+IF($C36="",0,SUMIF('DADOS BRUTOS'!$A$3:$A$500,$C36,'DADOS BRUTOS'!CR$3:CR$500)))</f>
        <v/>
      </c>
      <c r="FS36" s="132">
        <f>IF(OR(FS$4="",$B36=""),0,SUMIF('DADOS BRUTOS'!$A$3:$A$500,$B36,'DADOS BRUTOS'!CS$3:CS$500)+IF($C36="",0,SUMIF('DADOS BRUTOS'!$A$3:$A$500,$C36,'DADOS BRUTOS'!CS$3:CS$500)))</f>
        <v/>
      </c>
      <c r="FT36" s="132">
        <f>IF(OR(FT$4="",$B36=""),0,SUMIF('DADOS BRUTOS'!$A$3:$A$500,$B36,'DADOS BRUTOS'!CT$3:CT$500)+IF($C36="",0,SUMIF('DADOS BRUTOS'!$A$3:$A$500,$C36,'DADOS BRUTOS'!CT$3:CT$500)))</f>
        <v/>
      </c>
      <c r="FU36" s="132">
        <f>IF(OR(FU$4="",$B36=""),0,SUMIF('DADOS BRUTOS'!$A$3:$A$500,$B36,'DADOS BRUTOS'!CU$3:CU$500)+IF($C36="",0,SUMIF('DADOS BRUTOS'!$A$3:$A$500,$C36,'DADOS BRUTOS'!CU$3:CU$500)))</f>
        <v/>
      </c>
      <c r="FV36" s="132">
        <f>IF(OR(FV$4="",$B36=""),0,SUMIF('DADOS BRUTOS'!$A$3:$A$500,$B36,'DADOS BRUTOS'!CV$3:CV$500)+IF($C36="",0,SUMIF('DADOS BRUTOS'!$A$3:$A$500,$C36,'DADOS BRUTOS'!CV$3:CV$500)))</f>
        <v/>
      </c>
      <c r="FW36" s="132">
        <f>IF(OR(FW$4="",$B36=""),0,SUMIF('DADOS BRUTOS'!$A$3:$A$500,$B36,'DADOS BRUTOS'!CW$3:CW$500)+IF($C36="",0,SUMIF('DADOS BRUTOS'!$A$3:$A$500,$C36,'DADOS BRUTOS'!CW$3:CW$500)))</f>
        <v/>
      </c>
      <c r="FX36" s="132">
        <f>IF(OR(FX$4="",$B36=""),0,SUMIF('DADOS BRUTOS'!$A$3:$A$500,$B36,'DADOS BRUTOS'!CX$3:CX$500)+IF($C36="",0,SUMIF('DADOS BRUTOS'!$A$3:$A$500,$C36,'DADOS BRUTOS'!CX$3:CX$500)))</f>
        <v/>
      </c>
      <c r="FY36" s="132">
        <f>IF(OR(FY$4="",$B36=""),0,SUMIF('DADOS BRUTOS'!$A$3:$A$500,$B36,'DADOS BRUTOS'!CY$3:CY$500)+IF($C36="",0,SUMIF('DADOS BRUTOS'!$A$3:$A$500,$C36,'DADOS BRUTOS'!CY$3:CY$500)))</f>
        <v/>
      </c>
      <c r="FZ36" s="132">
        <f>IF(OR(FZ$4="",$B36=""),0,SUMIF('DADOS BRUTOS'!$A$3:$A$500,$B36,'DADOS BRUTOS'!CZ$3:CZ$500)+IF($C36="",0,SUMIF('DADOS BRUTOS'!$A$3:$A$500,$C36,'DADOS BRUTOS'!CZ$3:CZ$500)))</f>
        <v/>
      </c>
      <c r="GA36" s="132">
        <f>IF(OR(GA$4="",$B36=""),0,SUMIF('DADOS BRUTOS'!$A$3:$A$500,$B36,'DADOS BRUTOS'!DA$3:DA$500)+IF($C36="",0,SUMIF('DADOS BRUTOS'!$A$3:$A$500,$C36,'DADOS BRUTOS'!DA$3:DA$500)))</f>
        <v/>
      </c>
      <c r="GB36" s="132">
        <f>IF(OR(GB$4="",$B36=""),0,SUMIF('DADOS BRUTOS'!$A$3:$A$500,$B36,'DADOS BRUTOS'!DB$3:DB$500)+IF($C36="",0,SUMIF('DADOS BRUTOS'!$A$3:$A$500,$C36,'DADOS BRUTOS'!DB$3:DB$500)))</f>
        <v/>
      </c>
      <c r="GC36" s="132">
        <f>IF(OR(GC$4="",$B36=""),0,SUMIF('DADOS BRUTOS'!$A$3:$A$500,$B36,'DADOS BRUTOS'!DC$3:DC$500)+IF($C36="",0,SUMIF('DADOS BRUTOS'!$A$3:$A$500,$C36,'DADOS BRUTOS'!DC$3:DC$500)))</f>
        <v/>
      </c>
      <c r="GD36" s="132">
        <f>IF(OR(GD$4="",$B36=""),0,SUMIF('DADOS BRUTOS'!$A$3:$A$500,$B36,'DADOS BRUTOS'!DD$3:DD$500)+IF($C36="",0,SUMIF('DADOS BRUTOS'!$A$3:$A$500,$C36,'DADOS BRUTOS'!DD$3:DD$500)))</f>
        <v/>
      </c>
      <c r="GE36" s="132">
        <f>IF(OR(GE$4="",$B36=""),0,SUMIF('DADOS BRUTOS'!$A$3:$A$500,$B36,'DADOS BRUTOS'!DE$3:DE$500)+IF($C36="",0,SUMIF('DADOS BRUTOS'!$A$3:$A$500,$C36,'DADOS BRUTOS'!DE$3:DE$500)))</f>
        <v/>
      </c>
      <c r="GF36" s="132">
        <f>IF(OR(GF$4="",$B36=""),0,SUMIF('DADOS BRUTOS'!$A$3:$A$500,$B36,'DADOS BRUTOS'!DF$3:DF$500)+IF($C36="",0,SUMIF('DADOS BRUTOS'!$A$3:$A$500,$C36,'DADOS BRUTOS'!DF$3:DF$500)))</f>
        <v/>
      </c>
      <c r="GG36" s="132">
        <f>IF(OR(GG$4="",$B36=""),0,SUMIF('DADOS BRUTOS'!$A$3:$A$500,$B36,'DADOS BRUTOS'!DG$3:DG$500)+IF($C36="",0,SUMIF('DADOS BRUTOS'!$A$3:$A$500,$C36,'DADOS BRUTOS'!DG$3:DG$500)))</f>
        <v/>
      </c>
      <c r="GH36" s="132">
        <f>IF(OR(GH$4="",$B36=""),0,SUMIF('DADOS BRUTOS'!$A$3:$A$500,$B36,'DADOS BRUTOS'!DH$3:DH$500)+IF($C36="",0,SUMIF('DADOS BRUTOS'!$A$3:$A$500,$C36,'DADOS BRUTOS'!DH$3:DH$500)))</f>
        <v/>
      </c>
      <c r="GI36" s="132">
        <f>IF(OR(GI$4="",$B36=""),0,SUMIF('DADOS BRUTOS'!$A$3:$A$500,$B36,'DADOS BRUTOS'!DI$3:DI$500)+IF($C36="",0,SUMIF('DADOS BRUTOS'!$A$3:$A$500,$C36,'DADOS BRUTOS'!DI$3:DI$500)))</f>
        <v/>
      </c>
      <c r="GJ36" s="132">
        <f>IF(OR(GJ$4="",$B36=""),0,SUMIF('DADOS BRUTOS'!$A$3:$A$500,$B36,'DADOS BRUTOS'!DJ$3:DJ$500)+IF($C36="",0,SUMIF('DADOS BRUTOS'!$A$3:$A$500,$C36,'DADOS BRUTOS'!DJ$3:DJ$500)))</f>
        <v/>
      </c>
      <c r="GK36" s="132">
        <f>IF(OR(GK$4="",$B36=""),0,SUMIF('DADOS BRUTOS'!$A$3:$A$500,$B36,'DADOS BRUTOS'!DK$3:DK$500)+IF($C36="",0,SUMIF('DADOS BRUTOS'!$A$3:$A$500,$C36,'DADOS BRUTOS'!DK$3:DK$500)))</f>
        <v/>
      </c>
      <c r="GL36" s="132">
        <f>IF(OR(GL$4="",$B36=""),0,SUMIF('DADOS BRUTOS'!$A$3:$A$500,$B36,'DADOS BRUTOS'!DL$3:DL$500)+IF($C36="",0,SUMIF('DADOS BRUTOS'!$A$3:$A$500,$C36,'DADOS BRUTOS'!DL$3:DL$500)))</f>
        <v/>
      </c>
      <c r="GM36" s="132">
        <f>IF(OR(GM$4="",$B36=""),0,SUMIF('DADOS BRUTOS'!$A$3:$A$500,$B36,'DADOS BRUTOS'!DM$3:DM$500)+IF($C36="",0,SUMIF('DADOS BRUTOS'!$A$3:$A$500,$C36,'DADOS BRUTOS'!DM$3:DM$500)))</f>
        <v/>
      </c>
      <c r="GN36" s="132">
        <f>IF(OR(GN$4="",$B36=""),0,SUMIF('DADOS BRUTOS'!$A$3:$A$500,$B36,'DADOS BRUTOS'!DN$3:DN$500)+IF($C36="",0,SUMIF('DADOS BRUTOS'!$A$3:$A$500,$C36,'DADOS BRUTOS'!DN$3:DN$500)))</f>
        <v/>
      </c>
      <c r="GO36" s="132">
        <f>IF(OR(GO$4="",$B36=""),0,SUMIF('DADOS BRUTOS'!$A$3:$A$500,$B36,'DADOS BRUTOS'!DO$3:DO$500)+IF($C36="",0,SUMIF('DADOS BRUTOS'!$A$3:$A$500,$C36,'DADOS BRUTOS'!DO$3:DO$500)))</f>
        <v/>
      </c>
      <c r="GP36" s="132">
        <f>IF(OR(GP$4="",$B36=""),0,SUMIF('DADOS BRUTOS'!$A$3:$A$500,$B36,'DADOS BRUTOS'!DP$3:DP$500)+IF($C36="",0,SUMIF('DADOS BRUTOS'!$A$3:$A$500,$C36,'DADOS BRUTOS'!DP$3:DP$500)))</f>
        <v/>
      </c>
      <c r="GQ36" s="132">
        <f>IF(OR(GQ$4="",$B36=""),0,SUMIF('DADOS BRUTOS'!$A$3:$A$500,$B36,'DADOS BRUTOS'!DQ$3:DQ$500)+IF($C36="",0,SUMIF('DADOS BRUTOS'!$A$3:$A$500,$C36,'DADOS BRUTOS'!DQ$3:DQ$500)))</f>
        <v/>
      </c>
      <c r="GR36" s="132">
        <f>IF(OR(GR$4="",$B36=""),0,SUMIF('DADOS BRUTOS'!$A$3:$A$500,$B36,'DADOS BRUTOS'!DR$3:DR$500)+IF($C36="",0,SUMIF('DADOS BRUTOS'!$A$3:$A$500,$C36,'DADOS BRUTOS'!DR$3:DR$500)))</f>
        <v/>
      </c>
      <c r="GS36" s="132">
        <f>IF(OR(GS$4="",$B36=""),0,SUMIF('DADOS BRUTOS'!$A$3:$A$500,$B36,'DADOS BRUTOS'!DS$3:DS$500)+IF($C36="",0,SUMIF('DADOS BRUTOS'!$A$3:$A$500,$C36,'DADOS BRUTOS'!DS$3:DS$500)))</f>
        <v/>
      </c>
      <c r="GT36" s="132">
        <f>IF(OR(GT$4="",$B36=""),0,SUMIF('DADOS BRUTOS'!$A$3:$A$500,$B36,'DADOS BRUTOS'!DT$3:DT$500)+IF($C36="",0,SUMIF('DADOS BRUTOS'!$A$3:$A$500,$C36,'DADOS BRUTOS'!DT$3:DT$500)))</f>
        <v/>
      </c>
      <c r="GU36" s="132">
        <f>IF(OR(GU$4="",$B36=""),0,SUMIF('DADOS BRUTOS'!$A$3:$A$500,$B36,'DADOS BRUTOS'!DU$3:DU$500)+IF($C36="",0,SUMIF('DADOS BRUTOS'!$A$3:$A$500,$C36,'DADOS BRUTOS'!DU$3:DU$500)))</f>
        <v/>
      </c>
      <c r="GV36" s="132">
        <f>IF(OR(GV$4="",$B36=""),0,SUMIF('DADOS BRUTOS'!$A$3:$A$500,$B36,'DADOS BRUTOS'!DV$3:DV$500)+IF($C36="",0,SUMIF('DADOS BRUTOS'!$A$3:$A$500,$C36,'DADOS BRUTOS'!DV$3:DV$500)))</f>
        <v/>
      </c>
      <c r="GW36" s="132">
        <f>IF(OR(GW$4="",$B36=""),0,SUMIF('DADOS BRUTOS'!$A$3:$A$500,$B36,'DADOS BRUTOS'!DW$3:DW$500)+IF($C36="",0,SUMIF('DADOS BRUTOS'!$A$3:$A$500,$C36,'DADOS BRUTOS'!DW$3:DW$500)))</f>
        <v/>
      </c>
      <c r="GX36" s="132">
        <f>IF(OR(GX$4="",$B36=""),0,SUMIF('DADOS BRUTOS'!$A$3:$A$500,$B36,'DADOS BRUTOS'!DX$3:DX$500)+IF($C36="",0,SUMIF('DADOS BRUTOS'!$A$3:$A$500,$C36,'DADOS BRUTOS'!DX$3:DX$500)))</f>
        <v/>
      </c>
      <c r="GY36" s="132">
        <f>IF(OR(GY$4="",$B36=""),0,SUMIF('DADOS BRUTOS'!$A$3:$A$500,$B36,'DADOS BRUTOS'!DY$3:DY$500)+IF($C36="",0,SUMIF('DADOS BRUTOS'!$A$3:$A$500,$C36,'DADOS BRUTOS'!DY$3:DY$500)))</f>
        <v/>
      </c>
      <c r="GZ36" s="132">
        <f>IF(OR(GZ$4="",$B36=""),0,SUMIF('DADOS BRUTOS'!$A$3:$A$500,$B36,'DADOS BRUTOS'!DZ$3:DZ$500)+IF($C36="",0,SUMIF('DADOS BRUTOS'!$A$3:$A$500,$C36,'DADOS BRUTOS'!DZ$3:DZ$500)))</f>
        <v/>
      </c>
      <c r="HA36" s="132">
        <f>IF(OR(HA$4="",$B36=""),0,SUMIF('DADOS BRUTOS'!$A$3:$A$500,$B36,'DADOS BRUTOS'!EA$3:EA$500)+IF($C36="",0,SUMIF('DADOS BRUTOS'!$A$3:$A$500,$C36,'DADOS BRUTOS'!EA$3:EA$500)))</f>
        <v/>
      </c>
      <c r="HB36" s="132">
        <f>IF(OR(HB$4="",$B36=""),0,SUMIF('DADOS BRUTOS'!$A$3:$A$500,$B36,'DADOS BRUTOS'!EB$3:EB$500)+IF($C36="",0,SUMIF('DADOS BRUTOS'!$A$3:$A$500,$C36,'DADOS BRUTOS'!EB$3:EB$500)))</f>
        <v/>
      </c>
      <c r="HC36" s="132">
        <f>IF(OR(HC$4="",$B36=""),0,SUMIF('DADOS BRUTOS'!$A$3:$A$500,$B36,'DADOS BRUTOS'!EC$3:EC$500)+IF($C36="",0,SUMIF('DADOS BRUTOS'!$A$3:$A$500,$C36,'DADOS BRUTOS'!EC$3:EC$500)))</f>
        <v/>
      </c>
      <c r="HD36" s="132">
        <f>IF(OR(HD$4="",$B36=""),0,SUMIF('DADOS BRUTOS'!$A$3:$A$500,$B36,'DADOS BRUTOS'!ED$3:ED$500)+IF($C36="",0,SUMIF('DADOS BRUTOS'!$A$3:$A$500,$C36,'DADOS BRUTOS'!ED$3:ED$500)))</f>
        <v/>
      </c>
      <c r="HE36" s="132">
        <f>IF(OR(HE$4="",$B36=""),0,SUMIF('DADOS BRUTOS'!$A$3:$A$500,$B36,'DADOS BRUTOS'!EE$3:EE$500)+IF($C36="",0,SUMIF('DADOS BRUTOS'!$A$3:$A$500,$C36,'DADOS BRUTOS'!EE$3:EE$500)))</f>
        <v/>
      </c>
      <c r="HF36" s="132">
        <f>IF(OR(HF$4="",$B36=""),0,SUMIF('DADOS BRUTOS'!$A$3:$A$500,$B36,'DADOS BRUTOS'!EF$3:EF$500)+IF($C36="",0,SUMIF('DADOS BRUTOS'!$A$3:$A$500,$C36,'DADOS BRUTOS'!EF$3:EF$500)))</f>
        <v/>
      </c>
      <c r="HG36" s="132">
        <f>IF(OR(HG$4="",$B36=""),0,SUMIF('DADOS BRUTOS'!$A$3:$A$500,$B36,'DADOS BRUTOS'!EG$3:EG$500)+IF($C36="",0,SUMIF('DADOS BRUTOS'!$A$3:$A$500,$C36,'DADOS BRUTOS'!EG$3:EG$500)))</f>
        <v/>
      </c>
      <c r="HH36" s="132">
        <f>IF(OR(HH$4="",$B36=""),0,SUMIF('DADOS BRUTOS'!$A$3:$A$500,$B36,'DADOS BRUTOS'!EH$3:EH$500)+IF($C36="",0,SUMIF('DADOS BRUTOS'!$A$3:$A$500,$C36,'DADOS BRUTOS'!EH$3:EH$500)))</f>
        <v/>
      </c>
      <c r="HI36" s="132">
        <f>IF(OR(HI$4="",$B36=""),0,SUMIF('DADOS BRUTOS'!$A$3:$A$500,$B36,'DADOS BRUTOS'!EI$3:EI$500)+IF($C36="",0,SUMIF('DADOS BRUTOS'!$A$3:$A$500,$C36,'DADOS BRUTOS'!EI$3:EI$500)))</f>
        <v/>
      </c>
      <c r="HJ36" s="132">
        <f>IF(OR(HJ$4="",$B36=""),0,SUMIF('DADOS BRUTOS'!$A$3:$A$500,$B36,'DADOS BRUTOS'!EJ$3:EJ$500)+IF($C36="",0,SUMIF('DADOS BRUTOS'!$A$3:$A$500,$C36,'DADOS BRUTOS'!EJ$3:EJ$500)))</f>
        <v/>
      </c>
      <c r="HK36" s="132">
        <f>IF(OR(HK$4="",$B36=""),0,SUMIF('DADOS BRUTOS'!$A$3:$A$500,$B36,'DADOS BRUTOS'!EK$3:EK$500)+IF($C36="",0,SUMIF('DADOS BRUTOS'!$A$3:$A$500,$C36,'DADOS BRUTOS'!EK$3:EK$500)))</f>
        <v/>
      </c>
      <c r="HL36" s="132">
        <f>IF(OR(HL$4="",$B36=""),0,SUMIF('DADOS BRUTOS'!$A$3:$A$500,$B36,'DADOS BRUTOS'!EL$3:EL$500)+IF($C36="",0,SUMIF('DADOS BRUTOS'!$A$3:$A$500,$C36,'DADOS BRUTOS'!EL$3:EL$500)))</f>
        <v/>
      </c>
      <c r="HM36" s="132">
        <f>IF(OR(HM$4="",$B36=""),0,SUMIF('DADOS BRUTOS'!$A$3:$A$500,$B36,'DADOS BRUTOS'!EM$3:EM$500)+IF($C36="",0,SUMIF('DADOS BRUTOS'!$A$3:$A$500,$C36,'DADOS BRUTOS'!EM$3:EM$500)))</f>
        <v/>
      </c>
      <c r="HN36" s="132">
        <f>IF(OR(HN$4="",$B36=""),0,SUMIF('DADOS BRUTOS'!$A$3:$A$500,$B36,'DADOS BRUTOS'!EN$3:EN$500)+IF($C36="",0,SUMIF('DADOS BRUTOS'!$A$3:$A$500,$C36,'DADOS BRUTOS'!EN$3:EN$500)))</f>
        <v/>
      </c>
      <c r="HO36" s="132">
        <f>IF(OR(HO$4="",$B36=""),0,SUMIF('DADOS BRUTOS'!$A$3:$A$500,$B36,'DADOS BRUTOS'!EO$3:EO$500)+IF($C36="",0,SUMIF('DADOS BRUTOS'!$A$3:$A$500,$C36,'DADOS BRUTOS'!EO$3:EO$500)))</f>
        <v/>
      </c>
      <c r="HP36" s="132">
        <f>IF(OR(HP$4="",$B36=""),0,SUMIF('DADOS BRUTOS'!$A$3:$A$500,$B36,'DADOS BRUTOS'!EP$3:EP$500)+IF($C36="",0,SUMIF('DADOS BRUTOS'!$A$3:$A$500,$C36,'DADOS BRUTOS'!EP$3:EP$500)))</f>
        <v/>
      </c>
      <c r="HQ36" s="132">
        <f>IF(OR(HQ$4="",$B36=""),0,SUMIF('DADOS BRUTOS'!$A$3:$A$500,$B36,'DADOS BRUTOS'!EQ$3:EQ$500)+IF($C36="",0,SUMIF('DADOS BRUTOS'!$A$3:$A$500,$C36,'DADOS BRUTOS'!EQ$3:EQ$500)))</f>
        <v/>
      </c>
      <c r="HR36" s="132">
        <f>IF(OR(HR$4="",$B36=""),0,SUMIF('DADOS BRUTOS'!$A$3:$A$500,$B36,'DADOS BRUTOS'!ER$3:ER$500)+IF($C36="",0,SUMIF('DADOS BRUTOS'!$A$3:$A$500,$C36,'DADOS BRUTOS'!ER$3:ER$500)))</f>
        <v/>
      </c>
      <c r="HS36" s="132">
        <f>IF(OR(HS$4="",$B36=""),0,SUMIF('DADOS BRUTOS'!$A$3:$A$500,$B36,'DADOS BRUTOS'!ES$3:ES$500)+IF($C36="",0,SUMIF('DADOS BRUTOS'!$A$3:$A$500,$C36,'DADOS BRUTOS'!ES$3:ES$500)))</f>
        <v/>
      </c>
      <c r="HT36" s="132">
        <f>IF(OR(HT$4="",$B36=""),0,SUMIF('DADOS BRUTOS'!$A$3:$A$500,$B36,'DADOS BRUTOS'!ET$3:ET$500)+IF($C36="",0,SUMIF('DADOS BRUTOS'!$A$3:$A$500,$C36,'DADOS BRUTOS'!ET$3:ET$500)))</f>
        <v/>
      </c>
      <c r="HU36" s="132">
        <f>IF(OR(HU$4="",$B36=""),0,SUMIF('DADOS BRUTOS'!$A$3:$A$500,$B36,'DADOS BRUTOS'!EU$3:EU$500)+IF($C36="",0,SUMIF('DADOS BRUTOS'!$A$3:$A$500,$C36,'DADOS BRUTOS'!EU$3:EU$500)))</f>
        <v/>
      </c>
      <c r="HV36" s="132">
        <f>IF(OR(HV$4="",$B36=""),0,SUMIF('DADOS BRUTOS'!$A$3:$A$500,$B36,'DADOS BRUTOS'!EV$3:EV$500)+IF($C36="",0,SUMIF('DADOS BRUTOS'!$A$3:$A$500,$C36,'DADOS BRUTOS'!EV$3:EV$500)))</f>
        <v/>
      </c>
      <c r="HW36" s="132">
        <f>IF(OR(HW$4="",$B36=""),0,SUMIF('DADOS BRUTOS'!$A$3:$A$500,$B36,'DADOS BRUTOS'!EW$3:EW$500)+IF($C36="",0,SUMIF('DADOS BRUTOS'!$A$3:$A$500,$C36,'DADOS BRUTOS'!EW$3:EW$500)))</f>
        <v/>
      </c>
      <c r="HX36" s="132">
        <f>IF(OR(HX$4="",$B36=""),0,SUMIF('DADOS BRUTOS'!$A$3:$A$500,$B36,'DADOS BRUTOS'!EX$3:EX$500)+IF($C36="",0,SUMIF('DADOS BRUTOS'!$A$3:$A$500,$C36,'DADOS BRUTOS'!EX$3:EX$500)))</f>
        <v/>
      </c>
      <c r="HY36" s="132">
        <f>IF(OR(HY$4="",$B36=""),0,SUMIF('DADOS BRUTOS'!$A$3:$A$500,$B36,'DADOS BRUTOS'!EY$3:EY$500)+IF($C36="",0,SUMIF('DADOS BRUTOS'!$A$3:$A$500,$C36,'DADOS BRUTOS'!EY$3:EY$500)))</f>
        <v/>
      </c>
      <c r="HZ36" s="132">
        <f>IF(OR(HZ$4="",$B36=""),0,SUMIF('DADOS BRUTOS'!$A$3:$A$500,$B36,'DADOS BRUTOS'!EZ$3:EZ$500)+IF($C36="",0,SUMIF('DADOS BRUTOS'!$A$3:$A$500,$C36,'DADOS BRUTOS'!EZ$3:EZ$500)))</f>
        <v/>
      </c>
      <c r="IA36" s="132">
        <f>IF(OR(IA$4="",$B36=""),0,SUMIF('DADOS BRUTOS'!$A$3:$A$500,$B36,'DADOS BRUTOS'!FA$3:FA$500)+IF($C36="",0,SUMIF('DADOS BRUTOS'!$A$3:$A$500,$C36,'DADOS BRUTOS'!FA$3:FA$500)))</f>
        <v/>
      </c>
      <c r="IB36" s="132">
        <f>IF(OR(IB$4="",$B36=""),0,SUMIF('DADOS BRUTOS'!$A$3:$A$500,$B36,'DADOS BRUTOS'!FB$3:FB$500)+IF($C36="",0,SUMIF('DADOS BRUTOS'!$A$3:$A$500,$C36,'DADOS BRUTOS'!FB$3:FB$500)))</f>
        <v/>
      </c>
      <c r="IC36" s="132">
        <f>IF(OR(IC$4="",$B36=""),0,SUMIF('DADOS BRUTOS'!$A$3:$A$500,$B36,'DADOS BRUTOS'!FC$3:FC$500)+IF($C36="",0,SUMIF('DADOS BRUTOS'!$A$3:$A$500,$C36,'DADOS BRUTOS'!FC$3:FC$500)))</f>
        <v/>
      </c>
      <c r="ID36" s="132">
        <f>IF(OR(ID$4="",$B36=""),0,SUMIF('DADOS BRUTOS'!$A$3:$A$500,$B36,'DADOS BRUTOS'!FD$3:FD$500)+IF($C36="",0,SUMIF('DADOS BRUTOS'!$A$3:$A$500,$C36,'DADOS BRUTOS'!FD$3:FD$500)))</f>
        <v/>
      </c>
      <c r="IE36" s="132">
        <f>IF(OR(IE$4="",$B36=""),0,SUMIF('DADOS BRUTOS'!$A$3:$A$500,$B36,'DADOS BRUTOS'!FE$3:FE$500)+IF($C36="",0,SUMIF('DADOS BRUTOS'!$A$3:$A$500,$C36,'DADOS BRUTOS'!FE$3:FE$500)))</f>
        <v/>
      </c>
      <c r="IF36" s="132">
        <f>IF(OR(IF$4="",$B36=""),0,SUMIF('DADOS BRUTOS'!$A$3:$A$500,$B36,'DADOS BRUTOS'!FF$3:FF$500)+IF($C36="",0,SUMIF('DADOS BRUTOS'!$A$3:$A$500,$C36,'DADOS BRUTOS'!FF$3:FF$500)))</f>
        <v/>
      </c>
      <c r="IG36" s="132">
        <f>IF(OR(IG$4="",$B36=""),0,SUMIF('DADOS BRUTOS'!$A$3:$A$500,$B36,'DADOS BRUTOS'!FG$3:FG$500)+IF($C36="",0,SUMIF('DADOS BRUTOS'!$A$3:$A$500,$C36,'DADOS BRUTOS'!FG$3:FG$500)))</f>
        <v/>
      </c>
      <c r="IH36" s="132">
        <f>IF(OR(IH$4="",$B36=""),0,SUMIF('DADOS BRUTOS'!$A$3:$A$500,$B36,'DADOS BRUTOS'!FH$3:FH$500)+IF($C36="",0,SUMIF('DADOS BRUTOS'!$A$3:$A$500,$C36,'DADOS BRUTOS'!FH$3:FH$500)))</f>
        <v/>
      </c>
      <c r="II36" s="132">
        <f>IF(OR(II$4="",$B36=""),0,SUMIF('DADOS BRUTOS'!$A$3:$A$500,$B36,'DADOS BRUTOS'!FI$3:FI$500)+IF($C36="",0,SUMIF('DADOS BRUTOS'!$A$3:$A$500,$C36,'DADOS BRUTOS'!FI$3:FI$500)))</f>
        <v/>
      </c>
      <c r="IJ36" s="132">
        <f>IF(OR(IJ$4="",$B36=""),0,SUMIF('DADOS BRUTOS'!$A$3:$A$500,$B36,'DADOS BRUTOS'!FJ$3:FJ$500)+IF($C36="",0,SUMIF('DADOS BRUTOS'!$A$3:$A$500,$C36,'DADOS BRUTOS'!FJ$3:FJ$500)))</f>
        <v/>
      </c>
      <c r="IK36" s="132">
        <f>IF(OR(IK$4="",$B36=""),0,SUMIF('DADOS BRUTOS'!$A$3:$A$500,$B36,'DADOS BRUTOS'!FK$3:FK$500)+IF($C36="",0,SUMIF('DADOS BRUTOS'!$A$3:$A$500,$C36,'DADOS BRUTOS'!FK$3:FK$500)))</f>
        <v/>
      </c>
      <c r="IL36" s="132">
        <f>IF(OR(IL$4="",$B36=""),0,SUMIF('DADOS BRUTOS'!$A$3:$A$500,$B36,'DADOS BRUTOS'!FL$3:FL$500)+IF($C36="",0,SUMIF('DADOS BRUTOS'!$A$3:$A$500,$C36,'DADOS BRUTOS'!FL$3:FL$500)))</f>
        <v/>
      </c>
      <c r="IM36" s="132">
        <f>IF(OR(IM$4="",$B36=""),0,SUMIF('DADOS BRUTOS'!$A$3:$A$500,$B36,'DADOS BRUTOS'!FM$3:FM$500)+IF($C36="",0,SUMIF('DADOS BRUTOS'!$A$3:$A$500,$C36,'DADOS BRUTOS'!FM$3:FM$500)))</f>
        <v/>
      </c>
      <c r="IN36" s="132">
        <f>IF(OR(IN$4="",$B36=""),0,SUMIF('DADOS BRUTOS'!$A$3:$A$500,$B36,'DADOS BRUTOS'!FN$3:FN$500)+IF($C36="",0,SUMIF('DADOS BRUTOS'!$A$3:$A$500,$C36,'DADOS BRUTOS'!FN$3:FN$500)))</f>
        <v/>
      </c>
      <c r="IO36" s="132">
        <f>IF(OR(IO$4="",$B36=""),0,SUMIF('DADOS BRUTOS'!$A$3:$A$500,$B36,'DADOS BRUTOS'!FO$3:FO$500)+IF($C36="",0,SUMIF('DADOS BRUTOS'!$A$3:$A$500,$C36,'DADOS BRUTOS'!FO$3:FO$500)))</f>
        <v/>
      </c>
      <c r="IP36" s="132">
        <f>IF(OR(IP$4="",$B36=""),0,SUMIF('DADOS BRUTOS'!$A$3:$A$500,$B36,'DADOS BRUTOS'!FP$3:FP$500)+IF($C36="",0,SUMIF('DADOS BRUTOS'!$A$3:$A$500,$C36,'DADOS BRUTOS'!FP$3:FP$500)))</f>
        <v/>
      </c>
      <c r="IQ36" s="132">
        <f>IF(OR(IQ$4="",$B36=""),0,SUMIF('DADOS BRUTOS'!$A$3:$A$500,$B36,'DADOS BRUTOS'!FQ$3:FQ$500)+IF($C36="",0,SUMIF('DADOS BRUTOS'!$A$3:$A$500,$C36,'DADOS BRUTOS'!FQ$3:FQ$500)))</f>
        <v/>
      </c>
      <c r="IR36" s="132">
        <f>IF(OR(IR$4="",$B36=""),0,SUMIF('DADOS BRUTOS'!$A$3:$A$500,$B36,'DADOS BRUTOS'!FR$3:FR$500)+IF($C36="",0,SUMIF('DADOS BRUTOS'!$A$3:$A$500,$C36,'DADOS BRUTOS'!FR$3:FR$500)))</f>
        <v/>
      </c>
      <c r="IS36" s="132">
        <f>IF(OR(IS$4="",$B36=""),0,SUMIF('DADOS BRUTOS'!$A$3:$A$500,$B36,'DADOS BRUTOS'!FS$3:FS$500)+IF($C36="",0,SUMIF('DADOS BRUTOS'!$A$3:$A$500,$C36,'DADOS BRUTOS'!FS$3:FS$500)))</f>
        <v/>
      </c>
      <c r="IT36" s="132">
        <f>IF(OR(IT$4="",$B36=""),0,SUMIF('DADOS BRUTOS'!$A$3:$A$500,$B36,'DADOS BRUTOS'!FT$3:FT$500)+IF($C36="",0,SUMIF('DADOS BRUTOS'!$A$3:$A$500,$C36,'DADOS BRUTOS'!FT$3:FT$500)))</f>
        <v/>
      </c>
      <c r="IU36" s="132">
        <f>IF(OR(IU$4="",$B36=""),0,SUMIF('DADOS BRUTOS'!$A$3:$A$500,$B36,'DADOS BRUTOS'!FU$3:FU$500)+IF($C36="",0,SUMIF('DADOS BRUTOS'!$A$3:$A$500,$C36,'DADOS BRUTOS'!FU$3:FU$500)))</f>
        <v/>
      </c>
      <c r="IV36" s="132">
        <f>IF(OR(IV$4="",$B36=""),0,SUMIF('DADOS BRUTOS'!$A$3:$A$500,$B36,'DADOS BRUTOS'!FV$3:FV$500)+IF($C36="",0,SUMIF('DADOS BRUTOS'!$A$3:$A$500,$C36,'DADOS BRUTOS'!FV$3:FV$500)))</f>
        <v/>
      </c>
      <c r="IW36" s="132">
        <f>IF(OR(IW$4="",$B36=""),0,SUMIF('DADOS BRUTOS'!$A$3:$A$500,$B36,'DADOS BRUTOS'!FW$3:FW$500)+IF($C36="",0,SUMIF('DADOS BRUTOS'!$A$3:$A$500,$C36,'DADOS BRUTOS'!FW$3:FW$500)))</f>
        <v/>
      </c>
      <c r="IX36" s="132">
        <f>IF(OR(IX$4="",$B36=""),0,SUMIF('DADOS BRUTOS'!$A$3:$A$500,$B36,'DADOS BRUTOS'!FX$3:FX$500)+IF($C36="",0,SUMIF('DADOS BRUTOS'!$A$3:$A$500,$C36,'DADOS BRUTOS'!FX$3:FX$500)))</f>
        <v/>
      </c>
      <c r="IY36" s="132">
        <f>IF(OR(IY$4="",$B36=""),0,SUMIF('DADOS BRUTOS'!$A$3:$A$500,$B36,'DADOS BRUTOS'!FY$3:FY$500)+IF($C36="",0,SUMIF('DADOS BRUTOS'!$A$3:$A$500,$C36,'DADOS BRUTOS'!FY$3:FY$500)))</f>
        <v/>
      </c>
      <c r="IZ36" s="132">
        <f>IF(OR(IZ$4="",$B36=""),0,SUMIF('DADOS BRUTOS'!$A$3:$A$500,$B36,'DADOS BRUTOS'!FZ$3:FZ$500)+IF($C36="",0,SUMIF('DADOS BRUTOS'!$A$3:$A$500,$C36,'DADOS BRUTOS'!FZ$3:FZ$500)))</f>
        <v/>
      </c>
      <c r="JA36" s="132">
        <f>IF(OR(JA$4="",$B36=""),0,SUMIF('DADOS BRUTOS'!$A$3:$A$500,$B36,'DADOS BRUTOS'!GA$3:GA$500)+IF($C36="",0,SUMIF('DADOS BRUTOS'!$A$3:$A$500,$C36,'DADOS BRUTOS'!GA$3:GA$500)))</f>
        <v/>
      </c>
      <c r="JB36" s="132">
        <f>IF(OR(JB$4="",$B36=""),0,SUMIF('DADOS BRUTOS'!$A$3:$A$500,$B36,'DADOS BRUTOS'!GB$3:GB$500)+IF($C36="",0,SUMIF('DADOS BRUTOS'!$A$3:$A$500,$C36,'DADOS BRUTOS'!GB$3:GB$500)))</f>
        <v/>
      </c>
      <c r="JC36" s="132">
        <f>IF(OR(JC$4="",$B36=""),0,SUMIF('DADOS BRUTOS'!$A$3:$A$500,$B36,'DADOS BRUTOS'!GC$3:GC$500)+IF($C36="",0,SUMIF('DADOS BRUTOS'!$A$3:$A$500,$C36,'DADOS BRUTOS'!GC$3:GC$500)))</f>
        <v/>
      </c>
      <c r="JD36" s="132">
        <f>IF(OR(JD$4="",$B36=""),0,SUMIF('DADOS BRUTOS'!$A$3:$A$500,$B36,'DADOS BRUTOS'!GD$3:GD$500)+IF($C36="",0,SUMIF('DADOS BRUTOS'!$A$3:$A$500,$C36,'DADOS BRUTOS'!GD$3:GD$500)))</f>
        <v/>
      </c>
      <c r="JE36" s="132">
        <f>IF(OR(JE$4="",$B36=""),0,SUMIF('DADOS BRUTOS'!$A$3:$A$500,$B36,'DADOS BRUTOS'!GE$3:GE$500)+IF($C36="",0,SUMIF('DADOS BRUTOS'!$A$3:$A$500,$C36,'DADOS BRUTOS'!GE$3:GE$500)))</f>
        <v/>
      </c>
      <c r="JF36" s="132">
        <f>IF(OR(JF$4="",$B36=""),0,SUMIF('DADOS BRUTOS'!$A$3:$A$500,$B36,'DADOS BRUTOS'!GF$3:GF$500)+IF($C36="",0,SUMIF('DADOS BRUTOS'!$A$3:$A$500,$C36,'DADOS BRUTOS'!GF$3:GF$500)))</f>
        <v/>
      </c>
      <c r="JG36" s="132">
        <f>IF(OR(JG$4="",$B36=""),0,SUMIF('DADOS BRUTOS'!$A$3:$A$500,$B36,'DADOS BRUTOS'!GG$3:GG$500)+IF($C36="",0,SUMIF('DADOS BRUTOS'!$A$3:$A$500,$C36,'DADOS BRUTOS'!GG$3:GG$500)))</f>
        <v/>
      </c>
      <c r="JH36" s="132">
        <f>IF(OR(JH$4="",$B36=""),0,SUMIF('DADOS BRUTOS'!$A$3:$A$500,$B36,'DADOS BRUTOS'!GH$3:GH$500)+IF($C36="",0,SUMIF('DADOS BRUTOS'!$A$3:$A$500,$C36,'DADOS BRUTOS'!GH$3:GH$500)))</f>
        <v/>
      </c>
      <c r="JI36" s="132">
        <f>IF(OR(JI$4="",$B36=""),0,SUMIF('DADOS BRUTOS'!$A$3:$A$500,$B36,'DADOS BRUTOS'!GI$3:GI$500)+IF($C36="",0,SUMIF('DADOS BRUTOS'!$A$3:$A$500,$C36,'DADOS BRUTOS'!GI$3:GI$500)))</f>
        <v/>
      </c>
      <c r="JJ36" s="132">
        <f>IF(OR(JJ$4="",$B36=""),0,SUMIF('DADOS BRUTOS'!$A$3:$A$500,$B36,'DADOS BRUTOS'!GJ$3:GJ$500)+IF($C36="",0,SUMIF('DADOS BRUTOS'!$A$3:$A$500,$C36,'DADOS BRUTOS'!GJ$3:GJ$500)))</f>
        <v/>
      </c>
      <c r="JK36" s="132">
        <f>IF(OR(JK$4="",$B36=""),0,SUMIF('DADOS BRUTOS'!$A$3:$A$500,$B36,'DADOS BRUTOS'!GK$3:GK$500)+IF($C36="",0,SUMIF('DADOS BRUTOS'!$A$3:$A$500,$C36,'DADOS BRUTOS'!GK$3:GK$500)))</f>
        <v/>
      </c>
      <c r="JL36" s="132">
        <f>IF(OR(JL$4="",$B36=""),0,SUMIF('DADOS BRUTOS'!$A$3:$A$500,$B36,'DADOS BRUTOS'!GL$3:GL$500)+IF($C36="",0,SUMIF('DADOS BRUTOS'!$A$3:$A$500,$C36,'DADOS BRUTOS'!GL$3:GL$500)))</f>
        <v/>
      </c>
      <c r="JM36" s="132">
        <f>IF(OR(JM$4="",$B36=""),0,SUMIF('DADOS BRUTOS'!$A$3:$A$500,$B36,'DADOS BRUTOS'!GM$3:GM$500)+IF($C36="",0,SUMIF('DADOS BRUTOS'!$A$3:$A$500,$C36,'DADOS BRUTOS'!GM$3:GM$500)))</f>
        <v/>
      </c>
      <c r="JN36" s="132">
        <f>IF(OR(JN$4="",$B36=""),0,SUMIF('DADOS BRUTOS'!$A$3:$A$500,$B36,'DADOS BRUTOS'!GN$3:GN$500)+IF($C36="",0,SUMIF('DADOS BRUTOS'!$A$3:$A$500,$C36,'DADOS BRUTOS'!GN$3:GN$500)))</f>
        <v/>
      </c>
      <c r="JO36" s="132">
        <f>IF(OR(JO$4="",$B36=""),0,SUMIF('DADOS BRUTOS'!$A$3:$A$500,$B36,'DADOS BRUTOS'!GO$3:GO$500)+IF($C36="",0,SUMIF('DADOS BRUTOS'!$A$3:$A$500,$C36,'DADOS BRUTOS'!GO$3:GO$500)))</f>
        <v/>
      </c>
      <c r="JP36" s="132">
        <f>IF(OR(JP$4="",$B36=""),0,SUMIF('DADOS BRUTOS'!$A$3:$A$500,$B36,'DADOS BRUTOS'!GP$3:GP$500)+IF($C36="",0,SUMIF('DADOS BRUTOS'!$A$3:$A$500,$C36,'DADOS BRUTOS'!GP$3:GP$500)))</f>
        <v/>
      </c>
      <c r="JQ36" s="132">
        <f>IF(OR(JQ$4="",$B36=""),0,SUMIF('DADOS BRUTOS'!$A$3:$A$500,$B36,'DADOS BRUTOS'!GQ$3:GQ$500)+IF($C36="",0,SUMIF('DADOS BRUTOS'!$A$3:$A$500,$C36,'DADOS BRUTOS'!GQ$3:GQ$500)))</f>
        <v/>
      </c>
      <c r="JR36" s="132">
        <f>IF(OR(JR$4="",$B36=""),0,SUMIF('DADOS BRUTOS'!$A$3:$A$500,$B36,'DADOS BRUTOS'!GR$3:GR$500)+IF($C36="",0,SUMIF('DADOS BRUTOS'!$A$3:$A$500,$C36,'DADOS BRUTOS'!GR$3:GR$500)))</f>
        <v/>
      </c>
      <c r="JS36" s="132">
        <f>IF(OR(JS$4="",$B36=""),0,SUMIF('DADOS BRUTOS'!$A$3:$A$500,$B36,'DADOS BRUTOS'!GS$3:GS$500)+IF($C36="",0,SUMIF('DADOS BRUTOS'!$A$3:$A$500,$C36,'DADOS BRUTOS'!GS$3:GS$500)))</f>
        <v/>
      </c>
    </row>
    <row r="37">
      <c r="A37" s="61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BZ37" s="49">
        <f>SUMPRODUCT(($CB$4:$JS$4&lt;&gt;"")*($CB$4:$JS$4&lt;=$D$4),$CB37:$JS37,$CB$1:$JS$1)</f>
        <v/>
      </c>
      <c r="CB37" s="132">
        <f>IF(OR(CB$4="",$B37=""),0,SUMIF('DADOS BRUTOS'!$A$3:$A$500,$B37,'DADOS BRUTOS'!B$3:B$500)+IF($C37="",0,SUMIF('DADOS BRUTOS'!$A$3:$A$500,$C37,'DADOS BRUTOS'!B$3:B$500)))</f>
        <v/>
      </c>
      <c r="CC37" s="132">
        <f>IF(OR(CC$4="",$B37=""),0,SUMIF('DADOS BRUTOS'!$A$3:$A$500,$B37,'DADOS BRUTOS'!C$3:C$500)+IF($C37="",0,SUMIF('DADOS BRUTOS'!$A$3:$A$500,$C37,'DADOS BRUTOS'!C$3:C$500)))</f>
        <v/>
      </c>
      <c r="CD37" s="132">
        <f>IF(OR(CD$4="",$B37=""),0,SUMIF('DADOS BRUTOS'!$A$3:$A$500,$B37,'DADOS BRUTOS'!D$3:D$500)+IF($C37="",0,SUMIF('DADOS BRUTOS'!$A$3:$A$500,$C37,'DADOS BRUTOS'!D$3:D$500)))</f>
        <v/>
      </c>
      <c r="CE37" s="132">
        <f>IF(OR(CE$4="",$B37=""),0,SUMIF('DADOS BRUTOS'!$A$3:$A$500,$B37,'DADOS BRUTOS'!E$3:E$500)+IF($C37="",0,SUMIF('DADOS BRUTOS'!$A$3:$A$500,$C37,'DADOS BRUTOS'!E$3:E$500)))</f>
        <v/>
      </c>
      <c r="CF37" s="132">
        <f>IF(OR(CF$4="",$B37=""),0,SUMIF('DADOS BRUTOS'!$A$3:$A$500,$B37,'DADOS BRUTOS'!F$3:F$500)+IF($C37="",0,SUMIF('DADOS BRUTOS'!$A$3:$A$500,$C37,'DADOS BRUTOS'!F$3:F$500)))</f>
        <v/>
      </c>
      <c r="CG37" s="132">
        <f>IF(OR(CG$4="",$B37=""),0,SUMIF('DADOS BRUTOS'!$A$3:$A$500,$B37,'DADOS BRUTOS'!G$3:G$500)+IF($C37="",0,SUMIF('DADOS BRUTOS'!$A$3:$A$500,$C37,'DADOS BRUTOS'!G$3:G$500)))</f>
        <v/>
      </c>
      <c r="CH37" s="132">
        <f>IF(OR(CH$4="",$B37=""),0,SUMIF('DADOS BRUTOS'!$A$3:$A$500,$B37,'DADOS BRUTOS'!H$3:H$500)+IF($C37="",0,SUMIF('DADOS BRUTOS'!$A$3:$A$500,$C37,'DADOS BRUTOS'!H$3:H$500)))</f>
        <v/>
      </c>
      <c r="CI37" s="132">
        <f>IF(OR(CI$4="",$B37=""),0,SUMIF('DADOS BRUTOS'!$A$3:$A$500,$B37,'DADOS BRUTOS'!I$3:I$500)+IF($C37="",0,SUMIF('DADOS BRUTOS'!$A$3:$A$500,$C37,'DADOS BRUTOS'!I$3:I$500)))</f>
        <v/>
      </c>
      <c r="CJ37" s="132">
        <f>IF(OR(CJ$4="",$B37=""),0,SUMIF('DADOS BRUTOS'!$A$3:$A$500,$B37,'DADOS BRUTOS'!J$3:J$500)+IF($C37="",0,SUMIF('DADOS BRUTOS'!$A$3:$A$500,$C37,'DADOS BRUTOS'!J$3:J$500)))</f>
        <v/>
      </c>
      <c r="CK37" s="132">
        <f>IF(OR(CK$4="",$B37=""),0,SUMIF('DADOS BRUTOS'!$A$3:$A$500,$B37,'DADOS BRUTOS'!K$3:K$500)+IF($C37="",0,SUMIF('DADOS BRUTOS'!$A$3:$A$500,$C37,'DADOS BRUTOS'!K$3:K$500)))</f>
        <v/>
      </c>
      <c r="CL37" s="132">
        <f>IF(OR(CL$4="",$B37=""),0,SUMIF('DADOS BRUTOS'!$A$3:$A$500,$B37,'DADOS BRUTOS'!L$3:L$500)+IF($C37="",0,SUMIF('DADOS BRUTOS'!$A$3:$A$500,$C37,'DADOS BRUTOS'!L$3:L$500)))</f>
        <v/>
      </c>
      <c r="CM37" s="132">
        <f>IF(OR(CM$4="",$B37=""),0,SUMIF('DADOS BRUTOS'!$A$3:$A$500,$B37,'DADOS BRUTOS'!M$3:M$500)+IF($C37="",0,SUMIF('DADOS BRUTOS'!$A$3:$A$500,$C37,'DADOS BRUTOS'!M$3:M$500)))</f>
        <v/>
      </c>
      <c r="CN37" s="132">
        <f>IF(OR(CN$4="",$B37=""),0,SUMIF('DADOS BRUTOS'!$A$3:$A$500,$B37,'DADOS BRUTOS'!N$3:N$500)+IF($C37="",0,SUMIF('DADOS BRUTOS'!$A$3:$A$500,$C37,'DADOS BRUTOS'!N$3:N$500)))</f>
        <v/>
      </c>
      <c r="CO37" s="132">
        <f>IF(OR(CO$4="",$B37=""),0,SUMIF('DADOS BRUTOS'!$A$3:$A$500,$B37,'DADOS BRUTOS'!O$3:O$500)+IF($C37="",0,SUMIF('DADOS BRUTOS'!$A$3:$A$500,$C37,'DADOS BRUTOS'!O$3:O$500)))</f>
        <v/>
      </c>
      <c r="CP37" s="132">
        <f>IF(OR(CP$4="",$B37=""),0,SUMIF('DADOS BRUTOS'!$A$3:$A$500,$B37,'DADOS BRUTOS'!P$3:P$500)+IF($C37="",0,SUMIF('DADOS BRUTOS'!$A$3:$A$500,$C37,'DADOS BRUTOS'!P$3:P$500)))</f>
        <v/>
      </c>
      <c r="CQ37" s="132">
        <f>IF(OR(CQ$4="",$B37=""),0,SUMIF('DADOS BRUTOS'!$A$3:$A$500,$B37,'DADOS BRUTOS'!Q$3:Q$500)+IF($C37="",0,SUMIF('DADOS BRUTOS'!$A$3:$A$500,$C37,'DADOS BRUTOS'!Q$3:Q$500)))</f>
        <v/>
      </c>
      <c r="CR37" s="132">
        <f>IF(OR(CR$4="",$B37=""),0,SUMIF('DADOS BRUTOS'!$A$3:$A$500,$B37,'DADOS BRUTOS'!R$3:R$500)+IF($C37="",0,SUMIF('DADOS BRUTOS'!$A$3:$A$500,$C37,'DADOS BRUTOS'!R$3:R$500)))</f>
        <v/>
      </c>
      <c r="CS37" s="132">
        <f>IF(OR(CS$4="",$B37=""),0,SUMIF('DADOS BRUTOS'!$A$3:$A$500,$B37,'DADOS BRUTOS'!S$3:S$500)+IF($C37="",0,SUMIF('DADOS BRUTOS'!$A$3:$A$500,$C37,'DADOS BRUTOS'!S$3:S$500)))</f>
        <v/>
      </c>
      <c r="CT37" s="132">
        <f>IF(OR(CT$4="",$B37=""),0,SUMIF('DADOS BRUTOS'!$A$3:$A$500,$B37,'DADOS BRUTOS'!T$3:T$500)+IF($C37="",0,SUMIF('DADOS BRUTOS'!$A$3:$A$500,$C37,'DADOS BRUTOS'!T$3:T$500)))</f>
        <v/>
      </c>
      <c r="CU37" s="132">
        <f>IF(OR(CU$4="",$B37=""),0,SUMIF('DADOS BRUTOS'!$A$3:$A$500,$B37,'DADOS BRUTOS'!U$3:U$500)+IF($C37="",0,SUMIF('DADOS BRUTOS'!$A$3:$A$500,$C37,'DADOS BRUTOS'!U$3:U$500)))</f>
        <v/>
      </c>
      <c r="CV37" s="132">
        <f>IF(OR(CV$4="",$B37=""),0,SUMIF('DADOS BRUTOS'!$A$3:$A$500,$B37,'DADOS BRUTOS'!V$3:V$500)+IF($C37="",0,SUMIF('DADOS BRUTOS'!$A$3:$A$500,$C37,'DADOS BRUTOS'!V$3:V$500)))</f>
        <v/>
      </c>
      <c r="CW37" s="132">
        <f>IF(OR(CW$4="",$B37=""),0,SUMIF('DADOS BRUTOS'!$A$3:$A$500,$B37,'DADOS BRUTOS'!W$3:W$500)+IF($C37="",0,SUMIF('DADOS BRUTOS'!$A$3:$A$500,$C37,'DADOS BRUTOS'!W$3:W$500)))</f>
        <v/>
      </c>
      <c r="CX37" s="132">
        <f>IF(OR(CX$4="",$B37=""),0,SUMIF('DADOS BRUTOS'!$A$3:$A$500,$B37,'DADOS BRUTOS'!X$3:X$500)+IF($C37="",0,SUMIF('DADOS BRUTOS'!$A$3:$A$500,$C37,'DADOS BRUTOS'!X$3:X$500)))</f>
        <v/>
      </c>
      <c r="CY37" s="132">
        <f>IF(OR(CY$4="",$B37=""),0,SUMIF('DADOS BRUTOS'!$A$3:$A$500,$B37,'DADOS BRUTOS'!Y$3:Y$500)+IF($C37="",0,SUMIF('DADOS BRUTOS'!$A$3:$A$500,$C37,'DADOS BRUTOS'!Y$3:Y$500)))</f>
        <v/>
      </c>
      <c r="CZ37" s="132">
        <f>IF(OR(CZ$4="",$B37=""),0,SUMIF('DADOS BRUTOS'!$A$3:$A$500,$B37,'DADOS BRUTOS'!Z$3:Z$500)+IF($C37="",0,SUMIF('DADOS BRUTOS'!$A$3:$A$500,$C37,'DADOS BRUTOS'!Z$3:Z$500)))</f>
        <v/>
      </c>
      <c r="DA37" s="132">
        <f>IF(OR(DA$4="",$B37=""),0,SUMIF('DADOS BRUTOS'!$A$3:$A$500,$B37,'DADOS BRUTOS'!AA$3:AA$500)+IF($C37="",0,SUMIF('DADOS BRUTOS'!$A$3:$A$500,$C37,'DADOS BRUTOS'!AA$3:AA$500)))</f>
        <v/>
      </c>
      <c r="DB37" s="132">
        <f>IF(OR(DB$4="",$B37=""),0,SUMIF('DADOS BRUTOS'!$A$3:$A$500,$B37,'DADOS BRUTOS'!AB$3:AB$500)+IF($C37="",0,SUMIF('DADOS BRUTOS'!$A$3:$A$500,$C37,'DADOS BRUTOS'!AB$3:AB$500)))</f>
        <v/>
      </c>
      <c r="DC37" s="132">
        <f>IF(OR(DC$4="",$B37=""),0,SUMIF('DADOS BRUTOS'!$A$3:$A$500,$B37,'DADOS BRUTOS'!AC$3:AC$500)+IF($C37="",0,SUMIF('DADOS BRUTOS'!$A$3:$A$500,$C37,'DADOS BRUTOS'!AC$3:AC$500)))</f>
        <v/>
      </c>
      <c r="DD37" s="132">
        <f>IF(OR(DD$4="",$B37=""),0,SUMIF('DADOS BRUTOS'!$A$3:$A$500,$B37,'DADOS BRUTOS'!AD$3:AD$500)+IF($C37="",0,SUMIF('DADOS BRUTOS'!$A$3:$A$500,$C37,'DADOS BRUTOS'!AD$3:AD$500)))</f>
        <v/>
      </c>
      <c r="DE37" s="132">
        <f>IF(OR(DE$4="",$B37=""),0,SUMIF('DADOS BRUTOS'!$A$3:$A$500,$B37,'DADOS BRUTOS'!AE$3:AE$500)+IF($C37="",0,SUMIF('DADOS BRUTOS'!$A$3:$A$500,$C37,'DADOS BRUTOS'!AE$3:AE$500)))</f>
        <v/>
      </c>
      <c r="DF37" s="132">
        <f>IF(OR(DF$4="",$B37=""),0,SUMIF('DADOS BRUTOS'!$A$3:$A$500,$B37,'DADOS BRUTOS'!AF$3:AF$500)+IF($C37="",0,SUMIF('DADOS BRUTOS'!$A$3:$A$500,$C37,'DADOS BRUTOS'!AF$3:AF$500)))</f>
        <v/>
      </c>
      <c r="DG37" s="132">
        <f>IF(OR(DG$4="",$B37=""),0,SUMIF('DADOS BRUTOS'!$A$3:$A$500,$B37,'DADOS BRUTOS'!AG$3:AG$500)+IF($C37="",0,SUMIF('DADOS BRUTOS'!$A$3:$A$500,$C37,'DADOS BRUTOS'!AG$3:AG$500)))</f>
        <v/>
      </c>
      <c r="DH37" s="132">
        <f>IF(OR(DH$4="",$B37=""),0,SUMIF('DADOS BRUTOS'!$A$3:$A$500,$B37,'DADOS BRUTOS'!AH$3:AH$500)+IF($C37="",0,SUMIF('DADOS BRUTOS'!$A$3:$A$500,$C37,'DADOS BRUTOS'!AH$3:AH$500)))</f>
        <v/>
      </c>
      <c r="DI37" s="132">
        <f>IF(OR(DI$4="",$B37=""),0,SUMIF('DADOS BRUTOS'!$A$3:$A$500,$B37,'DADOS BRUTOS'!AI$3:AI$500)+IF($C37="",0,SUMIF('DADOS BRUTOS'!$A$3:$A$500,$C37,'DADOS BRUTOS'!AI$3:AI$500)))</f>
        <v/>
      </c>
      <c r="DJ37" s="132">
        <f>IF(OR(DJ$4="",$B37=""),0,SUMIF('DADOS BRUTOS'!$A$3:$A$500,$B37,'DADOS BRUTOS'!AJ$3:AJ$500)+IF($C37="",0,SUMIF('DADOS BRUTOS'!$A$3:$A$500,$C37,'DADOS BRUTOS'!AJ$3:AJ$500)))</f>
        <v/>
      </c>
      <c r="DK37" s="132">
        <f>IF(OR(DK$4="",$B37=""),0,SUMIF('DADOS BRUTOS'!$A$3:$A$500,$B37,'DADOS BRUTOS'!AK$3:AK$500)+IF($C37="",0,SUMIF('DADOS BRUTOS'!$A$3:$A$500,$C37,'DADOS BRUTOS'!AK$3:AK$500)))</f>
        <v/>
      </c>
      <c r="DL37" s="132">
        <f>IF(OR(DL$4="",$B37=""),0,SUMIF('DADOS BRUTOS'!$A$3:$A$500,$B37,'DADOS BRUTOS'!AL$3:AL$500)+IF($C37="",0,SUMIF('DADOS BRUTOS'!$A$3:$A$500,$C37,'DADOS BRUTOS'!AL$3:AL$500)))</f>
        <v/>
      </c>
      <c r="DM37" s="132">
        <f>IF(OR(DM$4="",$B37=""),0,SUMIF('DADOS BRUTOS'!$A$3:$A$500,$B37,'DADOS BRUTOS'!AM$3:AM$500)+IF($C37="",0,SUMIF('DADOS BRUTOS'!$A$3:$A$500,$C37,'DADOS BRUTOS'!AM$3:AM$500)))</f>
        <v/>
      </c>
      <c r="DN37" s="132">
        <f>IF(OR(DN$4="",$B37=""),0,SUMIF('DADOS BRUTOS'!$A$3:$A$500,$B37,'DADOS BRUTOS'!AN$3:AN$500)+IF($C37="",0,SUMIF('DADOS BRUTOS'!$A$3:$A$500,$C37,'DADOS BRUTOS'!AN$3:AN$500)))</f>
        <v/>
      </c>
      <c r="DO37" s="132">
        <f>IF(OR(DO$4="",$B37=""),0,SUMIF('DADOS BRUTOS'!$A$3:$A$500,$B37,'DADOS BRUTOS'!AO$3:AO$500)+IF($C37="",0,SUMIF('DADOS BRUTOS'!$A$3:$A$500,$C37,'DADOS BRUTOS'!AO$3:AO$500)))</f>
        <v/>
      </c>
      <c r="DP37" s="132">
        <f>IF(OR(DP$4="",$B37=""),0,SUMIF('DADOS BRUTOS'!$A$3:$A$500,$B37,'DADOS BRUTOS'!AP$3:AP$500)+IF($C37="",0,SUMIF('DADOS BRUTOS'!$A$3:$A$500,$C37,'DADOS BRUTOS'!AP$3:AP$500)))</f>
        <v/>
      </c>
      <c r="DQ37" s="132">
        <f>IF(OR(DQ$4="",$B37=""),0,SUMIF('DADOS BRUTOS'!$A$3:$A$500,$B37,'DADOS BRUTOS'!AQ$3:AQ$500)+IF($C37="",0,SUMIF('DADOS BRUTOS'!$A$3:$A$500,$C37,'DADOS BRUTOS'!AQ$3:AQ$500)))</f>
        <v/>
      </c>
      <c r="DR37" s="132">
        <f>IF(OR(DR$4="",$B37=""),0,SUMIF('DADOS BRUTOS'!$A$3:$A$500,$B37,'DADOS BRUTOS'!AR$3:AR$500)+IF($C37="",0,SUMIF('DADOS BRUTOS'!$A$3:$A$500,$C37,'DADOS BRUTOS'!AR$3:AR$500)))</f>
        <v/>
      </c>
      <c r="DS37" s="132">
        <f>IF(OR(DS$4="",$B37=""),0,SUMIF('DADOS BRUTOS'!$A$3:$A$500,$B37,'DADOS BRUTOS'!AS$3:AS$500)+IF($C37="",0,SUMIF('DADOS BRUTOS'!$A$3:$A$500,$C37,'DADOS BRUTOS'!AS$3:AS$500)))</f>
        <v/>
      </c>
      <c r="DT37" s="132">
        <f>IF(OR(DT$4="",$B37=""),0,SUMIF('DADOS BRUTOS'!$A$3:$A$500,$B37,'DADOS BRUTOS'!AT$3:AT$500)+IF($C37="",0,SUMIF('DADOS BRUTOS'!$A$3:$A$500,$C37,'DADOS BRUTOS'!AT$3:AT$500)))</f>
        <v/>
      </c>
      <c r="DU37" s="132">
        <f>IF(OR(DU$4="",$B37=""),0,SUMIF('DADOS BRUTOS'!$A$3:$A$500,$B37,'DADOS BRUTOS'!AU$3:AU$500)+IF($C37="",0,SUMIF('DADOS BRUTOS'!$A$3:$A$500,$C37,'DADOS BRUTOS'!AU$3:AU$500)))</f>
        <v/>
      </c>
      <c r="DV37" s="132">
        <f>IF(OR(DV$4="",$B37=""),0,SUMIF('DADOS BRUTOS'!$A$3:$A$500,$B37,'DADOS BRUTOS'!AV$3:AV$500)+IF($C37="",0,SUMIF('DADOS BRUTOS'!$A$3:$A$500,$C37,'DADOS BRUTOS'!AV$3:AV$500)))</f>
        <v/>
      </c>
      <c r="DW37" s="132">
        <f>IF(OR(DW$4="",$B37=""),0,SUMIF('DADOS BRUTOS'!$A$3:$A$500,$B37,'DADOS BRUTOS'!AW$3:AW$500)+IF($C37="",0,SUMIF('DADOS BRUTOS'!$A$3:$A$500,$C37,'DADOS BRUTOS'!AW$3:AW$500)))</f>
        <v/>
      </c>
      <c r="DX37" s="132">
        <f>IF(OR(DX$4="",$B37=""),0,SUMIF('DADOS BRUTOS'!$A$3:$A$500,$B37,'DADOS BRUTOS'!AX$3:AX$500)+IF($C37="",0,SUMIF('DADOS BRUTOS'!$A$3:$A$500,$C37,'DADOS BRUTOS'!AX$3:AX$500)))</f>
        <v/>
      </c>
      <c r="DY37" s="132">
        <f>IF(OR(DY$4="",$B37=""),0,SUMIF('DADOS BRUTOS'!$A$3:$A$500,$B37,'DADOS BRUTOS'!AY$3:AY$500)+IF($C37="",0,SUMIF('DADOS BRUTOS'!$A$3:$A$500,$C37,'DADOS BRUTOS'!AY$3:AY$500)))</f>
        <v/>
      </c>
      <c r="DZ37" s="132">
        <f>IF(OR(DZ$4="",$B37=""),0,SUMIF('DADOS BRUTOS'!$A$3:$A$500,$B37,'DADOS BRUTOS'!AZ$3:AZ$500)+IF($C37="",0,SUMIF('DADOS BRUTOS'!$A$3:$A$500,$C37,'DADOS BRUTOS'!AZ$3:AZ$500)))</f>
        <v/>
      </c>
      <c r="EA37" s="132">
        <f>IF(OR(EA$4="",$B37=""),0,SUMIF('DADOS BRUTOS'!$A$3:$A$500,$B37,'DADOS BRUTOS'!BA$3:BA$500)+IF($C37="",0,SUMIF('DADOS BRUTOS'!$A$3:$A$500,$C37,'DADOS BRUTOS'!BA$3:BA$500)))</f>
        <v/>
      </c>
      <c r="EB37" s="132">
        <f>IF(OR(EB$4="",$B37=""),0,SUMIF('DADOS BRUTOS'!$A$3:$A$500,$B37,'DADOS BRUTOS'!BB$3:BB$500)+IF($C37="",0,SUMIF('DADOS BRUTOS'!$A$3:$A$500,$C37,'DADOS BRUTOS'!BB$3:BB$500)))</f>
        <v/>
      </c>
      <c r="EC37" s="132">
        <f>IF(OR(EC$4="",$B37=""),0,SUMIF('DADOS BRUTOS'!$A$3:$A$500,$B37,'DADOS BRUTOS'!BC$3:BC$500)+IF($C37="",0,SUMIF('DADOS BRUTOS'!$A$3:$A$500,$C37,'DADOS BRUTOS'!BC$3:BC$500)))</f>
        <v/>
      </c>
      <c r="ED37" s="132">
        <f>IF(OR(ED$4="",$B37=""),0,SUMIF('DADOS BRUTOS'!$A$3:$A$500,$B37,'DADOS BRUTOS'!BD$3:BD$500)+IF($C37="",0,SUMIF('DADOS BRUTOS'!$A$3:$A$500,$C37,'DADOS BRUTOS'!BD$3:BD$500)))</f>
        <v/>
      </c>
      <c r="EE37" s="132">
        <f>IF(OR(EE$4="",$B37=""),0,SUMIF('DADOS BRUTOS'!$A$3:$A$500,$B37,'DADOS BRUTOS'!BE$3:BE$500)+IF($C37="",0,SUMIF('DADOS BRUTOS'!$A$3:$A$500,$C37,'DADOS BRUTOS'!BE$3:BE$500)))</f>
        <v/>
      </c>
      <c r="EF37" s="132">
        <f>IF(OR(EF$4="",$B37=""),0,SUMIF('DADOS BRUTOS'!$A$3:$A$500,$B37,'DADOS BRUTOS'!BF$3:BF$500)+IF($C37="",0,SUMIF('DADOS BRUTOS'!$A$3:$A$500,$C37,'DADOS BRUTOS'!BF$3:BF$500)))</f>
        <v/>
      </c>
      <c r="EG37" s="132">
        <f>IF(OR(EG$4="",$B37=""),0,SUMIF('DADOS BRUTOS'!$A$3:$A$500,$B37,'DADOS BRUTOS'!BG$3:BG$500)+IF($C37="",0,SUMIF('DADOS BRUTOS'!$A$3:$A$500,$C37,'DADOS BRUTOS'!BG$3:BG$500)))</f>
        <v/>
      </c>
      <c r="EH37" s="132">
        <f>IF(OR(EH$4="",$B37=""),0,SUMIF('DADOS BRUTOS'!$A$3:$A$500,$B37,'DADOS BRUTOS'!BH$3:BH$500)+IF($C37="",0,SUMIF('DADOS BRUTOS'!$A$3:$A$500,$C37,'DADOS BRUTOS'!BH$3:BH$500)))</f>
        <v/>
      </c>
      <c r="EI37" s="132">
        <f>IF(OR(EI$4="",$B37=""),0,SUMIF('DADOS BRUTOS'!$A$3:$A$500,$B37,'DADOS BRUTOS'!BI$3:BI$500)+IF($C37="",0,SUMIF('DADOS BRUTOS'!$A$3:$A$500,$C37,'DADOS BRUTOS'!BI$3:BI$500)))</f>
        <v/>
      </c>
      <c r="EJ37" s="132">
        <f>IF(OR(EJ$4="",$B37=""),0,SUMIF('DADOS BRUTOS'!$A$3:$A$500,$B37,'DADOS BRUTOS'!BJ$3:BJ$500)+IF($C37="",0,SUMIF('DADOS BRUTOS'!$A$3:$A$500,$C37,'DADOS BRUTOS'!BJ$3:BJ$500)))</f>
        <v/>
      </c>
      <c r="EK37" s="132">
        <f>IF(OR(EK$4="",$B37=""),0,SUMIF('DADOS BRUTOS'!$A$3:$A$500,$B37,'DADOS BRUTOS'!BK$3:BK$500)+IF($C37="",0,SUMIF('DADOS BRUTOS'!$A$3:$A$500,$C37,'DADOS BRUTOS'!BK$3:BK$500)))</f>
        <v/>
      </c>
      <c r="EL37" s="132">
        <f>IF(OR(EL$4="",$B37=""),0,SUMIF('DADOS BRUTOS'!$A$3:$A$500,$B37,'DADOS BRUTOS'!BL$3:BL$500)+IF($C37="",0,SUMIF('DADOS BRUTOS'!$A$3:$A$500,$C37,'DADOS BRUTOS'!BL$3:BL$500)))</f>
        <v/>
      </c>
      <c r="EM37" s="132">
        <f>IF(OR(EM$4="",$B37=""),0,SUMIF('DADOS BRUTOS'!$A$3:$A$500,$B37,'DADOS BRUTOS'!BM$3:BM$500)+IF($C37="",0,SUMIF('DADOS BRUTOS'!$A$3:$A$500,$C37,'DADOS BRUTOS'!BM$3:BM$500)))</f>
        <v/>
      </c>
      <c r="EN37" s="132">
        <f>IF(OR(EN$4="",$B37=""),0,SUMIF('DADOS BRUTOS'!$A$3:$A$500,$B37,'DADOS BRUTOS'!BN$3:BN$500)+IF($C37="",0,SUMIF('DADOS BRUTOS'!$A$3:$A$500,$C37,'DADOS BRUTOS'!BN$3:BN$500)))</f>
        <v/>
      </c>
      <c r="EO37" s="132">
        <f>IF(OR(EO$4="",$B37=""),0,SUMIF('DADOS BRUTOS'!$A$3:$A$500,$B37,'DADOS BRUTOS'!BO$3:BO$500)+IF($C37="",0,SUMIF('DADOS BRUTOS'!$A$3:$A$500,$C37,'DADOS BRUTOS'!BO$3:BO$500)))</f>
        <v/>
      </c>
      <c r="EP37" s="132">
        <f>IF(OR(EP$4="",$B37=""),0,SUMIF('DADOS BRUTOS'!$A$3:$A$500,$B37,'DADOS BRUTOS'!BP$3:BP$500)+IF($C37="",0,SUMIF('DADOS BRUTOS'!$A$3:$A$500,$C37,'DADOS BRUTOS'!BP$3:BP$500)))</f>
        <v/>
      </c>
      <c r="EQ37" s="132">
        <f>IF(OR(EQ$4="",$B37=""),0,SUMIF('DADOS BRUTOS'!$A$3:$A$500,$B37,'DADOS BRUTOS'!BQ$3:BQ$500)+IF($C37="",0,SUMIF('DADOS BRUTOS'!$A$3:$A$500,$C37,'DADOS BRUTOS'!BQ$3:BQ$500)))</f>
        <v/>
      </c>
      <c r="ER37" s="132">
        <f>IF(OR(ER$4="",$B37=""),0,SUMIF('DADOS BRUTOS'!$A$3:$A$500,$B37,'DADOS BRUTOS'!BR$3:BR$500)+IF($C37="",0,SUMIF('DADOS BRUTOS'!$A$3:$A$500,$C37,'DADOS BRUTOS'!BR$3:BR$500)))</f>
        <v/>
      </c>
      <c r="ES37" s="132">
        <f>IF(OR(ES$4="",$B37=""),0,SUMIF('DADOS BRUTOS'!$A$3:$A$500,$B37,'DADOS BRUTOS'!BS$3:BS$500)+IF($C37="",0,SUMIF('DADOS BRUTOS'!$A$3:$A$500,$C37,'DADOS BRUTOS'!BS$3:BS$500)))</f>
        <v/>
      </c>
      <c r="ET37" s="132">
        <f>IF(OR(ET$4="",$B37=""),0,SUMIF('DADOS BRUTOS'!$A$3:$A$500,$B37,'DADOS BRUTOS'!BT$3:BT$500)+IF($C37="",0,SUMIF('DADOS BRUTOS'!$A$3:$A$500,$C37,'DADOS BRUTOS'!BT$3:BT$500)))</f>
        <v/>
      </c>
      <c r="EU37" s="132">
        <f>IF(OR(EU$4="",$B37=""),0,SUMIF('DADOS BRUTOS'!$A$3:$A$500,$B37,'DADOS BRUTOS'!BU$3:BU$500)+IF($C37="",0,SUMIF('DADOS BRUTOS'!$A$3:$A$500,$C37,'DADOS BRUTOS'!BU$3:BU$500)))</f>
        <v/>
      </c>
      <c r="EV37" s="132">
        <f>IF(OR(EV$4="",$B37=""),0,SUMIF('DADOS BRUTOS'!$A$3:$A$500,$B37,'DADOS BRUTOS'!BV$3:BV$500)+IF($C37="",0,SUMIF('DADOS BRUTOS'!$A$3:$A$500,$C37,'DADOS BRUTOS'!BV$3:BV$500)))</f>
        <v/>
      </c>
      <c r="EW37" s="132">
        <f>IF(OR(EW$4="",$B37=""),0,SUMIF('DADOS BRUTOS'!$A$3:$A$500,$B37,'DADOS BRUTOS'!BW$3:BW$500)+IF($C37="",0,SUMIF('DADOS BRUTOS'!$A$3:$A$500,$C37,'DADOS BRUTOS'!BW$3:BW$500)))</f>
        <v/>
      </c>
      <c r="EX37" s="132">
        <f>IF(OR(EX$4="",$B37=""),0,SUMIF('DADOS BRUTOS'!$A$3:$A$500,$B37,'DADOS BRUTOS'!BX$3:BX$500)+IF($C37="",0,SUMIF('DADOS BRUTOS'!$A$3:$A$500,$C37,'DADOS BRUTOS'!BX$3:BX$500)))</f>
        <v/>
      </c>
      <c r="EY37" s="132">
        <f>IF(OR(EY$4="",$B37=""),0,SUMIF('DADOS BRUTOS'!$A$3:$A$500,$B37,'DADOS BRUTOS'!BY$3:BY$500)+IF($C37="",0,SUMIF('DADOS BRUTOS'!$A$3:$A$500,$C37,'DADOS BRUTOS'!BY$3:BY$500)))</f>
        <v/>
      </c>
      <c r="EZ37" s="132">
        <f>IF(OR(EZ$4="",$B37=""),0,SUMIF('DADOS BRUTOS'!$A$3:$A$500,$B37,'DADOS BRUTOS'!BZ$3:BZ$500)+IF($C37="",0,SUMIF('DADOS BRUTOS'!$A$3:$A$500,$C37,'DADOS BRUTOS'!BZ$3:BZ$500)))</f>
        <v/>
      </c>
      <c r="FA37" s="132">
        <f>IF(OR(FA$4="",$B37=""),0,SUMIF('DADOS BRUTOS'!$A$3:$A$500,$B37,'DADOS BRUTOS'!CA$3:CA$500)+IF($C37="",0,SUMIF('DADOS BRUTOS'!$A$3:$A$500,$C37,'DADOS BRUTOS'!CA$3:CA$500)))</f>
        <v/>
      </c>
      <c r="FB37" s="132">
        <f>IF(OR(FB$4="",$B37=""),0,SUMIF('DADOS BRUTOS'!$A$3:$A$500,$B37,'DADOS BRUTOS'!CB$3:CB$500)+IF($C37="",0,SUMIF('DADOS BRUTOS'!$A$3:$A$500,$C37,'DADOS BRUTOS'!CB$3:CB$500)))</f>
        <v/>
      </c>
      <c r="FC37" s="132">
        <f>IF(OR(FC$4="",$B37=""),0,SUMIF('DADOS BRUTOS'!$A$3:$A$500,$B37,'DADOS BRUTOS'!CC$3:CC$500)+IF($C37="",0,SUMIF('DADOS BRUTOS'!$A$3:$A$500,$C37,'DADOS BRUTOS'!CC$3:CC$500)))</f>
        <v/>
      </c>
      <c r="FD37" s="132">
        <f>IF(OR(FD$4="",$B37=""),0,SUMIF('DADOS BRUTOS'!$A$3:$A$500,$B37,'DADOS BRUTOS'!CD$3:CD$500)+IF($C37="",0,SUMIF('DADOS BRUTOS'!$A$3:$A$500,$C37,'DADOS BRUTOS'!CD$3:CD$500)))</f>
        <v/>
      </c>
      <c r="FE37" s="132">
        <f>IF(OR(FE$4="",$B37=""),0,SUMIF('DADOS BRUTOS'!$A$3:$A$500,$B37,'DADOS BRUTOS'!CE$3:CE$500)+IF($C37="",0,SUMIF('DADOS BRUTOS'!$A$3:$A$500,$C37,'DADOS BRUTOS'!CE$3:CE$500)))</f>
        <v/>
      </c>
      <c r="FF37" s="132">
        <f>IF(OR(FF$4="",$B37=""),0,SUMIF('DADOS BRUTOS'!$A$3:$A$500,$B37,'DADOS BRUTOS'!CF$3:CF$500)+IF($C37="",0,SUMIF('DADOS BRUTOS'!$A$3:$A$500,$C37,'DADOS BRUTOS'!CF$3:CF$500)))</f>
        <v/>
      </c>
      <c r="FG37" s="132">
        <f>IF(OR(FG$4="",$B37=""),0,SUMIF('DADOS BRUTOS'!$A$3:$A$500,$B37,'DADOS BRUTOS'!CG$3:CG$500)+IF($C37="",0,SUMIF('DADOS BRUTOS'!$A$3:$A$500,$C37,'DADOS BRUTOS'!CG$3:CG$500)))</f>
        <v/>
      </c>
      <c r="FH37" s="132">
        <f>IF(OR(FH$4="",$B37=""),0,SUMIF('DADOS BRUTOS'!$A$3:$A$500,$B37,'DADOS BRUTOS'!CH$3:CH$500)+IF($C37="",0,SUMIF('DADOS BRUTOS'!$A$3:$A$500,$C37,'DADOS BRUTOS'!CH$3:CH$500)))</f>
        <v/>
      </c>
      <c r="FI37" s="132">
        <f>IF(OR(FI$4="",$B37=""),0,SUMIF('DADOS BRUTOS'!$A$3:$A$500,$B37,'DADOS BRUTOS'!CI$3:CI$500)+IF($C37="",0,SUMIF('DADOS BRUTOS'!$A$3:$A$500,$C37,'DADOS BRUTOS'!CI$3:CI$500)))</f>
        <v/>
      </c>
      <c r="FJ37" s="132">
        <f>IF(OR(FJ$4="",$B37=""),0,SUMIF('DADOS BRUTOS'!$A$3:$A$500,$B37,'DADOS BRUTOS'!CJ$3:CJ$500)+IF($C37="",0,SUMIF('DADOS BRUTOS'!$A$3:$A$500,$C37,'DADOS BRUTOS'!CJ$3:CJ$500)))</f>
        <v/>
      </c>
      <c r="FK37" s="132">
        <f>IF(OR(FK$4="",$B37=""),0,SUMIF('DADOS BRUTOS'!$A$3:$A$500,$B37,'DADOS BRUTOS'!CK$3:CK$500)+IF($C37="",0,SUMIF('DADOS BRUTOS'!$A$3:$A$500,$C37,'DADOS BRUTOS'!CK$3:CK$500)))</f>
        <v/>
      </c>
      <c r="FL37" s="132">
        <f>IF(OR(FL$4="",$B37=""),0,SUMIF('DADOS BRUTOS'!$A$3:$A$500,$B37,'DADOS BRUTOS'!CL$3:CL$500)+IF($C37="",0,SUMIF('DADOS BRUTOS'!$A$3:$A$500,$C37,'DADOS BRUTOS'!CL$3:CL$500)))</f>
        <v/>
      </c>
      <c r="FM37" s="132">
        <f>IF(OR(FM$4="",$B37=""),0,SUMIF('DADOS BRUTOS'!$A$3:$A$500,$B37,'DADOS BRUTOS'!CM$3:CM$500)+IF($C37="",0,SUMIF('DADOS BRUTOS'!$A$3:$A$500,$C37,'DADOS BRUTOS'!CM$3:CM$500)))</f>
        <v/>
      </c>
      <c r="FN37" s="132">
        <f>IF(OR(FN$4="",$B37=""),0,SUMIF('DADOS BRUTOS'!$A$3:$A$500,$B37,'DADOS BRUTOS'!CN$3:CN$500)+IF($C37="",0,SUMIF('DADOS BRUTOS'!$A$3:$A$500,$C37,'DADOS BRUTOS'!CN$3:CN$500)))</f>
        <v/>
      </c>
      <c r="FO37" s="132">
        <f>IF(OR(FO$4="",$B37=""),0,SUMIF('DADOS BRUTOS'!$A$3:$A$500,$B37,'DADOS BRUTOS'!CO$3:CO$500)+IF($C37="",0,SUMIF('DADOS BRUTOS'!$A$3:$A$500,$C37,'DADOS BRUTOS'!CO$3:CO$500)))</f>
        <v/>
      </c>
      <c r="FP37" s="132">
        <f>IF(OR(FP$4="",$B37=""),0,SUMIF('DADOS BRUTOS'!$A$3:$A$500,$B37,'DADOS BRUTOS'!CP$3:CP$500)+IF($C37="",0,SUMIF('DADOS BRUTOS'!$A$3:$A$500,$C37,'DADOS BRUTOS'!CP$3:CP$500)))</f>
        <v/>
      </c>
      <c r="FQ37" s="132">
        <f>IF(OR(FQ$4="",$B37=""),0,SUMIF('DADOS BRUTOS'!$A$3:$A$500,$B37,'DADOS BRUTOS'!CQ$3:CQ$500)+IF($C37="",0,SUMIF('DADOS BRUTOS'!$A$3:$A$500,$C37,'DADOS BRUTOS'!CQ$3:CQ$500)))</f>
        <v/>
      </c>
      <c r="FR37" s="132">
        <f>IF(OR(FR$4="",$B37=""),0,SUMIF('DADOS BRUTOS'!$A$3:$A$500,$B37,'DADOS BRUTOS'!CR$3:CR$500)+IF($C37="",0,SUMIF('DADOS BRUTOS'!$A$3:$A$500,$C37,'DADOS BRUTOS'!CR$3:CR$500)))</f>
        <v/>
      </c>
      <c r="FS37" s="132">
        <f>IF(OR(FS$4="",$B37=""),0,SUMIF('DADOS BRUTOS'!$A$3:$A$500,$B37,'DADOS BRUTOS'!CS$3:CS$500)+IF($C37="",0,SUMIF('DADOS BRUTOS'!$A$3:$A$500,$C37,'DADOS BRUTOS'!CS$3:CS$500)))</f>
        <v/>
      </c>
      <c r="FT37" s="132">
        <f>IF(OR(FT$4="",$B37=""),0,SUMIF('DADOS BRUTOS'!$A$3:$A$500,$B37,'DADOS BRUTOS'!CT$3:CT$500)+IF($C37="",0,SUMIF('DADOS BRUTOS'!$A$3:$A$500,$C37,'DADOS BRUTOS'!CT$3:CT$500)))</f>
        <v/>
      </c>
      <c r="FU37" s="132">
        <f>IF(OR(FU$4="",$B37=""),0,SUMIF('DADOS BRUTOS'!$A$3:$A$500,$B37,'DADOS BRUTOS'!CU$3:CU$500)+IF($C37="",0,SUMIF('DADOS BRUTOS'!$A$3:$A$500,$C37,'DADOS BRUTOS'!CU$3:CU$500)))</f>
        <v/>
      </c>
      <c r="FV37" s="132">
        <f>IF(OR(FV$4="",$B37=""),0,SUMIF('DADOS BRUTOS'!$A$3:$A$500,$B37,'DADOS BRUTOS'!CV$3:CV$500)+IF($C37="",0,SUMIF('DADOS BRUTOS'!$A$3:$A$500,$C37,'DADOS BRUTOS'!CV$3:CV$500)))</f>
        <v/>
      </c>
      <c r="FW37" s="132">
        <f>IF(OR(FW$4="",$B37=""),0,SUMIF('DADOS BRUTOS'!$A$3:$A$500,$B37,'DADOS BRUTOS'!CW$3:CW$500)+IF($C37="",0,SUMIF('DADOS BRUTOS'!$A$3:$A$500,$C37,'DADOS BRUTOS'!CW$3:CW$500)))</f>
        <v/>
      </c>
      <c r="FX37" s="132">
        <f>IF(OR(FX$4="",$B37=""),0,SUMIF('DADOS BRUTOS'!$A$3:$A$500,$B37,'DADOS BRUTOS'!CX$3:CX$500)+IF($C37="",0,SUMIF('DADOS BRUTOS'!$A$3:$A$500,$C37,'DADOS BRUTOS'!CX$3:CX$500)))</f>
        <v/>
      </c>
      <c r="FY37" s="132">
        <f>IF(OR(FY$4="",$B37=""),0,SUMIF('DADOS BRUTOS'!$A$3:$A$500,$B37,'DADOS BRUTOS'!CY$3:CY$500)+IF($C37="",0,SUMIF('DADOS BRUTOS'!$A$3:$A$500,$C37,'DADOS BRUTOS'!CY$3:CY$500)))</f>
        <v/>
      </c>
      <c r="FZ37" s="132">
        <f>IF(OR(FZ$4="",$B37=""),0,SUMIF('DADOS BRUTOS'!$A$3:$A$500,$B37,'DADOS BRUTOS'!CZ$3:CZ$500)+IF($C37="",0,SUMIF('DADOS BRUTOS'!$A$3:$A$500,$C37,'DADOS BRUTOS'!CZ$3:CZ$500)))</f>
        <v/>
      </c>
      <c r="GA37" s="132">
        <f>IF(OR(GA$4="",$B37=""),0,SUMIF('DADOS BRUTOS'!$A$3:$A$500,$B37,'DADOS BRUTOS'!DA$3:DA$500)+IF($C37="",0,SUMIF('DADOS BRUTOS'!$A$3:$A$500,$C37,'DADOS BRUTOS'!DA$3:DA$500)))</f>
        <v/>
      </c>
      <c r="GB37" s="132">
        <f>IF(OR(GB$4="",$B37=""),0,SUMIF('DADOS BRUTOS'!$A$3:$A$500,$B37,'DADOS BRUTOS'!DB$3:DB$500)+IF($C37="",0,SUMIF('DADOS BRUTOS'!$A$3:$A$500,$C37,'DADOS BRUTOS'!DB$3:DB$500)))</f>
        <v/>
      </c>
      <c r="GC37" s="132">
        <f>IF(OR(GC$4="",$B37=""),0,SUMIF('DADOS BRUTOS'!$A$3:$A$500,$B37,'DADOS BRUTOS'!DC$3:DC$500)+IF($C37="",0,SUMIF('DADOS BRUTOS'!$A$3:$A$500,$C37,'DADOS BRUTOS'!DC$3:DC$500)))</f>
        <v/>
      </c>
      <c r="GD37" s="132">
        <f>IF(OR(GD$4="",$B37=""),0,SUMIF('DADOS BRUTOS'!$A$3:$A$500,$B37,'DADOS BRUTOS'!DD$3:DD$500)+IF($C37="",0,SUMIF('DADOS BRUTOS'!$A$3:$A$500,$C37,'DADOS BRUTOS'!DD$3:DD$500)))</f>
        <v/>
      </c>
      <c r="GE37" s="132">
        <f>IF(OR(GE$4="",$B37=""),0,SUMIF('DADOS BRUTOS'!$A$3:$A$500,$B37,'DADOS BRUTOS'!DE$3:DE$500)+IF($C37="",0,SUMIF('DADOS BRUTOS'!$A$3:$A$500,$C37,'DADOS BRUTOS'!DE$3:DE$500)))</f>
        <v/>
      </c>
      <c r="GF37" s="132">
        <f>IF(OR(GF$4="",$B37=""),0,SUMIF('DADOS BRUTOS'!$A$3:$A$500,$B37,'DADOS BRUTOS'!DF$3:DF$500)+IF($C37="",0,SUMIF('DADOS BRUTOS'!$A$3:$A$500,$C37,'DADOS BRUTOS'!DF$3:DF$500)))</f>
        <v/>
      </c>
      <c r="GG37" s="132">
        <f>IF(OR(GG$4="",$B37=""),0,SUMIF('DADOS BRUTOS'!$A$3:$A$500,$B37,'DADOS BRUTOS'!DG$3:DG$500)+IF($C37="",0,SUMIF('DADOS BRUTOS'!$A$3:$A$500,$C37,'DADOS BRUTOS'!DG$3:DG$500)))</f>
        <v/>
      </c>
      <c r="GH37" s="132">
        <f>IF(OR(GH$4="",$B37=""),0,SUMIF('DADOS BRUTOS'!$A$3:$A$500,$B37,'DADOS BRUTOS'!DH$3:DH$500)+IF($C37="",0,SUMIF('DADOS BRUTOS'!$A$3:$A$500,$C37,'DADOS BRUTOS'!DH$3:DH$500)))</f>
        <v/>
      </c>
      <c r="GI37" s="132">
        <f>IF(OR(GI$4="",$B37=""),0,SUMIF('DADOS BRUTOS'!$A$3:$A$500,$B37,'DADOS BRUTOS'!DI$3:DI$500)+IF($C37="",0,SUMIF('DADOS BRUTOS'!$A$3:$A$500,$C37,'DADOS BRUTOS'!DI$3:DI$500)))</f>
        <v/>
      </c>
      <c r="GJ37" s="132">
        <f>IF(OR(GJ$4="",$B37=""),0,SUMIF('DADOS BRUTOS'!$A$3:$A$500,$B37,'DADOS BRUTOS'!DJ$3:DJ$500)+IF($C37="",0,SUMIF('DADOS BRUTOS'!$A$3:$A$500,$C37,'DADOS BRUTOS'!DJ$3:DJ$500)))</f>
        <v/>
      </c>
      <c r="GK37" s="132">
        <f>IF(OR(GK$4="",$B37=""),0,SUMIF('DADOS BRUTOS'!$A$3:$A$500,$B37,'DADOS BRUTOS'!DK$3:DK$500)+IF($C37="",0,SUMIF('DADOS BRUTOS'!$A$3:$A$500,$C37,'DADOS BRUTOS'!DK$3:DK$500)))</f>
        <v/>
      </c>
      <c r="GL37" s="132">
        <f>IF(OR(GL$4="",$B37=""),0,SUMIF('DADOS BRUTOS'!$A$3:$A$500,$B37,'DADOS BRUTOS'!DL$3:DL$500)+IF($C37="",0,SUMIF('DADOS BRUTOS'!$A$3:$A$500,$C37,'DADOS BRUTOS'!DL$3:DL$500)))</f>
        <v/>
      </c>
      <c r="GM37" s="132">
        <f>IF(OR(GM$4="",$B37=""),0,SUMIF('DADOS BRUTOS'!$A$3:$A$500,$B37,'DADOS BRUTOS'!DM$3:DM$500)+IF($C37="",0,SUMIF('DADOS BRUTOS'!$A$3:$A$500,$C37,'DADOS BRUTOS'!DM$3:DM$500)))</f>
        <v/>
      </c>
      <c r="GN37" s="132">
        <f>IF(OR(GN$4="",$B37=""),0,SUMIF('DADOS BRUTOS'!$A$3:$A$500,$B37,'DADOS BRUTOS'!DN$3:DN$500)+IF($C37="",0,SUMIF('DADOS BRUTOS'!$A$3:$A$500,$C37,'DADOS BRUTOS'!DN$3:DN$500)))</f>
        <v/>
      </c>
      <c r="GO37" s="132">
        <f>IF(OR(GO$4="",$B37=""),0,SUMIF('DADOS BRUTOS'!$A$3:$A$500,$B37,'DADOS BRUTOS'!DO$3:DO$500)+IF($C37="",0,SUMIF('DADOS BRUTOS'!$A$3:$A$500,$C37,'DADOS BRUTOS'!DO$3:DO$500)))</f>
        <v/>
      </c>
      <c r="GP37" s="132">
        <f>IF(OR(GP$4="",$B37=""),0,SUMIF('DADOS BRUTOS'!$A$3:$A$500,$B37,'DADOS BRUTOS'!DP$3:DP$500)+IF($C37="",0,SUMIF('DADOS BRUTOS'!$A$3:$A$500,$C37,'DADOS BRUTOS'!DP$3:DP$500)))</f>
        <v/>
      </c>
      <c r="GQ37" s="132">
        <f>IF(OR(GQ$4="",$B37=""),0,SUMIF('DADOS BRUTOS'!$A$3:$A$500,$B37,'DADOS BRUTOS'!DQ$3:DQ$500)+IF($C37="",0,SUMIF('DADOS BRUTOS'!$A$3:$A$500,$C37,'DADOS BRUTOS'!DQ$3:DQ$500)))</f>
        <v/>
      </c>
      <c r="GR37" s="132">
        <f>IF(OR(GR$4="",$B37=""),0,SUMIF('DADOS BRUTOS'!$A$3:$A$500,$B37,'DADOS BRUTOS'!DR$3:DR$500)+IF($C37="",0,SUMIF('DADOS BRUTOS'!$A$3:$A$500,$C37,'DADOS BRUTOS'!DR$3:DR$500)))</f>
        <v/>
      </c>
      <c r="GS37" s="132">
        <f>IF(OR(GS$4="",$B37=""),0,SUMIF('DADOS BRUTOS'!$A$3:$A$500,$B37,'DADOS BRUTOS'!DS$3:DS$500)+IF($C37="",0,SUMIF('DADOS BRUTOS'!$A$3:$A$500,$C37,'DADOS BRUTOS'!DS$3:DS$500)))</f>
        <v/>
      </c>
      <c r="GT37" s="132">
        <f>IF(OR(GT$4="",$B37=""),0,SUMIF('DADOS BRUTOS'!$A$3:$A$500,$B37,'DADOS BRUTOS'!DT$3:DT$500)+IF($C37="",0,SUMIF('DADOS BRUTOS'!$A$3:$A$500,$C37,'DADOS BRUTOS'!DT$3:DT$500)))</f>
        <v/>
      </c>
      <c r="GU37" s="132">
        <f>IF(OR(GU$4="",$B37=""),0,SUMIF('DADOS BRUTOS'!$A$3:$A$500,$B37,'DADOS BRUTOS'!DU$3:DU$500)+IF($C37="",0,SUMIF('DADOS BRUTOS'!$A$3:$A$500,$C37,'DADOS BRUTOS'!DU$3:DU$500)))</f>
        <v/>
      </c>
      <c r="GV37" s="132">
        <f>IF(OR(GV$4="",$B37=""),0,SUMIF('DADOS BRUTOS'!$A$3:$A$500,$B37,'DADOS BRUTOS'!DV$3:DV$500)+IF($C37="",0,SUMIF('DADOS BRUTOS'!$A$3:$A$500,$C37,'DADOS BRUTOS'!DV$3:DV$500)))</f>
        <v/>
      </c>
      <c r="GW37" s="132">
        <f>IF(OR(GW$4="",$B37=""),0,SUMIF('DADOS BRUTOS'!$A$3:$A$500,$B37,'DADOS BRUTOS'!DW$3:DW$500)+IF($C37="",0,SUMIF('DADOS BRUTOS'!$A$3:$A$500,$C37,'DADOS BRUTOS'!DW$3:DW$500)))</f>
        <v/>
      </c>
      <c r="GX37" s="132">
        <f>IF(OR(GX$4="",$B37=""),0,SUMIF('DADOS BRUTOS'!$A$3:$A$500,$B37,'DADOS BRUTOS'!DX$3:DX$500)+IF($C37="",0,SUMIF('DADOS BRUTOS'!$A$3:$A$500,$C37,'DADOS BRUTOS'!DX$3:DX$500)))</f>
        <v/>
      </c>
      <c r="GY37" s="132">
        <f>IF(OR(GY$4="",$B37=""),0,SUMIF('DADOS BRUTOS'!$A$3:$A$500,$B37,'DADOS BRUTOS'!DY$3:DY$500)+IF($C37="",0,SUMIF('DADOS BRUTOS'!$A$3:$A$500,$C37,'DADOS BRUTOS'!DY$3:DY$500)))</f>
        <v/>
      </c>
      <c r="GZ37" s="132">
        <f>IF(OR(GZ$4="",$B37=""),0,SUMIF('DADOS BRUTOS'!$A$3:$A$500,$B37,'DADOS BRUTOS'!DZ$3:DZ$500)+IF($C37="",0,SUMIF('DADOS BRUTOS'!$A$3:$A$500,$C37,'DADOS BRUTOS'!DZ$3:DZ$500)))</f>
        <v/>
      </c>
      <c r="HA37" s="132">
        <f>IF(OR(HA$4="",$B37=""),0,SUMIF('DADOS BRUTOS'!$A$3:$A$500,$B37,'DADOS BRUTOS'!EA$3:EA$500)+IF($C37="",0,SUMIF('DADOS BRUTOS'!$A$3:$A$500,$C37,'DADOS BRUTOS'!EA$3:EA$500)))</f>
        <v/>
      </c>
      <c r="HB37" s="132">
        <f>IF(OR(HB$4="",$B37=""),0,SUMIF('DADOS BRUTOS'!$A$3:$A$500,$B37,'DADOS BRUTOS'!EB$3:EB$500)+IF($C37="",0,SUMIF('DADOS BRUTOS'!$A$3:$A$500,$C37,'DADOS BRUTOS'!EB$3:EB$500)))</f>
        <v/>
      </c>
      <c r="HC37" s="132">
        <f>IF(OR(HC$4="",$B37=""),0,SUMIF('DADOS BRUTOS'!$A$3:$A$500,$B37,'DADOS BRUTOS'!EC$3:EC$500)+IF($C37="",0,SUMIF('DADOS BRUTOS'!$A$3:$A$500,$C37,'DADOS BRUTOS'!EC$3:EC$500)))</f>
        <v/>
      </c>
      <c r="HD37" s="132">
        <f>IF(OR(HD$4="",$B37=""),0,SUMIF('DADOS BRUTOS'!$A$3:$A$500,$B37,'DADOS BRUTOS'!ED$3:ED$500)+IF($C37="",0,SUMIF('DADOS BRUTOS'!$A$3:$A$500,$C37,'DADOS BRUTOS'!ED$3:ED$500)))</f>
        <v/>
      </c>
      <c r="HE37" s="132">
        <f>IF(OR(HE$4="",$B37=""),0,SUMIF('DADOS BRUTOS'!$A$3:$A$500,$B37,'DADOS BRUTOS'!EE$3:EE$500)+IF($C37="",0,SUMIF('DADOS BRUTOS'!$A$3:$A$500,$C37,'DADOS BRUTOS'!EE$3:EE$500)))</f>
        <v/>
      </c>
      <c r="HF37" s="132">
        <f>IF(OR(HF$4="",$B37=""),0,SUMIF('DADOS BRUTOS'!$A$3:$A$500,$B37,'DADOS BRUTOS'!EF$3:EF$500)+IF($C37="",0,SUMIF('DADOS BRUTOS'!$A$3:$A$500,$C37,'DADOS BRUTOS'!EF$3:EF$500)))</f>
        <v/>
      </c>
      <c r="HG37" s="132">
        <f>IF(OR(HG$4="",$B37=""),0,SUMIF('DADOS BRUTOS'!$A$3:$A$500,$B37,'DADOS BRUTOS'!EG$3:EG$500)+IF($C37="",0,SUMIF('DADOS BRUTOS'!$A$3:$A$500,$C37,'DADOS BRUTOS'!EG$3:EG$500)))</f>
        <v/>
      </c>
      <c r="HH37" s="132">
        <f>IF(OR(HH$4="",$B37=""),0,SUMIF('DADOS BRUTOS'!$A$3:$A$500,$B37,'DADOS BRUTOS'!EH$3:EH$500)+IF($C37="",0,SUMIF('DADOS BRUTOS'!$A$3:$A$500,$C37,'DADOS BRUTOS'!EH$3:EH$500)))</f>
        <v/>
      </c>
      <c r="HI37" s="132">
        <f>IF(OR(HI$4="",$B37=""),0,SUMIF('DADOS BRUTOS'!$A$3:$A$500,$B37,'DADOS BRUTOS'!EI$3:EI$500)+IF($C37="",0,SUMIF('DADOS BRUTOS'!$A$3:$A$500,$C37,'DADOS BRUTOS'!EI$3:EI$500)))</f>
        <v/>
      </c>
      <c r="HJ37" s="132">
        <f>IF(OR(HJ$4="",$B37=""),0,SUMIF('DADOS BRUTOS'!$A$3:$A$500,$B37,'DADOS BRUTOS'!EJ$3:EJ$500)+IF($C37="",0,SUMIF('DADOS BRUTOS'!$A$3:$A$500,$C37,'DADOS BRUTOS'!EJ$3:EJ$500)))</f>
        <v/>
      </c>
      <c r="HK37" s="132">
        <f>IF(OR(HK$4="",$B37=""),0,SUMIF('DADOS BRUTOS'!$A$3:$A$500,$B37,'DADOS BRUTOS'!EK$3:EK$500)+IF($C37="",0,SUMIF('DADOS BRUTOS'!$A$3:$A$500,$C37,'DADOS BRUTOS'!EK$3:EK$500)))</f>
        <v/>
      </c>
      <c r="HL37" s="132">
        <f>IF(OR(HL$4="",$B37=""),0,SUMIF('DADOS BRUTOS'!$A$3:$A$500,$B37,'DADOS BRUTOS'!EL$3:EL$500)+IF($C37="",0,SUMIF('DADOS BRUTOS'!$A$3:$A$500,$C37,'DADOS BRUTOS'!EL$3:EL$500)))</f>
        <v/>
      </c>
      <c r="HM37" s="132">
        <f>IF(OR(HM$4="",$B37=""),0,SUMIF('DADOS BRUTOS'!$A$3:$A$500,$B37,'DADOS BRUTOS'!EM$3:EM$500)+IF($C37="",0,SUMIF('DADOS BRUTOS'!$A$3:$A$500,$C37,'DADOS BRUTOS'!EM$3:EM$500)))</f>
        <v/>
      </c>
      <c r="HN37" s="132">
        <f>IF(OR(HN$4="",$B37=""),0,SUMIF('DADOS BRUTOS'!$A$3:$A$500,$B37,'DADOS BRUTOS'!EN$3:EN$500)+IF($C37="",0,SUMIF('DADOS BRUTOS'!$A$3:$A$500,$C37,'DADOS BRUTOS'!EN$3:EN$500)))</f>
        <v/>
      </c>
      <c r="HO37" s="132">
        <f>IF(OR(HO$4="",$B37=""),0,SUMIF('DADOS BRUTOS'!$A$3:$A$500,$B37,'DADOS BRUTOS'!EO$3:EO$500)+IF($C37="",0,SUMIF('DADOS BRUTOS'!$A$3:$A$500,$C37,'DADOS BRUTOS'!EO$3:EO$500)))</f>
        <v/>
      </c>
      <c r="HP37" s="132">
        <f>IF(OR(HP$4="",$B37=""),0,SUMIF('DADOS BRUTOS'!$A$3:$A$500,$B37,'DADOS BRUTOS'!EP$3:EP$500)+IF($C37="",0,SUMIF('DADOS BRUTOS'!$A$3:$A$500,$C37,'DADOS BRUTOS'!EP$3:EP$500)))</f>
        <v/>
      </c>
      <c r="HQ37" s="132">
        <f>IF(OR(HQ$4="",$B37=""),0,SUMIF('DADOS BRUTOS'!$A$3:$A$500,$B37,'DADOS BRUTOS'!EQ$3:EQ$500)+IF($C37="",0,SUMIF('DADOS BRUTOS'!$A$3:$A$500,$C37,'DADOS BRUTOS'!EQ$3:EQ$500)))</f>
        <v/>
      </c>
      <c r="HR37" s="132">
        <f>IF(OR(HR$4="",$B37=""),0,SUMIF('DADOS BRUTOS'!$A$3:$A$500,$B37,'DADOS BRUTOS'!ER$3:ER$500)+IF($C37="",0,SUMIF('DADOS BRUTOS'!$A$3:$A$500,$C37,'DADOS BRUTOS'!ER$3:ER$500)))</f>
        <v/>
      </c>
      <c r="HS37" s="132">
        <f>IF(OR(HS$4="",$B37=""),0,SUMIF('DADOS BRUTOS'!$A$3:$A$500,$B37,'DADOS BRUTOS'!ES$3:ES$500)+IF($C37="",0,SUMIF('DADOS BRUTOS'!$A$3:$A$500,$C37,'DADOS BRUTOS'!ES$3:ES$500)))</f>
        <v/>
      </c>
      <c r="HT37" s="132">
        <f>IF(OR(HT$4="",$B37=""),0,SUMIF('DADOS BRUTOS'!$A$3:$A$500,$B37,'DADOS BRUTOS'!ET$3:ET$500)+IF($C37="",0,SUMIF('DADOS BRUTOS'!$A$3:$A$500,$C37,'DADOS BRUTOS'!ET$3:ET$500)))</f>
        <v/>
      </c>
      <c r="HU37" s="132">
        <f>IF(OR(HU$4="",$B37=""),0,SUMIF('DADOS BRUTOS'!$A$3:$A$500,$B37,'DADOS BRUTOS'!EU$3:EU$500)+IF($C37="",0,SUMIF('DADOS BRUTOS'!$A$3:$A$500,$C37,'DADOS BRUTOS'!EU$3:EU$500)))</f>
        <v/>
      </c>
      <c r="HV37" s="132">
        <f>IF(OR(HV$4="",$B37=""),0,SUMIF('DADOS BRUTOS'!$A$3:$A$500,$B37,'DADOS BRUTOS'!EV$3:EV$500)+IF($C37="",0,SUMIF('DADOS BRUTOS'!$A$3:$A$500,$C37,'DADOS BRUTOS'!EV$3:EV$500)))</f>
        <v/>
      </c>
      <c r="HW37" s="132">
        <f>IF(OR(HW$4="",$B37=""),0,SUMIF('DADOS BRUTOS'!$A$3:$A$500,$B37,'DADOS BRUTOS'!EW$3:EW$500)+IF($C37="",0,SUMIF('DADOS BRUTOS'!$A$3:$A$500,$C37,'DADOS BRUTOS'!EW$3:EW$500)))</f>
        <v/>
      </c>
      <c r="HX37" s="132">
        <f>IF(OR(HX$4="",$B37=""),0,SUMIF('DADOS BRUTOS'!$A$3:$A$500,$B37,'DADOS BRUTOS'!EX$3:EX$500)+IF($C37="",0,SUMIF('DADOS BRUTOS'!$A$3:$A$500,$C37,'DADOS BRUTOS'!EX$3:EX$500)))</f>
        <v/>
      </c>
      <c r="HY37" s="132">
        <f>IF(OR(HY$4="",$B37=""),0,SUMIF('DADOS BRUTOS'!$A$3:$A$500,$B37,'DADOS BRUTOS'!EY$3:EY$500)+IF($C37="",0,SUMIF('DADOS BRUTOS'!$A$3:$A$500,$C37,'DADOS BRUTOS'!EY$3:EY$500)))</f>
        <v/>
      </c>
      <c r="HZ37" s="132">
        <f>IF(OR(HZ$4="",$B37=""),0,SUMIF('DADOS BRUTOS'!$A$3:$A$500,$B37,'DADOS BRUTOS'!EZ$3:EZ$500)+IF($C37="",0,SUMIF('DADOS BRUTOS'!$A$3:$A$500,$C37,'DADOS BRUTOS'!EZ$3:EZ$500)))</f>
        <v/>
      </c>
      <c r="IA37" s="132">
        <f>IF(OR(IA$4="",$B37=""),0,SUMIF('DADOS BRUTOS'!$A$3:$A$500,$B37,'DADOS BRUTOS'!FA$3:FA$500)+IF($C37="",0,SUMIF('DADOS BRUTOS'!$A$3:$A$500,$C37,'DADOS BRUTOS'!FA$3:FA$500)))</f>
        <v/>
      </c>
      <c r="IB37" s="132">
        <f>IF(OR(IB$4="",$B37=""),0,SUMIF('DADOS BRUTOS'!$A$3:$A$500,$B37,'DADOS BRUTOS'!FB$3:FB$500)+IF($C37="",0,SUMIF('DADOS BRUTOS'!$A$3:$A$500,$C37,'DADOS BRUTOS'!FB$3:FB$500)))</f>
        <v/>
      </c>
      <c r="IC37" s="132">
        <f>IF(OR(IC$4="",$B37=""),0,SUMIF('DADOS BRUTOS'!$A$3:$A$500,$B37,'DADOS BRUTOS'!FC$3:FC$500)+IF($C37="",0,SUMIF('DADOS BRUTOS'!$A$3:$A$500,$C37,'DADOS BRUTOS'!FC$3:FC$500)))</f>
        <v/>
      </c>
      <c r="ID37" s="132">
        <f>IF(OR(ID$4="",$B37=""),0,SUMIF('DADOS BRUTOS'!$A$3:$A$500,$B37,'DADOS BRUTOS'!FD$3:FD$500)+IF($C37="",0,SUMIF('DADOS BRUTOS'!$A$3:$A$500,$C37,'DADOS BRUTOS'!FD$3:FD$500)))</f>
        <v/>
      </c>
      <c r="IE37" s="132">
        <f>IF(OR(IE$4="",$B37=""),0,SUMIF('DADOS BRUTOS'!$A$3:$A$500,$B37,'DADOS BRUTOS'!FE$3:FE$500)+IF($C37="",0,SUMIF('DADOS BRUTOS'!$A$3:$A$500,$C37,'DADOS BRUTOS'!FE$3:FE$500)))</f>
        <v/>
      </c>
      <c r="IF37" s="132">
        <f>IF(OR(IF$4="",$B37=""),0,SUMIF('DADOS BRUTOS'!$A$3:$A$500,$B37,'DADOS BRUTOS'!FF$3:FF$500)+IF($C37="",0,SUMIF('DADOS BRUTOS'!$A$3:$A$500,$C37,'DADOS BRUTOS'!FF$3:FF$500)))</f>
        <v/>
      </c>
      <c r="IG37" s="132">
        <f>IF(OR(IG$4="",$B37=""),0,SUMIF('DADOS BRUTOS'!$A$3:$A$500,$B37,'DADOS BRUTOS'!FG$3:FG$500)+IF($C37="",0,SUMIF('DADOS BRUTOS'!$A$3:$A$500,$C37,'DADOS BRUTOS'!FG$3:FG$500)))</f>
        <v/>
      </c>
      <c r="IH37" s="132">
        <f>IF(OR(IH$4="",$B37=""),0,SUMIF('DADOS BRUTOS'!$A$3:$A$500,$B37,'DADOS BRUTOS'!FH$3:FH$500)+IF($C37="",0,SUMIF('DADOS BRUTOS'!$A$3:$A$500,$C37,'DADOS BRUTOS'!FH$3:FH$500)))</f>
        <v/>
      </c>
      <c r="II37" s="132">
        <f>IF(OR(II$4="",$B37=""),0,SUMIF('DADOS BRUTOS'!$A$3:$A$500,$B37,'DADOS BRUTOS'!FI$3:FI$500)+IF($C37="",0,SUMIF('DADOS BRUTOS'!$A$3:$A$500,$C37,'DADOS BRUTOS'!FI$3:FI$500)))</f>
        <v/>
      </c>
      <c r="IJ37" s="132">
        <f>IF(OR(IJ$4="",$B37=""),0,SUMIF('DADOS BRUTOS'!$A$3:$A$500,$B37,'DADOS BRUTOS'!FJ$3:FJ$500)+IF($C37="",0,SUMIF('DADOS BRUTOS'!$A$3:$A$500,$C37,'DADOS BRUTOS'!FJ$3:FJ$500)))</f>
        <v/>
      </c>
      <c r="IK37" s="132">
        <f>IF(OR(IK$4="",$B37=""),0,SUMIF('DADOS BRUTOS'!$A$3:$A$500,$B37,'DADOS BRUTOS'!FK$3:FK$500)+IF($C37="",0,SUMIF('DADOS BRUTOS'!$A$3:$A$500,$C37,'DADOS BRUTOS'!FK$3:FK$500)))</f>
        <v/>
      </c>
      <c r="IL37" s="132">
        <f>IF(OR(IL$4="",$B37=""),0,SUMIF('DADOS BRUTOS'!$A$3:$A$500,$B37,'DADOS BRUTOS'!FL$3:FL$500)+IF($C37="",0,SUMIF('DADOS BRUTOS'!$A$3:$A$500,$C37,'DADOS BRUTOS'!FL$3:FL$500)))</f>
        <v/>
      </c>
      <c r="IM37" s="132">
        <f>IF(OR(IM$4="",$B37=""),0,SUMIF('DADOS BRUTOS'!$A$3:$A$500,$B37,'DADOS BRUTOS'!FM$3:FM$500)+IF($C37="",0,SUMIF('DADOS BRUTOS'!$A$3:$A$500,$C37,'DADOS BRUTOS'!FM$3:FM$500)))</f>
        <v/>
      </c>
      <c r="IN37" s="132">
        <f>IF(OR(IN$4="",$B37=""),0,SUMIF('DADOS BRUTOS'!$A$3:$A$500,$B37,'DADOS BRUTOS'!FN$3:FN$500)+IF($C37="",0,SUMIF('DADOS BRUTOS'!$A$3:$A$500,$C37,'DADOS BRUTOS'!FN$3:FN$500)))</f>
        <v/>
      </c>
      <c r="IO37" s="132">
        <f>IF(OR(IO$4="",$B37=""),0,SUMIF('DADOS BRUTOS'!$A$3:$A$500,$B37,'DADOS BRUTOS'!FO$3:FO$500)+IF($C37="",0,SUMIF('DADOS BRUTOS'!$A$3:$A$500,$C37,'DADOS BRUTOS'!FO$3:FO$500)))</f>
        <v/>
      </c>
      <c r="IP37" s="132">
        <f>IF(OR(IP$4="",$B37=""),0,SUMIF('DADOS BRUTOS'!$A$3:$A$500,$B37,'DADOS BRUTOS'!FP$3:FP$500)+IF($C37="",0,SUMIF('DADOS BRUTOS'!$A$3:$A$500,$C37,'DADOS BRUTOS'!FP$3:FP$500)))</f>
        <v/>
      </c>
      <c r="IQ37" s="132">
        <f>IF(OR(IQ$4="",$B37=""),0,SUMIF('DADOS BRUTOS'!$A$3:$A$500,$B37,'DADOS BRUTOS'!FQ$3:FQ$500)+IF($C37="",0,SUMIF('DADOS BRUTOS'!$A$3:$A$500,$C37,'DADOS BRUTOS'!FQ$3:FQ$500)))</f>
        <v/>
      </c>
      <c r="IR37" s="132">
        <f>IF(OR(IR$4="",$B37=""),0,SUMIF('DADOS BRUTOS'!$A$3:$A$500,$B37,'DADOS BRUTOS'!FR$3:FR$500)+IF($C37="",0,SUMIF('DADOS BRUTOS'!$A$3:$A$500,$C37,'DADOS BRUTOS'!FR$3:FR$500)))</f>
        <v/>
      </c>
      <c r="IS37" s="132">
        <f>IF(OR(IS$4="",$B37=""),0,SUMIF('DADOS BRUTOS'!$A$3:$A$500,$B37,'DADOS BRUTOS'!FS$3:FS$500)+IF($C37="",0,SUMIF('DADOS BRUTOS'!$A$3:$A$500,$C37,'DADOS BRUTOS'!FS$3:FS$500)))</f>
        <v/>
      </c>
      <c r="IT37" s="132">
        <f>IF(OR(IT$4="",$B37=""),0,SUMIF('DADOS BRUTOS'!$A$3:$A$500,$B37,'DADOS BRUTOS'!FT$3:FT$500)+IF($C37="",0,SUMIF('DADOS BRUTOS'!$A$3:$A$500,$C37,'DADOS BRUTOS'!FT$3:FT$500)))</f>
        <v/>
      </c>
      <c r="IU37" s="132">
        <f>IF(OR(IU$4="",$B37=""),0,SUMIF('DADOS BRUTOS'!$A$3:$A$500,$B37,'DADOS BRUTOS'!FU$3:FU$500)+IF($C37="",0,SUMIF('DADOS BRUTOS'!$A$3:$A$500,$C37,'DADOS BRUTOS'!FU$3:FU$500)))</f>
        <v/>
      </c>
      <c r="IV37" s="132">
        <f>IF(OR(IV$4="",$B37=""),0,SUMIF('DADOS BRUTOS'!$A$3:$A$500,$B37,'DADOS BRUTOS'!FV$3:FV$500)+IF($C37="",0,SUMIF('DADOS BRUTOS'!$A$3:$A$500,$C37,'DADOS BRUTOS'!FV$3:FV$500)))</f>
        <v/>
      </c>
      <c r="IW37" s="132">
        <f>IF(OR(IW$4="",$B37=""),0,SUMIF('DADOS BRUTOS'!$A$3:$A$500,$B37,'DADOS BRUTOS'!FW$3:FW$500)+IF($C37="",0,SUMIF('DADOS BRUTOS'!$A$3:$A$500,$C37,'DADOS BRUTOS'!FW$3:FW$500)))</f>
        <v/>
      </c>
      <c r="IX37" s="132">
        <f>IF(OR(IX$4="",$B37=""),0,SUMIF('DADOS BRUTOS'!$A$3:$A$500,$B37,'DADOS BRUTOS'!FX$3:FX$500)+IF($C37="",0,SUMIF('DADOS BRUTOS'!$A$3:$A$500,$C37,'DADOS BRUTOS'!FX$3:FX$500)))</f>
        <v/>
      </c>
      <c r="IY37" s="132">
        <f>IF(OR(IY$4="",$B37=""),0,SUMIF('DADOS BRUTOS'!$A$3:$A$500,$B37,'DADOS BRUTOS'!FY$3:FY$500)+IF($C37="",0,SUMIF('DADOS BRUTOS'!$A$3:$A$500,$C37,'DADOS BRUTOS'!FY$3:FY$500)))</f>
        <v/>
      </c>
      <c r="IZ37" s="132">
        <f>IF(OR(IZ$4="",$B37=""),0,SUMIF('DADOS BRUTOS'!$A$3:$A$500,$B37,'DADOS BRUTOS'!FZ$3:FZ$500)+IF($C37="",0,SUMIF('DADOS BRUTOS'!$A$3:$A$500,$C37,'DADOS BRUTOS'!FZ$3:FZ$500)))</f>
        <v/>
      </c>
      <c r="JA37" s="132">
        <f>IF(OR(JA$4="",$B37=""),0,SUMIF('DADOS BRUTOS'!$A$3:$A$500,$B37,'DADOS BRUTOS'!GA$3:GA$500)+IF($C37="",0,SUMIF('DADOS BRUTOS'!$A$3:$A$500,$C37,'DADOS BRUTOS'!GA$3:GA$500)))</f>
        <v/>
      </c>
      <c r="JB37" s="132">
        <f>IF(OR(JB$4="",$B37=""),0,SUMIF('DADOS BRUTOS'!$A$3:$A$500,$B37,'DADOS BRUTOS'!GB$3:GB$500)+IF($C37="",0,SUMIF('DADOS BRUTOS'!$A$3:$A$500,$C37,'DADOS BRUTOS'!GB$3:GB$500)))</f>
        <v/>
      </c>
      <c r="JC37" s="132">
        <f>IF(OR(JC$4="",$B37=""),0,SUMIF('DADOS BRUTOS'!$A$3:$A$500,$B37,'DADOS BRUTOS'!GC$3:GC$500)+IF($C37="",0,SUMIF('DADOS BRUTOS'!$A$3:$A$500,$C37,'DADOS BRUTOS'!GC$3:GC$500)))</f>
        <v/>
      </c>
      <c r="JD37" s="132">
        <f>IF(OR(JD$4="",$B37=""),0,SUMIF('DADOS BRUTOS'!$A$3:$A$500,$B37,'DADOS BRUTOS'!GD$3:GD$500)+IF($C37="",0,SUMIF('DADOS BRUTOS'!$A$3:$A$500,$C37,'DADOS BRUTOS'!GD$3:GD$500)))</f>
        <v/>
      </c>
      <c r="JE37" s="132">
        <f>IF(OR(JE$4="",$B37=""),0,SUMIF('DADOS BRUTOS'!$A$3:$A$500,$B37,'DADOS BRUTOS'!GE$3:GE$500)+IF($C37="",0,SUMIF('DADOS BRUTOS'!$A$3:$A$500,$C37,'DADOS BRUTOS'!GE$3:GE$500)))</f>
        <v/>
      </c>
      <c r="JF37" s="132">
        <f>IF(OR(JF$4="",$B37=""),0,SUMIF('DADOS BRUTOS'!$A$3:$A$500,$B37,'DADOS BRUTOS'!GF$3:GF$500)+IF($C37="",0,SUMIF('DADOS BRUTOS'!$A$3:$A$500,$C37,'DADOS BRUTOS'!GF$3:GF$500)))</f>
        <v/>
      </c>
      <c r="JG37" s="132">
        <f>IF(OR(JG$4="",$B37=""),0,SUMIF('DADOS BRUTOS'!$A$3:$A$500,$B37,'DADOS BRUTOS'!GG$3:GG$500)+IF($C37="",0,SUMIF('DADOS BRUTOS'!$A$3:$A$500,$C37,'DADOS BRUTOS'!GG$3:GG$500)))</f>
        <v/>
      </c>
      <c r="JH37" s="132">
        <f>IF(OR(JH$4="",$B37=""),0,SUMIF('DADOS BRUTOS'!$A$3:$A$500,$B37,'DADOS BRUTOS'!GH$3:GH$500)+IF($C37="",0,SUMIF('DADOS BRUTOS'!$A$3:$A$500,$C37,'DADOS BRUTOS'!GH$3:GH$500)))</f>
        <v/>
      </c>
      <c r="JI37" s="132">
        <f>IF(OR(JI$4="",$B37=""),0,SUMIF('DADOS BRUTOS'!$A$3:$A$500,$B37,'DADOS BRUTOS'!GI$3:GI$500)+IF($C37="",0,SUMIF('DADOS BRUTOS'!$A$3:$A$500,$C37,'DADOS BRUTOS'!GI$3:GI$500)))</f>
        <v/>
      </c>
      <c r="JJ37" s="132">
        <f>IF(OR(JJ$4="",$B37=""),0,SUMIF('DADOS BRUTOS'!$A$3:$A$500,$B37,'DADOS BRUTOS'!GJ$3:GJ$500)+IF($C37="",0,SUMIF('DADOS BRUTOS'!$A$3:$A$500,$C37,'DADOS BRUTOS'!GJ$3:GJ$500)))</f>
        <v/>
      </c>
      <c r="JK37" s="132">
        <f>IF(OR(JK$4="",$B37=""),0,SUMIF('DADOS BRUTOS'!$A$3:$A$500,$B37,'DADOS BRUTOS'!GK$3:GK$500)+IF($C37="",0,SUMIF('DADOS BRUTOS'!$A$3:$A$500,$C37,'DADOS BRUTOS'!GK$3:GK$500)))</f>
        <v/>
      </c>
      <c r="JL37" s="132">
        <f>IF(OR(JL$4="",$B37=""),0,SUMIF('DADOS BRUTOS'!$A$3:$A$500,$B37,'DADOS BRUTOS'!GL$3:GL$500)+IF($C37="",0,SUMIF('DADOS BRUTOS'!$A$3:$A$500,$C37,'DADOS BRUTOS'!GL$3:GL$500)))</f>
        <v/>
      </c>
      <c r="JM37" s="132">
        <f>IF(OR(JM$4="",$B37=""),0,SUMIF('DADOS BRUTOS'!$A$3:$A$500,$B37,'DADOS BRUTOS'!GM$3:GM$500)+IF($C37="",0,SUMIF('DADOS BRUTOS'!$A$3:$A$500,$C37,'DADOS BRUTOS'!GM$3:GM$500)))</f>
        <v/>
      </c>
      <c r="JN37" s="132">
        <f>IF(OR(JN$4="",$B37=""),0,SUMIF('DADOS BRUTOS'!$A$3:$A$500,$B37,'DADOS BRUTOS'!GN$3:GN$500)+IF($C37="",0,SUMIF('DADOS BRUTOS'!$A$3:$A$500,$C37,'DADOS BRUTOS'!GN$3:GN$500)))</f>
        <v/>
      </c>
      <c r="JO37" s="132">
        <f>IF(OR(JO$4="",$B37=""),0,SUMIF('DADOS BRUTOS'!$A$3:$A$500,$B37,'DADOS BRUTOS'!GO$3:GO$500)+IF($C37="",0,SUMIF('DADOS BRUTOS'!$A$3:$A$500,$C37,'DADOS BRUTOS'!GO$3:GO$500)))</f>
        <v/>
      </c>
      <c r="JP37" s="132">
        <f>IF(OR(JP$4="",$B37=""),0,SUMIF('DADOS BRUTOS'!$A$3:$A$500,$B37,'DADOS BRUTOS'!GP$3:GP$500)+IF($C37="",0,SUMIF('DADOS BRUTOS'!$A$3:$A$500,$C37,'DADOS BRUTOS'!GP$3:GP$500)))</f>
        <v/>
      </c>
      <c r="JQ37" s="132">
        <f>IF(OR(JQ$4="",$B37=""),0,SUMIF('DADOS BRUTOS'!$A$3:$A$500,$B37,'DADOS BRUTOS'!GQ$3:GQ$500)+IF($C37="",0,SUMIF('DADOS BRUTOS'!$A$3:$A$500,$C37,'DADOS BRUTOS'!GQ$3:GQ$500)))</f>
        <v/>
      </c>
      <c r="JR37" s="132">
        <f>IF(OR(JR$4="",$B37=""),0,SUMIF('DADOS BRUTOS'!$A$3:$A$500,$B37,'DADOS BRUTOS'!GR$3:GR$500)+IF($C37="",0,SUMIF('DADOS BRUTOS'!$A$3:$A$500,$C37,'DADOS BRUTOS'!GR$3:GR$500)))</f>
        <v/>
      </c>
      <c r="JS37" s="132">
        <f>IF(OR(JS$4="",$B37=""),0,SUMIF('DADOS BRUTOS'!$A$3:$A$500,$B37,'DADOS BRUTOS'!GS$3:GS$500)+IF($C37="",0,SUMIF('DADOS BRUTOS'!$A$3:$A$500,$C37,'DADOS BRUTOS'!GS$3:GS$500)))</f>
        <v/>
      </c>
    </row>
    <row r="38">
      <c r="A38" s="61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BZ38" s="49">
        <f>SUMPRODUCT(($CB$4:$JS$4&lt;&gt;"")*($CB$4:$JS$4&lt;=$D$4),$CB38:$JS38,$CB$1:$JS$1)</f>
        <v/>
      </c>
      <c r="CB38" s="132">
        <f>IF(OR(CB$4="",$B38=""),0,SUMIF('DADOS BRUTOS'!$A$3:$A$500,$B38,'DADOS BRUTOS'!B$3:B$500)+IF($C38="",0,SUMIF('DADOS BRUTOS'!$A$3:$A$500,$C38,'DADOS BRUTOS'!B$3:B$500)))</f>
        <v/>
      </c>
      <c r="CC38" s="132">
        <f>IF(OR(CC$4="",$B38=""),0,SUMIF('DADOS BRUTOS'!$A$3:$A$500,$B38,'DADOS BRUTOS'!C$3:C$500)+IF($C38="",0,SUMIF('DADOS BRUTOS'!$A$3:$A$500,$C38,'DADOS BRUTOS'!C$3:C$500)))</f>
        <v/>
      </c>
      <c r="CD38" s="132">
        <f>IF(OR(CD$4="",$B38=""),0,SUMIF('DADOS BRUTOS'!$A$3:$A$500,$B38,'DADOS BRUTOS'!D$3:D$500)+IF($C38="",0,SUMIF('DADOS BRUTOS'!$A$3:$A$500,$C38,'DADOS BRUTOS'!D$3:D$500)))</f>
        <v/>
      </c>
      <c r="CE38" s="132">
        <f>IF(OR(CE$4="",$B38=""),0,SUMIF('DADOS BRUTOS'!$A$3:$A$500,$B38,'DADOS BRUTOS'!E$3:E$500)+IF($C38="",0,SUMIF('DADOS BRUTOS'!$A$3:$A$500,$C38,'DADOS BRUTOS'!E$3:E$500)))</f>
        <v/>
      </c>
      <c r="CF38" s="132">
        <f>IF(OR(CF$4="",$B38=""),0,SUMIF('DADOS BRUTOS'!$A$3:$A$500,$B38,'DADOS BRUTOS'!F$3:F$500)+IF($C38="",0,SUMIF('DADOS BRUTOS'!$A$3:$A$500,$C38,'DADOS BRUTOS'!F$3:F$500)))</f>
        <v/>
      </c>
      <c r="CG38" s="132">
        <f>IF(OR(CG$4="",$B38=""),0,SUMIF('DADOS BRUTOS'!$A$3:$A$500,$B38,'DADOS BRUTOS'!G$3:G$500)+IF($C38="",0,SUMIF('DADOS BRUTOS'!$A$3:$A$500,$C38,'DADOS BRUTOS'!G$3:G$500)))</f>
        <v/>
      </c>
      <c r="CH38" s="132">
        <f>IF(OR(CH$4="",$B38=""),0,SUMIF('DADOS BRUTOS'!$A$3:$A$500,$B38,'DADOS BRUTOS'!H$3:H$500)+IF($C38="",0,SUMIF('DADOS BRUTOS'!$A$3:$A$500,$C38,'DADOS BRUTOS'!H$3:H$500)))</f>
        <v/>
      </c>
      <c r="CI38" s="132">
        <f>IF(OR(CI$4="",$B38=""),0,SUMIF('DADOS BRUTOS'!$A$3:$A$500,$B38,'DADOS BRUTOS'!I$3:I$500)+IF($C38="",0,SUMIF('DADOS BRUTOS'!$A$3:$A$500,$C38,'DADOS BRUTOS'!I$3:I$500)))</f>
        <v/>
      </c>
      <c r="CJ38" s="132">
        <f>IF(OR(CJ$4="",$B38=""),0,SUMIF('DADOS BRUTOS'!$A$3:$A$500,$B38,'DADOS BRUTOS'!J$3:J$500)+IF($C38="",0,SUMIF('DADOS BRUTOS'!$A$3:$A$500,$C38,'DADOS BRUTOS'!J$3:J$500)))</f>
        <v/>
      </c>
      <c r="CK38" s="132">
        <f>IF(OR(CK$4="",$B38=""),0,SUMIF('DADOS BRUTOS'!$A$3:$A$500,$B38,'DADOS BRUTOS'!K$3:K$500)+IF($C38="",0,SUMIF('DADOS BRUTOS'!$A$3:$A$500,$C38,'DADOS BRUTOS'!K$3:K$500)))</f>
        <v/>
      </c>
      <c r="CL38" s="132">
        <f>IF(OR(CL$4="",$B38=""),0,SUMIF('DADOS BRUTOS'!$A$3:$A$500,$B38,'DADOS BRUTOS'!L$3:L$500)+IF($C38="",0,SUMIF('DADOS BRUTOS'!$A$3:$A$500,$C38,'DADOS BRUTOS'!L$3:L$500)))</f>
        <v/>
      </c>
      <c r="CM38" s="132">
        <f>IF(OR(CM$4="",$B38=""),0,SUMIF('DADOS BRUTOS'!$A$3:$A$500,$B38,'DADOS BRUTOS'!M$3:M$500)+IF($C38="",0,SUMIF('DADOS BRUTOS'!$A$3:$A$500,$C38,'DADOS BRUTOS'!M$3:M$500)))</f>
        <v/>
      </c>
      <c r="CN38" s="132">
        <f>IF(OR(CN$4="",$B38=""),0,SUMIF('DADOS BRUTOS'!$A$3:$A$500,$B38,'DADOS BRUTOS'!N$3:N$500)+IF($C38="",0,SUMIF('DADOS BRUTOS'!$A$3:$A$500,$C38,'DADOS BRUTOS'!N$3:N$500)))</f>
        <v/>
      </c>
      <c r="CO38" s="132">
        <f>IF(OR(CO$4="",$B38=""),0,SUMIF('DADOS BRUTOS'!$A$3:$A$500,$B38,'DADOS BRUTOS'!O$3:O$500)+IF($C38="",0,SUMIF('DADOS BRUTOS'!$A$3:$A$500,$C38,'DADOS BRUTOS'!O$3:O$500)))</f>
        <v/>
      </c>
      <c r="CP38" s="132">
        <f>IF(OR(CP$4="",$B38=""),0,SUMIF('DADOS BRUTOS'!$A$3:$A$500,$B38,'DADOS BRUTOS'!P$3:P$500)+IF($C38="",0,SUMIF('DADOS BRUTOS'!$A$3:$A$500,$C38,'DADOS BRUTOS'!P$3:P$500)))</f>
        <v/>
      </c>
      <c r="CQ38" s="132">
        <f>IF(OR(CQ$4="",$B38=""),0,SUMIF('DADOS BRUTOS'!$A$3:$A$500,$B38,'DADOS BRUTOS'!Q$3:Q$500)+IF($C38="",0,SUMIF('DADOS BRUTOS'!$A$3:$A$500,$C38,'DADOS BRUTOS'!Q$3:Q$500)))</f>
        <v/>
      </c>
      <c r="CR38" s="132">
        <f>IF(OR(CR$4="",$B38=""),0,SUMIF('DADOS BRUTOS'!$A$3:$A$500,$B38,'DADOS BRUTOS'!R$3:R$500)+IF($C38="",0,SUMIF('DADOS BRUTOS'!$A$3:$A$500,$C38,'DADOS BRUTOS'!R$3:R$500)))</f>
        <v/>
      </c>
      <c r="CS38" s="132">
        <f>IF(OR(CS$4="",$B38=""),0,SUMIF('DADOS BRUTOS'!$A$3:$A$500,$B38,'DADOS BRUTOS'!S$3:S$500)+IF($C38="",0,SUMIF('DADOS BRUTOS'!$A$3:$A$500,$C38,'DADOS BRUTOS'!S$3:S$500)))</f>
        <v/>
      </c>
      <c r="CT38" s="132">
        <f>IF(OR(CT$4="",$B38=""),0,SUMIF('DADOS BRUTOS'!$A$3:$A$500,$B38,'DADOS BRUTOS'!T$3:T$500)+IF($C38="",0,SUMIF('DADOS BRUTOS'!$A$3:$A$500,$C38,'DADOS BRUTOS'!T$3:T$500)))</f>
        <v/>
      </c>
      <c r="CU38" s="132">
        <f>IF(OR(CU$4="",$B38=""),0,SUMIF('DADOS BRUTOS'!$A$3:$A$500,$B38,'DADOS BRUTOS'!U$3:U$500)+IF($C38="",0,SUMIF('DADOS BRUTOS'!$A$3:$A$500,$C38,'DADOS BRUTOS'!U$3:U$500)))</f>
        <v/>
      </c>
      <c r="CV38" s="132">
        <f>IF(OR(CV$4="",$B38=""),0,SUMIF('DADOS BRUTOS'!$A$3:$A$500,$B38,'DADOS BRUTOS'!V$3:V$500)+IF($C38="",0,SUMIF('DADOS BRUTOS'!$A$3:$A$500,$C38,'DADOS BRUTOS'!V$3:V$500)))</f>
        <v/>
      </c>
      <c r="CW38" s="132">
        <f>IF(OR(CW$4="",$B38=""),0,SUMIF('DADOS BRUTOS'!$A$3:$A$500,$B38,'DADOS BRUTOS'!W$3:W$500)+IF($C38="",0,SUMIF('DADOS BRUTOS'!$A$3:$A$500,$C38,'DADOS BRUTOS'!W$3:W$500)))</f>
        <v/>
      </c>
      <c r="CX38" s="132">
        <f>IF(OR(CX$4="",$B38=""),0,SUMIF('DADOS BRUTOS'!$A$3:$A$500,$B38,'DADOS BRUTOS'!X$3:X$500)+IF($C38="",0,SUMIF('DADOS BRUTOS'!$A$3:$A$500,$C38,'DADOS BRUTOS'!X$3:X$500)))</f>
        <v/>
      </c>
      <c r="CY38" s="132">
        <f>IF(OR(CY$4="",$B38=""),0,SUMIF('DADOS BRUTOS'!$A$3:$A$500,$B38,'DADOS BRUTOS'!Y$3:Y$500)+IF($C38="",0,SUMIF('DADOS BRUTOS'!$A$3:$A$500,$C38,'DADOS BRUTOS'!Y$3:Y$500)))</f>
        <v/>
      </c>
      <c r="CZ38" s="132">
        <f>IF(OR(CZ$4="",$B38=""),0,SUMIF('DADOS BRUTOS'!$A$3:$A$500,$B38,'DADOS BRUTOS'!Z$3:Z$500)+IF($C38="",0,SUMIF('DADOS BRUTOS'!$A$3:$A$500,$C38,'DADOS BRUTOS'!Z$3:Z$500)))</f>
        <v/>
      </c>
      <c r="DA38" s="132">
        <f>IF(OR(DA$4="",$B38=""),0,SUMIF('DADOS BRUTOS'!$A$3:$A$500,$B38,'DADOS BRUTOS'!AA$3:AA$500)+IF($C38="",0,SUMIF('DADOS BRUTOS'!$A$3:$A$500,$C38,'DADOS BRUTOS'!AA$3:AA$500)))</f>
        <v/>
      </c>
      <c r="DB38" s="132">
        <f>IF(OR(DB$4="",$B38=""),0,SUMIF('DADOS BRUTOS'!$A$3:$A$500,$B38,'DADOS BRUTOS'!AB$3:AB$500)+IF($C38="",0,SUMIF('DADOS BRUTOS'!$A$3:$A$500,$C38,'DADOS BRUTOS'!AB$3:AB$500)))</f>
        <v/>
      </c>
      <c r="DC38" s="132">
        <f>IF(OR(DC$4="",$B38=""),0,SUMIF('DADOS BRUTOS'!$A$3:$A$500,$B38,'DADOS BRUTOS'!AC$3:AC$500)+IF($C38="",0,SUMIF('DADOS BRUTOS'!$A$3:$A$500,$C38,'DADOS BRUTOS'!AC$3:AC$500)))</f>
        <v/>
      </c>
      <c r="DD38" s="132">
        <f>IF(OR(DD$4="",$B38=""),0,SUMIF('DADOS BRUTOS'!$A$3:$A$500,$B38,'DADOS BRUTOS'!AD$3:AD$500)+IF($C38="",0,SUMIF('DADOS BRUTOS'!$A$3:$A$500,$C38,'DADOS BRUTOS'!AD$3:AD$500)))</f>
        <v/>
      </c>
      <c r="DE38" s="132">
        <f>IF(OR(DE$4="",$B38=""),0,SUMIF('DADOS BRUTOS'!$A$3:$A$500,$B38,'DADOS BRUTOS'!AE$3:AE$500)+IF($C38="",0,SUMIF('DADOS BRUTOS'!$A$3:$A$500,$C38,'DADOS BRUTOS'!AE$3:AE$500)))</f>
        <v/>
      </c>
      <c r="DF38" s="132">
        <f>IF(OR(DF$4="",$B38=""),0,SUMIF('DADOS BRUTOS'!$A$3:$A$500,$B38,'DADOS BRUTOS'!AF$3:AF$500)+IF($C38="",0,SUMIF('DADOS BRUTOS'!$A$3:$A$500,$C38,'DADOS BRUTOS'!AF$3:AF$500)))</f>
        <v/>
      </c>
      <c r="DG38" s="132">
        <f>IF(OR(DG$4="",$B38=""),0,SUMIF('DADOS BRUTOS'!$A$3:$A$500,$B38,'DADOS BRUTOS'!AG$3:AG$500)+IF($C38="",0,SUMIF('DADOS BRUTOS'!$A$3:$A$500,$C38,'DADOS BRUTOS'!AG$3:AG$500)))</f>
        <v/>
      </c>
      <c r="DH38" s="132">
        <f>IF(OR(DH$4="",$B38=""),0,SUMIF('DADOS BRUTOS'!$A$3:$A$500,$B38,'DADOS BRUTOS'!AH$3:AH$500)+IF($C38="",0,SUMIF('DADOS BRUTOS'!$A$3:$A$500,$C38,'DADOS BRUTOS'!AH$3:AH$500)))</f>
        <v/>
      </c>
      <c r="DI38" s="132">
        <f>IF(OR(DI$4="",$B38=""),0,SUMIF('DADOS BRUTOS'!$A$3:$A$500,$B38,'DADOS BRUTOS'!AI$3:AI$500)+IF($C38="",0,SUMIF('DADOS BRUTOS'!$A$3:$A$500,$C38,'DADOS BRUTOS'!AI$3:AI$500)))</f>
        <v/>
      </c>
      <c r="DJ38" s="132">
        <f>IF(OR(DJ$4="",$B38=""),0,SUMIF('DADOS BRUTOS'!$A$3:$A$500,$B38,'DADOS BRUTOS'!AJ$3:AJ$500)+IF($C38="",0,SUMIF('DADOS BRUTOS'!$A$3:$A$500,$C38,'DADOS BRUTOS'!AJ$3:AJ$500)))</f>
        <v/>
      </c>
      <c r="DK38" s="132">
        <f>IF(OR(DK$4="",$B38=""),0,SUMIF('DADOS BRUTOS'!$A$3:$A$500,$B38,'DADOS BRUTOS'!AK$3:AK$500)+IF($C38="",0,SUMIF('DADOS BRUTOS'!$A$3:$A$500,$C38,'DADOS BRUTOS'!AK$3:AK$500)))</f>
        <v/>
      </c>
      <c r="DL38" s="132">
        <f>IF(OR(DL$4="",$B38=""),0,SUMIF('DADOS BRUTOS'!$A$3:$A$500,$B38,'DADOS BRUTOS'!AL$3:AL$500)+IF($C38="",0,SUMIF('DADOS BRUTOS'!$A$3:$A$500,$C38,'DADOS BRUTOS'!AL$3:AL$500)))</f>
        <v/>
      </c>
      <c r="DM38" s="132">
        <f>IF(OR(DM$4="",$B38=""),0,SUMIF('DADOS BRUTOS'!$A$3:$A$500,$B38,'DADOS BRUTOS'!AM$3:AM$500)+IF($C38="",0,SUMIF('DADOS BRUTOS'!$A$3:$A$500,$C38,'DADOS BRUTOS'!AM$3:AM$500)))</f>
        <v/>
      </c>
      <c r="DN38" s="132">
        <f>IF(OR(DN$4="",$B38=""),0,SUMIF('DADOS BRUTOS'!$A$3:$A$500,$B38,'DADOS BRUTOS'!AN$3:AN$500)+IF($C38="",0,SUMIF('DADOS BRUTOS'!$A$3:$A$500,$C38,'DADOS BRUTOS'!AN$3:AN$500)))</f>
        <v/>
      </c>
      <c r="DO38" s="132">
        <f>IF(OR(DO$4="",$B38=""),0,SUMIF('DADOS BRUTOS'!$A$3:$A$500,$B38,'DADOS BRUTOS'!AO$3:AO$500)+IF($C38="",0,SUMIF('DADOS BRUTOS'!$A$3:$A$500,$C38,'DADOS BRUTOS'!AO$3:AO$500)))</f>
        <v/>
      </c>
      <c r="DP38" s="132">
        <f>IF(OR(DP$4="",$B38=""),0,SUMIF('DADOS BRUTOS'!$A$3:$A$500,$B38,'DADOS BRUTOS'!AP$3:AP$500)+IF($C38="",0,SUMIF('DADOS BRUTOS'!$A$3:$A$500,$C38,'DADOS BRUTOS'!AP$3:AP$500)))</f>
        <v/>
      </c>
      <c r="DQ38" s="132">
        <f>IF(OR(DQ$4="",$B38=""),0,SUMIF('DADOS BRUTOS'!$A$3:$A$500,$B38,'DADOS BRUTOS'!AQ$3:AQ$500)+IF($C38="",0,SUMIF('DADOS BRUTOS'!$A$3:$A$500,$C38,'DADOS BRUTOS'!AQ$3:AQ$500)))</f>
        <v/>
      </c>
      <c r="DR38" s="132">
        <f>IF(OR(DR$4="",$B38=""),0,SUMIF('DADOS BRUTOS'!$A$3:$A$500,$B38,'DADOS BRUTOS'!AR$3:AR$500)+IF($C38="",0,SUMIF('DADOS BRUTOS'!$A$3:$A$500,$C38,'DADOS BRUTOS'!AR$3:AR$500)))</f>
        <v/>
      </c>
      <c r="DS38" s="132">
        <f>IF(OR(DS$4="",$B38=""),0,SUMIF('DADOS BRUTOS'!$A$3:$A$500,$B38,'DADOS BRUTOS'!AS$3:AS$500)+IF($C38="",0,SUMIF('DADOS BRUTOS'!$A$3:$A$500,$C38,'DADOS BRUTOS'!AS$3:AS$500)))</f>
        <v/>
      </c>
      <c r="DT38" s="132">
        <f>IF(OR(DT$4="",$B38=""),0,SUMIF('DADOS BRUTOS'!$A$3:$A$500,$B38,'DADOS BRUTOS'!AT$3:AT$500)+IF($C38="",0,SUMIF('DADOS BRUTOS'!$A$3:$A$500,$C38,'DADOS BRUTOS'!AT$3:AT$500)))</f>
        <v/>
      </c>
      <c r="DU38" s="132">
        <f>IF(OR(DU$4="",$B38=""),0,SUMIF('DADOS BRUTOS'!$A$3:$A$500,$B38,'DADOS BRUTOS'!AU$3:AU$500)+IF($C38="",0,SUMIF('DADOS BRUTOS'!$A$3:$A$500,$C38,'DADOS BRUTOS'!AU$3:AU$500)))</f>
        <v/>
      </c>
      <c r="DV38" s="132">
        <f>IF(OR(DV$4="",$B38=""),0,SUMIF('DADOS BRUTOS'!$A$3:$A$500,$B38,'DADOS BRUTOS'!AV$3:AV$500)+IF($C38="",0,SUMIF('DADOS BRUTOS'!$A$3:$A$500,$C38,'DADOS BRUTOS'!AV$3:AV$500)))</f>
        <v/>
      </c>
      <c r="DW38" s="132">
        <f>IF(OR(DW$4="",$B38=""),0,SUMIF('DADOS BRUTOS'!$A$3:$A$500,$B38,'DADOS BRUTOS'!AW$3:AW$500)+IF($C38="",0,SUMIF('DADOS BRUTOS'!$A$3:$A$500,$C38,'DADOS BRUTOS'!AW$3:AW$500)))</f>
        <v/>
      </c>
      <c r="DX38" s="132">
        <f>IF(OR(DX$4="",$B38=""),0,SUMIF('DADOS BRUTOS'!$A$3:$A$500,$B38,'DADOS BRUTOS'!AX$3:AX$500)+IF($C38="",0,SUMIF('DADOS BRUTOS'!$A$3:$A$500,$C38,'DADOS BRUTOS'!AX$3:AX$500)))</f>
        <v/>
      </c>
      <c r="DY38" s="132">
        <f>IF(OR(DY$4="",$B38=""),0,SUMIF('DADOS BRUTOS'!$A$3:$A$500,$B38,'DADOS BRUTOS'!AY$3:AY$500)+IF($C38="",0,SUMIF('DADOS BRUTOS'!$A$3:$A$500,$C38,'DADOS BRUTOS'!AY$3:AY$500)))</f>
        <v/>
      </c>
      <c r="DZ38" s="132">
        <f>IF(OR(DZ$4="",$B38=""),0,SUMIF('DADOS BRUTOS'!$A$3:$A$500,$B38,'DADOS BRUTOS'!AZ$3:AZ$500)+IF($C38="",0,SUMIF('DADOS BRUTOS'!$A$3:$A$500,$C38,'DADOS BRUTOS'!AZ$3:AZ$500)))</f>
        <v/>
      </c>
      <c r="EA38" s="132">
        <f>IF(OR(EA$4="",$B38=""),0,SUMIF('DADOS BRUTOS'!$A$3:$A$500,$B38,'DADOS BRUTOS'!BA$3:BA$500)+IF($C38="",0,SUMIF('DADOS BRUTOS'!$A$3:$A$500,$C38,'DADOS BRUTOS'!BA$3:BA$500)))</f>
        <v/>
      </c>
      <c r="EB38" s="132">
        <f>IF(OR(EB$4="",$B38=""),0,SUMIF('DADOS BRUTOS'!$A$3:$A$500,$B38,'DADOS BRUTOS'!BB$3:BB$500)+IF($C38="",0,SUMIF('DADOS BRUTOS'!$A$3:$A$500,$C38,'DADOS BRUTOS'!BB$3:BB$500)))</f>
        <v/>
      </c>
      <c r="EC38" s="132">
        <f>IF(OR(EC$4="",$B38=""),0,SUMIF('DADOS BRUTOS'!$A$3:$A$500,$B38,'DADOS BRUTOS'!BC$3:BC$500)+IF($C38="",0,SUMIF('DADOS BRUTOS'!$A$3:$A$500,$C38,'DADOS BRUTOS'!BC$3:BC$500)))</f>
        <v/>
      </c>
      <c r="ED38" s="132">
        <f>IF(OR(ED$4="",$B38=""),0,SUMIF('DADOS BRUTOS'!$A$3:$A$500,$B38,'DADOS BRUTOS'!BD$3:BD$500)+IF($C38="",0,SUMIF('DADOS BRUTOS'!$A$3:$A$500,$C38,'DADOS BRUTOS'!BD$3:BD$500)))</f>
        <v/>
      </c>
      <c r="EE38" s="132">
        <f>IF(OR(EE$4="",$B38=""),0,SUMIF('DADOS BRUTOS'!$A$3:$A$500,$B38,'DADOS BRUTOS'!BE$3:BE$500)+IF($C38="",0,SUMIF('DADOS BRUTOS'!$A$3:$A$500,$C38,'DADOS BRUTOS'!BE$3:BE$500)))</f>
        <v/>
      </c>
      <c r="EF38" s="132">
        <f>IF(OR(EF$4="",$B38=""),0,SUMIF('DADOS BRUTOS'!$A$3:$A$500,$B38,'DADOS BRUTOS'!BF$3:BF$500)+IF($C38="",0,SUMIF('DADOS BRUTOS'!$A$3:$A$500,$C38,'DADOS BRUTOS'!BF$3:BF$500)))</f>
        <v/>
      </c>
      <c r="EG38" s="132">
        <f>IF(OR(EG$4="",$B38=""),0,SUMIF('DADOS BRUTOS'!$A$3:$A$500,$B38,'DADOS BRUTOS'!BG$3:BG$500)+IF($C38="",0,SUMIF('DADOS BRUTOS'!$A$3:$A$500,$C38,'DADOS BRUTOS'!BG$3:BG$500)))</f>
        <v/>
      </c>
      <c r="EH38" s="132">
        <f>IF(OR(EH$4="",$B38=""),0,SUMIF('DADOS BRUTOS'!$A$3:$A$500,$B38,'DADOS BRUTOS'!BH$3:BH$500)+IF($C38="",0,SUMIF('DADOS BRUTOS'!$A$3:$A$500,$C38,'DADOS BRUTOS'!BH$3:BH$500)))</f>
        <v/>
      </c>
      <c r="EI38" s="132">
        <f>IF(OR(EI$4="",$B38=""),0,SUMIF('DADOS BRUTOS'!$A$3:$A$500,$B38,'DADOS BRUTOS'!BI$3:BI$500)+IF($C38="",0,SUMIF('DADOS BRUTOS'!$A$3:$A$500,$C38,'DADOS BRUTOS'!BI$3:BI$500)))</f>
        <v/>
      </c>
      <c r="EJ38" s="132">
        <f>IF(OR(EJ$4="",$B38=""),0,SUMIF('DADOS BRUTOS'!$A$3:$A$500,$B38,'DADOS BRUTOS'!BJ$3:BJ$500)+IF($C38="",0,SUMIF('DADOS BRUTOS'!$A$3:$A$500,$C38,'DADOS BRUTOS'!BJ$3:BJ$500)))</f>
        <v/>
      </c>
      <c r="EK38" s="132">
        <f>IF(OR(EK$4="",$B38=""),0,SUMIF('DADOS BRUTOS'!$A$3:$A$500,$B38,'DADOS BRUTOS'!BK$3:BK$500)+IF($C38="",0,SUMIF('DADOS BRUTOS'!$A$3:$A$500,$C38,'DADOS BRUTOS'!BK$3:BK$500)))</f>
        <v/>
      </c>
      <c r="EL38" s="132">
        <f>IF(OR(EL$4="",$B38=""),0,SUMIF('DADOS BRUTOS'!$A$3:$A$500,$B38,'DADOS BRUTOS'!BL$3:BL$500)+IF($C38="",0,SUMIF('DADOS BRUTOS'!$A$3:$A$500,$C38,'DADOS BRUTOS'!BL$3:BL$500)))</f>
        <v/>
      </c>
      <c r="EM38" s="132">
        <f>IF(OR(EM$4="",$B38=""),0,SUMIF('DADOS BRUTOS'!$A$3:$A$500,$B38,'DADOS BRUTOS'!BM$3:BM$500)+IF($C38="",0,SUMIF('DADOS BRUTOS'!$A$3:$A$500,$C38,'DADOS BRUTOS'!BM$3:BM$500)))</f>
        <v/>
      </c>
      <c r="EN38" s="132">
        <f>IF(OR(EN$4="",$B38=""),0,SUMIF('DADOS BRUTOS'!$A$3:$A$500,$B38,'DADOS BRUTOS'!BN$3:BN$500)+IF($C38="",0,SUMIF('DADOS BRUTOS'!$A$3:$A$500,$C38,'DADOS BRUTOS'!BN$3:BN$500)))</f>
        <v/>
      </c>
      <c r="EO38" s="132">
        <f>IF(OR(EO$4="",$B38=""),0,SUMIF('DADOS BRUTOS'!$A$3:$A$500,$B38,'DADOS BRUTOS'!BO$3:BO$500)+IF($C38="",0,SUMIF('DADOS BRUTOS'!$A$3:$A$500,$C38,'DADOS BRUTOS'!BO$3:BO$500)))</f>
        <v/>
      </c>
      <c r="EP38" s="132">
        <f>IF(OR(EP$4="",$B38=""),0,SUMIF('DADOS BRUTOS'!$A$3:$A$500,$B38,'DADOS BRUTOS'!BP$3:BP$500)+IF($C38="",0,SUMIF('DADOS BRUTOS'!$A$3:$A$500,$C38,'DADOS BRUTOS'!BP$3:BP$500)))</f>
        <v/>
      </c>
      <c r="EQ38" s="132">
        <f>IF(OR(EQ$4="",$B38=""),0,SUMIF('DADOS BRUTOS'!$A$3:$A$500,$B38,'DADOS BRUTOS'!BQ$3:BQ$500)+IF($C38="",0,SUMIF('DADOS BRUTOS'!$A$3:$A$500,$C38,'DADOS BRUTOS'!BQ$3:BQ$500)))</f>
        <v/>
      </c>
      <c r="ER38" s="132">
        <f>IF(OR(ER$4="",$B38=""),0,SUMIF('DADOS BRUTOS'!$A$3:$A$500,$B38,'DADOS BRUTOS'!BR$3:BR$500)+IF($C38="",0,SUMIF('DADOS BRUTOS'!$A$3:$A$500,$C38,'DADOS BRUTOS'!BR$3:BR$500)))</f>
        <v/>
      </c>
      <c r="ES38" s="132">
        <f>IF(OR(ES$4="",$B38=""),0,SUMIF('DADOS BRUTOS'!$A$3:$A$500,$B38,'DADOS BRUTOS'!BS$3:BS$500)+IF($C38="",0,SUMIF('DADOS BRUTOS'!$A$3:$A$500,$C38,'DADOS BRUTOS'!BS$3:BS$500)))</f>
        <v/>
      </c>
      <c r="ET38" s="132">
        <f>IF(OR(ET$4="",$B38=""),0,SUMIF('DADOS BRUTOS'!$A$3:$A$500,$B38,'DADOS BRUTOS'!BT$3:BT$500)+IF($C38="",0,SUMIF('DADOS BRUTOS'!$A$3:$A$500,$C38,'DADOS BRUTOS'!BT$3:BT$500)))</f>
        <v/>
      </c>
      <c r="EU38" s="132">
        <f>IF(OR(EU$4="",$B38=""),0,SUMIF('DADOS BRUTOS'!$A$3:$A$500,$B38,'DADOS BRUTOS'!BU$3:BU$500)+IF($C38="",0,SUMIF('DADOS BRUTOS'!$A$3:$A$500,$C38,'DADOS BRUTOS'!BU$3:BU$500)))</f>
        <v/>
      </c>
      <c r="EV38" s="132">
        <f>IF(OR(EV$4="",$B38=""),0,SUMIF('DADOS BRUTOS'!$A$3:$A$500,$B38,'DADOS BRUTOS'!BV$3:BV$500)+IF($C38="",0,SUMIF('DADOS BRUTOS'!$A$3:$A$500,$C38,'DADOS BRUTOS'!BV$3:BV$500)))</f>
        <v/>
      </c>
      <c r="EW38" s="132">
        <f>IF(OR(EW$4="",$B38=""),0,SUMIF('DADOS BRUTOS'!$A$3:$A$500,$B38,'DADOS BRUTOS'!BW$3:BW$500)+IF($C38="",0,SUMIF('DADOS BRUTOS'!$A$3:$A$500,$C38,'DADOS BRUTOS'!BW$3:BW$500)))</f>
        <v/>
      </c>
      <c r="EX38" s="132">
        <f>IF(OR(EX$4="",$B38=""),0,SUMIF('DADOS BRUTOS'!$A$3:$A$500,$B38,'DADOS BRUTOS'!BX$3:BX$500)+IF($C38="",0,SUMIF('DADOS BRUTOS'!$A$3:$A$500,$C38,'DADOS BRUTOS'!BX$3:BX$500)))</f>
        <v/>
      </c>
      <c r="EY38" s="132">
        <f>IF(OR(EY$4="",$B38=""),0,SUMIF('DADOS BRUTOS'!$A$3:$A$500,$B38,'DADOS BRUTOS'!BY$3:BY$500)+IF($C38="",0,SUMIF('DADOS BRUTOS'!$A$3:$A$500,$C38,'DADOS BRUTOS'!BY$3:BY$500)))</f>
        <v/>
      </c>
      <c r="EZ38" s="132">
        <f>IF(OR(EZ$4="",$B38=""),0,SUMIF('DADOS BRUTOS'!$A$3:$A$500,$B38,'DADOS BRUTOS'!BZ$3:BZ$500)+IF($C38="",0,SUMIF('DADOS BRUTOS'!$A$3:$A$500,$C38,'DADOS BRUTOS'!BZ$3:BZ$500)))</f>
        <v/>
      </c>
      <c r="FA38" s="132">
        <f>IF(OR(FA$4="",$B38=""),0,SUMIF('DADOS BRUTOS'!$A$3:$A$500,$B38,'DADOS BRUTOS'!CA$3:CA$500)+IF($C38="",0,SUMIF('DADOS BRUTOS'!$A$3:$A$500,$C38,'DADOS BRUTOS'!CA$3:CA$500)))</f>
        <v/>
      </c>
      <c r="FB38" s="132">
        <f>IF(OR(FB$4="",$B38=""),0,SUMIF('DADOS BRUTOS'!$A$3:$A$500,$B38,'DADOS BRUTOS'!CB$3:CB$500)+IF($C38="",0,SUMIF('DADOS BRUTOS'!$A$3:$A$500,$C38,'DADOS BRUTOS'!CB$3:CB$500)))</f>
        <v/>
      </c>
      <c r="FC38" s="132">
        <f>IF(OR(FC$4="",$B38=""),0,SUMIF('DADOS BRUTOS'!$A$3:$A$500,$B38,'DADOS BRUTOS'!CC$3:CC$500)+IF($C38="",0,SUMIF('DADOS BRUTOS'!$A$3:$A$500,$C38,'DADOS BRUTOS'!CC$3:CC$500)))</f>
        <v/>
      </c>
      <c r="FD38" s="132">
        <f>IF(OR(FD$4="",$B38=""),0,SUMIF('DADOS BRUTOS'!$A$3:$A$500,$B38,'DADOS BRUTOS'!CD$3:CD$500)+IF($C38="",0,SUMIF('DADOS BRUTOS'!$A$3:$A$500,$C38,'DADOS BRUTOS'!CD$3:CD$500)))</f>
        <v/>
      </c>
      <c r="FE38" s="132">
        <f>IF(OR(FE$4="",$B38=""),0,SUMIF('DADOS BRUTOS'!$A$3:$A$500,$B38,'DADOS BRUTOS'!CE$3:CE$500)+IF($C38="",0,SUMIF('DADOS BRUTOS'!$A$3:$A$500,$C38,'DADOS BRUTOS'!CE$3:CE$500)))</f>
        <v/>
      </c>
      <c r="FF38" s="132">
        <f>IF(OR(FF$4="",$B38=""),0,SUMIF('DADOS BRUTOS'!$A$3:$A$500,$B38,'DADOS BRUTOS'!CF$3:CF$500)+IF($C38="",0,SUMIF('DADOS BRUTOS'!$A$3:$A$500,$C38,'DADOS BRUTOS'!CF$3:CF$500)))</f>
        <v/>
      </c>
      <c r="FG38" s="132">
        <f>IF(OR(FG$4="",$B38=""),0,SUMIF('DADOS BRUTOS'!$A$3:$A$500,$B38,'DADOS BRUTOS'!CG$3:CG$500)+IF($C38="",0,SUMIF('DADOS BRUTOS'!$A$3:$A$500,$C38,'DADOS BRUTOS'!CG$3:CG$500)))</f>
        <v/>
      </c>
      <c r="FH38" s="132">
        <f>IF(OR(FH$4="",$B38=""),0,SUMIF('DADOS BRUTOS'!$A$3:$A$500,$B38,'DADOS BRUTOS'!CH$3:CH$500)+IF($C38="",0,SUMIF('DADOS BRUTOS'!$A$3:$A$500,$C38,'DADOS BRUTOS'!CH$3:CH$500)))</f>
        <v/>
      </c>
      <c r="FI38" s="132">
        <f>IF(OR(FI$4="",$B38=""),0,SUMIF('DADOS BRUTOS'!$A$3:$A$500,$B38,'DADOS BRUTOS'!CI$3:CI$500)+IF($C38="",0,SUMIF('DADOS BRUTOS'!$A$3:$A$500,$C38,'DADOS BRUTOS'!CI$3:CI$500)))</f>
        <v/>
      </c>
      <c r="FJ38" s="132">
        <f>IF(OR(FJ$4="",$B38=""),0,SUMIF('DADOS BRUTOS'!$A$3:$A$500,$B38,'DADOS BRUTOS'!CJ$3:CJ$500)+IF($C38="",0,SUMIF('DADOS BRUTOS'!$A$3:$A$500,$C38,'DADOS BRUTOS'!CJ$3:CJ$500)))</f>
        <v/>
      </c>
      <c r="FK38" s="132">
        <f>IF(OR(FK$4="",$B38=""),0,SUMIF('DADOS BRUTOS'!$A$3:$A$500,$B38,'DADOS BRUTOS'!CK$3:CK$500)+IF($C38="",0,SUMIF('DADOS BRUTOS'!$A$3:$A$500,$C38,'DADOS BRUTOS'!CK$3:CK$500)))</f>
        <v/>
      </c>
      <c r="FL38" s="132">
        <f>IF(OR(FL$4="",$B38=""),0,SUMIF('DADOS BRUTOS'!$A$3:$A$500,$B38,'DADOS BRUTOS'!CL$3:CL$500)+IF($C38="",0,SUMIF('DADOS BRUTOS'!$A$3:$A$500,$C38,'DADOS BRUTOS'!CL$3:CL$500)))</f>
        <v/>
      </c>
      <c r="FM38" s="132">
        <f>IF(OR(FM$4="",$B38=""),0,SUMIF('DADOS BRUTOS'!$A$3:$A$500,$B38,'DADOS BRUTOS'!CM$3:CM$500)+IF($C38="",0,SUMIF('DADOS BRUTOS'!$A$3:$A$500,$C38,'DADOS BRUTOS'!CM$3:CM$500)))</f>
        <v/>
      </c>
      <c r="FN38" s="132">
        <f>IF(OR(FN$4="",$B38=""),0,SUMIF('DADOS BRUTOS'!$A$3:$A$500,$B38,'DADOS BRUTOS'!CN$3:CN$500)+IF($C38="",0,SUMIF('DADOS BRUTOS'!$A$3:$A$500,$C38,'DADOS BRUTOS'!CN$3:CN$500)))</f>
        <v/>
      </c>
      <c r="FO38" s="132">
        <f>IF(OR(FO$4="",$B38=""),0,SUMIF('DADOS BRUTOS'!$A$3:$A$500,$B38,'DADOS BRUTOS'!CO$3:CO$500)+IF($C38="",0,SUMIF('DADOS BRUTOS'!$A$3:$A$500,$C38,'DADOS BRUTOS'!CO$3:CO$500)))</f>
        <v/>
      </c>
      <c r="FP38" s="132">
        <f>IF(OR(FP$4="",$B38=""),0,SUMIF('DADOS BRUTOS'!$A$3:$A$500,$B38,'DADOS BRUTOS'!CP$3:CP$500)+IF($C38="",0,SUMIF('DADOS BRUTOS'!$A$3:$A$500,$C38,'DADOS BRUTOS'!CP$3:CP$500)))</f>
        <v/>
      </c>
      <c r="FQ38" s="132">
        <f>IF(OR(FQ$4="",$B38=""),0,SUMIF('DADOS BRUTOS'!$A$3:$A$500,$B38,'DADOS BRUTOS'!CQ$3:CQ$500)+IF($C38="",0,SUMIF('DADOS BRUTOS'!$A$3:$A$500,$C38,'DADOS BRUTOS'!CQ$3:CQ$500)))</f>
        <v/>
      </c>
      <c r="FR38" s="132">
        <f>IF(OR(FR$4="",$B38=""),0,SUMIF('DADOS BRUTOS'!$A$3:$A$500,$B38,'DADOS BRUTOS'!CR$3:CR$500)+IF($C38="",0,SUMIF('DADOS BRUTOS'!$A$3:$A$500,$C38,'DADOS BRUTOS'!CR$3:CR$500)))</f>
        <v/>
      </c>
      <c r="FS38" s="132">
        <f>IF(OR(FS$4="",$B38=""),0,SUMIF('DADOS BRUTOS'!$A$3:$A$500,$B38,'DADOS BRUTOS'!CS$3:CS$500)+IF($C38="",0,SUMIF('DADOS BRUTOS'!$A$3:$A$500,$C38,'DADOS BRUTOS'!CS$3:CS$500)))</f>
        <v/>
      </c>
      <c r="FT38" s="132">
        <f>IF(OR(FT$4="",$B38=""),0,SUMIF('DADOS BRUTOS'!$A$3:$A$500,$B38,'DADOS BRUTOS'!CT$3:CT$500)+IF($C38="",0,SUMIF('DADOS BRUTOS'!$A$3:$A$500,$C38,'DADOS BRUTOS'!CT$3:CT$500)))</f>
        <v/>
      </c>
      <c r="FU38" s="132">
        <f>IF(OR(FU$4="",$B38=""),0,SUMIF('DADOS BRUTOS'!$A$3:$A$500,$B38,'DADOS BRUTOS'!CU$3:CU$500)+IF($C38="",0,SUMIF('DADOS BRUTOS'!$A$3:$A$500,$C38,'DADOS BRUTOS'!CU$3:CU$500)))</f>
        <v/>
      </c>
      <c r="FV38" s="132">
        <f>IF(OR(FV$4="",$B38=""),0,SUMIF('DADOS BRUTOS'!$A$3:$A$500,$B38,'DADOS BRUTOS'!CV$3:CV$500)+IF($C38="",0,SUMIF('DADOS BRUTOS'!$A$3:$A$500,$C38,'DADOS BRUTOS'!CV$3:CV$500)))</f>
        <v/>
      </c>
      <c r="FW38" s="132">
        <f>IF(OR(FW$4="",$B38=""),0,SUMIF('DADOS BRUTOS'!$A$3:$A$500,$B38,'DADOS BRUTOS'!CW$3:CW$500)+IF($C38="",0,SUMIF('DADOS BRUTOS'!$A$3:$A$500,$C38,'DADOS BRUTOS'!CW$3:CW$500)))</f>
        <v/>
      </c>
      <c r="FX38" s="132">
        <f>IF(OR(FX$4="",$B38=""),0,SUMIF('DADOS BRUTOS'!$A$3:$A$500,$B38,'DADOS BRUTOS'!CX$3:CX$500)+IF($C38="",0,SUMIF('DADOS BRUTOS'!$A$3:$A$500,$C38,'DADOS BRUTOS'!CX$3:CX$500)))</f>
        <v/>
      </c>
      <c r="FY38" s="132">
        <f>IF(OR(FY$4="",$B38=""),0,SUMIF('DADOS BRUTOS'!$A$3:$A$500,$B38,'DADOS BRUTOS'!CY$3:CY$500)+IF($C38="",0,SUMIF('DADOS BRUTOS'!$A$3:$A$500,$C38,'DADOS BRUTOS'!CY$3:CY$500)))</f>
        <v/>
      </c>
      <c r="FZ38" s="132">
        <f>IF(OR(FZ$4="",$B38=""),0,SUMIF('DADOS BRUTOS'!$A$3:$A$500,$B38,'DADOS BRUTOS'!CZ$3:CZ$500)+IF($C38="",0,SUMIF('DADOS BRUTOS'!$A$3:$A$500,$C38,'DADOS BRUTOS'!CZ$3:CZ$500)))</f>
        <v/>
      </c>
      <c r="GA38" s="132">
        <f>IF(OR(GA$4="",$B38=""),0,SUMIF('DADOS BRUTOS'!$A$3:$A$500,$B38,'DADOS BRUTOS'!DA$3:DA$500)+IF($C38="",0,SUMIF('DADOS BRUTOS'!$A$3:$A$500,$C38,'DADOS BRUTOS'!DA$3:DA$500)))</f>
        <v/>
      </c>
      <c r="GB38" s="132">
        <f>IF(OR(GB$4="",$B38=""),0,SUMIF('DADOS BRUTOS'!$A$3:$A$500,$B38,'DADOS BRUTOS'!DB$3:DB$500)+IF($C38="",0,SUMIF('DADOS BRUTOS'!$A$3:$A$500,$C38,'DADOS BRUTOS'!DB$3:DB$500)))</f>
        <v/>
      </c>
      <c r="GC38" s="132">
        <f>IF(OR(GC$4="",$B38=""),0,SUMIF('DADOS BRUTOS'!$A$3:$A$500,$B38,'DADOS BRUTOS'!DC$3:DC$500)+IF($C38="",0,SUMIF('DADOS BRUTOS'!$A$3:$A$500,$C38,'DADOS BRUTOS'!DC$3:DC$500)))</f>
        <v/>
      </c>
      <c r="GD38" s="132">
        <f>IF(OR(GD$4="",$B38=""),0,SUMIF('DADOS BRUTOS'!$A$3:$A$500,$B38,'DADOS BRUTOS'!DD$3:DD$500)+IF($C38="",0,SUMIF('DADOS BRUTOS'!$A$3:$A$500,$C38,'DADOS BRUTOS'!DD$3:DD$500)))</f>
        <v/>
      </c>
      <c r="GE38" s="132">
        <f>IF(OR(GE$4="",$B38=""),0,SUMIF('DADOS BRUTOS'!$A$3:$A$500,$B38,'DADOS BRUTOS'!DE$3:DE$500)+IF($C38="",0,SUMIF('DADOS BRUTOS'!$A$3:$A$500,$C38,'DADOS BRUTOS'!DE$3:DE$500)))</f>
        <v/>
      </c>
      <c r="GF38" s="132">
        <f>IF(OR(GF$4="",$B38=""),0,SUMIF('DADOS BRUTOS'!$A$3:$A$500,$B38,'DADOS BRUTOS'!DF$3:DF$500)+IF($C38="",0,SUMIF('DADOS BRUTOS'!$A$3:$A$500,$C38,'DADOS BRUTOS'!DF$3:DF$500)))</f>
        <v/>
      </c>
      <c r="GG38" s="132">
        <f>IF(OR(GG$4="",$B38=""),0,SUMIF('DADOS BRUTOS'!$A$3:$A$500,$B38,'DADOS BRUTOS'!DG$3:DG$500)+IF($C38="",0,SUMIF('DADOS BRUTOS'!$A$3:$A$500,$C38,'DADOS BRUTOS'!DG$3:DG$500)))</f>
        <v/>
      </c>
      <c r="GH38" s="132">
        <f>IF(OR(GH$4="",$B38=""),0,SUMIF('DADOS BRUTOS'!$A$3:$A$500,$B38,'DADOS BRUTOS'!DH$3:DH$500)+IF($C38="",0,SUMIF('DADOS BRUTOS'!$A$3:$A$500,$C38,'DADOS BRUTOS'!DH$3:DH$500)))</f>
        <v/>
      </c>
      <c r="GI38" s="132">
        <f>IF(OR(GI$4="",$B38=""),0,SUMIF('DADOS BRUTOS'!$A$3:$A$500,$B38,'DADOS BRUTOS'!DI$3:DI$500)+IF($C38="",0,SUMIF('DADOS BRUTOS'!$A$3:$A$500,$C38,'DADOS BRUTOS'!DI$3:DI$500)))</f>
        <v/>
      </c>
      <c r="GJ38" s="132">
        <f>IF(OR(GJ$4="",$B38=""),0,SUMIF('DADOS BRUTOS'!$A$3:$A$500,$B38,'DADOS BRUTOS'!DJ$3:DJ$500)+IF($C38="",0,SUMIF('DADOS BRUTOS'!$A$3:$A$500,$C38,'DADOS BRUTOS'!DJ$3:DJ$500)))</f>
        <v/>
      </c>
      <c r="GK38" s="132">
        <f>IF(OR(GK$4="",$B38=""),0,SUMIF('DADOS BRUTOS'!$A$3:$A$500,$B38,'DADOS BRUTOS'!DK$3:DK$500)+IF($C38="",0,SUMIF('DADOS BRUTOS'!$A$3:$A$500,$C38,'DADOS BRUTOS'!DK$3:DK$500)))</f>
        <v/>
      </c>
      <c r="GL38" s="132">
        <f>IF(OR(GL$4="",$B38=""),0,SUMIF('DADOS BRUTOS'!$A$3:$A$500,$B38,'DADOS BRUTOS'!DL$3:DL$500)+IF($C38="",0,SUMIF('DADOS BRUTOS'!$A$3:$A$500,$C38,'DADOS BRUTOS'!DL$3:DL$500)))</f>
        <v/>
      </c>
      <c r="GM38" s="132">
        <f>IF(OR(GM$4="",$B38=""),0,SUMIF('DADOS BRUTOS'!$A$3:$A$500,$B38,'DADOS BRUTOS'!DM$3:DM$500)+IF($C38="",0,SUMIF('DADOS BRUTOS'!$A$3:$A$500,$C38,'DADOS BRUTOS'!DM$3:DM$500)))</f>
        <v/>
      </c>
      <c r="GN38" s="132">
        <f>IF(OR(GN$4="",$B38=""),0,SUMIF('DADOS BRUTOS'!$A$3:$A$500,$B38,'DADOS BRUTOS'!DN$3:DN$500)+IF($C38="",0,SUMIF('DADOS BRUTOS'!$A$3:$A$500,$C38,'DADOS BRUTOS'!DN$3:DN$500)))</f>
        <v/>
      </c>
      <c r="GO38" s="132">
        <f>IF(OR(GO$4="",$B38=""),0,SUMIF('DADOS BRUTOS'!$A$3:$A$500,$B38,'DADOS BRUTOS'!DO$3:DO$500)+IF($C38="",0,SUMIF('DADOS BRUTOS'!$A$3:$A$500,$C38,'DADOS BRUTOS'!DO$3:DO$500)))</f>
        <v/>
      </c>
      <c r="GP38" s="132">
        <f>IF(OR(GP$4="",$B38=""),0,SUMIF('DADOS BRUTOS'!$A$3:$A$500,$B38,'DADOS BRUTOS'!DP$3:DP$500)+IF($C38="",0,SUMIF('DADOS BRUTOS'!$A$3:$A$500,$C38,'DADOS BRUTOS'!DP$3:DP$500)))</f>
        <v/>
      </c>
      <c r="GQ38" s="132">
        <f>IF(OR(GQ$4="",$B38=""),0,SUMIF('DADOS BRUTOS'!$A$3:$A$500,$B38,'DADOS BRUTOS'!DQ$3:DQ$500)+IF($C38="",0,SUMIF('DADOS BRUTOS'!$A$3:$A$500,$C38,'DADOS BRUTOS'!DQ$3:DQ$500)))</f>
        <v/>
      </c>
      <c r="GR38" s="132">
        <f>IF(OR(GR$4="",$B38=""),0,SUMIF('DADOS BRUTOS'!$A$3:$A$500,$B38,'DADOS BRUTOS'!DR$3:DR$500)+IF($C38="",0,SUMIF('DADOS BRUTOS'!$A$3:$A$500,$C38,'DADOS BRUTOS'!DR$3:DR$500)))</f>
        <v/>
      </c>
      <c r="GS38" s="132">
        <f>IF(OR(GS$4="",$B38=""),0,SUMIF('DADOS BRUTOS'!$A$3:$A$500,$B38,'DADOS BRUTOS'!DS$3:DS$500)+IF($C38="",0,SUMIF('DADOS BRUTOS'!$A$3:$A$500,$C38,'DADOS BRUTOS'!DS$3:DS$500)))</f>
        <v/>
      </c>
      <c r="GT38" s="132">
        <f>IF(OR(GT$4="",$B38=""),0,SUMIF('DADOS BRUTOS'!$A$3:$A$500,$B38,'DADOS BRUTOS'!DT$3:DT$500)+IF($C38="",0,SUMIF('DADOS BRUTOS'!$A$3:$A$500,$C38,'DADOS BRUTOS'!DT$3:DT$500)))</f>
        <v/>
      </c>
      <c r="GU38" s="132">
        <f>IF(OR(GU$4="",$B38=""),0,SUMIF('DADOS BRUTOS'!$A$3:$A$500,$B38,'DADOS BRUTOS'!DU$3:DU$500)+IF($C38="",0,SUMIF('DADOS BRUTOS'!$A$3:$A$500,$C38,'DADOS BRUTOS'!DU$3:DU$500)))</f>
        <v/>
      </c>
      <c r="GV38" s="132">
        <f>IF(OR(GV$4="",$B38=""),0,SUMIF('DADOS BRUTOS'!$A$3:$A$500,$B38,'DADOS BRUTOS'!DV$3:DV$500)+IF($C38="",0,SUMIF('DADOS BRUTOS'!$A$3:$A$500,$C38,'DADOS BRUTOS'!DV$3:DV$500)))</f>
        <v/>
      </c>
      <c r="GW38" s="132">
        <f>IF(OR(GW$4="",$B38=""),0,SUMIF('DADOS BRUTOS'!$A$3:$A$500,$B38,'DADOS BRUTOS'!DW$3:DW$500)+IF($C38="",0,SUMIF('DADOS BRUTOS'!$A$3:$A$500,$C38,'DADOS BRUTOS'!DW$3:DW$500)))</f>
        <v/>
      </c>
      <c r="GX38" s="132">
        <f>IF(OR(GX$4="",$B38=""),0,SUMIF('DADOS BRUTOS'!$A$3:$A$500,$B38,'DADOS BRUTOS'!DX$3:DX$500)+IF($C38="",0,SUMIF('DADOS BRUTOS'!$A$3:$A$500,$C38,'DADOS BRUTOS'!DX$3:DX$500)))</f>
        <v/>
      </c>
      <c r="GY38" s="132">
        <f>IF(OR(GY$4="",$B38=""),0,SUMIF('DADOS BRUTOS'!$A$3:$A$500,$B38,'DADOS BRUTOS'!DY$3:DY$500)+IF($C38="",0,SUMIF('DADOS BRUTOS'!$A$3:$A$500,$C38,'DADOS BRUTOS'!DY$3:DY$500)))</f>
        <v/>
      </c>
      <c r="GZ38" s="132">
        <f>IF(OR(GZ$4="",$B38=""),0,SUMIF('DADOS BRUTOS'!$A$3:$A$500,$B38,'DADOS BRUTOS'!DZ$3:DZ$500)+IF($C38="",0,SUMIF('DADOS BRUTOS'!$A$3:$A$500,$C38,'DADOS BRUTOS'!DZ$3:DZ$500)))</f>
        <v/>
      </c>
      <c r="HA38" s="132">
        <f>IF(OR(HA$4="",$B38=""),0,SUMIF('DADOS BRUTOS'!$A$3:$A$500,$B38,'DADOS BRUTOS'!EA$3:EA$500)+IF($C38="",0,SUMIF('DADOS BRUTOS'!$A$3:$A$500,$C38,'DADOS BRUTOS'!EA$3:EA$500)))</f>
        <v/>
      </c>
      <c r="HB38" s="132">
        <f>IF(OR(HB$4="",$B38=""),0,SUMIF('DADOS BRUTOS'!$A$3:$A$500,$B38,'DADOS BRUTOS'!EB$3:EB$500)+IF($C38="",0,SUMIF('DADOS BRUTOS'!$A$3:$A$500,$C38,'DADOS BRUTOS'!EB$3:EB$500)))</f>
        <v/>
      </c>
      <c r="HC38" s="132">
        <f>IF(OR(HC$4="",$B38=""),0,SUMIF('DADOS BRUTOS'!$A$3:$A$500,$B38,'DADOS BRUTOS'!EC$3:EC$500)+IF($C38="",0,SUMIF('DADOS BRUTOS'!$A$3:$A$500,$C38,'DADOS BRUTOS'!EC$3:EC$500)))</f>
        <v/>
      </c>
      <c r="HD38" s="132">
        <f>IF(OR(HD$4="",$B38=""),0,SUMIF('DADOS BRUTOS'!$A$3:$A$500,$B38,'DADOS BRUTOS'!ED$3:ED$500)+IF($C38="",0,SUMIF('DADOS BRUTOS'!$A$3:$A$500,$C38,'DADOS BRUTOS'!ED$3:ED$500)))</f>
        <v/>
      </c>
      <c r="HE38" s="132">
        <f>IF(OR(HE$4="",$B38=""),0,SUMIF('DADOS BRUTOS'!$A$3:$A$500,$B38,'DADOS BRUTOS'!EE$3:EE$500)+IF($C38="",0,SUMIF('DADOS BRUTOS'!$A$3:$A$500,$C38,'DADOS BRUTOS'!EE$3:EE$500)))</f>
        <v/>
      </c>
      <c r="HF38" s="132">
        <f>IF(OR(HF$4="",$B38=""),0,SUMIF('DADOS BRUTOS'!$A$3:$A$500,$B38,'DADOS BRUTOS'!EF$3:EF$500)+IF($C38="",0,SUMIF('DADOS BRUTOS'!$A$3:$A$500,$C38,'DADOS BRUTOS'!EF$3:EF$500)))</f>
        <v/>
      </c>
      <c r="HG38" s="132">
        <f>IF(OR(HG$4="",$B38=""),0,SUMIF('DADOS BRUTOS'!$A$3:$A$500,$B38,'DADOS BRUTOS'!EG$3:EG$500)+IF($C38="",0,SUMIF('DADOS BRUTOS'!$A$3:$A$500,$C38,'DADOS BRUTOS'!EG$3:EG$500)))</f>
        <v/>
      </c>
      <c r="HH38" s="132">
        <f>IF(OR(HH$4="",$B38=""),0,SUMIF('DADOS BRUTOS'!$A$3:$A$500,$B38,'DADOS BRUTOS'!EH$3:EH$500)+IF($C38="",0,SUMIF('DADOS BRUTOS'!$A$3:$A$500,$C38,'DADOS BRUTOS'!EH$3:EH$500)))</f>
        <v/>
      </c>
      <c r="HI38" s="132">
        <f>IF(OR(HI$4="",$B38=""),0,SUMIF('DADOS BRUTOS'!$A$3:$A$500,$B38,'DADOS BRUTOS'!EI$3:EI$500)+IF($C38="",0,SUMIF('DADOS BRUTOS'!$A$3:$A$500,$C38,'DADOS BRUTOS'!EI$3:EI$500)))</f>
        <v/>
      </c>
      <c r="HJ38" s="132">
        <f>IF(OR(HJ$4="",$B38=""),0,SUMIF('DADOS BRUTOS'!$A$3:$A$500,$B38,'DADOS BRUTOS'!EJ$3:EJ$500)+IF($C38="",0,SUMIF('DADOS BRUTOS'!$A$3:$A$500,$C38,'DADOS BRUTOS'!EJ$3:EJ$500)))</f>
        <v/>
      </c>
      <c r="HK38" s="132">
        <f>IF(OR(HK$4="",$B38=""),0,SUMIF('DADOS BRUTOS'!$A$3:$A$500,$B38,'DADOS BRUTOS'!EK$3:EK$500)+IF($C38="",0,SUMIF('DADOS BRUTOS'!$A$3:$A$500,$C38,'DADOS BRUTOS'!EK$3:EK$500)))</f>
        <v/>
      </c>
      <c r="HL38" s="132">
        <f>IF(OR(HL$4="",$B38=""),0,SUMIF('DADOS BRUTOS'!$A$3:$A$500,$B38,'DADOS BRUTOS'!EL$3:EL$500)+IF($C38="",0,SUMIF('DADOS BRUTOS'!$A$3:$A$500,$C38,'DADOS BRUTOS'!EL$3:EL$500)))</f>
        <v/>
      </c>
      <c r="HM38" s="132">
        <f>IF(OR(HM$4="",$B38=""),0,SUMIF('DADOS BRUTOS'!$A$3:$A$500,$B38,'DADOS BRUTOS'!EM$3:EM$500)+IF($C38="",0,SUMIF('DADOS BRUTOS'!$A$3:$A$500,$C38,'DADOS BRUTOS'!EM$3:EM$500)))</f>
        <v/>
      </c>
      <c r="HN38" s="132">
        <f>IF(OR(HN$4="",$B38=""),0,SUMIF('DADOS BRUTOS'!$A$3:$A$500,$B38,'DADOS BRUTOS'!EN$3:EN$500)+IF($C38="",0,SUMIF('DADOS BRUTOS'!$A$3:$A$500,$C38,'DADOS BRUTOS'!EN$3:EN$500)))</f>
        <v/>
      </c>
      <c r="HO38" s="132">
        <f>IF(OR(HO$4="",$B38=""),0,SUMIF('DADOS BRUTOS'!$A$3:$A$500,$B38,'DADOS BRUTOS'!EO$3:EO$500)+IF($C38="",0,SUMIF('DADOS BRUTOS'!$A$3:$A$500,$C38,'DADOS BRUTOS'!EO$3:EO$500)))</f>
        <v/>
      </c>
      <c r="HP38" s="132">
        <f>IF(OR(HP$4="",$B38=""),0,SUMIF('DADOS BRUTOS'!$A$3:$A$500,$B38,'DADOS BRUTOS'!EP$3:EP$500)+IF($C38="",0,SUMIF('DADOS BRUTOS'!$A$3:$A$500,$C38,'DADOS BRUTOS'!EP$3:EP$500)))</f>
        <v/>
      </c>
      <c r="HQ38" s="132">
        <f>IF(OR(HQ$4="",$B38=""),0,SUMIF('DADOS BRUTOS'!$A$3:$A$500,$B38,'DADOS BRUTOS'!EQ$3:EQ$500)+IF($C38="",0,SUMIF('DADOS BRUTOS'!$A$3:$A$500,$C38,'DADOS BRUTOS'!EQ$3:EQ$500)))</f>
        <v/>
      </c>
      <c r="HR38" s="132">
        <f>IF(OR(HR$4="",$B38=""),0,SUMIF('DADOS BRUTOS'!$A$3:$A$500,$B38,'DADOS BRUTOS'!ER$3:ER$500)+IF($C38="",0,SUMIF('DADOS BRUTOS'!$A$3:$A$500,$C38,'DADOS BRUTOS'!ER$3:ER$500)))</f>
        <v/>
      </c>
      <c r="HS38" s="132">
        <f>IF(OR(HS$4="",$B38=""),0,SUMIF('DADOS BRUTOS'!$A$3:$A$500,$B38,'DADOS BRUTOS'!ES$3:ES$500)+IF($C38="",0,SUMIF('DADOS BRUTOS'!$A$3:$A$500,$C38,'DADOS BRUTOS'!ES$3:ES$500)))</f>
        <v/>
      </c>
      <c r="HT38" s="132">
        <f>IF(OR(HT$4="",$B38=""),0,SUMIF('DADOS BRUTOS'!$A$3:$A$500,$B38,'DADOS BRUTOS'!ET$3:ET$500)+IF($C38="",0,SUMIF('DADOS BRUTOS'!$A$3:$A$500,$C38,'DADOS BRUTOS'!ET$3:ET$500)))</f>
        <v/>
      </c>
      <c r="HU38" s="132">
        <f>IF(OR(HU$4="",$B38=""),0,SUMIF('DADOS BRUTOS'!$A$3:$A$500,$B38,'DADOS BRUTOS'!EU$3:EU$500)+IF($C38="",0,SUMIF('DADOS BRUTOS'!$A$3:$A$500,$C38,'DADOS BRUTOS'!EU$3:EU$500)))</f>
        <v/>
      </c>
      <c r="HV38" s="132">
        <f>IF(OR(HV$4="",$B38=""),0,SUMIF('DADOS BRUTOS'!$A$3:$A$500,$B38,'DADOS BRUTOS'!EV$3:EV$500)+IF($C38="",0,SUMIF('DADOS BRUTOS'!$A$3:$A$500,$C38,'DADOS BRUTOS'!EV$3:EV$500)))</f>
        <v/>
      </c>
      <c r="HW38" s="132">
        <f>IF(OR(HW$4="",$B38=""),0,SUMIF('DADOS BRUTOS'!$A$3:$A$500,$B38,'DADOS BRUTOS'!EW$3:EW$500)+IF($C38="",0,SUMIF('DADOS BRUTOS'!$A$3:$A$500,$C38,'DADOS BRUTOS'!EW$3:EW$500)))</f>
        <v/>
      </c>
      <c r="HX38" s="132">
        <f>IF(OR(HX$4="",$B38=""),0,SUMIF('DADOS BRUTOS'!$A$3:$A$500,$B38,'DADOS BRUTOS'!EX$3:EX$500)+IF($C38="",0,SUMIF('DADOS BRUTOS'!$A$3:$A$500,$C38,'DADOS BRUTOS'!EX$3:EX$500)))</f>
        <v/>
      </c>
      <c r="HY38" s="132">
        <f>IF(OR(HY$4="",$B38=""),0,SUMIF('DADOS BRUTOS'!$A$3:$A$500,$B38,'DADOS BRUTOS'!EY$3:EY$500)+IF($C38="",0,SUMIF('DADOS BRUTOS'!$A$3:$A$500,$C38,'DADOS BRUTOS'!EY$3:EY$500)))</f>
        <v/>
      </c>
      <c r="HZ38" s="132">
        <f>IF(OR(HZ$4="",$B38=""),0,SUMIF('DADOS BRUTOS'!$A$3:$A$500,$B38,'DADOS BRUTOS'!EZ$3:EZ$500)+IF($C38="",0,SUMIF('DADOS BRUTOS'!$A$3:$A$500,$C38,'DADOS BRUTOS'!EZ$3:EZ$500)))</f>
        <v/>
      </c>
      <c r="IA38" s="132">
        <f>IF(OR(IA$4="",$B38=""),0,SUMIF('DADOS BRUTOS'!$A$3:$A$500,$B38,'DADOS BRUTOS'!FA$3:FA$500)+IF($C38="",0,SUMIF('DADOS BRUTOS'!$A$3:$A$500,$C38,'DADOS BRUTOS'!FA$3:FA$500)))</f>
        <v/>
      </c>
      <c r="IB38" s="132">
        <f>IF(OR(IB$4="",$B38=""),0,SUMIF('DADOS BRUTOS'!$A$3:$A$500,$B38,'DADOS BRUTOS'!FB$3:FB$500)+IF($C38="",0,SUMIF('DADOS BRUTOS'!$A$3:$A$500,$C38,'DADOS BRUTOS'!FB$3:FB$500)))</f>
        <v/>
      </c>
      <c r="IC38" s="132">
        <f>IF(OR(IC$4="",$B38=""),0,SUMIF('DADOS BRUTOS'!$A$3:$A$500,$B38,'DADOS BRUTOS'!FC$3:FC$500)+IF($C38="",0,SUMIF('DADOS BRUTOS'!$A$3:$A$500,$C38,'DADOS BRUTOS'!FC$3:FC$500)))</f>
        <v/>
      </c>
      <c r="ID38" s="132">
        <f>IF(OR(ID$4="",$B38=""),0,SUMIF('DADOS BRUTOS'!$A$3:$A$500,$B38,'DADOS BRUTOS'!FD$3:FD$500)+IF($C38="",0,SUMIF('DADOS BRUTOS'!$A$3:$A$500,$C38,'DADOS BRUTOS'!FD$3:FD$500)))</f>
        <v/>
      </c>
      <c r="IE38" s="132">
        <f>IF(OR(IE$4="",$B38=""),0,SUMIF('DADOS BRUTOS'!$A$3:$A$500,$B38,'DADOS BRUTOS'!FE$3:FE$500)+IF($C38="",0,SUMIF('DADOS BRUTOS'!$A$3:$A$500,$C38,'DADOS BRUTOS'!FE$3:FE$500)))</f>
        <v/>
      </c>
      <c r="IF38" s="132">
        <f>IF(OR(IF$4="",$B38=""),0,SUMIF('DADOS BRUTOS'!$A$3:$A$500,$B38,'DADOS BRUTOS'!FF$3:FF$500)+IF($C38="",0,SUMIF('DADOS BRUTOS'!$A$3:$A$500,$C38,'DADOS BRUTOS'!FF$3:FF$500)))</f>
        <v/>
      </c>
      <c r="IG38" s="132">
        <f>IF(OR(IG$4="",$B38=""),0,SUMIF('DADOS BRUTOS'!$A$3:$A$500,$B38,'DADOS BRUTOS'!FG$3:FG$500)+IF($C38="",0,SUMIF('DADOS BRUTOS'!$A$3:$A$500,$C38,'DADOS BRUTOS'!FG$3:FG$500)))</f>
        <v/>
      </c>
      <c r="IH38" s="132">
        <f>IF(OR(IH$4="",$B38=""),0,SUMIF('DADOS BRUTOS'!$A$3:$A$500,$B38,'DADOS BRUTOS'!FH$3:FH$500)+IF($C38="",0,SUMIF('DADOS BRUTOS'!$A$3:$A$500,$C38,'DADOS BRUTOS'!FH$3:FH$500)))</f>
        <v/>
      </c>
      <c r="II38" s="132">
        <f>IF(OR(II$4="",$B38=""),0,SUMIF('DADOS BRUTOS'!$A$3:$A$500,$B38,'DADOS BRUTOS'!FI$3:FI$500)+IF($C38="",0,SUMIF('DADOS BRUTOS'!$A$3:$A$500,$C38,'DADOS BRUTOS'!FI$3:FI$500)))</f>
        <v/>
      </c>
      <c r="IJ38" s="132">
        <f>IF(OR(IJ$4="",$B38=""),0,SUMIF('DADOS BRUTOS'!$A$3:$A$500,$B38,'DADOS BRUTOS'!FJ$3:FJ$500)+IF($C38="",0,SUMIF('DADOS BRUTOS'!$A$3:$A$500,$C38,'DADOS BRUTOS'!FJ$3:FJ$500)))</f>
        <v/>
      </c>
      <c r="IK38" s="132">
        <f>IF(OR(IK$4="",$B38=""),0,SUMIF('DADOS BRUTOS'!$A$3:$A$500,$B38,'DADOS BRUTOS'!FK$3:FK$500)+IF($C38="",0,SUMIF('DADOS BRUTOS'!$A$3:$A$500,$C38,'DADOS BRUTOS'!FK$3:FK$500)))</f>
        <v/>
      </c>
      <c r="IL38" s="132">
        <f>IF(OR(IL$4="",$B38=""),0,SUMIF('DADOS BRUTOS'!$A$3:$A$500,$B38,'DADOS BRUTOS'!FL$3:FL$500)+IF($C38="",0,SUMIF('DADOS BRUTOS'!$A$3:$A$500,$C38,'DADOS BRUTOS'!FL$3:FL$500)))</f>
        <v/>
      </c>
      <c r="IM38" s="132">
        <f>IF(OR(IM$4="",$B38=""),0,SUMIF('DADOS BRUTOS'!$A$3:$A$500,$B38,'DADOS BRUTOS'!FM$3:FM$500)+IF($C38="",0,SUMIF('DADOS BRUTOS'!$A$3:$A$500,$C38,'DADOS BRUTOS'!FM$3:FM$500)))</f>
        <v/>
      </c>
      <c r="IN38" s="132">
        <f>IF(OR(IN$4="",$B38=""),0,SUMIF('DADOS BRUTOS'!$A$3:$A$500,$B38,'DADOS BRUTOS'!FN$3:FN$500)+IF($C38="",0,SUMIF('DADOS BRUTOS'!$A$3:$A$500,$C38,'DADOS BRUTOS'!FN$3:FN$500)))</f>
        <v/>
      </c>
      <c r="IO38" s="132">
        <f>IF(OR(IO$4="",$B38=""),0,SUMIF('DADOS BRUTOS'!$A$3:$A$500,$B38,'DADOS BRUTOS'!FO$3:FO$500)+IF($C38="",0,SUMIF('DADOS BRUTOS'!$A$3:$A$500,$C38,'DADOS BRUTOS'!FO$3:FO$500)))</f>
        <v/>
      </c>
      <c r="IP38" s="132">
        <f>IF(OR(IP$4="",$B38=""),0,SUMIF('DADOS BRUTOS'!$A$3:$A$500,$B38,'DADOS BRUTOS'!FP$3:FP$500)+IF($C38="",0,SUMIF('DADOS BRUTOS'!$A$3:$A$500,$C38,'DADOS BRUTOS'!FP$3:FP$500)))</f>
        <v/>
      </c>
      <c r="IQ38" s="132">
        <f>IF(OR(IQ$4="",$B38=""),0,SUMIF('DADOS BRUTOS'!$A$3:$A$500,$B38,'DADOS BRUTOS'!FQ$3:FQ$500)+IF($C38="",0,SUMIF('DADOS BRUTOS'!$A$3:$A$500,$C38,'DADOS BRUTOS'!FQ$3:FQ$500)))</f>
        <v/>
      </c>
      <c r="IR38" s="132">
        <f>IF(OR(IR$4="",$B38=""),0,SUMIF('DADOS BRUTOS'!$A$3:$A$500,$B38,'DADOS BRUTOS'!FR$3:FR$500)+IF($C38="",0,SUMIF('DADOS BRUTOS'!$A$3:$A$500,$C38,'DADOS BRUTOS'!FR$3:FR$500)))</f>
        <v/>
      </c>
      <c r="IS38" s="132">
        <f>IF(OR(IS$4="",$B38=""),0,SUMIF('DADOS BRUTOS'!$A$3:$A$500,$B38,'DADOS BRUTOS'!FS$3:FS$500)+IF($C38="",0,SUMIF('DADOS BRUTOS'!$A$3:$A$500,$C38,'DADOS BRUTOS'!FS$3:FS$500)))</f>
        <v/>
      </c>
      <c r="IT38" s="132">
        <f>IF(OR(IT$4="",$B38=""),0,SUMIF('DADOS BRUTOS'!$A$3:$A$500,$B38,'DADOS BRUTOS'!FT$3:FT$500)+IF($C38="",0,SUMIF('DADOS BRUTOS'!$A$3:$A$500,$C38,'DADOS BRUTOS'!FT$3:FT$500)))</f>
        <v/>
      </c>
      <c r="IU38" s="132">
        <f>IF(OR(IU$4="",$B38=""),0,SUMIF('DADOS BRUTOS'!$A$3:$A$500,$B38,'DADOS BRUTOS'!FU$3:FU$500)+IF($C38="",0,SUMIF('DADOS BRUTOS'!$A$3:$A$500,$C38,'DADOS BRUTOS'!FU$3:FU$500)))</f>
        <v/>
      </c>
      <c r="IV38" s="132">
        <f>IF(OR(IV$4="",$B38=""),0,SUMIF('DADOS BRUTOS'!$A$3:$A$500,$B38,'DADOS BRUTOS'!FV$3:FV$500)+IF($C38="",0,SUMIF('DADOS BRUTOS'!$A$3:$A$500,$C38,'DADOS BRUTOS'!FV$3:FV$500)))</f>
        <v/>
      </c>
      <c r="IW38" s="132">
        <f>IF(OR(IW$4="",$B38=""),0,SUMIF('DADOS BRUTOS'!$A$3:$A$500,$B38,'DADOS BRUTOS'!FW$3:FW$500)+IF($C38="",0,SUMIF('DADOS BRUTOS'!$A$3:$A$500,$C38,'DADOS BRUTOS'!FW$3:FW$500)))</f>
        <v/>
      </c>
      <c r="IX38" s="132">
        <f>IF(OR(IX$4="",$B38=""),0,SUMIF('DADOS BRUTOS'!$A$3:$A$500,$B38,'DADOS BRUTOS'!FX$3:FX$500)+IF($C38="",0,SUMIF('DADOS BRUTOS'!$A$3:$A$500,$C38,'DADOS BRUTOS'!FX$3:FX$500)))</f>
        <v/>
      </c>
      <c r="IY38" s="132">
        <f>IF(OR(IY$4="",$B38=""),0,SUMIF('DADOS BRUTOS'!$A$3:$A$500,$B38,'DADOS BRUTOS'!FY$3:FY$500)+IF($C38="",0,SUMIF('DADOS BRUTOS'!$A$3:$A$500,$C38,'DADOS BRUTOS'!FY$3:FY$500)))</f>
        <v/>
      </c>
      <c r="IZ38" s="132">
        <f>IF(OR(IZ$4="",$B38=""),0,SUMIF('DADOS BRUTOS'!$A$3:$A$500,$B38,'DADOS BRUTOS'!FZ$3:FZ$500)+IF($C38="",0,SUMIF('DADOS BRUTOS'!$A$3:$A$500,$C38,'DADOS BRUTOS'!FZ$3:FZ$500)))</f>
        <v/>
      </c>
      <c r="JA38" s="132">
        <f>IF(OR(JA$4="",$B38=""),0,SUMIF('DADOS BRUTOS'!$A$3:$A$500,$B38,'DADOS BRUTOS'!GA$3:GA$500)+IF($C38="",0,SUMIF('DADOS BRUTOS'!$A$3:$A$500,$C38,'DADOS BRUTOS'!GA$3:GA$500)))</f>
        <v/>
      </c>
      <c r="JB38" s="132">
        <f>IF(OR(JB$4="",$B38=""),0,SUMIF('DADOS BRUTOS'!$A$3:$A$500,$B38,'DADOS BRUTOS'!GB$3:GB$500)+IF($C38="",0,SUMIF('DADOS BRUTOS'!$A$3:$A$500,$C38,'DADOS BRUTOS'!GB$3:GB$500)))</f>
        <v/>
      </c>
      <c r="JC38" s="132">
        <f>IF(OR(JC$4="",$B38=""),0,SUMIF('DADOS BRUTOS'!$A$3:$A$500,$B38,'DADOS BRUTOS'!GC$3:GC$500)+IF($C38="",0,SUMIF('DADOS BRUTOS'!$A$3:$A$500,$C38,'DADOS BRUTOS'!GC$3:GC$500)))</f>
        <v/>
      </c>
      <c r="JD38" s="132">
        <f>IF(OR(JD$4="",$B38=""),0,SUMIF('DADOS BRUTOS'!$A$3:$A$500,$B38,'DADOS BRUTOS'!GD$3:GD$500)+IF($C38="",0,SUMIF('DADOS BRUTOS'!$A$3:$A$500,$C38,'DADOS BRUTOS'!GD$3:GD$500)))</f>
        <v/>
      </c>
      <c r="JE38" s="132">
        <f>IF(OR(JE$4="",$B38=""),0,SUMIF('DADOS BRUTOS'!$A$3:$A$500,$B38,'DADOS BRUTOS'!GE$3:GE$500)+IF($C38="",0,SUMIF('DADOS BRUTOS'!$A$3:$A$500,$C38,'DADOS BRUTOS'!GE$3:GE$500)))</f>
        <v/>
      </c>
      <c r="JF38" s="132">
        <f>IF(OR(JF$4="",$B38=""),0,SUMIF('DADOS BRUTOS'!$A$3:$A$500,$B38,'DADOS BRUTOS'!GF$3:GF$500)+IF($C38="",0,SUMIF('DADOS BRUTOS'!$A$3:$A$500,$C38,'DADOS BRUTOS'!GF$3:GF$500)))</f>
        <v/>
      </c>
      <c r="JG38" s="132">
        <f>IF(OR(JG$4="",$B38=""),0,SUMIF('DADOS BRUTOS'!$A$3:$A$500,$B38,'DADOS BRUTOS'!GG$3:GG$500)+IF($C38="",0,SUMIF('DADOS BRUTOS'!$A$3:$A$500,$C38,'DADOS BRUTOS'!GG$3:GG$500)))</f>
        <v/>
      </c>
      <c r="JH38" s="132">
        <f>IF(OR(JH$4="",$B38=""),0,SUMIF('DADOS BRUTOS'!$A$3:$A$500,$B38,'DADOS BRUTOS'!GH$3:GH$500)+IF($C38="",0,SUMIF('DADOS BRUTOS'!$A$3:$A$500,$C38,'DADOS BRUTOS'!GH$3:GH$500)))</f>
        <v/>
      </c>
      <c r="JI38" s="132">
        <f>IF(OR(JI$4="",$B38=""),0,SUMIF('DADOS BRUTOS'!$A$3:$A$500,$B38,'DADOS BRUTOS'!GI$3:GI$500)+IF($C38="",0,SUMIF('DADOS BRUTOS'!$A$3:$A$500,$C38,'DADOS BRUTOS'!GI$3:GI$500)))</f>
        <v/>
      </c>
      <c r="JJ38" s="132">
        <f>IF(OR(JJ$4="",$B38=""),0,SUMIF('DADOS BRUTOS'!$A$3:$A$500,$B38,'DADOS BRUTOS'!GJ$3:GJ$500)+IF($C38="",0,SUMIF('DADOS BRUTOS'!$A$3:$A$500,$C38,'DADOS BRUTOS'!GJ$3:GJ$500)))</f>
        <v/>
      </c>
      <c r="JK38" s="132">
        <f>IF(OR(JK$4="",$B38=""),0,SUMIF('DADOS BRUTOS'!$A$3:$A$500,$B38,'DADOS BRUTOS'!GK$3:GK$500)+IF($C38="",0,SUMIF('DADOS BRUTOS'!$A$3:$A$500,$C38,'DADOS BRUTOS'!GK$3:GK$500)))</f>
        <v/>
      </c>
      <c r="JL38" s="132">
        <f>IF(OR(JL$4="",$B38=""),0,SUMIF('DADOS BRUTOS'!$A$3:$A$500,$B38,'DADOS BRUTOS'!GL$3:GL$500)+IF($C38="",0,SUMIF('DADOS BRUTOS'!$A$3:$A$500,$C38,'DADOS BRUTOS'!GL$3:GL$500)))</f>
        <v/>
      </c>
      <c r="JM38" s="132">
        <f>IF(OR(JM$4="",$B38=""),0,SUMIF('DADOS BRUTOS'!$A$3:$A$500,$B38,'DADOS BRUTOS'!GM$3:GM$500)+IF($C38="",0,SUMIF('DADOS BRUTOS'!$A$3:$A$500,$C38,'DADOS BRUTOS'!GM$3:GM$500)))</f>
        <v/>
      </c>
      <c r="JN38" s="132">
        <f>IF(OR(JN$4="",$B38=""),0,SUMIF('DADOS BRUTOS'!$A$3:$A$500,$B38,'DADOS BRUTOS'!GN$3:GN$500)+IF($C38="",0,SUMIF('DADOS BRUTOS'!$A$3:$A$500,$C38,'DADOS BRUTOS'!GN$3:GN$500)))</f>
        <v/>
      </c>
      <c r="JO38" s="132">
        <f>IF(OR(JO$4="",$B38=""),0,SUMIF('DADOS BRUTOS'!$A$3:$A$500,$B38,'DADOS BRUTOS'!GO$3:GO$500)+IF($C38="",0,SUMIF('DADOS BRUTOS'!$A$3:$A$500,$C38,'DADOS BRUTOS'!GO$3:GO$500)))</f>
        <v/>
      </c>
      <c r="JP38" s="132">
        <f>IF(OR(JP$4="",$B38=""),0,SUMIF('DADOS BRUTOS'!$A$3:$A$500,$B38,'DADOS BRUTOS'!GP$3:GP$500)+IF($C38="",0,SUMIF('DADOS BRUTOS'!$A$3:$A$500,$C38,'DADOS BRUTOS'!GP$3:GP$500)))</f>
        <v/>
      </c>
      <c r="JQ38" s="132">
        <f>IF(OR(JQ$4="",$B38=""),0,SUMIF('DADOS BRUTOS'!$A$3:$A$500,$B38,'DADOS BRUTOS'!GQ$3:GQ$500)+IF($C38="",0,SUMIF('DADOS BRUTOS'!$A$3:$A$500,$C38,'DADOS BRUTOS'!GQ$3:GQ$500)))</f>
        <v/>
      </c>
      <c r="JR38" s="132">
        <f>IF(OR(JR$4="",$B38=""),0,SUMIF('DADOS BRUTOS'!$A$3:$A$500,$B38,'DADOS BRUTOS'!GR$3:GR$500)+IF($C38="",0,SUMIF('DADOS BRUTOS'!$A$3:$A$500,$C38,'DADOS BRUTOS'!GR$3:GR$500)))</f>
        <v/>
      </c>
      <c r="JS38" s="132">
        <f>IF(OR(JS$4="",$B38=""),0,SUMIF('DADOS BRUTOS'!$A$3:$A$500,$B38,'DADOS BRUTOS'!GS$3:GS$500)+IF($C38="",0,SUMIF('DADOS BRUTOS'!$A$3:$A$500,$C38,'DADOS BRUTOS'!GS$3:GS$500)))</f>
        <v/>
      </c>
    </row>
    <row r="39">
      <c r="A39" s="61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BZ39" s="49">
        <f>SUMPRODUCT(($CB$4:$JS$4&lt;&gt;"")*($CB$4:$JS$4&lt;=$D$4),$CB39:$JS39,$CB$1:$JS$1)</f>
        <v/>
      </c>
      <c r="CB39" s="132">
        <f>IF(OR(CB$4="",$B39=""),0,SUMIF('DADOS BRUTOS'!$A$3:$A$500,$B39,'DADOS BRUTOS'!B$3:B$500)+IF($C39="",0,SUMIF('DADOS BRUTOS'!$A$3:$A$500,$C39,'DADOS BRUTOS'!B$3:B$500)))</f>
        <v/>
      </c>
      <c r="CC39" s="132">
        <f>IF(OR(CC$4="",$B39=""),0,SUMIF('DADOS BRUTOS'!$A$3:$A$500,$B39,'DADOS BRUTOS'!C$3:C$500)+IF($C39="",0,SUMIF('DADOS BRUTOS'!$A$3:$A$500,$C39,'DADOS BRUTOS'!C$3:C$500)))</f>
        <v/>
      </c>
      <c r="CD39" s="132">
        <f>IF(OR(CD$4="",$B39=""),0,SUMIF('DADOS BRUTOS'!$A$3:$A$500,$B39,'DADOS BRUTOS'!D$3:D$500)+IF($C39="",0,SUMIF('DADOS BRUTOS'!$A$3:$A$500,$C39,'DADOS BRUTOS'!D$3:D$500)))</f>
        <v/>
      </c>
      <c r="CE39" s="132">
        <f>IF(OR(CE$4="",$B39=""),0,SUMIF('DADOS BRUTOS'!$A$3:$A$500,$B39,'DADOS BRUTOS'!E$3:E$500)+IF($C39="",0,SUMIF('DADOS BRUTOS'!$A$3:$A$500,$C39,'DADOS BRUTOS'!E$3:E$500)))</f>
        <v/>
      </c>
      <c r="CF39" s="132">
        <f>IF(OR(CF$4="",$B39=""),0,SUMIF('DADOS BRUTOS'!$A$3:$A$500,$B39,'DADOS BRUTOS'!F$3:F$500)+IF($C39="",0,SUMIF('DADOS BRUTOS'!$A$3:$A$500,$C39,'DADOS BRUTOS'!F$3:F$500)))</f>
        <v/>
      </c>
      <c r="CG39" s="132">
        <f>IF(OR(CG$4="",$B39=""),0,SUMIF('DADOS BRUTOS'!$A$3:$A$500,$B39,'DADOS BRUTOS'!G$3:G$500)+IF($C39="",0,SUMIF('DADOS BRUTOS'!$A$3:$A$500,$C39,'DADOS BRUTOS'!G$3:G$500)))</f>
        <v/>
      </c>
      <c r="CH39" s="132">
        <f>IF(OR(CH$4="",$B39=""),0,SUMIF('DADOS BRUTOS'!$A$3:$A$500,$B39,'DADOS BRUTOS'!H$3:H$500)+IF($C39="",0,SUMIF('DADOS BRUTOS'!$A$3:$A$500,$C39,'DADOS BRUTOS'!H$3:H$500)))</f>
        <v/>
      </c>
      <c r="CI39" s="132">
        <f>IF(OR(CI$4="",$B39=""),0,SUMIF('DADOS BRUTOS'!$A$3:$A$500,$B39,'DADOS BRUTOS'!I$3:I$500)+IF($C39="",0,SUMIF('DADOS BRUTOS'!$A$3:$A$500,$C39,'DADOS BRUTOS'!I$3:I$500)))</f>
        <v/>
      </c>
      <c r="CJ39" s="132">
        <f>IF(OR(CJ$4="",$B39=""),0,SUMIF('DADOS BRUTOS'!$A$3:$A$500,$B39,'DADOS BRUTOS'!J$3:J$500)+IF($C39="",0,SUMIF('DADOS BRUTOS'!$A$3:$A$500,$C39,'DADOS BRUTOS'!J$3:J$500)))</f>
        <v/>
      </c>
      <c r="CK39" s="132">
        <f>IF(OR(CK$4="",$B39=""),0,SUMIF('DADOS BRUTOS'!$A$3:$A$500,$B39,'DADOS BRUTOS'!K$3:K$500)+IF($C39="",0,SUMIF('DADOS BRUTOS'!$A$3:$A$500,$C39,'DADOS BRUTOS'!K$3:K$500)))</f>
        <v/>
      </c>
      <c r="CL39" s="132">
        <f>IF(OR(CL$4="",$B39=""),0,SUMIF('DADOS BRUTOS'!$A$3:$A$500,$B39,'DADOS BRUTOS'!L$3:L$500)+IF($C39="",0,SUMIF('DADOS BRUTOS'!$A$3:$A$500,$C39,'DADOS BRUTOS'!L$3:L$500)))</f>
        <v/>
      </c>
      <c r="CM39" s="132">
        <f>IF(OR(CM$4="",$B39=""),0,SUMIF('DADOS BRUTOS'!$A$3:$A$500,$B39,'DADOS BRUTOS'!M$3:M$500)+IF($C39="",0,SUMIF('DADOS BRUTOS'!$A$3:$A$500,$C39,'DADOS BRUTOS'!M$3:M$500)))</f>
        <v/>
      </c>
      <c r="CN39" s="132">
        <f>IF(OR(CN$4="",$B39=""),0,SUMIF('DADOS BRUTOS'!$A$3:$A$500,$B39,'DADOS BRUTOS'!N$3:N$500)+IF($C39="",0,SUMIF('DADOS BRUTOS'!$A$3:$A$500,$C39,'DADOS BRUTOS'!N$3:N$500)))</f>
        <v/>
      </c>
      <c r="CO39" s="132">
        <f>IF(OR(CO$4="",$B39=""),0,SUMIF('DADOS BRUTOS'!$A$3:$A$500,$B39,'DADOS BRUTOS'!O$3:O$500)+IF($C39="",0,SUMIF('DADOS BRUTOS'!$A$3:$A$500,$C39,'DADOS BRUTOS'!O$3:O$500)))</f>
        <v/>
      </c>
      <c r="CP39" s="132">
        <f>IF(OR(CP$4="",$B39=""),0,SUMIF('DADOS BRUTOS'!$A$3:$A$500,$B39,'DADOS BRUTOS'!P$3:P$500)+IF($C39="",0,SUMIF('DADOS BRUTOS'!$A$3:$A$500,$C39,'DADOS BRUTOS'!P$3:P$500)))</f>
        <v/>
      </c>
      <c r="CQ39" s="132">
        <f>IF(OR(CQ$4="",$B39=""),0,SUMIF('DADOS BRUTOS'!$A$3:$A$500,$B39,'DADOS BRUTOS'!Q$3:Q$500)+IF($C39="",0,SUMIF('DADOS BRUTOS'!$A$3:$A$500,$C39,'DADOS BRUTOS'!Q$3:Q$500)))</f>
        <v/>
      </c>
      <c r="CR39" s="132">
        <f>IF(OR(CR$4="",$B39=""),0,SUMIF('DADOS BRUTOS'!$A$3:$A$500,$B39,'DADOS BRUTOS'!R$3:R$500)+IF($C39="",0,SUMIF('DADOS BRUTOS'!$A$3:$A$500,$C39,'DADOS BRUTOS'!R$3:R$500)))</f>
        <v/>
      </c>
      <c r="CS39" s="132">
        <f>IF(OR(CS$4="",$B39=""),0,SUMIF('DADOS BRUTOS'!$A$3:$A$500,$B39,'DADOS BRUTOS'!S$3:S$500)+IF($C39="",0,SUMIF('DADOS BRUTOS'!$A$3:$A$500,$C39,'DADOS BRUTOS'!S$3:S$500)))</f>
        <v/>
      </c>
      <c r="CT39" s="132">
        <f>IF(OR(CT$4="",$B39=""),0,SUMIF('DADOS BRUTOS'!$A$3:$A$500,$B39,'DADOS BRUTOS'!T$3:T$500)+IF($C39="",0,SUMIF('DADOS BRUTOS'!$A$3:$A$500,$C39,'DADOS BRUTOS'!T$3:T$500)))</f>
        <v/>
      </c>
      <c r="CU39" s="132">
        <f>IF(OR(CU$4="",$B39=""),0,SUMIF('DADOS BRUTOS'!$A$3:$A$500,$B39,'DADOS BRUTOS'!U$3:U$500)+IF($C39="",0,SUMIF('DADOS BRUTOS'!$A$3:$A$500,$C39,'DADOS BRUTOS'!U$3:U$500)))</f>
        <v/>
      </c>
      <c r="CV39" s="132">
        <f>IF(OR(CV$4="",$B39=""),0,SUMIF('DADOS BRUTOS'!$A$3:$A$500,$B39,'DADOS BRUTOS'!V$3:V$500)+IF($C39="",0,SUMIF('DADOS BRUTOS'!$A$3:$A$500,$C39,'DADOS BRUTOS'!V$3:V$500)))</f>
        <v/>
      </c>
      <c r="CW39" s="132">
        <f>IF(OR(CW$4="",$B39=""),0,SUMIF('DADOS BRUTOS'!$A$3:$A$500,$B39,'DADOS BRUTOS'!W$3:W$500)+IF($C39="",0,SUMIF('DADOS BRUTOS'!$A$3:$A$500,$C39,'DADOS BRUTOS'!W$3:W$500)))</f>
        <v/>
      </c>
      <c r="CX39" s="132">
        <f>IF(OR(CX$4="",$B39=""),0,SUMIF('DADOS BRUTOS'!$A$3:$A$500,$B39,'DADOS BRUTOS'!X$3:X$500)+IF($C39="",0,SUMIF('DADOS BRUTOS'!$A$3:$A$500,$C39,'DADOS BRUTOS'!X$3:X$500)))</f>
        <v/>
      </c>
      <c r="CY39" s="132">
        <f>IF(OR(CY$4="",$B39=""),0,SUMIF('DADOS BRUTOS'!$A$3:$A$500,$B39,'DADOS BRUTOS'!Y$3:Y$500)+IF($C39="",0,SUMIF('DADOS BRUTOS'!$A$3:$A$500,$C39,'DADOS BRUTOS'!Y$3:Y$500)))</f>
        <v/>
      </c>
      <c r="CZ39" s="132">
        <f>IF(OR(CZ$4="",$B39=""),0,SUMIF('DADOS BRUTOS'!$A$3:$A$500,$B39,'DADOS BRUTOS'!Z$3:Z$500)+IF($C39="",0,SUMIF('DADOS BRUTOS'!$A$3:$A$500,$C39,'DADOS BRUTOS'!Z$3:Z$500)))</f>
        <v/>
      </c>
      <c r="DA39" s="132">
        <f>IF(OR(DA$4="",$B39=""),0,SUMIF('DADOS BRUTOS'!$A$3:$A$500,$B39,'DADOS BRUTOS'!AA$3:AA$500)+IF($C39="",0,SUMIF('DADOS BRUTOS'!$A$3:$A$500,$C39,'DADOS BRUTOS'!AA$3:AA$500)))</f>
        <v/>
      </c>
      <c r="DB39" s="132">
        <f>IF(OR(DB$4="",$B39=""),0,SUMIF('DADOS BRUTOS'!$A$3:$A$500,$B39,'DADOS BRUTOS'!AB$3:AB$500)+IF($C39="",0,SUMIF('DADOS BRUTOS'!$A$3:$A$500,$C39,'DADOS BRUTOS'!AB$3:AB$500)))</f>
        <v/>
      </c>
      <c r="DC39" s="132">
        <f>IF(OR(DC$4="",$B39=""),0,SUMIF('DADOS BRUTOS'!$A$3:$A$500,$B39,'DADOS BRUTOS'!AC$3:AC$500)+IF($C39="",0,SUMIF('DADOS BRUTOS'!$A$3:$A$500,$C39,'DADOS BRUTOS'!AC$3:AC$500)))</f>
        <v/>
      </c>
      <c r="DD39" s="132">
        <f>IF(OR(DD$4="",$B39=""),0,SUMIF('DADOS BRUTOS'!$A$3:$A$500,$B39,'DADOS BRUTOS'!AD$3:AD$500)+IF($C39="",0,SUMIF('DADOS BRUTOS'!$A$3:$A$500,$C39,'DADOS BRUTOS'!AD$3:AD$500)))</f>
        <v/>
      </c>
      <c r="DE39" s="132">
        <f>IF(OR(DE$4="",$B39=""),0,SUMIF('DADOS BRUTOS'!$A$3:$A$500,$B39,'DADOS BRUTOS'!AE$3:AE$500)+IF($C39="",0,SUMIF('DADOS BRUTOS'!$A$3:$A$500,$C39,'DADOS BRUTOS'!AE$3:AE$500)))</f>
        <v/>
      </c>
      <c r="DF39" s="132">
        <f>IF(OR(DF$4="",$B39=""),0,SUMIF('DADOS BRUTOS'!$A$3:$A$500,$B39,'DADOS BRUTOS'!AF$3:AF$500)+IF($C39="",0,SUMIF('DADOS BRUTOS'!$A$3:$A$500,$C39,'DADOS BRUTOS'!AF$3:AF$500)))</f>
        <v/>
      </c>
      <c r="DG39" s="132">
        <f>IF(OR(DG$4="",$B39=""),0,SUMIF('DADOS BRUTOS'!$A$3:$A$500,$B39,'DADOS BRUTOS'!AG$3:AG$500)+IF($C39="",0,SUMIF('DADOS BRUTOS'!$A$3:$A$500,$C39,'DADOS BRUTOS'!AG$3:AG$500)))</f>
        <v/>
      </c>
      <c r="DH39" s="132">
        <f>IF(OR(DH$4="",$B39=""),0,SUMIF('DADOS BRUTOS'!$A$3:$A$500,$B39,'DADOS BRUTOS'!AH$3:AH$500)+IF($C39="",0,SUMIF('DADOS BRUTOS'!$A$3:$A$500,$C39,'DADOS BRUTOS'!AH$3:AH$500)))</f>
        <v/>
      </c>
      <c r="DI39" s="132">
        <f>IF(OR(DI$4="",$B39=""),0,SUMIF('DADOS BRUTOS'!$A$3:$A$500,$B39,'DADOS BRUTOS'!AI$3:AI$500)+IF($C39="",0,SUMIF('DADOS BRUTOS'!$A$3:$A$500,$C39,'DADOS BRUTOS'!AI$3:AI$500)))</f>
        <v/>
      </c>
      <c r="DJ39" s="132">
        <f>IF(OR(DJ$4="",$B39=""),0,SUMIF('DADOS BRUTOS'!$A$3:$A$500,$B39,'DADOS BRUTOS'!AJ$3:AJ$500)+IF($C39="",0,SUMIF('DADOS BRUTOS'!$A$3:$A$500,$C39,'DADOS BRUTOS'!AJ$3:AJ$500)))</f>
        <v/>
      </c>
      <c r="DK39" s="132">
        <f>IF(OR(DK$4="",$B39=""),0,SUMIF('DADOS BRUTOS'!$A$3:$A$500,$B39,'DADOS BRUTOS'!AK$3:AK$500)+IF($C39="",0,SUMIF('DADOS BRUTOS'!$A$3:$A$500,$C39,'DADOS BRUTOS'!AK$3:AK$500)))</f>
        <v/>
      </c>
      <c r="DL39" s="132">
        <f>IF(OR(DL$4="",$B39=""),0,SUMIF('DADOS BRUTOS'!$A$3:$A$500,$B39,'DADOS BRUTOS'!AL$3:AL$500)+IF($C39="",0,SUMIF('DADOS BRUTOS'!$A$3:$A$500,$C39,'DADOS BRUTOS'!AL$3:AL$500)))</f>
        <v/>
      </c>
      <c r="DM39" s="132">
        <f>IF(OR(DM$4="",$B39=""),0,SUMIF('DADOS BRUTOS'!$A$3:$A$500,$B39,'DADOS BRUTOS'!AM$3:AM$500)+IF($C39="",0,SUMIF('DADOS BRUTOS'!$A$3:$A$500,$C39,'DADOS BRUTOS'!AM$3:AM$500)))</f>
        <v/>
      </c>
      <c r="DN39" s="132">
        <f>IF(OR(DN$4="",$B39=""),0,SUMIF('DADOS BRUTOS'!$A$3:$A$500,$B39,'DADOS BRUTOS'!AN$3:AN$500)+IF($C39="",0,SUMIF('DADOS BRUTOS'!$A$3:$A$500,$C39,'DADOS BRUTOS'!AN$3:AN$500)))</f>
        <v/>
      </c>
      <c r="DO39" s="132">
        <f>IF(OR(DO$4="",$B39=""),0,SUMIF('DADOS BRUTOS'!$A$3:$A$500,$B39,'DADOS BRUTOS'!AO$3:AO$500)+IF($C39="",0,SUMIF('DADOS BRUTOS'!$A$3:$A$500,$C39,'DADOS BRUTOS'!AO$3:AO$500)))</f>
        <v/>
      </c>
      <c r="DP39" s="132">
        <f>IF(OR(DP$4="",$B39=""),0,SUMIF('DADOS BRUTOS'!$A$3:$A$500,$B39,'DADOS BRUTOS'!AP$3:AP$500)+IF($C39="",0,SUMIF('DADOS BRUTOS'!$A$3:$A$500,$C39,'DADOS BRUTOS'!AP$3:AP$500)))</f>
        <v/>
      </c>
      <c r="DQ39" s="132">
        <f>IF(OR(DQ$4="",$B39=""),0,SUMIF('DADOS BRUTOS'!$A$3:$A$500,$B39,'DADOS BRUTOS'!AQ$3:AQ$500)+IF($C39="",0,SUMIF('DADOS BRUTOS'!$A$3:$A$500,$C39,'DADOS BRUTOS'!AQ$3:AQ$500)))</f>
        <v/>
      </c>
      <c r="DR39" s="132">
        <f>IF(OR(DR$4="",$B39=""),0,SUMIF('DADOS BRUTOS'!$A$3:$A$500,$B39,'DADOS BRUTOS'!AR$3:AR$500)+IF($C39="",0,SUMIF('DADOS BRUTOS'!$A$3:$A$500,$C39,'DADOS BRUTOS'!AR$3:AR$500)))</f>
        <v/>
      </c>
      <c r="DS39" s="132">
        <f>IF(OR(DS$4="",$B39=""),0,SUMIF('DADOS BRUTOS'!$A$3:$A$500,$B39,'DADOS BRUTOS'!AS$3:AS$500)+IF($C39="",0,SUMIF('DADOS BRUTOS'!$A$3:$A$500,$C39,'DADOS BRUTOS'!AS$3:AS$500)))</f>
        <v/>
      </c>
      <c r="DT39" s="132">
        <f>IF(OR(DT$4="",$B39=""),0,SUMIF('DADOS BRUTOS'!$A$3:$A$500,$B39,'DADOS BRUTOS'!AT$3:AT$500)+IF($C39="",0,SUMIF('DADOS BRUTOS'!$A$3:$A$500,$C39,'DADOS BRUTOS'!AT$3:AT$500)))</f>
        <v/>
      </c>
      <c r="DU39" s="132">
        <f>IF(OR(DU$4="",$B39=""),0,SUMIF('DADOS BRUTOS'!$A$3:$A$500,$B39,'DADOS BRUTOS'!AU$3:AU$500)+IF($C39="",0,SUMIF('DADOS BRUTOS'!$A$3:$A$500,$C39,'DADOS BRUTOS'!AU$3:AU$500)))</f>
        <v/>
      </c>
      <c r="DV39" s="132">
        <f>IF(OR(DV$4="",$B39=""),0,SUMIF('DADOS BRUTOS'!$A$3:$A$500,$B39,'DADOS BRUTOS'!AV$3:AV$500)+IF($C39="",0,SUMIF('DADOS BRUTOS'!$A$3:$A$500,$C39,'DADOS BRUTOS'!AV$3:AV$500)))</f>
        <v/>
      </c>
      <c r="DW39" s="132">
        <f>IF(OR(DW$4="",$B39=""),0,SUMIF('DADOS BRUTOS'!$A$3:$A$500,$B39,'DADOS BRUTOS'!AW$3:AW$500)+IF($C39="",0,SUMIF('DADOS BRUTOS'!$A$3:$A$500,$C39,'DADOS BRUTOS'!AW$3:AW$500)))</f>
        <v/>
      </c>
      <c r="DX39" s="132">
        <f>IF(OR(DX$4="",$B39=""),0,SUMIF('DADOS BRUTOS'!$A$3:$A$500,$B39,'DADOS BRUTOS'!AX$3:AX$500)+IF($C39="",0,SUMIF('DADOS BRUTOS'!$A$3:$A$500,$C39,'DADOS BRUTOS'!AX$3:AX$500)))</f>
        <v/>
      </c>
      <c r="DY39" s="132">
        <f>IF(OR(DY$4="",$B39=""),0,SUMIF('DADOS BRUTOS'!$A$3:$A$500,$B39,'DADOS BRUTOS'!AY$3:AY$500)+IF($C39="",0,SUMIF('DADOS BRUTOS'!$A$3:$A$500,$C39,'DADOS BRUTOS'!AY$3:AY$500)))</f>
        <v/>
      </c>
      <c r="DZ39" s="132">
        <f>IF(OR(DZ$4="",$B39=""),0,SUMIF('DADOS BRUTOS'!$A$3:$A$500,$B39,'DADOS BRUTOS'!AZ$3:AZ$500)+IF($C39="",0,SUMIF('DADOS BRUTOS'!$A$3:$A$500,$C39,'DADOS BRUTOS'!AZ$3:AZ$500)))</f>
        <v/>
      </c>
      <c r="EA39" s="132">
        <f>IF(OR(EA$4="",$B39=""),0,SUMIF('DADOS BRUTOS'!$A$3:$A$500,$B39,'DADOS BRUTOS'!BA$3:BA$500)+IF($C39="",0,SUMIF('DADOS BRUTOS'!$A$3:$A$500,$C39,'DADOS BRUTOS'!BA$3:BA$500)))</f>
        <v/>
      </c>
      <c r="EB39" s="132">
        <f>IF(OR(EB$4="",$B39=""),0,SUMIF('DADOS BRUTOS'!$A$3:$A$500,$B39,'DADOS BRUTOS'!BB$3:BB$500)+IF($C39="",0,SUMIF('DADOS BRUTOS'!$A$3:$A$500,$C39,'DADOS BRUTOS'!BB$3:BB$500)))</f>
        <v/>
      </c>
      <c r="EC39" s="132">
        <f>IF(OR(EC$4="",$B39=""),0,SUMIF('DADOS BRUTOS'!$A$3:$A$500,$B39,'DADOS BRUTOS'!BC$3:BC$500)+IF($C39="",0,SUMIF('DADOS BRUTOS'!$A$3:$A$500,$C39,'DADOS BRUTOS'!BC$3:BC$500)))</f>
        <v/>
      </c>
      <c r="ED39" s="132">
        <f>IF(OR(ED$4="",$B39=""),0,SUMIF('DADOS BRUTOS'!$A$3:$A$500,$B39,'DADOS BRUTOS'!BD$3:BD$500)+IF($C39="",0,SUMIF('DADOS BRUTOS'!$A$3:$A$500,$C39,'DADOS BRUTOS'!BD$3:BD$500)))</f>
        <v/>
      </c>
      <c r="EE39" s="132">
        <f>IF(OR(EE$4="",$B39=""),0,SUMIF('DADOS BRUTOS'!$A$3:$A$500,$B39,'DADOS BRUTOS'!BE$3:BE$500)+IF($C39="",0,SUMIF('DADOS BRUTOS'!$A$3:$A$500,$C39,'DADOS BRUTOS'!BE$3:BE$500)))</f>
        <v/>
      </c>
      <c r="EF39" s="132">
        <f>IF(OR(EF$4="",$B39=""),0,SUMIF('DADOS BRUTOS'!$A$3:$A$500,$B39,'DADOS BRUTOS'!BF$3:BF$500)+IF($C39="",0,SUMIF('DADOS BRUTOS'!$A$3:$A$500,$C39,'DADOS BRUTOS'!BF$3:BF$500)))</f>
        <v/>
      </c>
      <c r="EG39" s="132">
        <f>IF(OR(EG$4="",$B39=""),0,SUMIF('DADOS BRUTOS'!$A$3:$A$500,$B39,'DADOS BRUTOS'!BG$3:BG$500)+IF($C39="",0,SUMIF('DADOS BRUTOS'!$A$3:$A$500,$C39,'DADOS BRUTOS'!BG$3:BG$500)))</f>
        <v/>
      </c>
      <c r="EH39" s="132">
        <f>IF(OR(EH$4="",$B39=""),0,SUMIF('DADOS BRUTOS'!$A$3:$A$500,$B39,'DADOS BRUTOS'!BH$3:BH$500)+IF($C39="",0,SUMIF('DADOS BRUTOS'!$A$3:$A$500,$C39,'DADOS BRUTOS'!BH$3:BH$500)))</f>
        <v/>
      </c>
      <c r="EI39" s="132">
        <f>IF(OR(EI$4="",$B39=""),0,SUMIF('DADOS BRUTOS'!$A$3:$A$500,$B39,'DADOS BRUTOS'!BI$3:BI$500)+IF($C39="",0,SUMIF('DADOS BRUTOS'!$A$3:$A$500,$C39,'DADOS BRUTOS'!BI$3:BI$500)))</f>
        <v/>
      </c>
      <c r="EJ39" s="132">
        <f>IF(OR(EJ$4="",$B39=""),0,SUMIF('DADOS BRUTOS'!$A$3:$A$500,$B39,'DADOS BRUTOS'!BJ$3:BJ$500)+IF($C39="",0,SUMIF('DADOS BRUTOS'!$A$3:$A$500,$C39,'DADOS BRUTOS'!BJ$3:BJ$500)))</f>
        <v/>
      </c>
      <c r="EK39" s="132">
        <f>IF(OR(EK$4="",$B39=""),0,SUMIF('DADOS BRUTOS'!$A$3:$A$500,$B39,'DADOS BRUTOS'!BK$3:BK$500)+IF($C39="",0,SUMIF('DADOS BRUTOS'!$A$3:$A$500,$C39,'DADOS BRUTOS'!BK$3:BK$500)))</f>
        <v/>
      </c>
      <c r="EL39" s="132">
        <f>IF(OR(EL$4="",$B39=""),0,SUMIF('DADOS BRUTOS'!$A$3:$A$500,$B39,'DADOS BRUTOS'!BL$3:BL$500)+IF($C39="",0,SUMIF('DADOS BRUTOS'!$A$3:$A$500,$C39,'DADOS BRUTOS'!BL$3:BL$500)))</f>
        <v/>
      </c>
      <c r="EM39" s="132">
        <f>IF(OR(EM$4="",$B39=""),0,SUMIF('DADOS BRUTOS'!$A$3:$A$500,$B39,'DADOS BRUTOS'!BM$3:BM$500)+IF($C39="",0,SUMIF('DADOS BRUTOS'!$A$3:$A$500,$C39,'DADOS BRUTOS'!BM$3:BM$500)))</f>
        <v/>
      </c>
      <c r="EN39" s="132">
        <f>IF(OR(EN$4="",$B39=""),0,SUMIF('DADOS BRUTOS'!$A$3:$A$500,$B39,'DADOS BRUTOS'!BN$3:BN$500)+IF($C39="",0,SUMIF('DADOS BRUTOS'!$A$3:$A$500,$C39,'DADOS BRUTOS'!BN$3:BN$500)))</f>
        <v/>
      </c>
      <c r="EO39" s="132">
        <f>IF(OR(EO$4="",$B39=""),0,SUMIF('DADOS BRUTOS'!$A$3:$A$500,$B39,'DADOS BRUTOS'!BO$3:BO$500)+IF($C39="",0,SUMIF('DADOS BRUTOS'!$A$3:$A$500,$C39,'DADOS BRUTOS'!BO$3:BO$500)))</f>
        <v/>
      </c>
      <c r="EP39" s="132">
        <f>IF(OR(EP$4="",$B39=""),0,SUMIF('DADOS BRUTOS'!$A$3:$A$500,$B39,'DADOS BRUTOS'!BP$3:BP$500)+IF($C39="",0,SUMIF('DADOS BRUTOS'!$A$3:$A$500,$C39,'DADOS BRUTOS'!BP$3:BP$500)))</f>
        <v/>
      </c>
      <c r="EQ39" s="132">
        <f>IF(OR(EQ$4="",$B39=""),0,SUMIF('DADOS BRUTOS'!$A$3:$A$500,$B39,'DADOS BRUTOS'!BQ$3:BQ$500)+IF($C39="",0,SUMIF('DADOS BRUTOS'!$A$3:$A$500,$C39,'DADOS BRUTOS'!BQ$3:BQ$500)))</f>
        <v/>
      </c>
      <c r="ER39" s="132">
        <f>IF(OR(ER$4="",$B39=""),0,SUMIF('DADOS BRUTOS'!$A$3:$A$500,$B39,'DADOS BRUTOS'!BR$3:BR$500)+IF($C39="",0,SUMIF('DADOS BRUTOS'!$A$3:$A$500,$C39,'DADOS BRUTOS'!BR$3:BR$500)))</f>
        <v/>
      </c>
      <c r="ES39" s="132">
        <f>IF(OR(ES$4="",$B39=""),0,SUMIF('DADOS BRUTOS'!$A$3:$A$500,$B39,'DADOS BRUTOS'!BS$3:BS$500)+IF($C39="",0,SUMIF('DADOS BRUTOS'!$A$3:$A$500,$C39,'DADOS BRUTOS'!BS$3:BS$500)))</f>
        <v/>
      </c>
      <c r="ET39" s="132">
        <f>IF(OR(ET$4="",$B39=""),0,SUMIF('DADOS BRUTOS'!$A$3:$A$500,$B39,'DADOS BRUTOS'!BT$3:BT$500)+IF($C39="",0,SUMIF('DADOS BRUTOS'!$A$3:$A$500,$C39,'DADOS BRUTOS'!BT$3:BT$500)))</f>
        <v/>
      </c>
      <c r="EU39" s="132">
        <f>IF(OR(EU$4="",$B39=""),0,SUMIF('DADOS BRUTOS'!$A$3:$A$500,$B39,'DADOS BRUTOS'!BU$3:BU$500)+IF($C39="",0,SUMIF('DADOS BRUTOS'!$A$3:$A$500,$C39,'DADOS BRUTOS'!BU$3:BU$500)))</f>
        <v/>
      </c>
      <c r="EV39" s="132">
        <f>IF(OR(EV$4="",$B39=""),0,SUMIF('DADOS BRUTOS'!$A$3:$A$500,$B39,'DADOS BRUTOS'!BV$3:BV$500)+IF($C39="",0,SUMIF('DADOS BRUTOS'!$A$3:$A$500,$C39,'DADOS BRUTOS'!BV$3:BV$500)))</f>
        <v/>
      </c>
      <c r="EW39" s="132">
        <f>IF(OR(EW$4="",$B39=""),0,SUMIF('DADOS BRUTOS'!$A$3:$A$500,$B39,'DADOS BRUTOS'!BW$3:BW$500)+IF($C39="",0,SUMIF('DADOS BRUTOS'!$A$3:$A$500,$C39,'DADOS BRUTOS'!BW$3:BW$500)))</f>
        <v/>
      </c>
      <c r="EX39" s="132">
        <f>IF(OR(EX$4="",$B39=""),0,SUMIF('DADOS BRUTOS'!$A$3:$A$500,$B39,'DADOS BRUTOS'!BX$3:BX$500)+IF($C39="",0,SUMIF('DADOS BRUTOS'!$A$3:$A$500,$C39,'DADOS BRUTOS'!BX$3:BX$500)))</f>
        <v/>
      </c>
      <c r="EY39" s="132">
        <f>IF(OR(EY$4="",$B39=""),0,SUMIF('DADOS BRUTOS'!$A$3:$A$500,$B39,'DADOS BRUTOS'!BY$3:BY$500)+IF($C39="",0,SUMIF('DADOS BRUTOS'!$A$3:$A$500,$C39,'DADOS BRUTOS'!BY$3:BY$500)))</f>
        <v/>
      </c>
      <c r="EZ39" s="132">
        <f>IF(OR(EZ$4="",$B39=""),0,SUMIF('DADOS BRUTOS'!$A$3:$A$500,$B39,'DADOS BRUTOS'!BZ$3:BZ$500)+IF($C39="",0,SUMIF('DADOS BRUTOS'!$A$3:$A$500,$C39,'DADOS BRUTOS'!BZ$3:BZ$500)))</f>
        <v/>
      </c>
      <c r="FA39" s="132">
        <f>IF(OR(FA$4="",$B39=""),0,SUMIF('DADOS BRUTOS'!$A$3:$A$500,$B39,'DADOS BRUTOS'!CA$3:CA$500)+IF($C39="",0,SUMIF('DADOS BRUTOS'!$A$3:$A$500,$C39,'DADOS BRUTOS'!CA$3:CA$500)))</f>
        <v/>
      </c>
      <c r="FB39" s="132">
        <f>IF(OR(FB$4="",$B39=""),0,SUMIF('DADOS BRUTOS'!$A$3:$A$500,$B39,'DADOS BRUTOS'!CB$3:CB$500)+IF($C39="",0,SUMIF('DADOS BRUTOS'!$A$3:$A$500,$C39,'DADOS BRUTOS'!CB$3:CB$500)))</f>
        <v/>
      </c>
      <c r="FC39" s="132">
        <f>IF(OR(FC$4="",$B39=""),0,SUMIF('DADOS BRUTOS'!$A$3:$A$500,$B39,'DADOS BRUTOS'!CC$3:CC$500)+IF($C39="",0,SUMIF('DADOS BRUTOS'!$A$3:$A$500,$C39,'DADOS BRUTOS'!CC$3:CC$500)))</f>
        <v/>
      </c>
      <c r="FD39" s="132">
        <f>IF(OR(FD$4="",$B39=""),0,SUMIF('DADOS BRUTOS'!$A$3:$A$500,$B39,'DADOS BRUTOS'!CD$3:CD$500)+IF($C39="",0,SUMIF('DADOS BRUTOS'!$A$3:$A$500,$C39,'DADOS BRUTOS'!CD$3:CD$500)))</f>
        <v/>
      </c>
      <c r="FE39" s="132">
        <f>IF(OR(FE$4="",$B39=""),0,SUMIF('DADOS BRUTOS'!$A$3:$A$500,$B39,'DADOS BRUTOS'!CE$3:CE$500)+IF($C39="",0,SUMIF('DADOS BRUTOS'!$A$3:$A$500,$C39,'DADOS BRUTOS'!CE$3:CE$500)))</f>
        <v/>
      </c>
      <c r="FF39" s="132">
        <f>IF(OR(FF$4="",$B39=""),0,SUMIF('DADOS BRUTOS'!$A$3:$A$500,$B39,'DADOS BRUTOS'!CF$3:CF$500)+IF($C39="",0,SUMIF('DADOS BRUTOS'!$A$3:$A$500,$C39,'DADOS BRUTOS'!CF$3:CF$500)))</f>
        <v/>
      </c>
      <c r="FG39" s="132">
        <f>IF(OR(FG$4="",$B39=""),0,SUMIF('DADOS BRUTOS'!$A$3:$A$500,$B39,'DADOS BRUTOS'!CG$3:CG$500)+IF($C39="",0,SUMIF('DADOS BRUTOS'!$A$3:$A$500,$C39,'DADOS BRUTOS'!CG$3:CG$500)))</f>
        <v/>
      </c>
      <c r="FH39" s="132">
        <f>IF(OR(FH$4="",$B39=""),0,SUMIF('DADOS BRUTOS'!$A$3:$A$500,$B39,'DADOS BRUTOS'!CH$3:CH$500)+IF($C39="",0,SUMIF('DADOS BRUTOS'!$A$3:$A$500,$C39,'DADOS BRUTOS'!CH$3:CH$500)))</f>
        <v/>
      </c>
      <c r="FI39" s="132">
        <f>IF(OR(FI$4="",$B39=""),0,SUMIF('DADOS BRUTOS'!$A$3:$A$500,$B39,'DADOS BRUTOS'!CI$3:CI$500)+IF($C39="",0,SUMIF('DADOS BRUTOS'!$A$3:$A$500,$C39,'DADOS BRUTOS'!CI$3:CI$500)))</f>
        <v/>
      </c>
      <c r="FJ39" s="132">
        <f>IF(OR(FJ$4="",$B39=""),0,SUMIF('DADOS BRUTOS'!$A$3:$A$500,$B39,'DADOS BRUTOS'!CJ$3:CJ$500)+IF($C39="",0,SUMIF('DADOS BRUTOS'!$A$3:$A$500,$C39,'DADOS BRUTOS'!CJ$3:CJ$500)))</f>
        <v/>
      </c>
      <c r="FK39" s="132">
        <f>IF(OR(FK$4="",$B39=""),0,SUMIF('DADOS BRUTOS'!$A$3:$A$500,$B39,'DADOS BRUTOS'!CK$3:CK$500)+IF($C39="",0,SUMIF('DADOS BRUTOS'!$A$3:$A$500,$C39,'DADOS BRUTOS'!CK$3:CK$500)))</f>
        <v/>
      </c>
      <c r="FL39" s="132">
        <f>IF(OR(FL$4="",$B39=""),0,SUMIF('DADOS BRUTOS'!$A$3:$A$500,$B39,'DADOS BRUTOS'!CL$3:CL$500)+IF($C39="",0,SUMIF('DADOS BRUTOS'!$A$3:$A$500,$C39,'DADOS BRUTOS'!CL$3:CL$500)))</f>
        <v/>
      </c>
      <c r="FM39" s="132">
        <f>IF(OR(FM$4="",$B39=""),0,SUMIF('DADOS BRUTOS'!$A$3:$A$500,$B39,'DADOS BRUTOS'!CM$3:CM$500)+IF($C39="",0,SUMIF('DADOS BRUTOS'!$A$3:$A$500,$C39,'DADOS BRUTOS'!CM$3:CM$500)))</f>
        <v/>
      </c>
      <c r="FN39" s="132">
        <f>IF(OR(FN$4="",$B39=""),0,SUMIF('DADOS BRUTOS'!$A$3:$A$500,$B39,'DADOS BRUTOS'!CN$3:CN$500)+IF($C39="",0,SUMIF('DADOS BRUTOS'!$A$3:$A$500,$C39,'DADOS BRUTOS'!CN$3:CN$500)))</f>
        <v/>
      </c>
      <c r="FO39" s="132">
        <f>IF(OR(FO$4="",$B39=""),0,SUMIF('DADOS BRUTOS'!$A$3:$A$500,$B39,'DADOS BRUTOS'!CO$3:CO$500)+IF($C39="",0,SUMIF('DADOS BRUTOS'!$A$3:$A$500,$C39,'DADOS BRUTOS'!CO$3:CO$500)))</f>
        <v/>
      </c>
      <c r="FP39" s="132">
        <f>IF(OR(FP$4="",$B39=""),0,SUMIF('DADOS BRUTOS'!$A$3:$A$500,$B39,'DADOS BRUTOS'!CP$3:CP$500)+IF($C39="",0,SUMIF('DADOS BRUTOS'!$A$3:$A$500,$C39,'DADOS BRUTOS'!CP$3:CP$500)))</f>
        <v/>
      </c>
      <c r="FQ39" s="132">
        <f>IF(OR(FQ$4="",$B39=""),0,SUMIF('DADOS BRUTOS'!$A$3:$A$500,$B39,'DADOS BRUTOS'!CQ$3:CQ$500)+IF($C39="",0,SUMIF('DADOS BRUTOS'!$A$3:$A$500,$C39,'DADOS BRUTOS'!CQ$3:CQ$500)))</f>
        <v/>
      </c>
      <c r="FR39" s="132">
        <f>IF(OR(FR$4="",$B39=""),0,SUMIF('DADOS BRUTOS'!$A$3:$A$500,$B39,'DADOS BRUTOS'!CR$3:CR$500)+IF($C39="",0,SUMIF('DADOS BRUTOS'!$A$3:$A$500,$C39,'DADOS BRUTOS'!CR$3:CR$500)))</f>
        <v/>
      </c>
      <c r="FS39" s="132">
        <f>IF(OR(FS$4="",$B39=""),0,SUMIF('DADOS BRUTOS'!$A$3:$A$500,$B39,'DADOS BRUTOS'!CS$3:CS$500)+IF($C39="",0,SUMIF('DADOS BRUTOS'!$A$3:$A$500,$C39,'DADOS BRUTOS'!CS$3:CS$500)))</f>
        <v/>
      </c>
      <c r="FT39" s="132">
        <f>IF(OR(FT$4="",$B39=""),0,SUMIF('DADOS BRUTOS'!$A$3:$A$500,$B39,'DADOS BRUTOS'!CT$3:CT$500)+IF($C39="",0,SUMIF('DADOS BRUTOS'!$A$3:$A$500,$C39,'DADOS BRUTOS'!CT$3:CT$500)))</f>
        <v/>
      </c>
      <c r="FU39" s="132">
        <f>IF(OR(FU$4="",$B39=""),0,SUMIF('DADOS BRUTOS'!$A$3:$A$500,$B39,'DADOS BRUTOS'!CU$3:CU$500)+IF($C39="",0,SUMIF('DADOS BRUTOS'!$A$3:$A$500,$C39,'DADOS BRUTOS'!CU$3:CU$500)))</f>
        <v/>
      </c>
      <c r="FV39" s="132">
        <f>IF(OR(FV$4="",$B39=""),0,SUMIF('DADOS BRUTOS'!$A$3:$A$500,$B39,'DADOS BRUTOS'!CV$3:CV$500)+IF($C39="",0,SUMIF('DADOS BRUTOS'!$A$3:$A$500,$C39,'DADOS BRUTOS'!CV$3:CV$500)))</f>
        <v/>
      </c>
      <c r="FW39" s="132">
        <f>IF(OR(FW$4="",$B39=""),0,SUMIF('DADOS BRUTOS'!$A$3:$A$500,$B39,'DADOS BRUTOS'!CW$3:CW$500)+IF($C39="",0,SUMIF('DADOS BRUTOS'!$A$3:$A$500,$C39,'DADOS BRUTOS'!CW$3:CW$500)))</f>
        <v/>
      </c>
      <c r="FX39" s="132">
        <f>IF(OR(FX$4="",$B39=""),0,SUMIF('DADOS BRUTOS'!$A$3:$A$500,$B39,'DADOS BRUTOS'!CX$3:CX$500)+IF($C39="",0,SUMIF('DADOS BRUTOS'!$A$3:$A$500,$C39,'DADOS BRUTOS'!CX$3:CX$500)))</f>
        <v/>
      </c>
      <c r="FY39" s="132">
        <f>IF(OR(FY$4="",$B39=""),0,SUMIF('DADOS BRUTOS'!$A$3:$A$500,$B39,'DADOS BRUTOS'!CY$3:CY$500)+IF($C39="",0,SUMIF('DADOS BRUTOS'!$A$3:$A$500,$C39,'DADOS BRUTOS'!CY$3:CY$500)))</f>
        <v/>
      </c>
      <c r="FZ39" s="132">
        <f>IF(OR(FZ$4="",$B39=""),0,SUMIF('DADOS BRUTOS'!$A$3:$A$500,$B39,'DADOS BRUTOS'!CZ$3:CZ$500)+IF($C39="",0,SUMIF('DADOS BRUTOS'!$A$3:$A$500,$C39,'DADOS BRUTOS'!CZ$3:CZ$500)))</f>
        <v/>
      </c>
      <c r="GA39" s="132">
        <f>IF(OR(GA$4="",$B39=""),0,SUMIF('DADOS BRUTOS'!$A$3:$A$500,$B39,'DADOS BRUTOS'!DA$3:DA$500)+IF($C39="",0,SUMIF('DADOS BRUTOS'!$A$3:$A$500,$C39,'DADOS BRUTOS'!DA$3:DA$500)))</f>
        <v/>
      </c>
      <c r="GB39" s="132">
        <f>IF(OR(GB$4="",$B39=""),0,SUMIF('DADOS BRUTOS'!$A$3:$A$500,$B39,'DADOS BRUTOS'!DB$3:DB$500)+IF($C39="",0,SUMIF('DADOS BRUTOS'!$A$3:$A$500,$C39,'DADOS BRUTOS'!DB$3:DB$500)))</f>
        <v/>
      </c>
      <c r="GC39" s="132">
        <f>IF(OR(GC$4="",$B39=""),0,SUMIF('DADOS BRUTOS'!$A$3:$A$500,$B39,'DADOS BRUTOS'!DC$3:DC$500)+IF($C39="",0,SUMIF('DADOS BRUTOS'!$A$3:$A$500,$C39,'DADOS BRUTOS'!DC$3:DC$500)))</f>
        <v/>
      </c>
      <c r="GD39" s="132">
        <f>IF(OR(GD$4="",$B39=""),0,SUMIF('DADOS BRUTOS'!$A$3:$A$500,$B39,'DADOS BRUTOS'!DD$3:DD$500)+IF($C39="",0,SUMIF('DADOS BRUTOS'!$A$3:$A$500,$C39,'DADOS BRUTOS'!DD$3:DD$500)))</f>
        <v/>
      </c>
      <c r="GE39" s="132">
        <f>IF(OR(GE$4="",$B39=""),0,SUMIF('DADOS BRUTOS'!$A$3:$A$500,$B39,'DADOS BRUTOS'!DE$3:DE$500)+IF($C39="",0,SUMIF('DADOS BRUTOS'!$A$3:$A$500,$C39,'DADOS BRUTOS'!DE$3:DE$500)))</f>
        <v/>
      </c>
      <c r="GF39" s="132">
        <f>IF(OR(GF$4="",$B39=""),0,SUMIF('DADOS BRUTOS'!$A$3:$A$500,$B39,'DADOS BRUTOS'!DF$3:DF$500)+IF($C39="",0,SUMIF('DADOS BRUTOS'!$A$3:$A$500,$C39,'DADOS BRUTOS'!DF$3:DF$500)))</f>
        <v/>
      </c>
      <c r="GG39" s="132">
        <f>IF(OR(GG$4="",$B39=""),0,SUMIF('DADOS BRUTOS'!$A$3:$A$500,$B39,'DADOS BRUTOS'!DG$3:DG$500)+IF($C39="",0,SUMIF('DADOS BRUTOS'!$A$3:$A$500,$C39,'DADOS BRUTOS'!DG$3:DG$500)))</f>
        <v/>
      </c>
      <c r="GH39" s="132">
        <f>IF(OR(GH$4="",$B39=""),0,SUMIF('DADOS BRUTOS'!$A$3:$A$500,$B39,'DADOS BRUTOS'!DH$3:DH$500)+IF($C39="",0,SUMIF('DADOS BRUTOS'!$A$3:$A$500,$C39,'DADOS BRUTOS'!DH$3:DH$500)))</f>
        <v/>
      </c>
      <c r="GI39" s="132">
        <f>IF(OR(GI$4="",$B39=""),0,SUMIF('DADOS BRUTOS'!$A$3:$A$500,$B39,'DADOS BRUTOS'!DI$3:DI$500)+IF($C39="",0,SUMIF('DADOS BRUTOS'!$A$3:$A$500,$C39,'DADOS BRUTOS'!DI$3:DI$500)))</f>
        <v/>
      </c>
      <c r="GJ39" s="132">
        <f>IF(OR(GJ$4="",$B39=""),0,SUMIF('DADOS BRUTOS'!$A$3:$A$500,$B39,'DADOS BRUTOS'!DJ$3:DJ$500)+IF($C39="",0,SUMIF('DADOS BRUTOS'!$A$3:$A$500,$C39,'DADOS BRUTOS'!DJ$3:DJ$500)))</f>
        <v/>
      </c>
      <c r="GK39" s="132">
        <f>IF(OR(GK$4="",$B39=""),0,SUMIF('DADOS BRUTOS'!$A$3:$A$500,$B39,'DADOS BRUTOS'!DK$3:DK$500)+IF($C39="",0,SUMIF('DADOS BRUTOS'!$A$3:$A$500,$C39,'DADOS BRUTOS'!DK$3:DK$500)))</f>
        <v/>
      </c>
      <c r="GL39" s="132">
        <f>IF(OR(GL$4="",$B39=""),0,SUMIF('DADOS BRUTOS'!$A$3:$A$500,$B39,'DADOS BRUTOS'!DL$3:DL$500)+IF($C39="",0,SUMIF('DADOS BRUTOS'!$A$3:$A$500,$C39,'DADOS BRUTOS'!DL$3:DL$500)))</f>
        <v/>
      </c>
      <c r="GM39" s="132">
        <f>IF(OR(GM$4="",$B39=""),0,SUMIF('DADOS BRUTOS'!$A$3:$A$500,$B39,'DADOS BRUTOS'!DM$3:DM$500)+IF($C39="",0,SUMIF('DADOS BRUTOS'!$A$3:$A$500,$C39,'DADOS BRUTOS'!DM$3:DM$500)))</f>
        <v/>
      </c>
      <c r="GN39" s="132">
        <f>IF(OR(GN$4="",$B39=""),0,SUMIF('DADOS BRUTOS'!$A$3:$A$500,$B39,'DADOS BRUTOS'!DN$3:DN$500)+IF($C39="",0,SUMIF('DADOS BRUTOS'!$A$3:$A$500,$C39,'DADOS BRUTOS'!DN$3:DN$500)))</f>
        <v/>
      </c>
      <c r="GO39" s="132">
        <f>IF(OR(GO$4="",$B39=""),0,SUMIF('DADOS BRUTOS'!$A$3:$A$500,$B39,'DADOS BRUTOS'!DO$3:DO$500)+IF($C39="",0,SUMIF('DADOS BRUTOS'!$A$3:$A$500,$C39,'DADOS BRUTOS'!DO$3:DO$500)))</f>
        <v/>
      </c>
      <c r="GP39" s="132">
        <f>IF(OR(GP$4="",$B39=""),0,SUMIF('DADOS BRUTOS'!$A$3:$A$500,$B39,'DADOS BRUTOS'!DP$3:DP$500)+IF($C39="",0,SUMIF('DADOS BRUTOS'!$A$3:$A$500,$C39,'DADOS BRUTOS'!DP$3:DP$500)))</f>
        <v/>
      </c>
      <c r="GQ39" s="132">
        <f>IF(OR(GQ$4="",$B39=""),0,SUMIF('DADOS BRUTOS'!$A$3:$A$500,$B39,'DADOS BRUTOS'!DQ$3:DQ$500)+IF($C39="",0,SUMIF('DADOS BRUTOS'!$A$3:$A$500,$C39,'DADOS BRUTOS'!DQ$3:DQ$500)))</f>
        <v/>
      </c>
      <c r="GR39" s="132">
        <f>IF(OR(GR$4="",$B39=""),0,SUMIF('DADOS BRUTOS'!$A$3:$A$500,$B39,'DADOS BRUTOS'!DR$3:DR$500)+IF($C39="",0,SUMIF('DADOS BRUTOS'!$A$3:$A$500,$C39,'DADOS BRUTOS'!DR$3:DR$500)))</f>
        <v/>
      </c>
      <c r="GS39" s="132">
        <f>IF(OR(GS$4="",$B39=""),0,SUMIF('DADOS BRUTOS'!$A$3:$A$500,$B39,'DADOS BRUTOS'!DS$3:DS$500)+IF($C39="",0,SUMIF('DADOS BRUTOS'!$A$3:$A$500,$C39,'DADOS BRUTOS'!DS$3:DS$500)))</f>
        <v/>
      </c>
      <c r="GT39" s="132">
        <f>IF(OR(GT$4="",$B39=""),0,SUMIF('DADOS BRUTOS'!$A$3:$A$500,$B39,'DADOS BRUTOS'!DT$3:DT$500)+IF($C39="",0,SUMIF('DADOS BRUTOS'!$A$3:$A$500,$C39,'DADOS BRUTOS'!DT$3:DT$500)))</f>
        <v/>
      </c>
      <c r="GU39" s="132">
        <f>IF(OR(GU$4="",$B39=""),0,SUMIF('DADOS BRUTOS'!$A$3:$A$500,$B39,'DADOS BRUTOS'!DU$3:DU$500)+IF($C39="",0,SUMIF('DADOS BRUTOS'!$A$3:$A$500,$C39,'DADOS BRUTOS'!DU$3:DU$500)))</f>
        <v/>
      </c>
      <c r="GV39" s="132">
        <f>IF(OR(GV$4="",$B39=""),0,SUMIF('DADOS BRUTOS'!$A$3:$A$500,$B39,'DADOS BRUTOS'!DV$3:DV$500)+IF($C39="",0,SUMIF('DADOS BRUTOS'!$A$3:$A$500,$C39,'DADOS BRUTOS'!DV$3:DV$500)))</f>
        <v/>
      </c>
      <c r="GW39" s="132">
        <f>IF(OR(GW$4="",$B39=""),0,SUMIF('DADOS BRUTOS'!$A$3:$A$500,$B39,'DADOS BRUTOS'!DW$3:DW$500)+IF($C39="",0,SUMIF('DADOS BRUTOS'!$A$3:$A$500,$C39,'DADOS BRUTOS'!DW$3:DW$500)))</f>
        <v/>
      </c>
      <c r="GX39" s="132">
        <f>IF(OR(GX$4="",$B39=""),0,SUMIF('DADOS BRUTOS'!$A$3:$A$500,$B39,'DADOS BRUTOS'!DX$3:DX$500)+IF($C39="",0,SUMIF('DADOS BRUTOS'!$A$3:$A$500,$C39,'DADOS BRUTOS'!DX$3:DX$500)))</f>
        <v/>
      </c>
      <c r="GY39" s="132">
        <f>IF(OR(GY$4="",$B39=""),0,SUMIF('DADOS BRUTOS'!$A$3:$A$500,$B39,'DADOS BRUTOS'!DY$3:DY$500)+IF($C39="",0,SUMIF('DADOS BRUTOS'!$A$3:$A$500,$C39,'DADOS BRUTOS'!DY$3:DY$500)))</f>
        <v/>
      </c>
      <c r="GZ39" s="132">
        <f>IF(OR(GZ$4="",$B39=""),0,SUMIF('DADOS BRUTOS'!$A$3:$A$500,$B39,'DADOS BRUTOS'!DZ$3:DZ$500)+IF($C39="",0,SUMIF('DADOS BRUTOS'!$A$3:$A$500,$C39,'DADOS BRUTOS'!DZ$3:DZ$500)))</f>
        <v/>
      </c>
      <c r="HA39" s="132">
        <f>IF(OR(HA$4="",$B39=""),0,SUMIF('DADOS BRUTOS'!$A$3:$A$500,$B39,'DADOS BRUTOS'!EA$3:EA$500)+IF($C39="",0,SUMIF('DADOS BRUTOS'!$A$3:$A$500,$C39,'DADOS BRUTOS'!EA$3:EA$500)))</f>
        <v/>
      </c>
      <c r="HB39" s="132">
        <f>IF(OR(HB$4="",$B39=""),0,SUMIF('DADOS BRUTOS'!$A$3:$A$500,$B39,'DADOS BRUTOS'!EB$3:EB$500)+IF($C39="",0,SUMIF('DADOS BRUTOS'!$A$3:$A$500,$C39,'DADOS BRUTOS'!EB$3:EB$500)))</f>
        <v/>
      </c>
      <c r="HC39" s="132">
        <f>IF(OR(HC$4="",$B39=""),0,SUMIF('DADOS BRUTOS'!$A$3:$A$500,$B39,'DADOS BRUTOS'!EC$3:EC$500)+IF($C39="",0,SUMIF('DADOS BRUTOS'!$A$3:$A$500,$C39,'DADOS BRUTOS'!EC$3:EC$500)))</f>
        <v/>
      </c>
      <c r="HD39" s="132">
        <f>IF(OR(HD$4="",$B39=""),0,SUMIF('DADOS BRUTOS'!$A$3:$A$500,$B39,'DADOS BRUTOS'!ED$3:ED$500)+IF($C39="",0,SUMIF('DADOS BRUTOS'!$A$3:$A$500,$C39,'DADOS BRUTOS'!ED$3:ED$500)))</f>
        <v/>
      </c>
      <c r="HE39" s="132">
        <f>IF(OR(HE$4="",$B39=""),0,SUMIF('DADOS BRUTOS'!$A$3:$A$500,$B39,'DADOS BRUTOS'!EE$3:EE$500)+IF($C39="",0,SUMIF('DADOS BRUTOS'!$A$3:$A$500,$C39,'DADOS BRUTOS'!EE$3:EE$500)))</f>
        <v/>
      </c>
      <c r="HF39" s="132">
        <f>IF(OR(HF$4="",$B39=""),0,SUMIF('DADOS BRUTOS'!$A$3:$A$500,$B39,'DADOS BRUTOS'!EF$3:EF$500)+IF($C39="",0,SUMIF('DADOS BRUTOS'!$A$3:$A$500,$C39,'DADOS BRUTOS'!EF$3:EF$500)))</f>
        <v/>
      </c>
      <c r="HG39" s="132">
        <f>IF(OR(HG$4="",$B39=""),0,SUMIF('DADOS BRUTOS'!$A$3:$A$500,$B39,'DADOS BRUTOS'!EG$3:EG$500)+IF($C39="",0,SUMIF('DADOS BRUTOS'!$A$3:$A$500,$C39,'DADOS BRUTOS'!EG$3:EG$500)))</f>
        <v/>
      </c>
      <c r="HH39" s="132">
        <f>IF(OR(HH$4="",$B39=""),0,SUMIF('DADOS BRUTOS'!$A$3:$A$500,$B39,'DADOS BRUTOS'!EH$3:EH$500)+IF($C39="",0,SUMIF('DADOS BRUTOS'!$A$3:$A$500,$C39,'DADOS BRUTOS'!EH$3:EH$500)))</f>
        <v/>
      </c>
      <c r="HI39" s="132">
        <f>IF(OR(HI$4="",$B39=""),0,SUMIF('DADOS BRUTOS'!$A$3:$A$500,$B39,'DADOS BRUTOS'!EI$3:EI$500)+IF($C39="",0,SUMIF('DADOS BRUTOS'!$A$3:$A$500,$C39,'DADOS BRUTOS'!EI$3:EI$500)))</f>
        <v/>
      </c>
      <c r="HJ39" s="132">
        <f>IF(OR(HJ$4="",$B39=""),0,SUMIF('DADOS BRUTOS'!$A$3:$A$500,$B39,'DADOS BRUTOS'!EJ$3:EJ$500)+IF($C39="",0,SUMIF('DADOS BRUTOS'!$A$3:$A$500,$C39,'DADOS BRUTOS'!EJ$3:EJ$500)))</f>
        <v/>
      </c>
      <c r="HK39" s="132">
        <f>IF(OR(HK$4="",$B39=""),0,SUMIF('DADOS BRUTOS'!$A$3:$A$500,$B39,'DADOS BRUTOS'!EK$3:EK$500)+IF($C39="",0,SUMIF('DADOS BRUTOS'!$A$3:$A$500,$C39,'DADOS BRUTOS'!EK$3:EK$500)))</f>
        <v/>
      </c>
      <c r="HL39" s="132">
        <f>IF(OR(HL$4="",$B39=""),0,SUMIF('DADOS BRUTOS'!$A$3:$A$500,$B39,'DADOS BRUTOS'!EL$3:EL$500)+IF($C39="",0,SUMIF('DADOS BRUTOS'!$A$3:$A$500,$C39,'DADOS BRUTOS'!EL$3:EL$500)))</f>
        <v/>
      </c>
      <c r="HM39" s="132">
        <f>IF(OR(HM$4="",$B39=""),0,SUMIF('DADOS BRUTOS'!$A$3:$A$500,$B39,'DADOS BRUTOS'!EM$3:EM$500)+IF($C39="",0,SUMIF('DADOS BRUTOS'!$A$3:$A$500,$C39,'DADOS BRUTOS'!EM$3:EM$500)))</f>
        <v/>
      </c>
      <c r="HN39" s="132">
        <f>IF(OR(HN$4="",$B39=""),0,SUMIF('DADOS BRUTOS'!$A$3:$A$500,$B39,'DADOS BRUTOS'!EN$3:EN$500)+IF($C39="",0,SUMIF('DADOS BRUTOS'!$A$3:$A$500,$C39,'DADOS BRUTOS'!EN$3:EN$500)))</f>
        <v/>
      </c>
      <c r="HO39" s="132">
        <f>IF(OR(HO$4="",$B39=""),0,SUMIF('DADOS BRUTOS'!$A$3:$A$500,$B39,'DADOS BRUTOS'!EO$3:EO$500)+IF($C39="",0,SUMIF('DADOS BRUTOS'!$A$3:$A$500,$C39,'DADOS BRUTOS'!EO$3:EO$500)))</f>
        <v/>
      </c>
      <c r="HP39" s="132">
        <f>IF(OR(HP$4="",$B39=""),0,SUMIF('DADOS BRUTOS'!$A$3:$A$500,$B39,'DADOS BRUTOS'!EP$3:EP$500)+IF($C39="",0,SUMIF('DADOS BRUTOS'!$A$3:$A$500,$C39,'DADOS BRUTOS'!EP$3:EP$500)))</f>
        <v/>
      </c>
      <c r="HQ39" s="132">
        <f>IF(OR(HQ$4="",$B39=""),0,SUMIF('DADOS BRUTOS'!$A$3:$A$500,$B39,'DADOS BRUTOS'!EQ$3:EQ$500)+IF($C39="",0,SUMIF('DADOS BRUTOS'!$A$3:$A$500,$C39,'DADOS BRUTOS'!EQ$3:EQ$500)))</f>
        <v/>
      </c>
      <c r="HR39" s="132">
        <f>IF(OR(HR$4="",$B39=""),0,SUMIF('DADOS BRUTOS'!$A$3:$A$500,$B39,'DADOS BRUTOS'!ER$3:ER$500)+IF($C39="",0,SUMIF('DADOS BRUTOS'!$A$3:$A$500,$C39,'DADOS BRUTOS'!ER$3:ER$500)))</f>
        <v/>
      </c>
      <c r="HS39" s="132">
        <f>IF(OR(HS$4="",$B39=""),0,SUMIF('DADOS BRUTOS'!$A$3:$A$500,$B39,'DADOS BRUTOS'!ES$3:ES$500)+IF($C39="",0,SUMIF('DADOS BRUTOS'!$A$3:$A$500,$C39,'DADOS BRUTOS'!ES$3:ES$500)))</f>
        <v/>
      </c>
      <c r="HT39" s="132">
        <f>IF(OR(HT$4="",$B39=""),0,SUMIF('DADOS BRUTOS'!$A$3:$A$500,$B39,'DADOS BRUTOS'!ET$3:ET$500)+IF($C39="",0,SUMIF('DADOS BRUTOS'!$A$3:$A$500,$C39,'DADOS BRUTOS'!ET$3:ET$500)))</f>
        <v/>
      </c>
      <c r="HU39" s="132">
        <f>IF(OR(HU$4="",$B39=""),0,SUMIF('DADOS BRUTOS'!$A$3:$A$500,$B39,'DADOS BRUTOS'!EU$3:EU$500)+IF($C39="",0,SUMIF('DADOS BRUTOS'!$A$3:$A$500,$C39,'DADOS BRUTOS'!EU$3:EU$500)))</f>
        <v/>
      </c>
      <c r="HV39" s="132">
        <f>IF(OR(HV$4="",$B39=""),0,SUMIF('DADOS BRUTOS'!$A$3:$A$500,$B39,'DADOS BRUTOS'!EV$3:EV$500)+IF($C39="",0,SUMIF('DADOS BRUTOS'!$A$3:$A$500,$C39,'DADOS BRUTOS'!EV$3:EV$500)))</f>
        <v/>
      </c>
      <c r="HW39" s="132">
        <f>IF(OR(HW$4="",$B39=""),0,SUMIF('DADOS BRUTOS'!$A$3:$A$500,$B39,'DADOS BRUTOS'!EW$3:EW$500)+IF($C39="",0,SUMIF('DADOS BRUTOS'!$A$3:$A$500,$C39,'DADOS BRUTOS'!EW$3:EW$500)))</f>
        <v/>
      </c>
      <c r="HX39" s="132">
        <f>IF(OR(HX$4="",$B39=""),0,SUMIF('DADOS BRUTOS'!$A$3:$A$500,$B39,'DADOS BRUTOS'!EX$3:EX$500)+IF($C39="",0,SUMIF('DADOS BRUTOS'!$A$3:$A$500,$C39,'DADOS BRUTOS'!EX$3:EX$500)))</f>
        <v/>
      </c>
      <c r="HY39" s="132">
        <f>IF(OR(HY$4="",$B39=""),0,SUMIF('DADOS BRUTOS'!$A$3:$A$500,$B39,'DADOS BRUTOS'!EY$3:EY$500)+IF($C39="",0,SUMIF('DADOS BRUTOS'!$A$3:$A$500,$C39,'DADOS BRUTOS'!EY$3:EY$500)))</f>
        <v/>
      </c>
      <c r="HZ39" s="132">
        <f>IF(OR(HZ$4="",$B39=""),0,SUMIF('DADOS BRUTOS'!$A$3:$A$500,$B39,'DADOS BRUTOS'!EZ$3:EZ$500)+IF($C39="",0,SUMIF('DADOS BRUTOS'!$A$3:$A$500,$C39,'DADOS BRUTOS'!EZ$3:EZ$500)))</f>
        <v/>
      </c>
      <c r="IA39" s="132">
        <f>IF(OR(IA$4="",$B39=""),0,SUMIF('DADOS BRUTOS'!$A$3:$A$500,$B39,'DADOS BRUTOS'!FA$3:FA$500)+IF($C39="",0,SUMIF('DADOS BRUTOS'!$A$3:$A$500,$C39,'DADOS BRUTOS'!FA$3:FA$500)))</f>
        <v/>
      </c>
      <c r="IB39" s="132">
        <f>IF(OR(IB$4="",$B39=""),0,SUMIF('DADOS BRUTOS'!$A$3:$A$500,$B39,'DADOS BRUTOS'!FB$3:FB$500)+IF($C39="",0,SUMIF('DADOS BRUTOS'!$A$3:$A$500,$C39,'DADOS BRUTOS'!FB$3:FB$500)))</f>
        <v/>
      </c>
      <c r="IC39" s="132">
        <f>IF(OR(IC$4="",$B39=""),0,SUMIF('DADOS BRUTOS'!$A$3:$A$500,$B39,'DADOS BRUTOS'!FC$3:FC$500)+IF($C39="",0,SUMIF('DADOS BRUTOS'!$A$3:$A$500,$C39,'DADOS BRUTOS'!FC$3:FC$500)))</f>
        <v/>
      </c>
      <c r="ID39" s="132">
        <f>IF(OR(ID$4="",$B39=""),0,SUMIF('DADOS BRUTOS'!$A$3:$A$500,$B39,'DADOS BRUTOS'!FD$3:FD$500)+IF($C39="",0,SUMIF('DADOS BRUTOS'!$A$3:$A$500,$C39,'DADOS BRUTOS'!FD$3:FD$500)))</f>
        <v/>
      </c>
      <c r="IE39" s="132">
        <f>IF(OR(IE$4="",$B39=""),0,SUMIF('DADOS BRUTOS'!$A$3:$A$500,$B39,'DADOS BRUTOS'!FE$3:FE$500)+IF($C39="",0,SUMIF('DADOS BRUTOS'!$A$3:$A$500,$C39,'DADOS BRUTOS'!FE$3:FE$500)))</f>
        <v/>
      </c>
      <c r="IF39" s="132">
        <f>IF(OR(IF$4="",$B39=""),0,SUMIF('DADOS BRUTOS'!$A$3:$A$500,$B39,'DADOS BRUTOS'!FF$3:FF$500)+IF($C39="",0,SUMIF('DADOS BRUTOS'!$A$3:$A$500,$C39,'DADOS BRUTOS'!FF$3:FF$500)))</f>
        <v/>
      </c>
      <c r="IG39" s="132">
        <f>IF(OR(IG$4="",$B39=""),0,SUMIF('DADOS BRUTOS'!$A$3:$A$500,$B39,'DADOS BRUTOS'!FG$3:FG$500)+IF($C39="",0,SUMIF('DADOS BRUTOS'!$A$3:$A$500,$C39,'DADOS BRUTOS'!FG$3:FG$500)))</f>
        <v/>
      </c>
      <c r="IH39" s="132">
        <f>IF(OR(IH$4="",$B39=""),0,SUMIF('DADOS BRUTOS'!$A$3:$A$500,$B39,'DADOS BRUTOS'!FH$3:FH$500)+IF($C39="",0,SUMIF('DADOS BRUTOS'!$A$3:$A$500,$C39,'DADOS BRUTOS'!FH$3:FH$500)))</f>
        <v/>
      </c>
      <c r="II39" s="132">
        <f>IF(OR(II$4="",$B39=""),0,SUMIF('DADOS BRUTOS'!$A$3:$A$500,$B39,'DADOS BRUTOS'!FI$3:FI$500)+IF($C39="",0,SUMIF('DADOS BRUTOS'!$A$3:$A$500,$C39,'DADOS BRUTOS'!FI$3:FI$500)))</f>
        <v/>
      </c>
      <c r="IJ39" s="132">
        <f>IF(OR(IJ$4="",$B39=""),0,SUMIF('DADOS BRUTOS'!$A$3:$A$500,$B39,'DADOS BRUTOS'!FJ$3:FJ$500)+IF($C39="",0,SUMIF('DADOS BRUTOS'!$A$3:$A$500,$C39,'DADOS BRUTOS'!FJ$3:FJ$500)))</f>
        <v/>
      </c>
      <c r="IK39" s="132">
        <f>IF(OR(IK$4="",$B39=""),0,SUMIF('DADOS BRUTOS'!$A$3:$A$500,$B39,'DADOS BRUTOS'!FK$3:FK$500)+IF($C39="",0,SUMIF('DADOS BRUTOS'!$A$3:$A$500,$C39,'DADOS BRUTOS'!FK$3:FK$500)))</f>
        <v/>
      </c>
      <c r="IL39" s="132">
        <f>IF(OR(IL$4="",$B39=""),0,SUMIF('DADOS BRUTOS'!$A$3:$A$500,$B39,'DADOS BRUTOS'!FL$3:FL$500)+IF($C39="",0,SUMIF('DADOS BRUTOS'!$A$3:$A$500,$C39,'DADOS BRUTOS'!FL$3:FL$500)))</f>
        <v/>
      </c>
      <c r="IM39" s="132">
        <f>IF(OR(IM$4="",$B39=""),0,SUMIF('DADOS BRUTOS'!$A$3:$A$500,$B39,'DADOS BRUTOS'!FM$3:FM$500)+IF($C39="",0,SUMIF('DADOS BRUTOS'!$A$3:$A$500,$C39,'DADOS BRUTOS'!FM$3:FM$500)))</f>
        <v/>
      </c>
      <c r="IN39" s="132">
        <f>IF(OR(IN$4="",$B39=""),0,SUMIF('DADOS BRUTOS'!$A$3:$A$500,$B39,'DADOS BRUTOS'!FN$3:FN$500)+IF($C39="",0,SUMIF('DADOS BRUTOS'!$A$3:$A$500,$C39,'DADOS BRUTOS'!FN$3:FN$500)))</f>
        <v/>
      </c>
      <c r="IO39" s="132">
        <f>IF(OR(IO$4="",$B39=""),0,SUMIF('DADOS BRUTOS'!$A$3:$A$500,$B39,'DADOS BRUTOS'!FO$3:FO$500)+IF($C39="",0,SUMIF('DADOS BRUTOS'!$A$3:$A$500,$C39,'DADOS BRUTOS'!FO$3:FO$500)))</f>
        <v/>
      </c>
      <c r="IP39" s="132">
        <f>IF(OR(IP$4="",$B39=""),0,SUMIF('DADOS BRUTOS'!$A$3:$A$500,$B39,'DADOS BRUTOS'!FP$3:FP$500)+IF($C39="",0,SUMIF('DADOS BRUTOS'!$A$3:$A$500,$C39,'DADOS BRUTOS'!FP$3:FP$500)))</f>
        <v/>
      </c>
      <c r="IQ39" s="132">
        <f>IF(OR(IQ$4="",$B39=""),0,SUMIF('DADOS BRUTOS'!$A$3:$A$500,$B39,'DADOS BRUTOS'!FQ$3:FQ$500)+IF($C39="",0,SUMIF('DADOS BRUTOS'!$A$3:$A$500,$C39,'DADOS BRUTOS'!FQ$3:FQ$500)))</f>
        <v/>
      </c>
      <c r="IR39" s="132">
        <f>IF(OR(IR$4="",$B39=""),0,SUMIF('DADOS BRUTOS'!$A$3:$A$500,$B39,'DADOS BRUTOS'!FR$3:FR$500)+IF($C39="",0,SUMIF('DADOS BRUTOS'!$A$3:$A$500,$C39,'DADOS BRUTOS'!FR$3:FR$500)))</f>
        <v/>
      </c>
      <c r="IS39" s="132">
        <f>IF(OR(IS$4="",$B39=""),0,SUMIF('DADOS BRUTOS'!$A$3:$A$500,$B39,'DADOS BRUTOS'!FS$3:FS$500)+IF($C39="",0,SUMIF('DADOS BRUTOS'!$A$3:$A$500,$C39,'DADOS BRUTOS'!FS$3:FS$500)))</f>
        <v/>
      </c>
      <c r="IT39" s="132">
        <f>IF(OR(IT$4="",$B39=""),0,SUMIF('DADOS BRUTOS'!$A$3:$A$500,$B39,'DADOS BRUTOS'!FT$3:FT$500)+IF($C39="",0,SUMIF('DADOS BRUTOS'!$A$3:$A$500,$C39,'DADOS BRUTOS'!FT$3:FT$500)))</f>
        <v/>
      </c>
      <c r="IU39" s="132">
        <f>IF(OR(IU$4="",$B39=""),0,SUMIF('DADOS BRUTOS'!$A$3:$A$500,$B39,'DADOS BRUTOS'!FU$3:FU$500)+IF($C39="",0,SUMIF('DADOS BRUTOS'!$A$3:$A$500,$C39,'DADOS BRUTOS'!FU$3:FU$500)))</f>
        <v/>
      </c>
      <c r="IV39" s="132">
        <f>IF(OR(IV$4="",$B39=""),0,SUMIF('DADOS BRUTOS'!$A$3:$A$500,$B39,'DADOS BRUTOS'!FV$3:FV$500)+IF($C39="",0,SUMIF('DADOS BRUTOS'!$A$3:$A$500,$C39,'DADOS BRUTOS'!FV$3:FV$500)))</f>
        <v/>
      </c>
      <c r="IW39" s="132">
        <f>IF(OR(IW$4="",$B39=""),0,SUMIF('DADOS BRUTOS'!$A$3:$A$500,$B39,'DADOS BRUTOS'!FW$3:FW$500)+IF($C39="",0,SUMIF('DADOS BRUTOS'!$A$3:$A$500,$C39,'DADOS BRUTOS'!FW$3:FW$500)))</f>
        <v/>
      </c>
      <c r="IX39" s="132">
        <f>IF(OR(IX$4="",$B39=""),0,SUMIF('DADOS BRUTOS'!$A$3:$A$500,$B39,'DADOS BRUTOS'!FX$3:FX$500)+IF($C39="",0,SUMIF('DADOS BRUTOS'!$A$3:$A$500,$C39,'DADOS BRUTOS'!FX$3:FX$500)))</f>
        <v/>
      </c>
      <c r="IY39" s="132">
        <f>IF(OR(IY$4="",$B39=""),0,SUMIF('DADOS BRUTOS'!$A$3:$A$500,$B39,'DADOS BRUTOS'!FY$3:FY$500)+IF($C39="",0,SUMIF('DADOS BRUTOS'!$A$3:$A$500,$C39,'DADOS BRUTOS'!FY$3:FY$500)))</f>
        <v/>
      </c>
      <c r="IZ39" s="132">
        <f>IF(OR(IZ$4="",$B39=""),0,SUMIF('DADOS BRUTOS'!$A$3:$A$500,$B39,'DADOS BRUTOS'!FZ$3:FZ$500)+IF($C39="",0,SUMIF('DADOS BRUTOS'!$A$3:$A$500,$C39,'DADOS BRUTOS'!FZ$3:FZ$500)))</f>
        <v/>
      </c>
      <c r="JA39" s="132">
        <f>IF(OR(JA$4="",$B39=""),0,SUMIF('DADOS BRUTOS'!$A$3:$A$500,$B39,'DADOS BRUTOS'!GA$3:GA$500)+IF($C39="",0,SUMIF('DADOS BRUTOS'!$A$3:$A$500,$C39,'DADOS BRUTOS'!GA$3:GA$500)))</f>
        <v/>
      </c>
      <c r="JB39" s="132">
        <f>IF(OR(JB$4="",$B39=""),0,SUMIF('DADOS BRUTOS'!$A$3:$A$500,$B39,'DADOS BRUTOS'!GB$3:GB$500)+IF($C39="",0,SUMIF('DADOS BRUTOS'!$A$3:$A$500,$C39,'DADOS BRUTOS'!GB$3:GB$500)))</f>
        <v/>
      </c>
      <c r="JC39" s="132">
        <f>IF(OR(JC$4="",$B39=""),0,SUMIF('DADOS BRUTOS'!$A$3:$A$500,$B39,'DADOS BRUTOS'!GC$3:GC$500)+IF($C39="",0,SUMIF('DADOS BRUTOS'!$A$3:$A$500,$C39,'DADOS BRUTOS'!GC$3:GC$500)))</f>
        <v/>
      </c>
      <c r="JD39" s="132">
        <f>IF(OR(JD$4="",$B39=""),0,SUMIF('DADOS BRUTOS'!$A$3:$A$500,$B39,'DADOS BRUTOS'!GD$3:GD$500)+IF($C39="",0,SUMIF('DADOS BRUTOS'!$A$3:$A$500,$C39,'DADOS BRUTOS'!GD$3:GD$500)))</f>
        <v/>
      </c>
      <c r="JE39" s="132">
        <f>IF(OR(JE$4="",$B39=""),0,SUMIF('DADOS BRUTOS'!$A$3:$A$500,$B39,'DADOS BRUTOS'!GE$3:GE$500)+IF($C39="",0,SUMIF('DADOS BRUTOS'!$A$3:$A$500,$C39,'DADOS BRUTOS'!GE$3:GE$500)))</f>
        <v/>
      </c>
      <c r="JF39" s="132">
        <f>IF(OR(JF$4="",$B39=""),0,SUMIF('DADOS BRUTOS'!$A$3:$A$500,$B39,'DADOS BRUTOS'!GF$3:GF$500)+IF($C39="",0,SUMIF('DADOS BRUTOS'!$A$3:$A$500,$C39,'DADOS BRUTOS'!GF$3:GF$500)))</f>
        <v/>
      </c>
      <c r="JG39" s="132">
        <f>IF(OR(JG$4="",$B39=""),0,SUMIF('DADOS BRUTOS'!$A$3:$A$500,$B39,'DADOS BRUTOS'!GG$3:GG$500)+IF($C39="",0,SUMIF('DADOS BRUTOS'!$A$3:$A$500,$C39,'DADOS BRUTOS'!GG$3:GG$500)))</f>
        <v/>
      </c>
      <c r="JH39" s="132">
        <f>IF(OR(JH$4="",$B39=""),0,SUMIF('DADOS BRUTOS'!$A$3:$A$500,$B39,'DADOS BRUTOS'!GH$3:GH$500)+IF($C39="",0,SUMIF('DADOS BRUTOS'!$A$3:$A$500,$C39,'DADOS BRUTOS'!GH$3:GH$500)))</f>
        <v/>
      </c>
      <c r="JI39" s="132">
        <f>IF(OR(JI$4="",$B39=""),0,SUMIF('DADOS BRUTOS'!$A$3:$A$500,$B39,'DADOS BRUTOS'!GI$3:GI$500)+IF($C39="",0,SUMIF('DADOS BRUTOS'!$A$3:$A$500,$C39,'DADOS BRUTOS'!GI$3:GI$500)))</f>
        <v/>
      </c>
      <c r="JJ39" s="132">
        <f>IF(OR(JJ$4="",$B39=""),0,SUMIF('DADOS BRUTOS'!$A$3:$A$500,$B39,'DADOS BRUTOS'!GJ$3:GJ$500)+IF($C39="",0,SUMIF('DADOS BRUTOS'!$A$3:$A$500,$C39,'DADOS BRUTOS'!GJ$3:GJ$500)))</f>
        <v/>
      </c>
      <c r="JK39" s="132">
        <f>IF(OR(JK$4="",$B39=""),0,SUMIF('DADOS BRUTOS'!$A$3:$A$500,$B39,'DADOS BRUTOS'!GK$3:GK$500)+IF($C39="",0,SUMIF('DADOS BRUTOS'!$A$3:$A$500,$C39,'DADOS BRUTOS'!GK$3:GK$500)))</f>
        <v/>
      </c>
      <c r="JL39" s="132">
        <f>IF(OR(JL$4="",$B39=""),0,SUMIF('DADOS BRUTOS'!$A$3:$A$500,$B39,'DADOS BRUTOS'!GL$3:GL$500)+IF($C39="",0,SUMIF('DADOS BRUTOS'!$A$3:$A$500,$C39,'DADOS BRUTOS'!GL$3:GL$500)))</f>
        <v/>
      </c>
      <c r="JM39" s="132">
        <f>IF(OR(JM$4="",$B39=""),0,SUMIF('DADOS BRUTOS'!$A$3:$A$500,$B39,'DADOS BRUTOS'!GM$3:GM$500)+IF($C39="",0,SUMIF('DADOS BRUTOS'!$A$3:$A$500,$C39,'DADOS BRUTOS'!GM$3:GM$500)))</f>
        <v/>
      </c>
      <c r="JN39" s="132">
        <f>IF(OR(JN$4="",$B39=""),0,SUMIF('DADOS BRUTOS'!$A$3:$A$500,$B39,'DADOS BRUTOS'!GN$3:GN$500)+IF($C39="",0,SUMIF('DADOS BRUTOS'!$A$3:$A$500,$C39,'DADOS BRUTOS'!GN$3:GN$500)))</f>
        <v/>
      </c>
      <c r="JO39" s="132">
        <f>IF(OR(JO$4="",$B39=""),0,SUMIF('DADOS BRUTOS'!$A$3:$A$500,$B39,'DADOS BRUTOS'!GO$3:GO$500)+IF($C39="",0,SUMIF('DADOS BRUTOS'!$A$3:$A$500,$C39,'DADOS BRUTOS'!GO$3:GO$500)))</f>
        <v/>
      </c>
      <c r="JP39" s="132">
        <f>IF(OR(JP$4="",$B39=""),0,SUMIF('DADOS BRUTOS'!$A$3:$A$500,$B39,'DADOS BRUTOS'!GP$3:GP$500)+IF($C39="",0,SUMIF('DADOS BRUTOS'!$A$3:$A$500,$C39,'DADOS BRUTOS'!GP$3:GP$500)))</f>
        <v/>
      </c>
      <c r="JQ39" s="132">
        <f>IF(OR(JQ$4="",$B39=""),0,SUMIF('DADOS BRUTOS'!$A$3:$A$500,$B39,'DADOS BRUTOS'!GQ$3:GQ$500)+IF($C39="",0,SUMIF('DADOS BRUTOS'!$A$3:$A$500,$C39,'DADOS BRUTOS'!GQ$3:GQ$500)))</f>
        <v/>
      </c>
      <c r="JR39" s="132">
        <f>IF(OR(JR$4="",$B39=""),0,SUMIF('DADOS BRUTOS'!$A$3:$A$500,$B39,'DADOS BRUTOS'!GR$3:GR$500)+IF($C39="",0,SUMIF('DADOS BRUTOS'!$A$3:$A$500,$C39,'DADOS BRUTOS'!GR$3:GR$500)))</f>
        <v/>
      </c>
      <c r="JS39" s="132">
        <f>IF(OR(JS$4="",$B39=""),0,SUMIF('DADOS BRUTOS'!$A$3:$A$500,$B39,'DADOS BRUTOS'!GS$3:GS$500)+IF($C39="",0,SUMIF('DADOS BRUTOS'!$A$3:$A$500,$C39,'DADOS BRUTOS'!GS$3:GS$500)))</f>
        <v/>
      </c>
    </row>
    <row r="40">
      <c r="A40" s="61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BZ40" s="49">
        <f>SUMPRODUCT(($CB$4:$JS$4&lt;&gt;"")*($CB$4:$JS$4&lt;=$D$4),$CB40:$JS40,$CB$1:$JS$1)</f>
        <v/>
      </c>
      <c r="CB40" s="132">
        <f>IF(OR(CB$4="",$B40=""),0,SUMIF('DADOS BRUTOS'!$A$3:$A$500,$B40,'DADOS BRUTOS'!B$3:B$500)+IF($C40="",0,SUMIF('DADOS BRUTOS'!$A$3:$A$500,$C40,'DADOS BRUTOS'!B$3:B$500)))</f>
        <v/>
      </c>
      <c r="CC40" s="132">
        <f>IF(OR(CC$4="",$B40=""),0,SUMIF('DADOS BRUTOS'!$A$3:$A$500,$B40,'DADOS BRUTOS'!C$3:C$500)+IF($C40="",0,SUMIF('DADOS BRUTOS'!$A$3:$A$500,$C40,'DADOS BRUTOS'!C$3:C$500)))</f>
        <v/>
      </c>
      <c r="CD40" s="132">
        <f>IF(OR(CD$4="",$B40=""),0,SUMIF('DADOS BRUTOS'!$A$3:$A$500,$B40,'DADOS BRUTOS'!D$3:D$500)+IF($C40="",0,SUMIF('DADOS BRUTOS'!$A$3:$A$500,$C40,'DADOS BRUTOS'!D$3:D$500)))</f>
        <v/>
      </c>
      <c r="CE40" s="132">
        <f>IF(OR(CE$4="",$B40=""),0,SUMIF('DADOS BRUTOS'!$A$3:$A$500,$B40,'DADOS BRUTOS'!E$3:E$500)+IF($C40="",0,SUMIF('DADOS BRUTOS'!$A$3:$A$500,$C40,'DADOS BRUTOS'!E$3:E$500)))</f>
        <v/>
      </c>
      <c r="CF40" s="132">
        <f>IF(OR(CF$4="",$B40=""),0,SUMIF('DADOS BRUTOS'!$A$3:$A$500,$B40,'DADOS BRUTOS'!F$3:F$500)+IF($C40="",0,SUMIF('DADOS BRUTOS'!$A$3:$A$500,$C40,'DADOS BRUTOS'!F$3:F$500)))</f>
        <v/>
      </c>
      <c r="CG40" s="132">
        <f>IF(OR(CG$4="",$B40=""),0,SUMIF('DADOS BRUTOS'!$A$3:$A$500,$B40,'DADOS BRUTOS'!G$3:G$500)+IF($C40="",0,SUMIF('DADOS BRUTOS'!$A$3:$A$500,$C40,'DADOS BRUTOS'!G$3:G$500)))</f>
        <v/>
      </c>
      <c r="CH40" s="132">
        <f>IF(OR(CH$4="",$B40=""),0,SUMIF('DADOS BRUTOS'!$A$3:$A$500,$B40,'DADOS BRUTOS'!H$3:H$500)+IF($C40="",0,SUMIF('DADOS BRUTOS'!$A$3:$A$500,$C40,'DADOS BRUTOS'!H$3:H$500)))</f>
        <v/>
      </c>
      <c r="CI40" s="132">
        <f>IF(OR(CI$4="",$B40=""),0,SUMIF('DADOS BRUTOS'!$A$3:$A$500,$B40,'DADOS BRUTOS'!I$3:I$500)+IF($C40="",0,SUMIF('DADOS BRUTOS'!$A$3:$A$500,$C40,'DADOS BRUTOS'!I$3:I$500)))</f>
        <v/>
      </c>
      <c r="CJ40" s="132">
        <f>IF(OR(CJ$4="",$B40=""),0,SUMIF('DADOS BRUTOS'!$A$3:$A$500,$B40,'DADOS BRUTOS'!J$3:J$500)+IF($C40="",0,SUMIF('DADOS BRUTOS'!$A$3:$A$500,$C40,'DADOS BRUTOS'!J$3:J$500)))</f>
        <v/>
      </c>
      <c r="CK40" s="132">
        <f>IF(OR(CK$4="",$B40=""),0,SUMIF('DADOS BRUTOS'!$A$3:$A$500,$B40,'DADOS BRUTOS'!K$3:K$500)+IF($C40="",0,SUMIF('DADOS BRUTOS'!$A$3:$A$500,$C40,'DADOS BRUTOS'!K$3:K$500)))</f>
        <v/>
      </c>
      <c r="CL40" s="132">
        <f>IF(OR(CL$4="",$B40=""),0,SUMIF('DADOS BRUTOS'!$A$3:$A$500,$B40,'DADOS BRUTOS'!L$3:L$500)+IF($C40="",0,SUMIF('DADOS BRUTOS'!$A$3:$A$500,$C40,'DADOS BRUTOS'!L$3:L$500)))</f>
        <v/>
      </c>
      <c r="CM40" s="132">
        <f>IF(OR(CM$4="",$B40=""),0,SUMIF('DADOS BRUTOS'!$A$3:$A$500,$B40,'DADOS BRUTOS'!M$3:M$500)+IF($C40="",0,SUMIF('DADOS BRUTOS'!$A$3:$A$500,$C40,'DADOS BRUTOS'!M$3:M$500)))</f>
        <v/>
      </c>
      <c r="CN40" s="132">
        <f>IF(OR(CN$4="",$B40=""),0,SUMIF('DADOS BRUTOS'!$A$3:$A$500,$B40,'DADOS BRUTOS'!N$3:N$500)+IF($C40="",0,SUMIF('DADOS BRUTOS'!$A$3:$A$500,$C40,'DADOS BRUTOS'!N$3:N$500)))</f>
        <v/>
      </c>
      <c r="CO40" s="132">
        <f>IF(OR(CO$4="",$B40=""),0,SUMIF('DADOS BRUTOS'!$A$3:$A$500,$B40,'DADOS BRUTOS'!O$3:O$500)+IF($C40="",0,SUMIF('DADOS BRUTOS'!$A$3:$A$500,$C40,'DADOS BRUTOS'!O$3:O$500)))</f>
        <v/>
      </c>
      <c r="CP40" s="132">
        <f>IF(OR(CP$4="",$B40=""),0,SUMIF('DADOS BRUTOS'!$A$3:$A$500,$B40,'DADOS BRUTOS'!P$3:P$500)+IF($C40="",0,SUMIF('DADOS BRUTOS'!$A$3:$A$500,$C40,'DADOS BRUTOS'!P$3:P$500)))</f>
        <v/>
      </c>
      <c r="CQ40" s="132">
        <f>IF(OR(CQ$4="",$B40=""),0,SUMIF('DADOS BRUTOS'!$A$3:$A$500,$B40,'DADOS BRUTOS'!Q$3:Q$500)+IF($C40="",0,SUMIF('DADOS BRUTOS'!$A$3:$A$500,$C40,'DADOS BRUTOS'!Q$3:Q$500)))</f>
        <v/>
      </c>
      <c r="CR40" s="132">
        <f>IF(OR(CR$4="",$B40=""),0,SUMIF('DADOS BRUTOS'!$A$3:$A$500,$B40,'DADOS BRUTOS'!R$3:R$500)+IF($C40="",0,SUMIF('DADOS BRUTOS'!$A$3:$A$500,$C40,'DADOS BRUTOS'!R$3:R$500)))</f>
        <v/>
      </c>
      <c r="CS40" s="132">
        <f>IF(OR(CS$4="",$B40=""),0,SUMIF('DADOS BRUTOS'!$A$3:$A$500,$B40,'DADOS BRUTOS'!S$3:S$500)+IF($C40="",0,SUMIF('DADOS BRUTOS'!$A$3:$A$500,$C40,'DADOS BRUTOS'!S$3:S$500)))</f>
        <v/>
      </c>
      <c r="CT40" s="132">
        <f>IF(OR(CT$4="",$B40=""),0,SUMIF('DADOS BRUTOS'!$A$3:$A$500,$B40,'DADOS BRUTOS'!T$3:T$500)+IF($C40="",0,SUMIF('DADOS BRUTOS'!$A$3:$A$500,$C40,'DADOS BRUTOS'!T$3:T$500)))</f>
        <v/>
      </c>
      <c r="CU40" s="132">
        <f>IF(OR(CU$4="",$B40=""),0,SUMIF('DADOS BRUTOS'!$A$3:$A$500,$B40,'DADOS BRUTOS'!U$3:U$500)+IF($C40="",0,SUMIF('DADOS BRUTOS'!$A$3:$A$500,$C40,'DADOS BRUTOS'!U$3:U$500)))</f>
        <v/>
      </c>
      <c r="CV40" s="132">
        <f>IF(OR(CV$4="",$B40=""),0,SUMIF('DADOS BRUTOS'!$A$3:$A$500,$B40,'DADOS BRUTOS'!V$3:V$500)+IF($C40="",0,SUMIF('DADOS BRUTOS'!$A$3:$A$500,$C40,'DADOS BRUTOS'!V$3:V$500)))</f>
        <v/>
      </c>
      <c r="CW40" s="132">
        <f>IF(OR(CW$4="",$B40=""),0,SUMIF('DADOS BRUTOS'!$A$3:$A$500,$B40,'DADOS BRUTOS'!W$3:W$500)+IF($C40="",0,SUMIF('DADOS BRUTOS'!$A$3:$A$500,$C40,'DADOS BRUTOS'!W$3:W$500)))</f>
        <v/>
      </c>
      <c r="CX40" s="132">
        <f>IF(OR(CX$4="",$B40=""),0,SUMIF('DADOS BRUTOS'!$A$3:$A$500,$B40,'DADOS BRUTOS'!X$3:X$500)+IF($C40="",0,SUMIF('DADOS BRUTOS'!$A$3:$A$500,$C40,'DADOS BRUTOS'!X$3:X$500)))</f>
        <v/>
      </c>
      <c r="CY40" s="132">
        <f>IF(OR(CY$4="",$B40=""),0,SUMIF('DADOS BRUTOS'!$A$3:$A$500,$B40,'DADOS BRUTOS'!Y$3:Y$500)+IF($C40="",0,SUMIF('DADOS BRUTOS'!$A$3:$A$500,$C40,'DADOS BRUTOS'!Y$3:Y$500)))</f>
        <v/>
      </c>
      <c r="CZ40" s="132">
        <f>IF(OR(CZ$4="",$B40=""),0,SUMIF('DADOS BRUTOS'!$A$3:$A$500,$B40,'DADOS BRUTOS'!Z$3:Z$500)+IF($C40="",0,SUMIF('DADOS BRUTOS'!$A$3:$A$500,$C40,'DADOS BRUTOS'!Z$3:Z$500)))</f>
        <v/>
      </c>
      <c r="DA40" s="132">
        <f>IF(OR(DA$4="",$B40=""),0,SUMIF('DADOS BRUTOS'!$A$3:$A$500,$B40,'DADOS BRUTOS'!AA$3:AA$500)+IF($C40="",0,SUMIF('DADOS BRUTOS'!$A$3:$A$500,$C40,'DADOS BRUTOS'!AA$3:AA$500)))</f>
        <v/>
      </c>
      <c r="DB40" s="132">
        <f>IF(OR(DB$4="",$B40=""),0,SUMIF('DADOS BRUTOS'!$A$3:$A$500,$B40,'DADOS BRUTOS'!AB$3:AB$500)+IF($C40="",0,SUMIF('DADOS BRUTOS'!$A$3:$A$500,$C40,'DADOS BRUTOS'!AB$3:AB$500)))</f>
        <v/>
      </c>
      <c r="DC40" s="132">
        <f>IF(OR(DC$4="",$B40=""),0,SUMIF('DADOS BRUTOS'!$A$3:$A$500,$B40,'DADOS BRUTOS'!AC$3:AC$500)+IF($C40="",0,SUMIF('DADOS BRUTOS'!$A$3:$A$500,$C40,'DADOS BRUTOS'!AC$3:AC$500)))</f>
        <v/>
      </c>
      <c r="DD40" s="132">
        <f>IF(OR(DD$4="",$B40=""),0,SUMIF('DADOS BRUTOS'!$A$3:$A$500,$B40,'DADOS BRUTOS'!AD$3:AD$500)+IF($C40="",0,SUMIF('DADOS BRUTOS'!$A$3:$A$500,$C40,'DADOS BRUTOS'!AD$3:AD$500)))</f>
        <v/>
      </c>
      <c r="DE40" s="132">
        <f>IF(OR(DE$4="",$B40=""),0,SUMIF('DADOS BRUTOS'!$A$3:$A$500,$B40,'DADOS BRUTOS'!AE$3:AE$500)+IF($C40="",0,SUMIF('DADOS BRUTOS'!$A$3:$A$500,$C40,'DADOS BRUTOS'!AE$3:AE$500)))</f>
        <v/>
      </c>
      <c r="DF40" s="132">
        <f>IF(OR(DF$4="",$B40=""),0,SUMIF('DADOS BRUTOS'!$A$3:$A$500,$B40,'DADOS BRUTOS'!AF$3:AF$500)+IF($C40="",0,SUMIF('DADOS BRUTOS'!$A$3:$A$500,$C40,'DADOS BRUTOS'!AF$3:AF$500)))</f>
        <v/>
      </c>
      <c r="DG40" s="132">
        <f>IF(OR(DG$4="",$B40=""),0,SUMIF('DADOS BRUTOS'!$A$3:$A$500,$B40,'DADOS BRUTOS'!AG$3:AG$500)+IF($C40="",0,SUMIF('DADOS BRUTOS'!$A$3:$A$500,$C40,'DADOS BRUTOS'!AG$3:AG$500)))</f>
        <v/>
      </c>
      <c r="DH40" s="132">
        <f>IF(OR(DH$4="",$B40=""),0,SUMIF('DADOS BRUTOS'!$A$3:$A$500,$B40,'DADOS BRUTOS'!AH$3:AH$500)+IF($C40="",0,SUMIF('DADOS BRUTOS'!$A$3:$A$500,$C40,'DADOS BRUTOS'!AH$3:AH$500)))</f>
        <v/>
      </c>
      <c r="DI40" s="132">
        <f>IF(OR(DI$4="",$B40=""),0,SUMIF('DADOS BRUTOS'!$A$3:$A$500,$B40,'DADOS BRUTOS'!AI$3:AI$500)+IF($C40="",0,SUMIF('DADOS BRUTOS'!$A$3:$A$500,$C40,'DADOS BRUTOS'!AI$3:AI$500)))</f>
        <v/>
      </c>
      <c r="DJ40" s="132">
        <f>IF(OR(DJ$4="",$B40=""),0,SUMIF('DADOS BRUTOS'!$A$3:$A$500,$B40,'DADOS BRUTOS'!AJ$3:AJ$500)+IF($C40="",0,SUMIF('DADOS BRUTOS'!$A$3:$A$500,$C40,'DADOS BRUTOS'!AJ$3:AJ$500)))</f>
        <v/>
      </c>
      <c r="DK40" s="132">
        <f>IF(OR(DK$4="",$B40=""),0,SUMIF('DADOS BRUTOS'!$A$3:$A$500,$B40,'DADOS BRUTOS'!AK$3:AK$500)+IF($C40="",0,SUMIF('DADOS BRUTOS'!$A$3:$A$500,$C40,'DADOS BRUTOS'!AK$3:AK$500)))</f>
        <v/>
      </c>
      <c r="DL40" s="132">
        <f>IF(OR(DL$4="",$B40=""),0,SUMIF('DADOS BRUTOS'!$A$3:$A$500,$B40,'DADOS BRUTOS'!AL$3:AL$500)+IF($C40="",0,SUMIF('DADOS BRUTOS'!$A$3:$A$500,$C40,'DADOS BRUTOS'!AL$3:AL$500)))</f>
        <v/>
      </c>
      <c r="DM40" s="132">
        <f>IF(OR(DM$4="",$B40=""),0,SUMIF('DADOS BRUTOS'!$A$3:$A$500,$B40,'DADOS BRUTOS'!AM$3:AM$500)+IF($C40="",0,SUMIF('DADOS BRUTOS'!$A$3:$A$500,$C40,'DADOS BRUTOS'!AM$3:AM$500)))</f>
        <v/>
      </c>
      <c r="DN40" s="132">
        <f>IF(OR(DN$4="",$B40=""),0,SUMIF('DADOS BRUTOS'!$A$3:$A$500,$B40,'DADOS BRUTOS'!AN$3:AN$500)+IF($C40="",0,SUMIF('DADOS BRUTOS'!$A$3:$A$500,$C40,'DADOS BRUTOS'!AN$3:AN$500)))</f>
        <v/>
      </c>
      <c r="DO40" s="132">
        <f>IF(OR(DO$4="",$B40=""),0,SUMIF('DADOS BRUTOS'!$A$3:$A$500,$B40,'DADOS BRUTOS'!AO$3:AO$500)+IF($C40="",0,SUMIF('DADOS BRUTOS'!$A$3:$A$500,$C40,'DADOS BRUTOS'!AO$3:AO$500)))</f>
        <v/>
      </c>
      <c r="DP40" s="132">
        <f>IF(OR(DP$4="",$B40=""),0,SUMIF('DADOS BRUTOS'!$A$3:$A$500,$B40,'DADOS BRUTOS'!AP$3:AP$500)+IF($C40="",0,SUMIF('DADOS BRUTOS'!$A$3:$A$500,$C40,'DADOS BRUTOS'!AP$3:AP$500)))</f>
        <v/>
      </c>
      <c r="DQ40" s="132">
        <f>IF(OR(DQ$4="",$B40=""),0,SUMIF('DADOS BRUTOS'!$A$3:$A$500,$B40,'DADOS BRUTOS'!AQ$3:AQ$500)+IF($C40="",0,SUMIF('DADOS BRUTOS'!$A$3:$A$500,$C40,'DADOS BRUTOS'!AQ$3:AQ$500)))</f>
        <v/>
      </c>
      <c r="DR40" s="132">
        <f>IF(OR(DR$4="",$B40=""),0,SUMIF('DADOS BRUTOS'!$A$3:$A$500,$B40,'DADOS BRUTOS'!AR$3:AR$500)+IF($C40="",0,SUMIF('DADOS BRUTOS'!$A$3:$A$500,$C40,'DADOS BRUTOS'!AR$3:AR$500)))</f>
        <v/>
      </c>
      <c r="DS40" s="132">
        <f>IF(OR(DS$4="",$B40=""),0,SUMIF('DADOS BRUTOS'!$A$3:$A$500,$B40,'DADOS BRUTOS'!AS$3:AS$500)+IF($C40="",0,SUMIF('DADOS BRUTOS'!$A$3:$A$500,$C40,'DADOS BRUTOS'!AS$3:AS$500)))</f>
        <v/>
      </c>
      <c r="DT40" s="132">
        <f>IF(OR(DT$4="",$B40=""),0,SUMIF('DADOS BRUTOS'!$A$3:$A$500,$B40,'DADOS BRUTOS'!AT$3:AT$500)+IF($C40="",0,SUMIF('DADOS BRUTOS'!$A$3:$A$500,$C40,'DADOS BRUTOS'!AT$3:AT$500)))</f>
        <v/>
      </c>
      <c r="DU40" s="132">
        <f>IF(OR(DU$4="",$B40=""),0,SUMIF('DADOS BRUTOS'!$A$3:$A$500,$B40,'DADOS BRUTOS'!AU$3:AU$500)+IF($C40="",0,SUMIF('DADOS BRUTOS'!$A$3:$A$500,$C40,'DADOS BRUTOS'!AU$3:AU$500)))</f>
        <v/>
      </c>
      <c r="DV40" s="132">
        <f>IF(OR(DV$4="",$B40=""),0,SUMIF('DADOS BRUTOS'!$A$3:$A$500,$B40,'DADOS BRUTOS'!AV$3:AV$500)+IF($C40="",0,SUMIF('DADOS BRUTOS'!$A$3:$A$500,$C40,'DADOS BRUTOS'!AV$3:AV$500)))</f>
        <v/>
      </c>
      <c r="DW40" s="132">
        <f>IF(OR(DW$4="",$B40=""),0,SUMIF('DADOS BRUTOS'!$A$3:$A$500,$B40,'DADOS BRUTOS'!AW$3:AW$500)+IF($C40="",0,SUMIF('DADOS BRUTOS'!$A$3:$A$500,$C40,'DADOS BRUTOS'!AW$3:AW$500)))</f>
        <v/>
      </c>
      <c r="DX40" s="132">
        <f>IF(OR(DX$4="",$B40=""),0,SUMIF('DADOS BRUTOS'!$A$3:$A$500,$B40,'DADOS BRUTOS'!AX$3:AX$500)+IF($C40="",0,SUMIF('DADOS BRUTOS'!$A$3:$A$500,$C40,'DADOS BRUTOS'!AX$3:AX$500)))</f>
        <v/>
      </c>
      <c r="DY40" s="132">
        <f>IF(OR(DY$4="",$B40=""),0,SUMIF('DADOS BRUTOS'!$A$3:$A$500,$B40,'DADOS BRUTOS'!AY$3:AY$500)+IF($C40="",0,SUMIF('DADOS BRUTOS'!$A$3:$A$500,$C40,'DADOS BRUTOS'!AY$3:AY$500)))</f>
        <v/>
      </c>
      <c r="DZ40" s="132">
        <f>IF(OR(DZ$4="",$B40=""),0,SUMIF('DADOS BRUTOS'!$A$3:$A$500,$B40,'DADOS BRUTOS'!AZ$3:AZ$500)+IF($C40="",0,SUMIF('DADOS BRUTOS'!$A$3:$A$500,$C40,'DADOS BRUTOS'!AZ$3:AZ$500)))</f>
        <v/>
      </c>
      <c r="EA40" s="132">
        <f>IF(OR(EA$4="",$B40=""),0,SUMIF('DADOS BRUTOS'!$A$3:$A$500,$B40,'DADOS BRUTOS'!BA$3:BA$500)+IF($C40="",0,SUMIF('DADOS BRUTOS'!$A$3:$A$500,$C40,'DADOS BRUTOS'!BA$3:BA$500)))</f>
        <v/>
      </c>
      <c r="EB40" s="132">
        <f>IF(OR(EB$4="",$B40=""),0,SUMIF('DADOS BRUTOS'!$A$3:$A$500,$B40,'DADOS BRUTOS'!BB$3:BB$500)+IF($C40="",0,SUMIF('DADOS BRUTOS'!$A$3:$A$500,$C40,'DADOS BRUTOS'!BB$3:BB$500)))</f>
        <v/>
      </c>
      <c r="EC40" s="132">
        <f>IF(OR(EC$4="",$B40=""),0,SUMIF('DADOS BRUTOS'!$A$3:$A$500,$B40,'DADOS BRUTOS'!BC$3:BC$500)+IF($C40="",0,SUMIF('DADOS BRUTOS'!$A$3:$A$500,$C40,'DADOS BRUTOS'!BC$3:BC$500)))</f>
        <v/>
      </c>
      <c r="ED40" s="132">
        <f>IF(OR(ED$4="",$B40=""),0,SUMIF('DADOS BRUTOS'!$A$3:$A$500,$B40,'DADOS BRUTOS'!BD$3:BD$500)+IF($C40="",0,SUMIF('DADOS BRUTOS'!$A$3:$A$500,$C40,'DADOS BRUTOS'!BD$3:BD$500)))</f>
        <v/>
      </c>
      <c r="EE40" s="132">
        <f>IF(OR(EE$4="",$B40=""),0,SUMIF('DADOS BRUTOS'!$A$3:$A$500,$B40,'DADOS BRUTOS'!BE$3:BE$500)+IF($C40="",0,SUMIF('DADOS BRUTOS'!$A$3:$A$500,$C40,'DADOS BRUTOS'!BE$3:BE$500)))</f>
        <v/>
      </c>
      <c r="EF40" s="132">
        <f>IF(OR(EF$4="",$B40=""),0,SUMIF('DADOS BRUTOS'!$A$3:$A$500,$B40,'DADOS BRUTOS'!BF$3:BF$500)+IF($C40="",0,SUMIF('DADOS BRUTOS'!$A$3:$A$500,$C40,'DADOS BRUTOS'!BF$3:BF$500)))</f>
        <v/>
      </c>
      <c r="EG40" s="132">
        <f>IF(OR(EG$4="",$B40=""),0,SUMIF('DADOS BRUTOS'!$A$3:$A$500,$B40,'DADOS BRUTOS'!BG$3:BG$500)+IF($C40="",0,SUMIF('DADOS BRUTOS'!$A$3:$A$500,$C40,'DADOS BRUTOS'!BG$3:BG$500)))</f>
        <v/>
      </c>
      <c r="EH40" s="132">
        <f>IF(OR(EH$4="",$B40=""),0,SUMIF('DADOS BRUTOS'!$A$3:$A$500,$B40,'DADOS BRUTOS'!BH$3:BH$500)+IF($C40="",0,SUMIF('DADOS BRUTOS'!$A$3:$A$500,$C40,'DADOS BRUTOS'!BH$3:BH$500)))</f>
        <v/>
      </c>
      <c r="EI40" s="132">
        <f>IF(OR(EI$4="",$B40=""),0,SUMIF('DADOS BRUTOS'!$A$3:$A$500,$B40,'DADOS BRUTOS'!BI$3:BI$500)+IF($C40="",0,SUMIF('DADOS BRUTOS'!$A$3:$A$500,$C40,'DADOS BRUTOS'!BI$3:BI$500)))</f>
        <v/>
      </c>
      <c r="EJ40" s="132">
        <f>IF(OR(EJ$4="",$B40=""),0,SUMIF('DADOS BRUTOS'!$A$3:$A$500,$B40,'DADOS BRUTOS'!BJ$3:BJ$500)+IF($C40="",0,SUMIF('DADOS BRUTOS'!$A$3:$A$500,$C40,'DADOS BRUTOS'!BJ$3:BJ$500)))</f>
        <v/>
      </c>
      <c r="EK40" s="132">
        <f>IF(OR(EK$4="",$B40=""),0,SUMIF('DADOS BRUTOS'!$A$3:$A$500,$B40,'DADOS BRUTOS'!BK$3:BK$500)+IF($C40="",0,SUMIF('DADOS BRUTOS'!$A$3:$A$500,$C40,'DADOS BRUTOS'!BK$3:BK$500)))</f>
        <v/>
      </c>
      <c r="EL40" s="132">
        <f>IF(OR(EL$4="",$B40=""),0,SUMIF('DADOS BRUTOS'!$A$3:$A$500,$B40,'DADOS BRUTOS'!BL$3:BL$500)+IF($C40="",0,SUMIF('DADOS BRUTOS'!$A$3:$A$500,$C40,'DADOS BRUTOS'!BL$3:BL$500)))</f>
        <v/>
      </c>
      <c r="EM40" s="132">
        <f>IF(OR(EM$4="",$B40=""),0,SUMIF('DADOS BRUTOS'!$A$3:$A$500,$B40,'DADOS BRUTOS'!BM$3:BM$500)+IF($C40="",0,SUMIF('DADOS BRUTOS'!$A$3:$A$500,$C40,'DADOS BRUTOS'!BM$3:BM$500)))</f>
        <v/>
      </c>
      <c r="EN40" s="132">
        <f>IF(OR(EN$4="",$B40=""),0,SUMIF('DADOS BRUTOS'!$A$3:$A$500,$B40,'DADOS BRUTOS'!BN$3:BN$500)+IF($C40="",0,SUMIF('DADOS BRUTOS'!$A$3:$A$500,$C40,'DADOS BRUTOS'!BN$3:BN$500)))</f>
        <v/>
      </c>
      <c r="EO40" s="132">
        <f>IF(OR(EO$4="",$B40=""),0,SUMIF('DADOS BRUTOS'!$A$3:$A$500,$B40,'DADOS BRUTOS'!BO$3:BO$500)+IF($C40="",0,SUMIF('DADOS BRUTOS'!$A$3:$A$500,$C40,'DADOS BRUTOS'!BO$3:BO$500)))</f>
        <v/>
      </c>
      <c r="EP40" s="132">
        <f>IF(OR(EP$4="",$B40=""),0,SUMIF('DADOS BRUTOS'!$A$3:$A$500,$B40,'DADOS BRUTOS'!BP$3:BP$500)+IF($C40="",0,SUMIF('DADOS BRUTOS'!$A$3:$A$500,$C40,'DADOS BRUTOS'!BP$3:BP$500)))</f>
        <v/>
      </c>
      <c r="EQ40" s="132">
        <f>IF(OR(EQ$4="",$B40=""),0,SUMIF('DADOS BRUTOS'!$A$3:$A$500,$B40,'DADOS BRUTOS'!BQ$3:BQ$500)+IF($C40="",0,SUMIF('DADOS BRUTOS'!$A$3:$A$500,$C40,'DADOS BRUTOS'!BQ$3:BQ$500)))</f>
        <v/>
      </c>
      <c r="ER40" s="132">
        <f>IF(OR(ER$4="",$B40=""),0,SUMIF('DADOS BRUTOS'!$A$3:$A$500,$B40,'DADOS BRUTOS'!BR$3:BR$500)+IF($C40="",0,SUMIF('DADOS BRUTOS'!$A$3:$A$500,$C40,'DADOS BRUTOS'!BR$3:BR$500)))</f>
        <v/>
      </c>
      <c r="ES40" s="132">
        <f>IF(OR(ES$4="",$B40=""),0,SUMIF('DADOS BRUTOS'!$A$3:$A$500,$B40,'DADOS BRUTOS'!BS$3:BS$500)+IF($C40="",0,SUMIF('DADOS BRUTOS'!$A$3:$A$500,$C40,'DADOS BRUTOS'!BS$3:BS$500)))</f>
        <v/>
      </c>
      <c r="ET40" s="132">
        <f>IF(OR(ET$4="",$B40=""),0,SUMIF('DADOS BRUTOS'!$A$3:$A$500,$B40,'DADOS BRUTOS'!BT$3:BT$500)+IF($C40="",0,SUMIF('DADOS BRUTOS'!$A$3:$A$500,$C40,'DADOS BRUTOS'!BT$3:BT$500)))</f>
        <v/>
      </c>
      <c r="EU40" s="132">
        <f>IF(OR(EU$4="",$B40=""),0,SUMIF('DADOS BRUTOS'!$A$3:$A$500,$B40,'DADOS BRUTOS'!BU$3:BU$500)+IF($C40="",0,SUMIF('DADOS BRUTOS'!$A$3:$A$500,$C40,'DADOS BRUTOS'!BU$3:BU$500)))</f>
        <v/>
      </c>
      <c r="EV40" s="132">
        <f>IF(OR(EV$4="",$B40=""),0,SUMIF('DADOS BRUTOS'!$A$3:$A$500,$B40,'DADOS BRUTOS'!BV$3:BV$500)+IF($C40="",0,SUMIF('DADOS BRUTOS'!$A$3:$A$500,$C40,'DADOS BRUTOS'!BV$3:BV$500)))</f>
        <v/>
      </c>
      <c r="EW40" s="132">
        <f>IF(OR(EW$4="",$B40=""),0,SUMIF('DADOS BRUTOS'!$A$3:$A$500,$B40,'DADOS BRUTOS'!BW$3:BW$500)+IF($C40="",0,SUMIF('DADOS BRUTOS'!$A$3:$A$500,$C40,'DADOS BRUTOS'!BW$3:BW$500)))</f>
        <v/>
      </c>
      <c r="EX40" s="132">
        <f>IF(OR(EX$4="",$B40=""),0,SUMIF('DADOS BRUTOS'!$A$3:$A$500,$B40,'DADOS BRUTOS'!BX$3:BX$500)+IF($C40="",0,SUMIF('DADOS BRUTOS'!$A$3:$A$500,$C40,'DADOS BRUTOS'!BX$3:BX$500)))</f>
        <v/>
      </c>
      <c r="EY40" s="132">
        <f>IF(OR(EY$4="",$B40=""),0,SUMIF('DADOS BRUTOS'!$A$3:$A$500,$B40,'DADOS BRUTOS'!BY$3:BY$500)+IF($C40="",0,SUMIF('DADOS BRUTOS'!$A$3:$A$500,$C40,'DADOS BRUTOS'!BY$3:BY$500)))</f>
        <v/>
      </c>
      <c r="EZ40" s="132">
        <f>IF(OR(EZ$4="",$B40=""),0,SUMIF('DADOS BRUTOS'!$A$3:$A$500,$B40,'DADOS BRUTOS'!BZ$3:BZ$500)+IF($C40="",0,SUMIF('DADOS BRUTOS'!$A$3:$A$500,$C40,'DADOS BRUTOS'!BZ$3:BZ$500)))</f>
        <v/>
      </c>
      <c r="FA40" s="132">
        <f>IF(OR(FA$4="",$B40=""),0,SUMIF('DADOS BRUTOS'!$A$3:$A$500,$B40,'DADOS BRUTOS'!CA$3:CA$500)+IF($C40="",0,SUMIF('DADOS BRUTOS'!$A$3:$A$500,$C40,'DADOS BRUTOS'!CA$3:CA$500)))</f>
        <v/>
      </c>
      <c r="FB40" s="132">
        <f>IF(OR(FB$4="",$B40=""),0,SUMIF('DADOS BRUTOS'!$A$3:$A$500,$B40,'DADOS BRUTOS'!CB$3:CB$500)+IF($C40="",0,SUMIF('DADOS BRUTOS'!$A$3:$A$500,$C40,'DADOS BRUTOS'!CB$3:CB$500)))</f>
        <v/>
      </c>
      <c r="FC40" s="132">
        <f>IF(OR(FC$4="",$B40=""),0,SUMIF('DADOS BRUTOS'!$A$3:$A$500,$B40,'DADOS BRUTOS'!CC$3:CC$500)+IF($C40="",0,SUMIF('DADOS BRUTOS'!$A$3:$A$500,$C40,'DADOS BRUTOS'!CC$3:CC$500)))</f>
        <v/>
      </c>
      <c r="FD40" s="132">
        <f>IF(OR(FD$4="",$B40=""),0,SUMIF('DADOS BRUTOS'!$A$3:$A$500,$B40,'DADOS BRUTOS'!CD$3:CD$500)+IF($C40="",0,SUMIF('DADOS BRUTOS'!$A$3:$A$500,$C40,'DADOS BRUTOS'!CD$3:CD$500)))</f>
        <v/>
      </c>
      <c r="FE40" s="132">
        <f>IF(OR(FE$4="",$B40=""),0,SUMIF('DADOS BRUTOS'!$A$3:$A$500,$B40,'DADOS BRUTOS'!CE$3:CE$500)+IF($C40="",0,SUMIF('DADOS BRUTOS'!$A$3:$A$500,$C40,'DADOS BRUTOS'!CE$3:CE$500)))</f>
        <v/>
      </c>
      <c r="FF40" s="132">
        <f>IF(OR(FF$4="",$B40=""),0,SUMIF('DADOS BRUTOS'!$A$3:$A$500,$B40,'DADOS BRUTOS'!CF$3:CF$500)+IF($C40="",0,SUMIF('DADOS BRUTOS'!$A$3:$A$500,$C40,'DADOS BRUTOS'!CF$3:CF$500)))</f>
        <v/>
      </c>
      <c r="FG40" s="132">
        <f>IF(OR(FG$4="",$B40=""),0,SUMIF('DADOS BRUTOS'!$A$3:$A$500,$B40,'DADOS BRUTOS'!CG$3:CG$500)+IF($C40="",0,SUMIF('DADOS BRUTOS'!$A$3:$A$500,$C40,'DADOS BRUTOS'!CG$3:CG$500)))</f>
        <v/>
      </c>
      <c r="FH40" s="132">
        <f>IF(OR(FH$4="",$B40=""),0,SUMIF('DADOS BRUTOS'!$A$3:$A$500,$B40,'DADOS BRUTOS'!CH$3:CH$500)+IF($C40="",0,SUMIF('DADOS BRUTOS'!$A$3:$A$500,$C40,'DADOS BRUTOS'!CH$3:CH$500)))</f>
        <v/>
      </c>
      <c r="FI40" s="132">
        <f>IF(OR(FI$4="",$B40=""),0,SUMIF('DADOS BRUTOS'!$A$3:$A$500,$B40,'DADOS BRUTOS'!CI$3:CI$500)+IF($C40="",0,SUMIF('DADOS BRUTOS'!$A$3:$A$500,$C40,'DADOS BRUTOS'!CI$3:CI$500)))</f>
        <v/>
      </c>
      <c r="FJ40" s="132">
        <f>IF(OR(FJ$4="",$B40=""),0,SUMIF('DADOS BRUTOS'!$A$3:$A$500,$B40,'DADOS BRUTOS'!CJ$3:CJ$500)+IF($C40="",0,SUMIF('DADOS BRUTOS'!$A$3:$A$500,$C40,'DADOS BRUTOS'!CJ$3:CJ$500)))</f>
        <v/>
      </c>
      <c r="FK40" s="132">
        <f>IF(OR(FK$4="",$B40=""),0,SUMIF('DADOS BRUTOS'!$A$3:$A$500,$B40,'DADOS BRUTOS'!CK$3:CK$500)+IF($C40="",0,SUMIF('DADOS BRUTOS'!$A$3:$A$500,$C40,'DADOS BRUTOS'!CK$3:CK$500)))</f>
        <v/>
      </c>
      <c r="FL40" s="132">
        <f>IF(OR(FL$4="",$B40=""),0,SUMIF('DADOS BRUTOS'!$A$3:$A$500,$B40,'DADOS BRUTOS'!CL$3:CL$500)+IF($C40="",0,SUMIF('DADOS BRUTOS'!$A$3:$A$500,$C40,'DADOS BRUTOS'!CL$3:CL$500)))</f>
        <v/>
      </c>
      <c r="FM40" s="132">
        <f>IF(OR(FM$4="",$B40=""),0,SUMIF('DADOS BRUTOS'!$A$3:$A$500,$B40,'DADOS BRUTOS'!CM$3:CM$500)+IF($C40="",0,SUMIF('DADOS BRUTOS'!$A$3:$A$500,$C40,'DADOS BRUTOS'!CM$3:CM$500)))</f>
        <v/>
      </c>
      <c r="FN40" s="132">
        <f>IF(OR(FN$4="",$B40=""),0,SUMIF('DADOS BRUTOS'!$A$3:$A$500,$B40,'DADOS BRUTOS'!CN$3:CN$500)+IF($C40="",0,SUMIF('DADOS BRUTOS'!$A$3:$A$500,$C40,'DADOS BRUTOS'!CN$3:CN$500)))</f>
        <v/>
      </c>
      <c r="FO40" s="132">
        <f>IF(OR(FO$4="",$B40=""),0,SUMIF('DADOS BRUTOS'!$A$3:$A$500,$B40,'DADOS BRUTOS'!CO$3:CO$500)+IF($C40="",0,SUMIF('DADOS BRUTOS'!$A$3:$A$500,$C40,'DADOS BRUTOS'!CO$3:CO$500)))</f>
        <v/>
      </c>
      <c r="FP40" s="132">
        <f>IF(OR(FP$4="",$B40=""),0,SUMIF('DADOS BRUTOS'!$A$3:$A$500,$B40,'DADOS BRUTOS'!CP$3:CP$500)+IF($C40="",0,SUMIF('DADOS BRUTOS'!$A$3:$A$500,$C40,'DADOS BRUTOS'!CP$3:CP$500)))</f>
        <v/>
      </c>
      <c r="FQ40" s="132">
        <f>IF(OR(FQ$4="",$B40=""),0,SUMIF('DADOS BRUTOS'!$A$3:$A$500,$B40,'DADOS BRUTOS'!CQ$3:CQ$500)+IF($C40="",0,SUMIF('DADOS BRUTOS'!$A$3:$A$500,$C40,'DADOS BRUTOS'!CQ$3:CQ$500)))</f>
        <v/>
      </c>
      <c r="FR40" s="132">
        <f>IF(OR(FR$4="",$B40=""),0,SUMIF('DADOS BRUTOS'!$A$3:$A$500,$B40,'DADOS BRUTOS'!CR$3:CR$500)+IF($C40="",0,SUMIF('DADOS BRUTOS'!$A$3:$A$500,$C40,'DADOS BRUTOS'!CR$3:CR$500)))</f>
        <v/>
      </c>
      <c r="FS40" s="132">
        <f>IF(OR(FS$4="",$B40=""),0,SUMIF('DADOS BRUTOS'!$A$3:$A$500,$B40,'DADOS BRUTOS'!CS$3:CS$500)+IF($C40="",0,SUMIF('DADOS BRUTOS'!$A$3:$A$500,$C40,'DADOS BRUTOS'!CS$3:CS$500)))</f>
        <v/>
      </c>
      <c r="FT40" s="132">
        <f>IF(OR(FT$4="",$B40=""),0,SUMIF('DADOS BRUTOS'!$A$3:$A$500,$B40,'DADOS BRUTOS'!CT$3:CT$500)+IF($C40="",0,SUMIF('DADOS BRUTOS'!$A$3:$A$500,$C40,'DADOS BRUTOS'!CT$3:CT$500)))</f>
        <v/>
      </c>
      <c r="FU40" s="132">
        <f>IF(OR(FU$4="",$B40=""),0,SUMIF('DADOS BRUTOS'!$A$3:$A$500,$B40,'DADOS BRUTOS'!CU$3:CU$500)+IF($C40="",0,SUMIF('DADOS BRUTOS'!$A$3:$A$500,$C40,'DADOS BRUTOS'!CU$3:CU$500)))</f>
        <v/>
      </c>
      <c r="FV40" s="132">
        <f>IF(OR(FV$4="",$B40=""),0,SUMIF('DADOS BRUTOS'!$A$3:$A$500,$B40,'DADOS BRUTOS'!CV$3:CV$500)+IF($C40="",0,SUMIF('DADOS BRUTOS'!$A$3:$A$500,$C40,'DADOS BRUTOS'!CV$3:CV$500)))</f>
        <v/>
      </c>
      <c r="FW40" s="132">
        <f>IF(OR(FW$4="",$B40=""),0,SUMIF('DADOS BRUTOS'!$A$3:$A$500,$B40,'DADOS BRUTOS'!CW$3:CW$500)+IF($C40="",0,SUMIF('DADOS BRUTOS'!$A$3:$A$500,$C40,'DADOS BRUTOS'!CW$3:CW$500)))</f>
        <v/>
      </c>
      <c r="FX40" s="132">
        <f>IF(OR(FX$4="",$B40=""),0,SUMIF('DADOS BRUTOS'!$A$3:$A$500,$B40,'DADOS BRUTOS'!CX$3:CX$500)+IF($C40="",0,SUMIF('DADOS BRUTOS'!$A$3:$A$500,$C40,'DADOS BRUTOS'!CX$3:CX$500)))</f>
        <v/>
      </c>
      <c r="FY40" s="132">
        <f>IF(OR(FY$4="",$B40=""),0,SUMIF('DADOS BRUTOS'!$A$3:$A$500,$B40,'DADOS BRUTOS'!CY$3:CY$500)+IF($C40="",0,SUMIF('DADOS BRUTOS'!$A$3:$A$500,$C40,'DADOS BRUTOS'!CY$3:CY$500)))</f>
        <v/>
      </c>
      <c r="FZ40" s="132">
        <f>IF(OR(FZ$4="",$B40=""),0,SUMIF('DADOS BRUTOS'!$A$3:$A$500,$B40,'DADOS BRUTOS'!CZ$3:CZ$500)+IF($C40="",0,SUMIF('DADOS BRUTOS'!$A$3:$A$500,$C40,'DADOS BRUTOS'!CZ$3:CZ$500)))</f>
        <v/>
      </c>
      <c r="GA40" s="132">
        <f>IF(OR(GA$4="",$B40=""),0,SUMIF('DADOS BRUTOS'!$A$3:$A$500,$B40,'DADOS BRUTOS'!DA$3:DA$500)+IF($C40="",0,SUMIF('DADOS BRUTOS'!$A$3:$A$500,$C40,'DADOS BRUTOS'!DA$3:DA$500)))</f>
        <v/>
      </c>
      <c r="GB40" s="132">
        <f>IF(OR(GB$4="",$B40=""),0,SUMIF('DADOS BRUTOS'!$A$3:$A$500,$B40,'DADOS BRUTOS'!DB$3:DB$500)+IF($C40="",0,SUMIF('DADOS BRUTOS'!$A$3:$A$500,$C40,'DADOS BRUTOS'!DB$3:DB$500)))</f>
        <v/>
      </c>
      <c r="GC40" s="132">
        <f>IF(OR(GC$4="",$B40=""),0,SUMIF('DADOS BRUTOS'!$A$3:$A$500,$B40,'DADOS BRUTOS'!DC$3:DC$500)+IF($C40="",0,SUMIF('DADOS BRUTOS'!$A$3:$A$500,$C40,'DADOS BRUTOS'!DC$3:DC$500)))</f>
        <v/>
      </c>
      <c r="GD40" s="132">
        <f>IF(OR(GD$4="",$B40=""),0,SUMIF('DADOS BRUTOS'!$A$3:$A$500,$B40,'DADOS BRUTOS'!DD$3:DD$500)+IF($C40="",0,SUMIF('DADOS BRUTOS'!$A$3:$A$500,$C40,'DADOS BRUTOS'!DD$3:DD$500)))</f>
        <v/>
      </c>
      <c r="GE40" s="132">
        <f>IF(OR(GE$4="",$B40=""),0,SUMIF('DADOS BRUTOS'!$A$3:$A$500,$B40,'DADOS BRUTOS'!DE$3:DE$500)+IF($C40="",0,SUMIF('DADOS BRUTOS'!$A$3:$A$500,$C40,'DADOS BRUTOS'!DE$3:DE$500)))</f>
        <v/>
      </c>
      <c r="GF40" s="132">
        <f>IF(OR(GF$4="",$B40=""),0,SUMIF('DADOS BRUTOS'!$A$3:$A$500,$B40,'DADOS BRUTOS'!DF$3:DF$500)+IF($C40="",0,SUMIF('DADOS BRUTOS'!$A$3:$A$500,$C40,'DADOS BRUTOS'!DF$3:DF$500)))</f>
        <v/>
      </c>
      <c r="GG40" s="132">
        <f>IF(OR(GG$4="",$B40=""),0,SUMIF('DADOS BRUTOS'!$A$3:$A$500,$B40,'DADOS BRUTOS'!DG$3:DG$500)+IF($C40="",0,SUMIF('DADOS BRUTOS'!$A$3:$A$500,$C40,'DADOS BRUTOS'!DG$3:DG$500)))</f>
        <v/>
      </c>
      <c r="GH40" s="132">
        <f>IF(OR(GH$4="",$B40=""),0,SUMIF('DADOS BRUTOS'!$A$3:$A$500,$B40,'DADOS BRUTOS'!DH$3:DH$500)+IF($C40="",0,SUMIF('DADOS BRUTOS'!$A$3:$A$500,$C40,'DADOS BRUTOS'!DH$3:DH$500)))</f>
        <v/>
      </c>
      <c r="GI40" s="132">
        <f>IF(OR(GI$4="",$B40=""),0,SUMIF('DADOS BRUTOS'!$A$3:$A$500,$B40,'DADOS BRUTOS'!DI$3:DI$500)+IF($C40="",0,SUMIF('DADOS BRUTOS'!$A$3:$A$500,$C40,'DADOS BRUTOS'!DI$3:DI$500)))</f>
        <v/>
      </c>
      <c r="GJ40" s="132">
        <f>IF(OR(GJ$4="",$B40=""),0,SUMIF('DADOS BRUTOS'!$A$3:$A$500,$B40,'DADOS BRUTOS'!DJ$3:DJ$500)+IF($C40="",0,SUMIF('DADOS BRUTOS'!$A$3:$A$500,$C40,'DADOS BRUTOS'!DJ$3:DJ$500)))</f>
        <v/>
      </c>
      <c r="GK40" s="132">
        <f>IF(OR(GK$4="",$B40=""),0,SUMIF('DADOS BRUTOS'!$A$3:$A$500,$B40,'DADOS BRUTOS'!DK$3:DK$500)+IF($C40="",0,SUMIF('DADOS BRUTOS'!$A$3:$A$500,$C40,'DADOS BRUTOS'!DK$3:DK$500)))</f>
        <v/>
      </c>
      <c r="GL40" s="132">
        <f>IF(OR(GL$4="",$B40=""),0,SUMIF('DADOS BRUTOS'!$A$3:$A$500,$B40,'DADOS BRUTOS'!DL$3:DL$500)+IF($C40="",0,SUMIF('DADOS BRUTOS'!$A$3:$A$500,$C40,'DADOS BRUTOS'!DL$3:DL$500)))</f>
        <v/>
      </c>
      <c r="GM40" s="132">
        <f>IF(OR(GM$4="",$B40=""),0,SUMIF('DADOS BRUTOS'!$A$3:$A$500,$B40,'DADOS BRUTOS'!DM$3:DM$500)+IF($C40="",0,SUMIF('DADOS BRUTOS'!$A$3:$A$500,$C40,'DADOS BRUTOS'!DM$3:DM$500)))</f>
        <v/>
      </c>
      <c r="GN40" s="132">
        <f>IF(OR(GN$4="",$B40=""),0,SUMIF('DADOS BRUTOS'!$A$3:$A$500,$B40,'DADOS BRUTOS'!DN$3:DN$500)+IF($C40="",0,SUMIF('DADOS BRUTOS'!$A$3:$A$500,$C40,'DADOS BRUTOS'!DN$3:DN$500)))</f>
        <v/>
      </c>
      <c r="GO40" s="132">
        <f>IF(OR(GO$4="",$B40=""),0,SUMIF('DADOS BRUTOS'!$A$3:$A$500,$B40,'DADOS BRUTOS'!DO$3:DO$500)+IF($C40="",0,SUMIF('DADOS BRUTOS'!$A$3:$A$500,$C40,'DADOS BRUTOS'!DO$3:DO$500)))</f>
        <v/>
      </c>
      <c r="GP40" s="132">
        <f>IF(OR(GP$4="",$B40=""),0,SUMIF('DADOS BRUTOS'!$A$3:$A$500,$B40,'DADOS BRUTOS'!DP$3:DP$500)+IF($C40="",0,SUMIF('DADOS BRUTOS'!$A$3:$A$500,$C40,'DADOS BRUTOS'!DP$3:DP$500)))</f>
        <v/>
      </c>
      <c r="GQ40" s="132">
        <f>IF(OR(GQ$4="",$B40=""),0,SUMIF('DADOS BRUTOS'!$A$3:$A$500,$B40,'DADOS BRUTOS'!DQ$3:DQ$500)+IF($C40="",0,SUMIF('DADOS BRUTOS'!$A$3:$A$500,$C40,'DADOS BRUTOS'!DQ$3:DQ$500)))</f>
        <v/>
      </c>
      <c r="GR40" s="132">
        <f>IF(OR(GR$4="",$B40=""),0,SUMIF('DADOS BRUTOS'!$A$3:$A$500,$B40,'DADOS BRUTOS'!DR$3:DR$500)+IF($C40="",0,SUMIF('DADOS BRUTOS'!$A$3:$A$500,$C40,'DADOS BRUTOS'!DR$3:DR$500)))</f>
        <v/>
      </c>
      <c r="GS40" s="132">
        <f>IF(OR(GS$4="",$B40=""),0,SUMIF('DADOS BRUTOS'!$A$3:$A$500,$B40,'DADOS BRUTOS'!DS$3:DS$500)+IF($C40="",0,SUMIF('DADOS BRUTOS'!$A$3:$A$500,$C40,'DADOS BRUTOS'!DS$3:DS$500)))</f>
        <v/>
      </c>
      <c r="GT40" s="132">
        <f>IF(OR(GT$4="",$B40=""),0,SUMIF('DADOS BRUTOS'!$A$3:$A$500,$B40,'DADOS BRUTOS'!DT$3:DT$500)+IF($C40="",0,SUMIF('DADOS BRUTOS'!$A$3:$A$500,$C40,'DADOS BRUTOS'!DT$3:DT$500)))</f>
        <v/>
      </c>
      <c r="GU40" s="132">
        <f>IF(OR(GU$4="",$B40=""),0,SUMIF('DADOS BRUTOS'!$A$3:$A$500,$B40,'DADOS BRUTOS'!DU$3:DU$500)+IF($C40="",0,SUMIF('DADOS BRUTOS'!$A$3:$A$500,$C40,'DADOS BRUTOS'!DU$3:DU$500)))</f>
        <v/>
      </c>
      <c r="GV40" s="132">
        <f>IF(OR(GV$4="",$B40=""),0,SUMIF('DADOS BRUTOS'!$A$3:$A$500,$B40,'DADOS BRUTOS'!DV$3:DV$500)+IF($C40="",0,SUMIF('DADOS BRUTOS'!$A$3:$A$500,$C40,'DADOS BRUTOS'!DV$3:DV$500)))</f>
        <v/>
      </c>
      <c r="GW40" s="132">
        <f>IF(OR(GW$4="",$B40=""),0,SUMIF('DADOS BRUTOS'!$A$3:$A$500,$B40,'DADOS BRUTOS'!DW$3:DW$500)+IF($C40="",0,SUMIF('DADOS BRUTOS'!$A$3:$A$500,$C40,'DADOS BRUTOS'!DW$3:DW$500)))</f>
        <v/>
      </c>
      <c r="GX40" s="132">
        <f>IF(OR(GX$4="",$B40=""),0,SUMIF('DADOS BRUTOS'!$A$3:$A$500,$B40,'DADOS BRUTOS'!DX$3:DX$500)+IF($C40="",0,SUMIF('DADOS BRUTOS'!$A$3:$A$500,$C40,'DADOS BRUTOS'!DX$3:DX$500)))</f>
        <v/>
      </c>
      <c r="GY40" s="132">
        <f>IF(OR(GY$4="",$B40=""),0,SUMIF('DADOS BRUTOS'!$A$3:$A$500,$B40,'DADOS BRUTOS'!DY$3:DY$500)+IF($C40="",0,SUMIF('DADOS BRUTOS'!$A$3:$A$500,$C40,'DADOS BRUTOS'!DY$3:DY$500)))</f>
        <v/>
      </c>
      <c r="GZ40" s="132">
        <f>IF(OR(GZ$4="",$B40=""),0,SUMIF('DADOS BRUTOS'!$A$3:$A$500,$B40,'DADOS BRUTOS'!DZ$3:DZ$500)+IF($C40="",0,SUMIF('DADOS BRUTOS'!$A$3:$A$500,$C40,'DADOS BRUTOS'!DZ$3:DZ$500)))</f>
        <v/>
      </c>
      <c r="HA40" s="132">
        <f>IF(OR(HA$4="",$B40=""),0,SUMIF('DADOS BRUTOS'!$A$3:$A$500,$B40,'DADOS BRUTOS'!EA$3:EA$500)+IF($C40="",0,SUMIF('DADOS BRUTOS'!$A$3:$A$500,$C40,'DADOS BRUTOS'!EA$3:EA$500)))</f>
        <v/>
      </c>
      <c r="HB40" s="132">
        <f>IF(OR(HB$4="",$B40=""),0,SUMIF('DADOS BRUTOS'!$A$3:$A$500,$B40,'DADOS BRUTOS'!EB$3:EB$500)+IF($C40="",0,SUMIF('DADOS BRUTOS'!$A$3:$A$500,$C40,'DADOS BRUTOS'!EB$3:EB$500)))</f>
        <v/>
      </c>
      <c r="HC40" s="132">
        <f>IF(OR(HC$4="",$B40=""),0,SUMIF('DADOS BRUTOS'!$A$3:$A$500,$B40,'DADOS BRUTOS'!EC$3:EC$500)+IF($C40="",0,SUMIF('DADOS BRUTOS'!$A$3:$A$500,$C40,'DADOS BRUTOS'!EC$3:EC$500)))</f>
        <v/>
      </c>
      <c r="HD40" s="132">
        <f>IF(OR(HD$4="",$B40=""),0,SUMIF('DADOS BRUTOS'!$A$3:$A$500,$B40,'DADOS BRUTOS'!ED$3:ED$500)+IF($C40="",0,SUMIF('DADOS BRUTOS'!$A$3:$A$500,$C40,'DADOS BRUTOS'!ED$3:ED$500)))</f>
        <v/>
      </c>
      <c r="HE40" s="132">
        <f>IF(OR(HE$4="",$B40=""),0,SUMIF('DADOS BRUTOS'!$A$3:$A$500,$B40,'DADOS BRUTOS'!EE$3:EE$500)+IF($C40="",0,SUMIF('DADOS BRUTOS'!$A$3:$A$500,$C40,'DADOS BRUTOS'!EE$3:EE$500)))</f>
        <v/>
      </c>
      <c r="HF40" s="132">
        <f>IF(OR(HF$4="",$B40=""),0,SUMIF('DADOS BRUTOS'!$A$3:$A$500,$B40,'DADOS BRUTOS'!EF$3:EF$500)+IF($C40="",0,SUMIF('DADOS BRUTOS'!$A$3:$A$500,$C40,'DADOS BRUTOS'!EF$3:EF$500)))</f>
        <v/>
      </c>
      <c r="HG40" s="132">
        <f>IF(OR(HG$4="",$B40=""),0,SUMIF('DADOS BRUTOS'!$A$3:$A$500,$B40,'DADOS BRUTOS'!EG$3:EG$500)+IF($C40="",0,SUMIF('DADOS BRUTOS'!$A$3:$A$500,$C40,'DADOS BRUTOS'!EG$3:EG$500)))</f>
        <v/>
      </c>
      <c r="HH40" s="132">
        <f>IF(OR(HH$4="",$B40=""),0,SUMIF('DADOS BRUTOS'!$A$3:$A$500,$B40,'DADOS BRUTOS'!EH$3:EH$500)+IF($C40="",0,SUMIF('DADOS BRUTOS'!$A$3:$A$500,$C40,'DADOS BRUTOS'!EH$3:EH$500)))</f>
        <v/>
      </c>
      <c r="HI40" s="132">
        <f>IF(OR(HI$4="",$B40=""),0,SUMIF('DADOS BRUTOS'!$A$3:$A$500,$B40,'DADOS BRUTOS'!EI$3:EI$500)+IF($C40="",0,SUMIF('DADOS BRUTOS'!$A$3:$A$500,$C40,'DADOS BRUTOS'!EI$3:EI$500)))</f>
        <v/>
      </c>
      <c r="HJ40" s="132">
        <f>IF(OR(HJ$4="",$B40=""),0,SUMIF('DADOS BRUTOS'!$A$3:$A$500,$B40,'DADOS BRUTOS'!EJ$3:EJ$500)+IF($C40="",0,SUMIF('DADOS BRUTOS'!$A$3:$A$500,$C40,'DADOS BRUTOS'!EJ$3:EJ$500)))</f>
        <v/>
      </c>
      <c r="HK40" s="132">
        <f>IF(OR(HK$4="",$B40=""),0,SUMIF('DADOS BRUTOS'!$A$3:$A$500,$B40,'DADOS BRUTOS'!EK$3:EK$500)+IF($C40="",0,SUMIF('DADOS BRUTOS'!$A$3:$A$500,$C40,'DADOS BRUTOS'!EK$3:EK$500)))</f>
        <v/>
      </c>
      <c r="HL40" s="132">
        <f>IF(OR(HL$4="",$B40=""),0,SUMIF('DADOS BRUTOS'!$A$3:$A$500,$B40,'DADOS BRUTOS'!EL$3:EL$500)+IF($C40="",0,SUMIF('DADOS BRUTOS'!$A$3:$A$500,$C40,'DADOS BRUTOS'!EL$3:EL$500)))</f>
        <v/>
      </c>
      <c r="HM40" s="132">
        <f>IF(OR(HM$4="",$B40=""),0,SUMIF('DADOS BRUTOS'!$A$3:$A$500,$B40,'DADOS BRUTOS'!EM$3:EM$500)+IF($C40="",0,SUMIF('DADOS BRUTOS'!$A$3:$A$500,$C40,'DADOS BRUTOS'!EM$3:EM$500)))</f>
        <v/>
      </c>
      <c r="HN40" s="132">
        <f>IF(OR(HN$4="",$B40=""),0,SUMIF('DADOS BRUTOS'!$A$3:$A$500,$B40,'DADOS BRUTOS'!EN$3:EN$500)+IF($C40="",0,SUMIF('DADOS BRUTOS'!$A$3:$A$500,$C40,'DADOS BRUTOS'!EN$3:EN$500)))</f>
        <v/>
      </c>
      <c r="HO40" s="132">
        <f>IF(OR(HO$4="",$B40=""),0,SUMIF('DADOS BRUTOS'!$A$3:$A$500,$B40,'DADOS BRUTOS'!EO$3:EO$500)+IF($C40="",0,SUMIF('DADOS BRUTOS'!$A$3:$A$500,$C40,'DADOS BRUTOS'!EO$3:EO$500)))</f>
        <v/>
      </c>
      <c r="HP40" s="132">
        <f>IF(OR(HP$4="",$B40=""),0,SUMIF('DADOS BRUTOS'!$A$3:$A$500,$B40,'DADOS BRUTOS'!EP$3:EP$500)+IF($C40="",0,SUMIF('DADOS BRUTOS'!$A$3:$A$500,$C40,'DADOS BRUTOS'!EP$3:EP$500)))</f>
        <v/>
      </c>
      <c r="HQ40" s="132">
        <f>IF(OR(HQ$4="",$B40=""),0,SUMIF('DADOS BRUTOS'!$A$3:$A$500,$B40,'DADOS BRUTOS'!EQ$3:EQ$500)+IF($C40="",0,SUMIF('DADOS BRUTOS'!$A$3:$A$500,$C40,'DADOS BRUTOS'!EQ$3:EQ$500)))</f>
        <v/>
      </c>
      <c r="HR40" s="132">
        <f>IF(OR(HR$4="",$B40=""),0,SUMIF('DADOS BRUTOS'!$A$3:$A$500,$B40,'DADOS BRUTOS'!ER$3:ER$500)+IF($C40="",0,SUMIF('DADOS BRUTOS'!$A$3:$A$500,$C40,'DADOS BRUTOS'!ER$3:ER$500)))</f>
        <v/>
      </c>
      <c r="HS40" s="132">
        <f>IF(OR(HS$4="",$B40=""),0,SUMIF('DADOS BRUTOS'!$A$3:$A$500,$B40,'DADOS BRUTOS'!ES$3:ES$500)+IF($C40="",0,SUMIF('DADOS BRUTOS'!$A$3:$A$500,$C40,'DADOS BRUTOS'!ES$3:ES$500)))</f>
        <v/>
      </c>
      <c r="HT40" s="132">
        <f>IF(OR(HT$4="",$B40=""),0,SUMIF('DADOS BRUTOS'!$A$3:$A$500,$B40,'DADOS BRUTOS'!ET$3:ET$500)+IF($C40="",0,SUMIF('DADOS BRUTOS'!$A$3:$A$500,$C40,'DADOS BRUTOS'!ET$3:ET$500)))</f>
        <v/>
      </c>
      <c r="HU40" s="132">
        <f>IF(OR(HU$4="",$B40=""),0,SUMIF('DADOS BRUTOS'!$A$3:$A$500,$B40,'DADOS BRUTOS'!EU$3:EU$500)+IF($C40="",0,SUMIF('DADOS BRUTOS'!$A$3:$A$500,$C40,'DADOS BRUTOS'!EU$3:EU$500)))</f>
        <v/>
      </c>
      <c r="HV40" s="132">
        <f>IF(OR(HV$4="",$B40=""),0,SUMIF('DADOS BRUTOS'!$A$3:$A$500,$B40,'DADOS BRUTOS'!EV$3:EV$500)+IF($C40="",0,SUMIF('DADOS BRUTOS'!$A$3:$A$500,$C40,'DADOS BRUTOS'!EV$3:EV$500)))</f>
        <v/>
      </c>
      <c r="HW40" s="132">
        <f>IF(OR(HW$4="",$B40=""),0,SUMIF('DADOS BRUTOS'!$A$3:$A$500,$B40,'DADOS BRUTOS'!EW$3:EW$500)+IF($C40="",0,SUMIF('DADOS BRUTOS'!$A$3:$A$500,$C40,'DADOS BRUTOS'!EW$3:EW$500)))</f>
        <v/>
      </c>
      <c r="HX40" s="132">
        <f>IF(OR(HX$4="",$B40=""),0,SUMIF('DADOS BRUTOS'!$A$3:$A$500,$B40,'DADOS BRUTOS'!EX$3:EX$500)+IF($C40="",0,SUMIF('DADOS BRUTOS'!$A$3:$A$500,$C40,'DADOS BRUTOS'!EX$3:EX$500)))</f>
        <v/>
      </c>
      <c r="HY40" s="132">
        <f>IF(OR(HY$4="",$B40=""),0,SUMIF('DADOS BRUTOS'!$A$3:$A$500,$B40,'DADOS BRUTOS'!EY$3:EY$500)+IF($C40="",0,SUMIF('DADOS BRUTOS'!$A$3:$A$500,$C40,'DADOS BRUTOS'!EY$3:EY$500)))</f>
        <v/>
      </c>
      <c r="HZ40" s="132">
        <f>IF(OR(HZ$4="",$B40=""),0,SUMIF('DADOS BRUTOS'!$A$3:$A$500,$B40,'DADOS BRUTOS'!EZ$3:EZ$500)+IF($C40="",0,SUMIF('DADOS BRUTOS'!$A$3:$A$500,$C40,'DADOS BRUTOS'!EZ$3:EZ$500)))</f>
        <v/>
      </c>
      <c r="IA40" s="132">
        <f>IF(OR(IA$4="",$B40=""),0,SUMIF('DADOS BRUTOS'!$A$3:$A$500,$B40,'DADOS BRUTOS'!FA$3:FA$500)+IF($C40="",0,SUMIF('DADOS BRUTOS'!$A$3:$A$500,$C40,'DADOS BRUTOS'!FA$3:FA$500)))</f>
        <v/>
      </c>
      <c r="IB40" s="132">
        <f>IF(OR(IB$4="",$B40=""),0,SUMIF('DADOS BRUTOS'!$A$3:$A$500,$B40,'DADOS BRUTOS'!FB$3:FB$500)+IF($C40="",0,SUMIF('DADOS BRUTOS'!$A$3:$A$500,$C40,'DADOS BRUTOS'!FB$3:FB$500)))</f>
        <v/>
      </c>
      <c r="IC40" s="132">
        <f>IF(OR(IC$4="",$B40=""),0,SUMIF('DADOS BRUTOS'!$A$3:$A$500,$B40,'DADOS BRUTOS'!FC$3:FC$500)+IF($C40="",0,SUMIF('DADOS BRUTOS'!$A$3:$A$500,$C40,'DADOS BRUTOS'!FC$3:FC$500)))</f>
        <v/>
      </c>
      <c r="ID40" s="132">
        <f>IF(OR(ID$4="",$B40=""),0,SUMIF('DADOS BRUTOS'!$A$3:$A$500,$B40,'DADOS BRUTOS'!FD$3:FD$500)+IF($C40="",0,SUMIF('DADOS BRUTOS'!$A$3:$A$500,$C40,'DADOS BRUTOS'!FD$3:FD$500)))</f>
        <v/>
      </c>
      <c r="IE40" s="132">
        <f>IF(OR(IE$4="",$B40=""),0,SUMIF('DADOS BRUTOS'!$A$3:$A$500,$B40,'DADOS BRUTOS'!FE$3:FE$500)+IF($C40="",0,SUMIF('DADOS BRUTOS'!$A$3:$A$500,$C40,'DADOS BRUTOS'!FE$3:FE$500)))</f>
        <v/>
      </c>
      <c r="IF40" s="132">
        <f>IF(OR(IF$4="",$B40=""),0,SUMIF('DADOS BRUTOS'!$A$3:$A$500,$B40,'DADOS BRUTOS'!FF$3:FF$500)+IF($C40="",0,SUMIF('DADOS BRUTOS'!$A$3:$A$500,$C40,'DADOS BRUTOS'!FF$3:FF$500)))</f>
        <v/>
      </c>
      <c r="IG40" s="132">
        <f>IF(OR(IG$4="",$B40=""),0,SUMIF('DADOS BRUTOS'!$A$3:$A$500,$B40,'DADOS BRUTOS'!FG$3:FG$500)+IF($C40="",0,SUMIF('DADOS BRUTOS'!$A$3:$A$500,$C40,'DADOS BRUTOS'!FG$3:FG$500)))</f>
        <v/>
      </c>
      <c r="IH40" s="132">
        <f>IF(OR(IH$4="",$B40=""),0,SUMIF('DADOS BRUTOS'!$A$3:$A$500,$B40,'DADOS BRUTOS'!FH$3:FH$500)+IF($C40="",0,SUMIF('DADOS BRUTOS'!$A$3:$A$500,$C40,'DADOS BRUTOS'!FH$3:FH$500)))</f>
        <v/>
      </c>
      <c r="II40" s="132">
        <f>IF(OR(II$4="",$B40=""),0,SUMIF('DADOS BRUTOS'!$A$3:$A$500,$B40,'DADOS BRUTOS'!FI$3:FI$500)+IF($C40="",0,SUMIF('DADOS BRUTOS'!$A$3:$A$500,$C40,'DADOS BRUTOS'!FI$3:FI$500)))</f>
        <v/>
      </c>
      <c r="IJ40" s="132">
        <f>IF(OR(IJ$4="",$B40=""),0,SUMIF('DADOS BRUTOS'!$A$3:$A$500,$B40,'DADOS BRUTOS'!FJ$3:FJ$500)+IF($C40="",0,SUMIF('DADOS BRUTOS'!$A$3:$A$500,$C40,'DADOS BRUTOS'!FJ$3:FJ$500)))</f>
        <v/>
      </c>
      <c r="IK40" s="132">
        <f>IF(OR(IK$4="",$B40=""),0,SUMIF('DADOS BRUTOS'!$A$3:$A$500,$B40,'DADOS BRUTOS'!FK$3:FK$500)+IF($C40="",0,SUMIF('DADOS BRUTOS'!$A$3:$A$500,$C40,'DADOS BRUTOS'!FK$3:FK$500)))</f>
        <v/>
      </c>
      <c r="IL40" s="132">
        <f>IF(OR(IL$4="",$B40=""),0,SUMIF('DADOS BRUTOS'!$A$3:$A$500,$B40,'DADOS BRUTOS'!FL$3:FL$500)+IF($C40="",0,SUMIF('DADOS BRUTOS'!$A$3:$A$500,$C40,'DADOS BRUTOS'!FL$3:FL$500)))</f>
        <v/>
      </c>
      <c r="IM40" s="132">
        <f>IF(OR(IM$4="",$B40=""),0,SUMIF('DADOS BRUTOS'!$A$3:$A$500,$B40,'DADOS BRUTOS'!FM$3:FM$500)+IF($C40="",0,SUMIF('DADOS BRUTOS'!$A$3:$A$500,$C40,'DADOS BRUTOS'!FM$3:FM$500)))</f>
        <v/>
      </c>
      <c r="IN40" s="132">
        <f>IF(OR(IN$4="",$B40=""),0,SUMIF('DADOS BRUTOS'!$A$3:$A$500,$B40,'DADOS BRUTOS'!FN$3:FN$500)+IF($C40="",0,SUMIF('DADOS BRUTOS'!$A$3:$A$500,$C40,'DADOS BRUTOS'!FN$3:FN$500)))</f>
        <v/>
      </c>
      <c r="IO40" s="132">
        <f>IF(OR(IO$4="",$B40=""),0,SUMIF('DADOS BRUTOS'!$A$3:$A$500,$B40,'DADOS BRUTOS'!FO$3:FO$500)+IF($C40="",0,SUMIF('DADOS BRUTOS'!$A$3:$A$500,$C40,'DADOS BRUTOS'!FO$3:FO$500)))</f>
        <v/>
      </c>
      <c r="IP40" s="132">
        <f>IF(OR(IP$4="",$B40=""),0,SUMIF('DADOS BRUTOS'!$A$3:$A$500,$B40,'DADOS BRUTOS'!FP$3:FP$500)+IF($C40="",0,SUMIF('DADOS BRUTOS'!$A$3:$A$500,$C40,'DADOS BRUTOS'!FP$3:FP$500)))</f>
        <v/>
      </c>
      <c r="IQ40" s="132">
        <f>IF(OR(IQ$4="",$B40=""),0,SUMIF('DADOS BRUTOS'!$A$3:$A$500,$B40,'DADOS BRUTOS'!FQ$3:FQ$500)+IF($C40="",0,SUMIF('DADOS BRUTOS'!$A$3:$A$500,$C40,'DADOS BRUTOS'!FQ$3:FQ$500)))</f>
        <v/>
      </c>
      <c r="IR40" s="132">
        <f>IF(OR(IR$4="",$B40=""),0,SUMIF('DADOS BRUTOS'!$A$3:$A$500,$B40,'DADOS BRUTOS'!FR$3:FR$500)+IF($C40="",0,SUMIF('DADOS BRUTOS'!$A$3:$A$500,$C40,'DADOS BRUTOS'!FR$3:FR$500)))</f>
        <v/>
      </c>
      <c r="IS40" s="132">
        <f>IF(OR(IS$4="",$B40=""),0,SUMIF('DADOS BRUTOS'!$A$3:$A$500,$B40,'DADOS BRUTOS'!FS$3:FS$500)+IF($C40="",0,SUMIF('DADOS BRUTOS'!$A$3:$A$500,$C40,'DADOS BRUTOS'!FS$3:FS$500)))</f>
        <v/>
      </c>
      <c r="IT40" s="132">
        <f>IF(OR(IT$4="",$B40=""),0,SUMIF('DADOS BRUTOS'!$A$3:$A$500,$B40,'DADOS BRUTOS'!FT$3:FT$500)+IF($C40="",0,SUMIF('DADOS BRUTOS'!$A$3:$A$500,$C40,'DADOS BRUTOS'!FT$3:FT$500)))</f>
        <v/>
      </c>
      <c r="IU40" s="132">
        <f>IF(OR(IU$4="",$B40=""),0,SUMIF('DADOS BRUTOS'!$A$3:$A$500,$B40,'DADOS BRUTOS'!FU$3:FU$500)+IF($C40="",0,SUMIF('DADOS BRUTOS'!$A$3:$A$500,$C40,'DADOS BRUTOS'!FU$3:FU$500)))</f>
        <v/>
      </c>
      <c r="IV40" s="132">
        <f>IF(OR(IV$4="",$B40=""),0,SUMIF('DADOS BRUTOS'!$A$3:$A$500,$B40,'DADOS BRUTOS'!FV$3:FV$500)+IF($C40="",0,SUMIF('DADOS BRUTOS'!$A$3:$A$500,$C40,'DADOS BRUTOS'!FV$3:FV$500)))</f>
        <v/>
      </c>
      <c r="IW40" s="132">
        <f>IF(OR(IW$4="",$B40=""),0,SUMIF('DADOS BRUTOS'!$A$3:$A$500,$B40,'DADOS BRUTOS'!FW$3:FW$500)+IF($C40="",0,SUMIF('DADOS BRUTOS'!$A$3:$A$500,$C40,'DADOS BRUTOS'!FW$3:FW$500)))</f>
        <v/>
      </c>
      <c r="IX40" s="132">
        <f>IF(OR(IX$4="",$B40=""),0,SUMIF('DADOS BRUTOS'!$A$3:$A$500,$B40,'DADOS BRUTOS'!FX$3:FX$500)+IF($C40="",0,SUMIF('DADOS BRUTOS'!$A$3:$A$500,$C40,'DADOS BRUTOS'!FX$3:FX$500)))</f>
        <v/>
      </c>
      <c r="IY40" s="132">
        <f>IF(OR(IY$4="",$B40=""),0,SUMIF('DADOS BRUTOS'!$A$3:$A$500,$B40,'DADOS BRUTOS'!FY$3:FY$500)+IF($C40="",0,SUMIF('DADOS BRUTOS'!$A$3:$A$500,$C40,'DADOS BRUTOS'!FY$3:FY$500)))</f>
        <v/>
      </c>
      <c r="IZ40" s="132">
        <f>IF(OR(IZ$4="",$B40=""),0,SUMIF('DADOS BRUTOS'!$A$3:$A$500,$B40,'DADOS BRUTOS'!FZ$3:FZ$500)+IF($C40="",0,SUMIF('DADOS BRUTOS'!$A$3:$A$500,$C40,'DADOS BRUTOS'!FZ$3:FZ$500)))</f>
        <v/>
      </c>
      <c r="JA40" s="132">
        <f>IF(OR(JA$4="",$B40=""),0,SUMIF('DADOS BRUTOS'!$A$3:$A$500,$B40,'DADOS BRUTOS'!GA$3:GA$500)+IF($C40="",0,SUMIF('DADOS BRUTOS'!$A$3:$A$500,$C40,'DADOS BRUTOS'!GA$3:GA$500)))</f>
        <v/>
      </c>
      <c r="JB40" s="132">
        <f>IF(OR(JB$4="",$B40=""),0,SUMIF('DADOS BRUTOS'!$A$3:$A$500,$B40,'DADOS BRUTOS'!GB$3:GB$500)+IF($C40="",0,SUMIF('DADOS BRUTOS'!$A$3:$A$500,$C40,'DADOS BRUTOS'!GB$3:GB$500)))</f>
        <v/>
      </c>
      <c r="JC40" s="132">
        <f>IF(OR(JC$4="",$B40=""),0,SUMIF('DADOS BRUTOS'!$A$3:$A$500,$B40,'DADOS BRUTOS'!GC$3:GC$500)+IF($C40="",0,SUMIF('DADOS BRUTOS'!$A$3:$A$500,$C40,'DADOS BRUTOS'!GC$3:GC$500)))</f>
        <v/>
      </c>
      <c r="JD40" s="132">
        <f>IF(OR(JD$4="",$B40=""),0,SUMIF('DADOS BRUTOS'!$A$3:$A$500,$B40,'DADOS BRUTOS'!GD$3:GD$500)+IF($C40="",0,SUMIF('DADOS BRUTOS'!$A$3:$A$500,$C40,'DADOS BRUTOS'!GD$3:GD$500)))</f>
        <v/>
      </c>
      <c r="JE40" s="132">
        <f>IF(OR(JE$4="",$B40=""),0,SUMIF('DADOS BRUTOS'!$A$3:$A$500,$B40,'DADOS BRUTOS'!GE$3:GE$500)+IF($C40="",0,SUMIF('DADOS BRUTOS'!$A$3:$A$500,$C40,'DADOS BRUTOS'!GE$3:GE$500)))</f>
        <v/>
      </c>
      <c r="JF40" s="132">
        <f>IF(OR(JF$4="",$B40=""),0,SUMIF('DADOS BRUTOS'!$A$3:$A$500,$B40,'DADOS BRUTOS'!GF$3:GF$500)+IF($C40="",0,SUMIF('DADOS BRUTOS'!$A$3:$A$500,$C40,'DADOS BRUTOS'!GF$3:GF$500)))</f>
        <v/>
      </c>
      <c r="JG40" s="132">
        <f>IF(OR(JG$4="",$B40=""),0,SUMIF('DADOS BRUTOS'!$A$3:$A$500,$B40,'DADOS BRUTOS'!GG$3:GG$500)+IF($C40="",0,SUMIF('DADOS BRUTOS'!$A$3:$A$500,$C40,'DADOS BRUTOS'!GG$3:GG$500)))</f>
        <v/>
      </c>
      <c r="JH40" s="132">
        <f>IF(OR(JH$4="",$B40=""),0,SUMIF('DADOS BRUTOS'!$A$3:$A$500,$B40,'DADOS BRUTOS'!GH$3:GH$500)+IF($C40="",0,SUMIF('DADOS BRUTOS'!$A$3:$A$500,$C40,'DADOS BRUTOS'!GH$3:GH$500)))</f>
        <v/>
      </c>
      <c r="JI40" s="132">
        <f>IF(OR(JI$4="",$B40=""),0,SUMIF('DADOS BRUTOS'!$A$3:$A$500,$B40,'DADOS BRUTOS'!GI$3:GI$500)+IF($C40="",0,SUMIF('DADOS BRUTOS'!$A$3:$A$500,$C40,'DADOS BRUTOS'!GI$3:GI$500)))</f>
        <v/>
      </c>
      <c r="JJ40" s="132">
        <f>IF(OR(JJ$4="",$B40=""),0,SUMIF('DADOS BRUTOS'!$A$3:$A$500,$B40,'DADOS BRUTOS'!GJ$3:GJ$500)+IF($C40="",0,SUMIF('DADOS BRUTOS'!$A$3:$A$500,$C40,'DADOS BRUTOS'!GJ$3:GJ$500)))</f>
        <v/>
      </c>
      <c r="JK40" s="132">
        <f>IF(OR(JK$4="",$B40=""),0,SUMIF('DADOS BRUTOS'!$A$3:$A$500,$B40,'DADOS BRUTOS'!GK$3:GK$500)+IF($C40="",0,SUMIF('DADOS BRUTOS'!$A$3:$A$500,$C40,'DADOS BRUTOS'!GK$3:GK$500)))</f>
        <v/>
      </c>
      <c r="JL40" s="132">
        <f>IF(OR(JL$4="",$B40=""),0,SUMIF('DADOS BRUTOS'!$A$3:$A$500,$B40,'DADOS BRUTOS'!GL$3:GL$500)+IF($C40="",0,SUMIF('DADOS BRUTOS'!$A$3:$A$500,$C40,'DADOS BRUTOS'!GL$3:GL$500)))</f>
        <v/>
      </c>
      <c r="JM40" s="132">
        <f>IF(OR(JM$4="",$B40=""),0,SUMIF('DADOS BRUTOS'!$A$3:$A$500,$B40,'DADOS BRUTOS'!GM$3:GM$500)+IF($C40="",0,SUMIF('DADOS BRUTOS'!$A$3:$A$500,$C40,'DADOS BRUTOS'!GM$3:GM$500)))</f>
        <v/>
      </c>
      <c r="JN40" s="132">
        <f>IF(OR(JN$4="",$B40=""),0,SUMIF('DADOS BRUTOS'!$A$3:$A$500,$B40,'DADOS BRUTOS'!GN$3:GN$500)+IF($C40="",0,SUMIF('DADOS BRUTOS'!$A$3:$A$500,$C40,'DADOS BRUTOS'!GN$3:GN$500)))</f>
        <v/>
      </c>
      <c r="JO40" s="132">
        <f>IF(OR(JO$4="",$B40=""),0,SUMIF('DADOS BRUTOS'!$A$3:$A$500,$B40,'DADOS BRUTOS'!GO$3:GO$500)+IF($C40="",0,SUMIF('DADOS BRUTOS'!$A$3:$A$500,$C40,'DADOS BRUTOS'!GO$3:GO$500)))</f>
        <v/>
      </c>
      <c r="JP40" s="132">
        <f>IF(OR(JP$4="",$B40=""),0,SUMIF('DADOS BRUTOS'!$A$3:$A$500,$B40,'DADOS BRUTOS'!GP$3:GP$500)+IF($C40="",0,SUMIF('DADOS BRUTOS'!$A$3:$A$500,$C40,'DADOS BRUTOS'!GP$3:GP$500)))</f>
        <v/>
      </c>
      <c r="JQ40" s="132">
        <f>IF(OR(JQ$4="",$B40=""),0,SUMIF('DADOS BRUTOS'!$A$3:$A$500,$B40,'DADOS BRUTOS'!GQ$3:GQ$500)+IF($C40="",0,SUMIF('DADOS BRUTOS'!$A$3:$A$500,$C40,'DADOS BRUTOS'!GQ$3:GQ$500)))</f>
        <v/>
      </c>
      <c r="JR40" s="132">
        <f>IF(OR(JR$4="",$B40=""),0,SUMIF('DADOS BRUTOS'!$A$3:$A$500,$B40,'DADOS BRUTOS'!GR$3:GR$500)+IF($C40="",0,SUMIF('DADOS BRUTOS'!$A$3:$A$500,$C40,'DADOS BRUTOS'!GR$3:GR$500)))</f>
        <v/>
      </c>
      <c r="JS40" s="132">
        <f>IF(OR(JS$4="",$B40=""),0,SUMIF('DADOS BRUTOS'!$A$3:$A$500,$B40,'DADOS BRUTOS'!GS$3:GS$500)+IF($C40="",0,SUMIF('DADOS BRUTOS'!$A$3:$A$500,$C40,'DADOS BRUTOS'!GS$3:GS$500)))</f>
        <v/>
      </c>
    </row>
    <row r="41">
      <c r="A41" s="61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BZ41" s="49">
        <f>SUMPRODUCT(($CB$4:$JS$4&lt;&gt;"")*($CB$4:$JS$4&lt;=$D$4),$CB41:$JS41,$CB$1:$JS$1)</f>
        <v/>
      </c>
      <c r="CB41" s="132">
        <f>IF(OR(CB$4="",$B41=""),0,SUMIF('DADOS BRUTOS'!$A$3:$A$500,$B41,'DADOS BRUTOS'!B$3:B$500)+IF($C41="",0,SUMIF('DADOS BRUTOS'!$A$3:$A$500,$C41,'DADOS BRUTOS'!B$3:B$500)))</f>
        <v/>
      </c>
      <c r="CC41" s="132">
        <f>IF(OR(CC$4="",$B41=""),0,SUMIF('DADOS BRUTOS'!$A$3:$A$500,$B41,'DADOS BRUTOS'!C$3:C$500)+IF($C41="",0,SUMIF('DADOS BRUTOS'!$A$3:$A$500,$C41,'DADOS BRUTOS'!C$3:C$500)))</f>
        <v/>
      </c>
      <c r="CD41" s="132">
        <f>IF(OR(CD$4="",$B41=""),0,SUMIF('DADOS BRUTOS'!$A$3:$A$500,$B41,'DADOS BRUTOS'!D$3:D$500)+IF($C41="",0,SUMIF('DADOS BRUTOS'!$A$3:$A$500,$C41,'DADOS BRUTOS'!D$3:D$500)))</f>
        <v/>
      </c>
      <c r="CE41" s="132">
        <f>IF(OR(CE$4="",$B41=""),0,SUMIF('DADOS BRUTOS'!$A$3:$A$500,$B41,'DADOS BRUTOS'!E$3:E$500)+IF($C41="",0,SUMIF('DADOS BRUTOS'!$A$3:$A$500,$C41,'DADOS BRUTOS'!E$3:E$500)))</f>
        <v/>
      </c>
      <c r="CF41" s="132">
        <f>IF(OR(CF$4="",$B41=""),0,SUMIF('DADOS BRUTOS'!$A$3:$A$500,$B41,'DADOS BRUTOS'!F$3:F$500)+IF($C41="",0,SUMIF('DADOS BRUTOS'!$A$3:$A$500,$C41,'DADOS BRUTOS'!F$3:F$500)))</f>
        <v/>
      </c>
      <c r="CG41" s="132">
        <f>IF(OR(CG$4="",$B41=""),0,SUMIF('DADOS BRUTOS'!$A$3:$A$500,$B41,'DADOS BRUTOS'!G$3:G$500)+IF($C41="",0,SUMIF('DADOS BRUTOS'!$A$3:$A$500,$C41,'DADOS BRUTOS'!G$3:G$500)))</f>
        <v/>
      </c>
      <c r="CH41" s="132">
        <f>IF(OR(CH$4="",$B41=""),0,SUMIF('DADOS BRUTOS'!$A$3:$A$500,$B41,'DADOS BRUTOS'!H$3:H$500)+IF($C41="",0,SUMIF('DADOS BRUTOS'!$A$3:$A$500,$C41,'DADOS BRUTOS'!H$3:H$500)))</f>
        <v/>
      </c>
      <c r="CI41" s="132">
        <f>IF(OR(CI$4="",$B41=""),0,SUMIF('DADOS BRUTOS'!$A$3:$A$500,$B41,'DADOS BRUTOS'!I$3:I$500)+IF($C41="",0,SUMIF('DADOS BRUTOS'!$A$3:$A$500,$C41,'DADOS BRUTOS'!I$3:I$500)))</f>
        <v/>
      </c>
      <c r="CJ41" s="132">
        <f>IF(OR(CJ$4="",$B41=""),0,SUMIF('DADOS BRUTOS'!$A$3:$A$500,$B41,'DADOS BRUTOS'!J$3:J$500)+IF($C41="",0,SUMIF('DADOS BRUTOS'!$A$3:$A$500,$C41,'DADOS BRUTOS'!J$3:J$500)))</f>
        <v/>
      </c>
      <c r="CK41" s="132">
        <f>IF(OR(CK$4="",$B41=""),0,SUMIF('DADOS BRUTOS'!$A$3:$A$500,$B41,'DADOS BRUTOS'!K$3:K$500)+IF($C41="",0,SUMIF('DADOS BRUTOS'!$A$3:$A$500,$C41,'DADOS BRUTOS'!K$3:K$500)))</f>
        <v/>
      </c>
      <c r="CL41" s="132">
        <f>IF(OR(CL$4="",$B41=""),0,SUMIF('DADOS BRUTOS'!$A$3:$A$500,$B41,'DADOS BRUTOS'!L$3:L$500)+IF($C41="",0,SUMIF('DADOS BRUTOS'!$A$3:$A$500,$C41,'DADOS BRUTOS'!L$3:L$500)))</f>
        <v/>
      </c>
      <c r="CM41" s="132">
        <f>IF(OR(CM$4="",$B41=""),0,SUMIF('DADOS BRUTOS'!$A$3:$A$500,$B41,'DADOS BRUTOS'!M$3:M$500)+IF($C41="",0,SUMIF('DADOS BRUTOS'!$A$3:$A$500,$C41,'DADOS BRUTOS'!M$3:M$500)))</f>
        <v/>
      </c>
      <c r="CN41" s="132">
        <f>IF(OR(CN$4="",$B41=""),0,SUMIF('DADOS BRUTOS'!$A$3:$A$500,$B41,'DADOS BRUTOS'!N$3:N$500)+IF($C41="",0,SUMIF('DADOS BRUTOS'!$A$3:$A$500,$C41,'DADOS BRUTOS'!N$3:N$500)))</f>
        <v/>
      </c>
      <c r="CO41" s="132">
        <f>IF(OR(CO$4="",$B41=""),0,SUMIF('DADOS BRUTOS'!$A$3:$A$500,$B41,'DADOS BRUTOS'!O$3:O$500)+IF($C41="",0,SUMIF('DADOS BRUTOS'!$A$3:$A$500,$C41,'DADOS BRUTOS'!O$3:O$500)))</f>
        <v/>
      </c>
      <c r="CP41" s="132">
        <f>IF(OR(CP$4="",$B41=""),0,SUMIF('DADOS BRUTOS'!$A$3:$A$500,$B41,'DADOS BRUTOS'!P$3:P$500)+IF($C41="",0,SUMIF('DADOS BRUTOS'!$A$3:$A$500,$C41,'DADOS BRUTOS'!P$3:P$500)))</f>
        <v/>
      </c>
      <c r="CQ41" s="132">
        <f>IF(OR(CQ$4="",$B41=""),0,SUMIF('DADOS BRUTOS'!$A$3:$A$500,$B41,'DADOS BRUTOS'!Q$3:Q$500)+IF($C41="",0,SUMIF('DADOS BRUTOS'!$A$3:$A$500,$C41,'DADOS BRUTOS'!Q$3:Q$500)))</f>
        <v/>
      </c>
      <c r="CR41" s="132">
        <f>IF(OR(CR$4="",$B41=""),0,SUMIF('DADOS BRUTOS'!$A$3:$A$500,$B41,'DADOS BRUTOS'!R$3:R$500)+IF($C41="",0,SUMIF('DADOS BRUTOS'!$A$3:$A$500,$C41,'DADOS BRUTOS'!R$3:R$500)))</f>
        <v/>
      </c>
      <c r="CS41" s="132">
        <f>IF(OR(CS$4="",$B41=""),0,SUMIF('DADOS BRUTOS'!$A$3:$A$500,$B41,'DADOS BRUTOS'!S$3:S$500)+IF($C41="",0,SUMIF('DADOS BRUTOS'!$A$3:$A$500,$C41,'DADOS BRUTOS'!S$3:S$500)))</f>
        <v/>
      </c>
      <c r="CT41" s="132">
        <f>IF(OR(CT$4="",$B41=""),0,SUMIF('DADOS BRUTOS'!$A$3:$A$500,$B41,'DADOS BRUTOS'!T$3:T$500)+IF($C41="",0,SUMIF('DADOS BRUTOS'!$A$3:$A$500,$C41,'DADOS BRUTOS'!T$3:T$500)))</f>
        <v/>
      </c>
      <c r="CU41" s="132">
        <f>IF(OR(CU$4="",$B41=""),0,SUMIF('DADOS BRUTOS'!$A$3:$A$500,$B41,'DADOS BRUTOS'!U$3:U$500)+IF($C41="",0,SUMIF('DADOS BRUTOS'!$A$3:$A$500,$C41,'DADOS BRUTOS'!U$3:U$500)))</f>
        <v/>
      </c>
      <c r="CV41" s="132">
        <f>IF(OR(CV$4="",$B41=""),0,SUMIF('DADOS BRUTOS'!$A$3:$A$500,$B41,'DADOS BRUTOS'!V$3:V$500)+IF($C41="",0,SUMIF('DADOS BRUTOS'!$A$3:$A$500,$C41,'DADOS BRUTOS'!V$3:V$500)))</f>
        <v/>
      </c>
      <c r="CW41" s="132">
        <f>IF(OR(CW$4="",$B41=""),0,SUMIF('DADOS BRUTOS'!$A$3:$A$500,$B41,'DADOS BRUTOS'!W$3:W$500)+IF($C41="",0,SUMIF('DADOS BRUTOS'!$A$3:$A$500,$C41,'DADOS BRUTOS'!W$3:W$500)))</f>
        <v/>
      </c>
      <c r="CX41" s="132">
        <f>IF(OR(CX$4="",$B41=""),0,SUMIF('DADOS BRUTOS'!$A$3:$A$500,$B41,'DADOS BRUTOS'!X$3:X$500)+IF($C41="",0,SUMIF('DADOS BRUTOS'!$A$3:$A$500,$C41,'DADOS BRUTOS'!X$3:X$500)))</f>
        <v/>
      </c>
      <c r="CY41" s="132">
        <f>IF(OR(CY$4="",$B41=""),0,SUMIF('DADOS BRUTOS'!$A$3:$A$500,$B41,'DADOS BRUTOS'!Y$3:Y$500)+IF($C41="",0,SUMIF('DADOS BRUTOS'!$A$3:$A$500,$C41,'DADOS BRUTOS'!Y$3:Y$500)))</f>
        <v/>
      </c>
      <c r="CZ41" s="132">
        <f>IF(OR(CZ$4="",$B41=""),0,SUMIF('DADOS BRUTOS'!$A$3:$A$500,$B41,'DADOS BRUTOS'!Z$3:Z$500)+IF($C41="",0,SUMIF('DADOS BRUTOS'!$A$3:$A$500,$C41,'DADOS BRUTOS'!Z$3:Z$500)))</f>
        <v/>
      </c>
      <c r="DA41" s="132">
        <f>IF(OR(DA$4="",$B41=""),0,SUMIF('DADOS BRUTOS'!$A$3:$A$500,$B41,'DADOS BRUTOS'!AA$3:AA$500)+IF($C41="",0,SUMIF('DADOS BRUTOS'!$A$3:$A$500,$C41,'DADOS BRUTOS'!AA$3:AA$500)))</f>
        <v/>
      </c>
      <c r="DB41" s="132">
        <f>IF(OR(DB$4="",$B41=""),0,SUMIF('DADOS BRUTOS'!$A$3:$A$500,$B41,'DADOS BRUTOS'!AB$3:AB$500)+IF($C41="",0,SUMIF('DADOS BRUTOS'!$A$3:$A$500,$C41,'DADOS BRUTOS'!AB$3:AB$500)))</f>
        <v/>
      </c>
      <c r="DC41" s="132">
        <f>IF(OR(DC$4="",$B41=""),0,SUMIF('DADOS BRUTOS'!$A$3:$A$500,$B41,'DADOS BRUTOS'!AC$3:AC$500)+IF($C41="",0,SUMIF('DADOS BRUTOS'!$A$3:$A$500,$C41,'DADOS BRUTOS'!AC$3:AC$500)))</f>
        <v/>
      </c>
      <c r="DD41" s="132">
        <f>IF(OR(DD$4="",$B41=""),0,SUMIF('DADOS BRUTOS'!$A$3:$A$500,$B41,'DADOS BRUTOS'!AD$3:AD$500)+IF($C41="",0,SUMIF('DADOS BRUTOS'!$A$3:$A$500,$C41,'DADOS BRUTOS'!AD$3:AD$500)))</f>
        <v/>
      </c>
      <c r="DE41" s="132">
        <f>IF(OR(DE$4="",$B41=""),0,SUMIF('DADOS BRUTOS'!$A$3:$A$500,$B41,'DADOS BRUTOS'!AE$3:AE$500)+IF($C41="",0,SUMIF('DADOS BRUTOS'!$A$3:$A$500,$C41,'DADOS BRUTOS'!AE$3:AE$500)))</f>
        <v/>
      </c>
      <c r="DF41" s="132">
        <f>IF(OR(DF$4="",$B41=""),0,SUMIF('DADOS BRUTOS'!$A$3:$A$500,$B41,'DADOS BRUTOS'!AF$3:AF$500)+IF($C41="",0,SUMIF('DADOS BRUTOS'!$A$3:$A$500,$C41,'DADOS BRUTOS'!AF$3:AF$500)))</f>
        <v/>
      </c>
      <c r="DG41" s="132">
        <f>IF(OR(DG$4="",$B41=""),0,SUMIF('DADOS BRUTOS'!$A$3:$A$500,$B41,'DADOS BRUTOS'!AG$3:AG$500)+IF($C41="",0,SUMIF('DADOS BRUTOS'!$A$3:$A$500,$C41,'DADOS BRUTOS'!AG$3:AG$500)))</f>
        <v/>
      </c>
      <c r="DH41" s="132">
        <f>IF(OR(DH$4="",$B41=""),0,SUMIF('DADOS BRUTOS'!$A$3:$A$500,$B41,'DADOS BRUTOS'!AH$3:AH$500)+IF($C41="",0,SUMIF('DADOS BRUTOS'!$A$3:$A$500,$C41,'DADOS BRUTOS'!AH$3:AH$500)))</f>
        <v/>
      </c>
      <c r="DI41" s="132">
        <f>IF(OR(DI$4="",$B41=""),0,SUMIF('DADOS BRUTOS'!$A$3:$A$500,$B41,'DADOS BRUTOS'!AI$3:AI$500)+IF($C41="",0,SUMIF('DADOS BRUTOS'!$A$3:$A$500,$C41,'DADOS BRUTOS'!AI$3:AI$500)))</f>
        <v/>
      </c>
      <c r="DJ41" s="132">
        <f>IF(OR(DJ$4="",$B41=""),0,SUMIF('DADOS BRUTOS'!$A$3:$A$500,$B41,'DADOS BRUTOS'!AJ$3:AJ$500)+IF($C41="",0,SUMIF('DADOS BRUTOS'!$A$3:$A$500,$C41,'DADOS BRUTOS'!AJ$3:AJ$500)))</f>
        <v/>
      </c>
      <c r="DK41" s="132">
        <f>IF(OR(DK$4="",$B41=""),0,SUMIF('DADOS BRUTOS'!$A$3:$A$500,$B41,'DADOS BRUTOS'!AK$3:AK$500)+IF($C41="",0,SUMIF('DADOS BRUTOS'!$A$3:$A$500,$C41,'DADOS BRUTOS'!AK$3:AK$500)))</f>
        <v/>
      </c>
      <c r="DL41" s="132">
        <f>IF(OR(DL$4="",$B41=""),0,SUMIF('DADOS BRUTOS'!$A$3:$A$500,$B41,'DADOS BRUTOS'!AL$3:AL$500)+IF($C41="",0,SUMIF('DADOS BRUTOS'!$A$3:$A$500,$C41,'DADOS BRUTOS'!AL$3:AL$500)))</f>
        <v/>
      </c>
      <c r="DM41" s="132">
        <f>IF(OR(DM$4="",$B41=""),0,SUMIF('DADOS BRUTOS'!$A$3:$A$500,$B41,'DADOS BRUTOS'!AM$3:AM$500)+IF($C41="",0,SUMIF('DADOS BRUTOS'!$A$3:$A$500,$C41,'DADOS BRUTOS'!AM$3:AM$500)))</f>
        <v/>
      </c>
      <c r="DN41" s="132">
        <f>IF(OR(DN$4="",$B41=""),0,SUMIF('DADOS BRUTOS'!$A$3:$A$500,$B41,'DADOS BRUTOS'!AN$3:AN$500)+IF($C41="",0,SUMIF('DADOS BRUTOS'!$A$3:$A$500,$C41,'DADOS BRUTOS'!AN$3:AN$500)))</f>
        <v/>
      </c>
      <c r="DO41" s="132">
        <f>IF(OR(DO$4="",$B41=""),0,SUMIF('DADOS BRUTOS'!$A$3:$A$500,$B41,'DADOS BRUTOS'!AO$3:AO$500)+IF($C41="",0,SUMIF('DADOS BRUTOS'!$A$3:$A$500,$C41,'DADOS BRUTOS'!AO$3:AO$500)))</f>
        <v/>
      </c>
      <c r="DP41" s="132">
        <f>IF(OR(DP$4="",$B41=""),0,SUMIF('DADOS BRUTOS'!$A$3:$A$500,$B41,'DADOS BRUTOS'!AP$3:AP$500)+IF($C41="",0,SUMIF('DADOS BRUTOS'!$A$3:$A$500,$C41,'DADOS BRUTOS'!AP$3:AP$500)))</f>
        <v/>
      </c>
      <c r="DQ41" s="132">
        <f>IF(OR(DQ$4="",$B41=""),0,SUMIF('DADOS BRUTOS'!$A$3:$A$500,$B41,'DADOS BRUTOS'!AQ$3:AQ$500)+IF($C41="",0,SUMIF('DADOS BRUTOS'!$A$3:$A$500,$C41,'DADOS BRUTOS'!AQ$3:AQ$500)))</f>
        <v/>
      </c>
      <c r="DR41" s="132">
        <f>IF(OR(DR$4="",$B41=""),0,SUMIF('DADOS BRUTOS'!$A$3:$A$500,$B41,'DADOS BRUTOS'!AR$3:AR$500)+IF($C41="",0,SUMIF('DADOS BRUTOS'!$A$3:$A$500,$C41,'DADOS BRUTOS'!AR$3:AR$500)))</f>
        <v/>
      </c>
      <c r="DS41" s="132">
        <f>IF(OR(DS$4="",$B41=""),0,SUMIF('DADOS BRUTOS'!$A$3:$A$500,$B41,'DADOS BRUTOS'!AS$3:AS$500)+IF($C41="",0,SUMIF('DADOS BRUTOS'!$A$3:$A$500,$C41,'DADOS BRUTOS'!AS$3:AS$500)))</f>
        <v/>
      </c>
      <c r="DT41" s="132">
        <f>IF(OR(DT$4="",$B41=""),0,SUMIF('DADOS BRUTOS'!$A$3:$A$500,$B41,'DADOS BRUTOS'!AT$3:AT$500)+IF($C41="",0,SUMIF('DADOS BRUTOS'!$A$3:$A$500,$C41,'DADOS BRUTOS'!AT$3:AT$500)))</f>
        <v/>
      </c>
      <c r="DU41" s="132">
        <f>IF(OR(DU$4="",$B41=""),0,SUMIF('DADOS BRUTOS'!$A$3:$A$500,$B41,'DADOS BRUTOS'!AU$3:AU$500)+IF($C41="",0,SUMIF('DADOS BRUTOS'!$A$3:$A$500,$C41,'DADOS BRUTOS'!AU$3:AU$500)))</f>
        <v/>
      </c>
      <c r="DV41" s="132">
        <f>IF(OR(DV$4="",$B41=""),0,SUMIF('DADOS BRUTOS'!$A$3:$A$500,$B41,'DADOS BRUTOS'!AV$3:AV$500)+IF($C41="",0,SUMIF('DADOS BRUTOS'!$A$3:$A$500,$C41,'DADOS BRUTOS'!AV$3:AV$500)))</f>
        <v/>
      </c>
      <c r="DW41" s="132">
        <f>IF(OR(DW$4="",$B41=""),0,SUMIF('DADOS BRUTOS'!$A$3:$A$500,$B41,'DADOS BRUTOS'!AW$3:AW$500)+IF($C41="",0,SUMIF('DADOS BRUTOS'!$A$3:$A$500,$C41,'DADOS BRUTOS'!AW$3:AW$500)))</f>
        <v/>
      </c>
      <c r="DX41" s="132">
        <f>IF(OR(DX$4="",$B41=""),0,SUMIF('DADOS BRUTOS'!$A$3:$A$500,$B41,'DADOS BRUTOS'!AX$3:AX$500)+IF($C41="",0,SUMIF('DADOS BRUTOS'!$A$3:$A$500,$C41,'DADOS BRUTOS'!AX$3:AX$500)))</f>
        <v/>
      </c>
      <c r="DY41" s="132">
        <f>IF(OR(DY$4="",$B41=""),0,SUMIF('DADOS BRUTOS'!$A$3:$A$500,$B41,'DADOS BRUTOS'!AY$3:AY$500)+IF($C41="",0,SUMIF('DADOS BRUTOS'!$A$3:$A$500,$C41,'DADOS BRUTOS'!AY$3:AY$500)))</f>
        <v/>
      </c>
      <c r="DZ41" s="132">
        <f>IF(OR(DZ$4="",$B41=""),0,SUMIF('DADOS BRUTOS'!$A$3:$A$500,$B41,'DADOS BRUTOS'!AZ$3:AZ$500)+IF($C41="",0,SUMIF('DADOS BRUTOS'!$A$3:$A$500,$C41,'DADOS BRUTOS'!AZ$3:AZ$500)))</f>
        <v/>
      </c>
      <c r="EA41" s="132">
        <f>IF(OR(EA$4="",$B41=""),0,SUMIF('DADOS BRUTOS'!$A$3:$A$500,$B41,'DADOS BRUTOS'!BA$3:BA$500)+IF($C41="",0,SUMIF('DADOS BRUTOS'!$A$3:$A$500,$C41,'DADOS BRUTOS'!BA$3:BA$500)))</f>
        <v/>
      </c>
      <c r="EB41" s="132">
        <f>IF(OR(EB$4="",$B41=""),0,SUMIF('DADOS BRUTOS'!$A$3:$A$500,$B41,'DADOS BRUTOS'!BB$3:BB$500)+IF($C41="",0,SUMIF('DADOS BRUTOS'!$A$3:$A$500,$C41,'DADOS BRUTOS'!BB$3:BB$500)))</f>
        <v/>
      </c>
      <c r="EC41" s="132">
        <f>IF(OR(EC$4="",$B41=""),0,SUMIF('DADOS BRUTOS'!$A$3:$A$500,$B41,'DADOS BRUTOS'!BC$3:BC$500)+IF($C41="",0,SUMIF('DADOS BRUTOS'!$A$3:$A$500,$C41,'DADOS BRUTOS'!BC$3:BC$500)))</f>
        <v/>
      </c>
      <c r="ED41" s="132">
        <f>IF(OR(ED$4="",$B41=""),0,SUMIF('DADOS BRUTOS'!$A$3:$A$500,$B41,'DADOS BRUTOS'!BD$3:BD$500)+IF($C41="",0,SUMIF('DADOS BRUTOS'!$A$3:$A$500,$C41,'DADOS BRUTOS'!BD$3:BD$500)))</f>
        <v/>
      </c>
      <c r="EE41" s="132">
        <f>IF(OR(EE$4="",$B41=""),0,SUMIF('DADOS BRUTOS'!$A$3:$A$500,$B41,'DADOS BRUTOS'!BE$3:BE$500)+IF($C41="",0,SUMIF('DADOS BRUTOS'!$A$3:$A$500,$C41,'DADOS BRUTOS'!BE$3:BE$500)))</f>
        <v/>
      </c>
      <c r="EF41" s="132">
        <f>IF(OR(EF$4="",$B41=""),0,SUMIF('DADOS BRUTOS'!$A$3:$A$500,$B41,'DADOS BRUTOS'!BF$3:BF$500)+IF($C41="",0,SUMIF('DADOS BRUTOS'!$A$3:$A$500,$C41,'DADOS BRUTOS'!BF$3:BF$500)))</f>
        <v/>
      </c>
      <c r="EG41" s="132">
        <f>IF(OR(EG$4="",$B41=""),0,SUMIF('DADOS BRUTOS'!$A$3:$A$500,$B41,'DADOS BRUTOS'!BG$3:BG$500)+IF($C41="",0,SUMIF('DADOS BRUTOS'!$A$3:$A$500,$C41,'DADOS BRUTOS'!BG$3:BG$500)))</f>
        <v/>
      </c>
      <c r="EH41" s="132">
        <f>IF(OR(EH$4="",$B41=""),0,SUMIF('DADOS BRUTOS'!$A$3:$A$500,$B41,'DADOS BRUTOS'!BH$3:BH$500)+IF($C41="",0,SUMIF('DADOS BRUTOS'!$A$3:$A$500,$C41,'DADOS BRUTOS'!BH$3:BH$500)))</f>
        <v/>
      </c>
      <c r="EI41" s="132">
        <f>IF(OR(EI$4="",$B41=""),0,SUMIF('DADOS BRUTOS'!$A$3:$A$500,$B41,'DADOS BRUTOS'!BI$3:BI$500)+IF($C41="",0,SUMIF('DADOS BRUTOS'!$A$3:$A$500,$C41,'DADOS BRUTOS'!BI$3:BI$500)))</f>
        <v/>
      </c>
      <c r="EJ41" s="132">
        <f>IF(OR(EJ$4="",$B41=""),0,SUMIF('DADOS BRUTOS'!$A$3:$A$500,$B41,'DADOS BRUTOS'!BJ$3:BJ$500)+IF($C41="",0,SUMIF('DADOS BRUTOS'!$A$3:$A$500,$C41,'DADOS BRUTOS'!BJ$3:BJ$500)))</f>
        <v/>
      </c>
      <c r="EK41" s="132">
        <f>IF(OR(EK$4="",$B41=""),0,SUMIF('DADOS BRUTOS'!$A$3:$A$500,$B41,'DADOS BRUTOS'!BK$3:BK$500)+IF($C41="",0,SUMIF('DADOS BRUTOS'!$A$3:$A$500,$C41,'DADOS BRUTOS'!BK$3:BK$500)))</f>
        <v/>
      </c>
      <c r="EL41" s="132">
        <f>IF(OR(EL$4="",$B41=""),0,SUMIF('DADOS BRUTOS'!$A$3:$A$500,$B41,'DADOS BRUTOS'!BL$3:BL$500)+IF($C41="",0,SUMIF('DADOS BRUTOS'!$A$3:$A$500,$C41,'DADOS BRUTOS'!BL$3:BL$500)))</f>
        <v/>
      </c>
      <c r="EM41" s="132">
        <f>IF(OR(EM$4="",$B41=""),0,SUMIF('DADOS BRUTOS'!$A$3:$A$500,$B41,'DADOS BRUTOS'!BM$3:BM$500)+IF($C41="",0,SUMIF('DADOS BRUTOS'!$A$3:$A$500,$C41,'DADOS BRUTOS'!BM$3:BM$500)))</f>
        <v/>
      </c>
      <c r="EN41" s="132">
        <f>IF(OR(EN$4="",$B41=""),0,SUMIF('DADOS BRUTOS'!$A$3:$A$500,$B41,'DADOS BRUTOS'!BN$3:BN$500)+IF($C41="",0,SUMIF('DADOS BRUTOS'!$A$3:$A$500,$C41,'DADOS BRUTOS'!BN$3:BN$500)))</f>
        <v/>
      </c>
      <c r="EO41" s="132">
        <f>IF(OR(EO$4="",$B41=""),0,SUMIF('DADOS BRUTOS'!$A$3:$A$500,$B41,'DADOS BRUTOS'!BO$3:BO$500)+IF($C41="",0,SUMIF('DADOS BRUTOS'!$A$3:$A$500,$C41,'DADOS BRUTOS'!BO$3:BO$500)))</f>
        <v/>
      </c>
      <c r="EP41" s="132">
        <f>IF(OR(EP$4="",$B41=""),0,SUMIF('DADOS BRUTOS'!$A$3:$A$500,$B41,'DADOS BRUTOS'!BP$3:BP$500)+IF($C41="",0,SUMIF('DADOS BRUTOS'!$A$3:$A$500,$C41,'DADOS BRUTOS'!BP$3:BP$500)))</f>
        <v/>
      </c>
      <c r="EQ41" s="132">
        <f>IF(OR(EQ$4="",$B41=""),0,SUMIF('DADOS BRUTOS'!$A$3:$A$500,$B41,'DADOS BRUTOS'!BQ$3:BQ$500)+IF($C41="",0,SUMIF('DADOS BRUTOS'!$A$3:$A$500,$C41,'DADOS BRUTOS'!BQ$3:BQ$500)))</f>
        <v/>
      </c>
      <c r="ER41" s="132">
        <f>IF(OR(ER$4="",$B41=""),0,SUMIF('DADOS BRUTOS'!$A$3:$A$500,$B41,'DADOS BRUTOS'!BR$3:BR$500)+IF($C41="",0,SUMIF('DADOS BRUTOS'!$A$3:$A$500,$C41,'DADOS BRUTOS'!BR$3:BR$500)))</f>
        <v/>
      </c>
      <c r="ES41" s="132">
        <f>IF(OR(ES$4="",$B41=""),0,SUMIF('DADOS BRUTOS'!$A$3:$A$500,$B41,'DADOS BRUTOS'!BS$3:BS$500)+IF($C41="",0,SUMIF('DADOS BRUTOS'!$A$3:$A$500,$C41,'DADOS BRUTOS'!BS$3:BS$500)))</f>
        <v/>
      </c>
      <c r="ET41" s="132">
        <f>IF(OR(ET$4="",$B41=""),0,SUMIF('DADOS BRUTOS'!$A$3:$A$500,$B41,'DADOS BRUTOS'!BT$3:BT$500)+IF($C41="",0,SUMIF('DADOS BRUTOS'!$A$3:$A$500,$C41,'DADOS BRUTOS'!BT$3:BT$500)))</f>
        <v/>
      </c>
      <c r="EU41" s="132">
        <f>IF(OR(EU$4="",$B41=""),0,SUMIF('DADOS BRUTOS'!$A$3:$A$500,$B41,'DADOS BRUTOS'!BU$3:BU$500)+IF($C41="",0,SUMIF('DADOS BRUTOS'!$A$3:$A$500,$C41,'DADOS BRUTOS'!BU$3:BU$500)))</f>
        <v/>
      </c>
      <c r="EV41" s="132">
        <f>IF(OR(EV$4="",$B41=""),0,SUMIF('DADOS BRUTOS'!$A$3:$A$500,$B41,'DADOS BRUTOS'!BV$3:BV$500)+IF($C41="",0,SUMIF('DADOS BRUTOS'!$A$3:$A$500,$C41,'DADOS BRUTOS'!BV$3:BV$500)))</f>
        <v/>
      </c>
      <c r="EW41" s="132">
        <f>IF(OR(EW$4="",$B41=""),0,SUMIF('DADOS BRUTOS'!$A$3:$A$500,$B41,'DADOS BRUTOS'!BW$3:BW$500)+IF($C41="",0,SUMIF('DADOS BRUTOS'!$A$3:$A$500,$C41,'DADOS BRUTOS'!BW$3:BW$500)))</f>
        <v/>
      </c>
      <c r="EX41" s="132">
        <f>IF(OR(EX$4="",$B41=""),0,SUMIF('DADOS BRUTOS'!$A$3:$A$500,$B41,'DADOS BRUTOS'!BX$3:BX$500)+IF($C41="",0,SUMIF('DADOS BRUTOS'!$A$3:$A$500,$C41,'DADOS BRUTOS'!BX$3:BX$500)))</f>
        <v/>
      </c>
      <c r="EY41" s="132">
        <f>IF(OR(EY$4="",$B41=""),0,SUMIF('DADOS BRUTOS'!$A$3:$A$500,$B41,'DADOS BRUTOS'!BY$3:BY$500)+IF($C41="",0,SUMIF('DADOS BRUTOS'!$A$3:$A$500,$C41,'DADOS BRUTOS'!BY$3:BY$500)))</f>
        <v/>
      </c>
      <c r="EZ41" s="132">
        <f>IF(OR(EZ$4="",$B41=""),0,SUMIF('DADOS BRUTOS'!$A$3:$A$500,$B41,'DADOS BRUTOS'!BZ$3:BZ$500)+IF($C41="",0,SUMIF('DADOS BRUTOS'!$A$3:$A$500,$C41,'DADOS BRUTOS'!BZ$3:BZ$500)))</f>
        <v/>
      </c>
      <c r="FA41" s="132">
        <f>IF(OR(FA$4="",$B41=""),0,SUMIF('DADOS BRUTOS'!$A$3:$A$500,$B41,'DADOS BRUTOS'!CA$3:CA$500)+IF($C41="",0,SUMIF('DADOS BRUTOS'!$A$3:$A$500,$C41,'DADOS BRUTOS'!CA$3:CA$500)))</f>
        <v/>
      </c>
      <c r="FB41" s="132">
        <f>IF(OR(FB$4="",$B41=""),0,SUMIF('DADOS BRUTOS'!$A$3:$A$500,$B41,'DADOS BRUTOS'!CB$3:CB$500)+IF($C41="",0,SUMIF('DADOS BRUTOS'!$A$3:$A$500,$C41,'DADOS BRUTOS'!CB$3:CB$500)))</f>
        <v/>
      </c>
      <c r="FC41" s="132">
        <f>IF(OR(FC$4="",$B41=""),0,SUMIF('DADOS BRUTOS'!$A$3:$A$500,$B41,'DADOS BRUTOS'!CC$3:CC$500)+IF($C41="",0,SUMIF('DADOS BRUTOS'!$A$3:$A$500,$C41,'DADOS BRUTOS'!CC$3:CC$500)))</f>
        <v/>
      </c>
      <c r="FD41" s="132">
        <f>IF(OR(FD$4="",$B41=""),0,SUMIF('DADOS BRUTOS'!$A$3:$A$500,$B41,'DADOS BRUTOS'!CD$3:CD$500)+IF($C41="",0,SUMIF('DADOS BRUTOS'!$A$3:$A$500,$C41,'DADOS BRUTOS'!CD$3:CD$500)))</f>
        <v/>
      </c>
      <c r="FE41" s="132">
        <f>IF(OR(FE$4="",$B41=""),0,SUMIF('DADOS BRUTOS'!$A$3:$A$500,$B41,'DADOS BRUTOS'!CE$3:CE$500)+IF($C41="",0,SUMIF('DADOS BRUTOS'!$A$3:$A$500,$C41,'DADOS BRUTOS'!CE$3:CE$500)))</f>
        <v/>
      </c>
      <c r="FF41" s="132">
        <f>IF(OR(FF$4="",$B41=""),0,SUMIF('DADOS BRUTOS'!$A$3:$A$500,$B41,'DADOS BRUTOS'!CF$3:CF$500)+IF($C41="",0,SUMIF('DADOS BRUTOS'!$A$3:$A$500,$C41,'DADOS BRUTOS'!CF$3:CF$500)))</f>
        <v/>
      </c>
      <c r="FG41" s="132">
        <f>IF(OR(FG$4="",$B41=""),0,SUMIF('DADOS BRUTOS'!$A$3:$A$500,$B41,'DADOS BRUTOS'!CG$3:CG$500)+IF($C41="",0,SUMIF('DADOS BRUTOS'!$A$3:$A$500,$C41,'DADOS BRUTOS'!CG$3:CG$500)))</f>
        <v/>
      </c>
      <c r="FH41" s="132">
        <f>IF(OR(FH$4="",$B41=""),0,SUMIF('DADOS BRUTOS'!$A$3:$A$500,$B41,'DADOS BRUTOS'!CH$3:CH$500)+IF($C41="",0,SUMIF('DADOS BRUTOS'!$A$3:$A$500,$C41,'DADOS BRUTOS'!CH$3:CH$500)))</f>
        <v/>
      </c>
      <c r="FI41" s="132">
        <f>IF(OR(FI$4="",$B41=""),0,SUMIF('DADOS BRUTOS'!$A$3:$A$500,$B41,'DADOS BRUTOS'!CI$3:CI$500)+IF($C41="",0,SUMIF('DADOS BRUTOS'!$A$3:$A$500,$C41,'DADOS BRUTOS'!CI$3:CI$500)))</f>
        <v/>
      </c>
      <c r="FJ41" s="132">
        <f>IF(OR(FJ$4="",$B41=""),0,SUMIF('DADOS BRUTOS'!$A$3:$A$500,$B41,'DADOS BRUTOS'!CJ$3:CJ$500)+IF($C41="",0,SUMIF('DADOS BRUTOS'!$A$3:$A$500,$C41,'DADOS BRUTOS'!CJ$3:CJ$500)))</f>
        <v/>
      </c>
      <c r="FK41" s="132">
        <f>IF(OR(FK$4="",$B41=""),0,SUMIF('DADOS BRUTOS'!$A$3:$A$500,$B41,'DADOS BRUTOS'!CK$3:CK$500)+IF($C41="",0,SUMIF('DADOS BRUTOS'!$A$3:$A$500,$C41,'DADOS BRUTOS'!CK$3:CK$500)))</f>
        <v/>
      </c>
      <c r="FL41" s="132">
        <f>IF(OR(FL$4="",$B41=""),0,SUMIF('DADOS BRUTOS'!$A$3:$A$500,$B41,'DADOS BRUTOS'!CL$3:CL$500)+IF($C41="",0,SUMIF('DADOS BRUTOS'!$A$3:$A$500,$C41,'DADOS BRUTOS'!CL$3:CL$500)))</f>
        <v/>
      </c>
      <c r="FM41" s="132">
        <f>IF(OR(FM$4="",$B41=""),0,SUMIF('DADOS BRUTOS'!$A$3:$A$500,$B41,'DADOS BRUTOS'!CM$3:CM$500)+IF($C41="",0,SUMIF('DADOS BRUTOS'!$A$3:$A$500,$C41,'DADOS BRUTOS'!CM$3:CM$500)))</f>
        <v/>
      </c>
      <c r="FN41" s="132">
        <f>IF(OR(FN$4="",$B41=""),0,SUMIF('DADOS BRUTOS'!$A$3:$A$500,$B41,'DADOS BRUTOS'!CN$3:CN$500)+IF($C41="",0,SUMIF('DADOS BRUTOS'!$A$3:$A$500,$C41,'DADOS BRUTOS'!CN$3:CN$500)))</f>
        <v/>
      </c>
      <c r="FO41" s="132">
        <f>IF(OR(FO$4="",$B41=""),0,SUMIF('DADOS BRUTOS'!$A$3:$A$500,$B41,'DADOS BRUTOS'!CO$3:CO$500)+IF($C41="",0,SUMIF('DADOS BRUTOS'!$A$3:$A$500,$C41,'DADOS BRUTOS'!CO$3:CO$500)))</f>
        <v/>
      </c>
      <c r="FP41" s="132">
        <f>IF(OR(FP$4="",$B41=""),0,SUMIF('DADOS BRUTOS'!$A$3:$A$500,$B41,'DADOS BRUTOS'!CP$3:CP$500)+IF($C41="",0,SUMIF('DADOS BRUTOS'!$A$3:$A$500,$C41,'DADOS BRUTOS'!CP$3:CP$500)))</f>
        <v/>
      </c>
      <c r="FQ41" s="132">
        <f>IF(OR(FQ$4="",$B41=""),0,SUMIF('DADOS BRUTOS'!$A$3:$A$500,$B41,'DADOS BRUTOS'!CQ$3:CQ$500)+IF($C41="",0,SUMIF('DADOS BRUTOS'!$A$3:$A$500,$C41,'DADOS BRUTOS'!CQ$3:CQ$500)))</f>
        <v/>
      </c>
      <c r="FR41" s="132">
        <f>IF(OR(FR$4="",$B41=""),0,SUMIF('DADOS BRUTOS'!$A$3:$A$500,$B41,'DADOS BRUTOS'!CR$3:CR$500)+IF($C41="",0,SUMIF('DADOS BRUTOS'!$A$3:$A$500,$C41,'DADOS BRUTOS'!CR$3:CR$500)))</f>
        <v/>
      </c>
      <c r="FS41" s="132">
        <f>IF(OR(FS$4="",$B41=""),0,SUMIF('DADOS BRUTOS'!$A$3:$A$500,$B41,'DADOS BRUTOS'!CS$3:CS$500)+IF($C41="",0,SUMIF('DADOS BRUTOS'!$A$3:$A$500,$C41,'DADOS BRUTOS'!CS$3:CS$500)))</f>
        <v/>
      </c>
      <c r="FT41" s="132">
        <f>IF(OR(FT$4="",$B41=""),0,SUMIF('DADOS BRUTOS'!$A$3:$A$500,$B41,'DADOS BRUTOS'!CT$3:CT$500)+IF($C41="",0,SUMIF('DADOS BRUTOS'!$A$3:$A$500,$C41,'DADOS BRUTOS'!CT$3:CT$500)))</f>
        <v/>
      </c>
      <c r="FU41" s="132">
        <f>IF(OR(FU$4="",$B41=""),0,SUMIF('DADOS BRUTOS'!$A$3:$A$500,$B41,'DADOS BRUTOS'!CU$3:CU$500)+IF($C41="",0,SUMIF('DADOS BRUTOS'!$A$3:$A$500,$C41,'DADOS BRUTOS'!CU$3:CU$500)))</f>
        <v/>
      </c>
      <c r="FV41" s="132">
        <f>IF(OR(FV$4="",$B41=""),0,SUMIF('DADOS BRUTOS'!$A$3:$A$500,$B41,'DADOS BRUTOS'!CV$3:CV$500)+IF($C41="",0,SUMIF('DADOS BRUTOS'!$A$3:$A$500,$C41,'DADOS BRUTOS'!CV$3:CV$500)))</f>
        <v/>
      </c>
      <c r="FW41" s="132">
        <f>IF(OR(FW$4="",$B41=""),0,SUMIF('DADOS BRUTOS'!$A$3:$A$500,$B41,'DADOS BRUTOS'!CW$3:CW$500)+IF($C41="",0,SUMIF('DADOS BRUTOS'!$A$3:$A$500,$C41,'DADOS BRUTOS'!CW$3:CW$500)))</f>
        <v/>
      </c>
      <c r="FX41" s="132">
        <f>IF(OR(FX$4="",$B41=""),0,SUMIF('DADOS BRUTOS'!$A$3:$A$500,$B41,'DADOS BRUTOS'!CX$3:CX$500)+IF($C41="",0,SUMIF('DADOS BRUTOS'!$A$3:$A$500,$C41,'DADOS BRUTOS'!CX$3:CX$500)))</f>
        <v/>
      </c>
      <c r="FY41" s="132">
        <f>IF(OR(FY$4="",$B41=""),0,SUMIF('DADOS BRUTOS'!$A$3:$A$500,$B41,'DADOS BRUTOS'!CY$3:CY$500)+IF($C41="",0,SUMIF('DADOS BRUTOS'!$A$3:$A$500,$C41,'DADOS BRUTOS'!CY$3:CY$500)))</f>
        <v/>
      </c>
      <c r="FZ41" s="132">
        <f>IF(OR(FZ$4="",$B41=""),0,SUMIF('DADOS BRUTOS'!$A$3:$A$500,$B41,'DADOS BRUTOS'!CZ$3:CZ$500)+IF($C41="",0,SUMIF('DADOS BRUTOS'!$A$3:$A$500,$C41,'DADOS BRUTOS'!CZ$3:CZ$500)))</f>
        <v/>
      </c>
      <c r="GA41" s="132">
        <f>IF(OR(GA$4="",$B41=""),0,SUMIF('DADOS BRUTOS'!$A$3:$A$500,$B41,'DADOS BRUTOS'!DA$3:DA$500)+IF($C41="",0,SUMIF('DADOS BRUTOS'!$A$3:$A$500,$C41,'DADOS BRUTOS'!DA$3:DA$500)))</f>
        <v/>
      </c>
      <c r="GB41" s="132">
        <f>IF(OR(GB$4="",$B41=""),0,SUMIF('DADOS BRUTOS'!$A$3:$A$500,$B41,'DADOS BRUTOS'!DB$3:DB$500)+IF($C41="",0,SUMIF('DADOS BRUTOS'!$A$3:$A$500,$C41,'DADOS BRUTOS'!DB$3:DB$500)))</f>
        <v/>
      </c>
      <c r="GC41" s="132">
        <f>IF(OR(GC$4="",$B41=""),0,SUMIF('DADOS BRUTOS'!$A$3:$A$500,$B41,'DADOS BRUTOS'!DC$3:DC$500)+IF($C41="",0,SUMIF('DADOS BRUTOS'!$A$3:$A$500,$C41,'DADOS BRUTOS'!DC$3:DC$500)))</f>
        <v/>
      </c>
      <c r="GD41" s="132">
        <f>IF(OR(GD$4="",$B41=""),0,SUMIF('DADOS BRUTOS'!$A$3:$A$500,$B41,'DADOS BRUTOS'!DD$3:DD$500)+IF($C41="",0,SUMIF('DADOS BRUTOS'!$A$3:$A$500,$C41,'DADOS BRUTOS'!DD$3:DD$500)))</f>
        <v/>
      </c>
      <c r="GE41" s="132">
        <f>IF(OR(GE$4="",$B41=""),0,SUMIF('DADOS BRUTOS'!$A$3:$A$500,$B41,'DADOS BRUTOS'!DE$3:DE$500)+IF($C41="",0,SUMIF('DADOS BRUTOS'!$A$3:$A$500,$C41,'DADOS BRUTOS'!DE$3:DE$500)))</f>
        <v/>
      </c>
      <c r="GF41" s="132">
        <f>IF(OR(GF$4="",$B41=""),0,SUMIF('DADOS BRUTOS'!$A$3:$A$500,$B41,'DADOS BRUTOS'!DF$3:DF$500)+IF($C41="",0,SUMIF('DADOS BRUTOS'!$A$3:$A$500,$C41,'DADOS BRUTOS'!DF$3:DF$500)))</f>
        <v/>
      </c>
      <c r="GG41" s="132">
        <f>IF(OR(GG$4="",$B41=""),0,SUMIF('DADOS BRUTOS'!$A$3:$A$500,$B41,'DADOS BRUTOS'!DG$3:DG$500)+IF($C41="",0,SUMIF('DADOS BRUTOS'!$A$3:$A$500,$C41,'DADOS BRUTOS'!DG$3:DG$500)))</f>
        <v/>
      </c>
      <c r="GH41" s="132">
        <f>IF(OR(GH$4="",$B41=""),0,SUMIF('DADOS BRUTOS'!$A$3:$A$500,$B41,'DADOS BRUTOS'!DH$3:DH$500)+IF($C41="",0,SUMIF('DADOS BRUTOS'!$A$3:$A$500,$C41,'DADOS BRUTOS'!DH$3:DH$500)))</f>
        <v/>
      </c>
      <c r="GI41" s="132">
        <f>IF(OR(GI$4="",$B41=""),0,SUMIF('DADOS BRUTOS'!$A$3:$A$500,$B41,'DADOS BRUTOS'!DI$3:DI$500)+IF($C41="",0,SUMIF('DADOS BRUTOS'!$A$3:$A$500,$C41,'DADOS BRUTOS'!DI$3:DI$500)))</f>
        <v/>
      </c>
      <c r="GJ41" s="132">
        <f>IF(OR(GJ$4="",$B41=""),0,SUMIF('DADOS BRUTOS'!$A$3:$A$500,$B41,'DADOS BRUTOS'!DJ$3:DJ$500)+IF($C41="",0,SUMIF('DADOS BRUTOS'!$A$3:$A$500,$C41,'DADOS BRUTOS'!DJ$3:DJ$500)))</f>
        <v/>
      </c>
      <c r="GK41" s="132">
        <f>IF(OR(GK$4="",$B41=""),0,SUMIF('DADOS BRUTOS'!$A$3:$A$500,$B41,'DADOS BRUTOS'!DK$3:DK$500)+IF($C41="",0,SUMIF('DADOS BRUTOS'!$A$3:$A$500,$C41,'DADOS BRUTOS'!DK$3:DK$500)))</f>
        <v/>
      </c>
      <c r="GL41" s="132">
        <f>IF(OR(GL$4="",$B41=""),0,SUMIF('DADOS BRUTOS'!$A$3:$A$500,$B41,'DADOS BRUTOS'!DL$3:DL$500)+IF($C41="",0,SUMIF('DADOS BRUTOS'!$A$3:$A$500,$C41,'DADOS BRUTOS'!DL$3:DL$500)))</f>
        <v/>
      </c>
      <c r="GM41" s="132">
        <f>IF(OR(GM$4="",$B41=""),0,SUMIF('DADOS BRUTOS'!$A$3:$A$500,$B41,'DADOS BRUTOS'!DM$3:DM$500)+IF($C41="",0,SUMIF('DADOS BRUTOS'!$A$3:$A$500,$C41,'DADOS BRUTOS'!DM$3:DM$500)))</f>
        <v/>
      </c>
      <c r="GN41" s="132">
        <f>IF(OR(GN$4="",$B41=""),0,SUMIF('DADOS BRUTOS'!$A$3:$A$500,$B41,'DADOS BRUTOS'!DN$3:DN$500)+IF($C41="",0,SUMIF('DADOS BRUTOS'!$A$3:$A$500,$C41,'DADOS BRUTOS'!DN$3:DN$500)))</f>
        <v/>
      </c>
      <c r="GO41" s="132">
        <f>IF(OR(GO$4="",$B41=""),0,SUMIF('DADOS BRUTOS'!$A$3:$A$500,$B41,'DADOS BRUTOS'!DO$3:DO$500)+IF($C41="",0,SUMIF('DADOS BRUTOS'!$A$3:$A$500,$C41,'DADOS BRUTOS'!DO$3:DO$500)))</f>
        <v/>
      </c>
      <c r="GP41" s="132">
        <f>IF(OR(GP$4="",$B41=""),0,SUMIF('DADOS BRUTOS'!$A$3:$A$500,$B41,'DADOS BRUTOS'!DP$3:DP$500)+IF($C41="",0,SUMIF('DADOS BRUTOS'!$A$3:$A$500,$C41,'DADOS BRUTOS'!DP$3:DP$500)))</f>
        <v/>
      </c>
      <c r="GQ41" s="132">
        <f>IF(OR(GQ$4="",$B41=""),0,SUMIF('DADOS BRUTOS'!$A$3:$A$500,$B41,'DADOS BRUTOS'!DQ$3:DQ$500)+IF($C41="",0,SUMIF('DADOS BRUTOS'!$A$3:$A$500,$C41,'DADOS BRUTOS'!DQ$3:DQ$500)))</f>
        <v/>
      </c>
      <c r="GR41" s="132">
        <f>IF(OR(GR$4="",$B41=""),0,SUMIF('DADOS BRUTOS'!$A$3:$A$500,$B41,'DADOS BRUTOS'!DR$3:DR$500)+IF($C41="",0,SUMIF('DADOS BRUTOS'!$A$3:$A$500,$C41,'DADOS BRUTOS'!DR$3:DR$500)))</f>
        <v/>
      </c>
      <c r="GS41" s="132">
        <f>IF(OR(GS$4="",$B41=""),0,SUMIF('DADOS BRUTOS'!$A$3:$A$500,$B41,'DADOS BRUTOS'!DS$3:DS$500)+IF($C41="",0,SUMIF('DADOS BRUTOS'!$A$3:$A$500,$C41,'DADOS BRUTOS'!DS$3:DS$500)))</f>
        <v/>
      </c>
      <c r="GT41" s="132">
        <f>IF(OR(GT$4="",$B41=""),0,SUMIF('DADOS BRUTOS'!$A$3:$A$500,$B41,'DADOS BRUTOS'!DT$3:DT$500)+IF($C41="",0,SUMIF('DADOS BRUTOS'!$A$3:$A$500,$C41,'DADOS BRUTOS'!DT$3:DT$500)))</f>
        <v/>
      </c>
      <c r="GU41" s="132">
        <f>IF(OR(GU$4="",$B41=""),0,SUMIF('DADOS BRUTOS'!$A$3:$A$500,$B41,'DADOS BRUTOS'!DU$3:DU$500)+IF($C41="",0,SUMIF('DADOS BRUTOS'!$A$3:$A$500,$C41,'DADOS BRUTOS'!DU$3:DU$500)))</f>
        <v/>
      </c>
      <c r="GV41" s="132">
        <f>IF(OR(GV$4="",$B41=""),0,SUMIF('DADOS BRUTOS'!$A$3:$A$500,$B41,'DADOS BRUTOS'!DV$3:DV$500)+IF($C41="",0,SUMIF('DADOS BRUTOS'!$A$3:$A$500,$C41,'DADOS BRUTOS'!DV$3:DV$500)))</f>
        <v/>
      </c>
      <c r="GW41" s="132">
        <f>IF(OR(GW$4="",$B41=""),0,SUMIF('DADOS BRUTOS'!$A$3:$A$500,$B41,'DADOS BRUTOS'!DW$3:DW$500)+IF($C41="",0,SUMIF('DADOS BRUTOS'!$A$3:$A$500,$C41,'DADOS BRUTOS'!DW$3:DW$500)))</f>
        <v/>
      </c>
      <c r="GX41" s="132">
        <f>IF(OR(GX$4="",$B41=""),0,SUMIF('DADOS BRUTOS'!$A$3:$A$500,$B41,'DADOS BRUTOS'!DX$3:DX$500)+IF($C41="",0,SUMIF('DADOS BRUTOS'!$A$3:$A$500,$C41,'DADOS BRUTOS'!DX$3:DX$500)))</f>
        <v/>
      </c>
      <c r="GY41" s="132">
        <f>IF(OR(GY$4="",$B41=""),0,SUMIF('DADOS BRUTOS'!$A$3:$A$500,$B41,'DADOS BRUTOS'!DY$3:DY$500)+IF($C41="",0,SUMIF('DADOS BRUTOS'!$A$3:$A$500,$C41,'DADOS BRUTOS'!DY$3:DY$500)))</f>
        <v/>
      </c>
      <c r="GZ41" s="132">
        <f>IF(OR(GZ$4="",$B41=""),0,SUMIF('DADOS BRUTOS'!$A$3:$A$500,$B41,'DADOS BRUTOS'!DZ$3:DZ$500)+IF($C41="",0,SUMIF('DADOS BRUTOS'!$A$3:$A$500,$C41,'DADOS BRUTOS'!DZ$3:DZ$500)))</f>
        <v/>
      </c>
      <c r="HA41" s="132">
        <f>IF(OR(HA$4="",$B41=""),0,SUMIF('DADOS BRUTOS'!$A$3:$A$500,$B41,'DADOS BRUTOS'!EA$3:EA$500)+IF($C41="",0,SUMIF('DADOS BRUTOS'!$A$3:$A$500,$C41,'DADOS BRUTOS'!EA$3:EA$500)))</f>
        <v/>
      </c>
      <c r="HB41" s="132">
        <f>IF(OR(HB$4="",$B41=""),0,SUMIF('DADOS BRUTOS'!$A$3:$A$500,$B41,'DADOS BRUTOS'!EB$3:EB$500)+IF($C41="",0,SUMIF('DADOS BRUTOS'!$A$3:$A$500,$C41,'DADOS BRUTOS'!EB$3:EB$500)))</f>
        <v/>
      </c>
      <c r="HC41" s="132">
        <f>IF(OR(HC$4="",$B41=""),0,SUMIF('DADOS BRUTOS'!$A$3:$A$500,$B41,'DADOS BRUTOS'!EC$3:EC$500)+IF($C41="",0,SUMIF('DADOS BRUTOS'!$A$3:$A$500,$C41,'DADOS BRUTOS'!EC$3:EC$500)))</f>
        <v/>
      </c>
      <c r="HD41" s="132">
        <f>IF(OR(HD$4="",$B41=""),0,SUMIF('DADOS BRUTOS'!$A$3:$A$500,$B41,'DADOS BRUTOS'!ED$3:ED$500)+IF($C41="",0,SUMIF('DADOS BRUTOS'!$A$3:$A$500,$C41,'DADOS BRUTOS'!ED$3:ED$500)))</f>
        <v/>
      </c>
      <c r="HE41" s="132">
        <f>IF(OR(HE$4="",$B41=""),0,SUMIF('DADOS BRUTOS'!$A$3:$A$500,$B41,'DADOS BRUTOS'!EE$3:EE$500)+IF($C41="",0,SUMIF('DADOS BRUTOS'!$A$3:$A$500,$C41,'DADOS BRUTOS'!EE$3:EE$500)))</f>
        <v/>
      </c>
      <c r="HF41" s="132">
        <f>IF(OR(HF$4="",$B41=""),0,SUMIF('DADOS BRUTOS'!$A$3:$A$500,$B41,'DADOS BRUTOS'!EF$3:EF$500)+IF($C41="",0,SUMIF('DADOS BRUTOS'!$A$3:$A$500,$C41,'DADOS BRUTOS'!EF$3:EF$500)))</f>
        <v/>
      </c>
      <c r="HG41" s="132">
        <f>IF(OR(HG$4="",$B41=""),0,SUMIF('DADOS BRUTOS'!$A$3:$A$500,$B41,'DADOS BRUTOS'!EG$3:EG$500)+IF($C41="",0,SUMIF('DADOS BRUTOS'!$A$3:$A$500,$C41,'DADOS BRUTOS'!EG$3:EG$500)))</f>
        <v/>
      </c>
      <c r="HH41" s="132">
        <f>IF(OR(HH$4="",$B41=""),0,SUMIF('DADOS BRUTOS'!$A$3:$A$500,$B41,'DADOS BRUTOS'!EH$3:EH$500)+IF($C41="",0,SUMIF('DADOS BRUTOS'!$A$3:$A$500,$C41,'DADOS BRUTOS'!EH$3:EH$500)))</f>
        <v/>
      </c>
      <c r="HI41" s="132">
        <f>IF(OR(HI$4="",$B41=""),0,SUMIF('DADOS BRUTOS'!$A$3:$A$500,$B41,'DADOS BRUTOS'!EI$3:EI$500)+IF($C41="",0,SUMIF('DADOS BRUTOS'!$A$3:$A$500,$C41,'DADOS BRUTOS'!EI$3:EI$500)))</f>
        <v/>
      </c>
      <c r="HJ41" s="132">
        <f>IF(OR(HJ$4="",$B41=""),0,SUMIF('DADOS BRUTOS'!$A$3:$A$500,$B41,'DADOS BRUTOS'!EJ$3:EJ$500)+IF($C41="",0,SUMIF('DADOS BRUTOS'!$A$3:$A$500,$C41,'DADOS BRUTOS'!EJ$3:EJ$500)))</f>
        <v/>
      </c>
      <c r="HK41" s="132">
        <f>IF(OR(HK$4="",$B41=""),0,SUMIF('DADOS BRUTOS'!$A$3:$A$500,$B41,'DADOS BRUTOS'!EK$3:EK$500)+IF($C41="",0,SUMIF('DADOS BRUTOS'!$A$3:$A$500,$C41,'DADOS BRUTOS'!EK$3:EK$500)))</f>
        <v/>
      </c>
      <c r="HL41" s="132">
        <f>IF(OR(HL$4="",$B41=""),0,SUMIF('DADOS BRUTOS'!$A$3:$A$500,$B41,'DADOS BRUTOS'!EL$3:EL$500)+IF($C41="",0,SUMIF('DADOS BRUTOS'!$A$3:$A$500,$C41,'DADOS BRUTOS'!EL$3:EL$500)))</f>
        <v/>
      </c>
      <c r="HM41" s="132">
        <f>IF(OR(HM$4="",$B41=""),0,SUMIF('DADOS BRUTOS'!$A$3:$A$500,$B41,'DADOS BRUTOS'!EM$3:EM$500)+IF($C41="",0,SUMIF('DADOS BRUTOS'!$A$3:$A$500,$C41,'DADOS BRUTOS'!EM$3:EM$500)))</f>
        <v/>
      </c>
      <c r="HN41" s="132">
        <f>IF(OR(HN$4="",$B41=""),0,SUMIF('DADOS BRUTOS'!$A$3:$A$500,$B41,'DADOS BRUTOS'!EN$3:EN$500)+IF($C41="",0,SUMIF('DADOS BRUTOS'!$A$3:$A$500,$C41,'DADOS BRUTOS'!EN$3:EN$500)))</f>
        <v/>
      </c>
      <c r="HO41" s="132">
        <f>IF(OR(HO$4="",$B41=""),0,SUMIF('DADOS BRUTOS'!$A$3:$A$500,$B41,'DADOS BRUTOS'!EO$3:EO$500)+IF($C41="",0,SUMIF('DADOS BRUTOS'!$A$3:$A$500,$C41,'DADOS BRUTOS'!EO$3:EO$500)))</f>
        <v/>
      </c>
      <c r="HP41" s="132">
        <f>IF(OR(HP$4="",$B41=""),0,SUMIF('DADOS BRUTOS'!$A$3:$A$500,$B41,'DADOS BRUTOS'!EP$3:EP$500)+IF($C41="",0,SUMIF('DADOS BRUTOS'!$A$3:$A$500,$C41,'DADOS BRUTOS'!EP$3:EP$500)))</f>
        <v/>
      </c>
      <c r="HQ41" s="132">
        <f>IF(OR(HQ$4="",$B41=""),0,SUMIF('DADOS BRUTOS'!$A$3:$A$500,$B41,'DADOS BRUTOS'!EQ$3:EQ$500)+IF($C41="",0,SUMIF('DADOS BRUTOS'!$A$3:$A$500,$C41,'DADOS BRUTOS'!EQ$3:EQ$500)))</f>
        <v/>
      </c>
      <c r="HR41" s="132">
        <f>IF(OR(HR$4="",$B41=""),0,SUMIF('DADOS BRUTOS'!$A$3:$A$500,$B41,'DADOS BRUTOS'!ER$3:ER$500)+IF($C41="",0,SUMIF('DADOS BRUTOS'!$A$3:$A$500,$C41,'DADOS BRUTOS'!ER$3:ER$500)))</f>
        <v/>
      </c>
      <c r="HS41" s="132">
        <f>IF(OR(HS$4="",$B41=""),0,SUMIF('DADOS BRUTOS'!$A$3:$A$500,$B41,'DADOS BRUTOS'!ES$3:ES$500)+IF($C41="",0,SUMIF('DADOS BRUTOS'!$A$3:$A$500,$C41,'DADOS BRUTOS'!ES$3:ES$500)))</f>
        <v/>
      </c>
      <c r="HT41" s="132">
        <f>IF(OR(HT$4="",$B41=""),0,SUMIF('DADOS BRUTOS'!$A$3:$A$500,$B41,'DADOS BRUTOS'!ET$3:ET$500)+IF($C41="",0,SUMIF('DADOS BRUTOS'!$A$3:$A$500,$C41,'DADOS BRUTOS'!ET$3:ET$500)))</f>
        <v/>
      </c>
      <c r="HU41" s="132">
        <f>IF(OR(HU$4="",$B41=""),0,SUMIF('DADOS BRUTOS'!$A$3:$A$500,$B41,'DADOS BRUTOS'!EU$3:EU$500)+IF($C41="",0,SUMIF('DADOS BRUTOS'!$A$3:$A$500,$C41,'DADOS BRUTOS'!EU$3:EU$500)))</f>
        <v/>
      </c>
      <c r="HV41" s="132">
        <f>IF(OR(HV$4="",$B41=""),0,SUMIF('DADOS BRUTOS'!$A$3:$A$500,$B41,'DADOS BRUTOS'!EV$3:EV$500)+IF($C41="",0,SUMIF('DADOS BRUTOS'!$A$3:$A$500,$C41,'DADOS BRUTOS'!EV$3:EV$500)))</f>
        <v/>
      </c>
      <c r="HW41" s="132">
        <f>IF(OR(HW$4="",$B41=""),0,SUMIF('DADOS BRUTOS'!$A$3:$A$500,$B41,'DADOS BRUTOS'!EW$3:EW$500)+IF($C41="",0,SUMIF('DADOS BRUTOS'!$A$3:$A$500,$C41,'DADOS BRUTOS'!EW$3:EW$500)))</f>
        <v/>
      </c>
      <c r="HX41" s="132">
        <f>IF(OR(HX$4="",$B41=""),0,SUMIF('DADOS BRUTOS'!$A$3:$A$500,$B41,'DADOS BRUTOS'!EX$3:EX$500)+IF($C41="",0,SUMIF('DADOS BRUTOS'!$A$3:$A$500,$C41,'DADOS BRUTOS'!EX$3:EX$500)))</f>
        <v/>
      </c>
      <c r="HY41" s="132">
        <f>IF(OR(HY$4="",$B41=""),0,SUMIF('DADOS BRUTOS'!$A$3:$A$500,$B41,'DADOS BRUTOS'!EY$3:EY$500)+IF($C41="",0,SUMIF('DADOS BRUTOS'!$A$3:$A$500,$C41,'DADOS BRUTOS'!EY$3:EY$500)))</f>
        <v/>
      </c>
      <c r="HZ41" s="132">
        <f>IF(OR(HZ$4="",$B41=""),0,SUMIF('DADOS BRUTOS'!$A$3:$A$500,$B41,'DADOS BRUTOS'!EZ$3:EZ$500)+IF($C41="",0,SUMIF('DADOS BRUTOS'!$A$3:$A$500,$C41,'DADOS BRUTOS'!EZ$3:EZ$500)))</f>
        <v/>
      </c>
      <c r="IA41" s="132">
        <f>IF(OR(IA$4="",$B41=""),0,SUMIF('DADOS BRUTOS'!$A$3:$A$500,$B41,'DADOS BRUTOS'!FA$3:FA$500)+IF($C41="",0,SUMIF('DADOS BRUTOS'!$A$3:$A$500,$C41,'DADOS BRUTOS'!FA$3:FA$500)))</f>
        <v/>
      </c>
      <c r="IB41" s="132">
        <f>IF(OR(IB$4="",$B41=""),0,SUMIF('DADOS BRUTOS'!$A$3:$A$500,$B41,'DADOS BRUTOS'!FB$3:FB$500)+IF($C41="",0,SUMIF('DADOS BRUTOS'!$A$3:$A$500,$C41,'DADOS BRUTOS'!FB$3:FB$500)))</f>
        <v/>
      </c>
      <c r="IC41" s="132">
        <f>IF(OR(IC$4="",$B41=""),0,SUMIF('DADOS BRUTOS'!$A$3:$A$500,$B41,'DADOS BRUTOS'!FC$3:FC$500)+IF($C41="",0,SUMIF('DADOS BRUTOS'!$A$3:$A$500,$C41,'DADOS BRUTOS'!FC$3:FC$500)))</f>
        <v/>
      </c>
      <c r="ID41" s="132">
        <f>IF(OR(ID$4="",$B41=""),0,SUMIF('DADOS BRUTOS'!$A$3:$A$500,$B41,'DADOS BRUTOS'!FD$3:FD$500)+IF($C41="",0,SUMIF('DADOS BRUTOS'!$A$3:$A$500,$C41,'DADOS BRUTOS'!FD$3:FD$500)))</f>
        <v/>
      </c>
      <c r="IE41" s="132">
        <f>IF(OR(IE$4="",$B41=""),0,SUMIF('DADOS BRUTOS'!$A$3:$A$500,$B41,'DADOS BRUTOS'!FE$3:FE$500)+IF($C41="",0,SUMIF('DADOS BRUTOS'!$A$3:$A$500,$C41,'DADOS BRUTOS'!FE$3:FE$500)))</f>
        <v/>
      </c>
      <c r="IF41" s="132">
        <f>IF(OR(IF$4="",$B41=""),0,SUMIF('DADOS BRUTOS'!$A$3:$A$500,$B41,'DADOS BRUTOS'!FF$3:FF$500)+IF($C41="",0,SUMIF('DADOS BRUTOS'!$A$3:$A$500,$C41,'DADOS BRUTOS'!FF$3:FF$500)))</f>
        <v/>
      </c>
      <c r="IG41" s="132">
        <f>IF(OR(IG$4="",$B41=""),0,SUMIF('DADOS BRUTOS'!$A$3:$A$500,$B41,'DADOS BRUTOS'!FG$3:FG$500)+IF($C41="",0,SUMIF('DADOS BRUTOS'!$A$3:$A$500,$C41,'DADOS BRUTOS'!FG$3:FG$500)))</f>
        <v/>
      </c>
      <c r="IH41" s="132">
        <f>IF(OR(IH$4="",$B41=""),0,SUMIF('DADOS BRUTOS'!$A$3:$A$500,$B41,'DADOS BRUTOS'!FH$3:FH$500)+IF($C41="",0,SUMIF('DADOS BRUTOS'!$A$3:$A$500,$C41,'DADOS BRUTOS'!FH$3:FH$500)))</f>
        <v/>
      </c>
      <c r="II41" s="132">
        <f>IF(OR(II$4="",$B41=""),0,SUMIF('DADOS BRUTOS'!$A$3:$A$500,$B41,'DADOS BRUTOS'!FI$3:FI$500)+IF($C41="",0,SUMIF('DADOS BRUTOS'!$A$3:$A$500,$C41,'DADOS BRUTOS'!FI$3:FI$500)))</f>
        <v/>
      </c>
      <c r="IJ41" s="132">
        <f>IF(OR(IJ$4="",$B41=""),0,SUMIF('DADOS BRUTOS'!$A$3:$A$500,$B41,'DADOS BRUTOS'!FJ$3:FJ$500)+IF($C41="",0,SUMIF('DADOS BRUTOS'!$A$3:$A$500,$C41,'DADOS BRUTOS'!FJ$3:FJ$500)))</f>
        <v/>
      </c>
      <c r="IK41" s="132">
        <f>IF(OR(IK$4="",$B41=""),0,SUMIF('DADOS BRUTOS'!$A$3:$A$500,$B41,'DADOS BRUTOS'!FK$3:FK$500)+IF($C41="",0,SUMIF('DADOS BRUTOS'!$A$3:$A$500,$C41,'DADOS BRUTOS'!FK$3:FK$500)))</f>
        <v/>
      </c>
      <c r="IL41" s="132">
        <f>IF(OR(IL$4="",$B41=""),0,SUMIF('DADOS BRUTOS'!$A$3:$A$500,$B41,'DADOS BRUTOS'!FL$3:FL$500)+IF($C41="",0,SUMIF('DADOS BRUTOS'!$A$3:$A$500,$C41,'DADOS BRUTOS'!FL$3:FL$500)))</f>
        <v/>
      </c>
      <c r="IM41" s="132">
        <f>IF(OR(IM$4="",$B41=""),0,SUMIF('DADOS BRUTOS'!$A$3:$A$500,$B41,'DADOS BRUTOS'!FM$3:FM$500)+IF($C41="",0,SUMIF('DADOS BRUTOS'!$A$3:$A$500,$C41,'DADOS BRUTOS'!FM$3:FM$500)))</f>
        <v/>
      </c>
      <c r="IN41" s="132">
        <f>IF(OR(IN$4="",$B41=""),0,SUMIF('DADOS BRUTOS'!$A$3:$A$500,$B41,'DADOS BRUTOS'!FN$3:FN$500)+IF($C41="",0,SUMIF('DADOS BRUTOS'!$A$3:$A$500,$C41,'DADOS BRUTOS'!FN$3:FN$500)))</f>
        <v/>
      </c>
      <c r="IO41" s="132">
        <f>IF(OR(IO$4="",$B41=""),0,SUMIF('DADOS BRUTOS'!$A$3:$A$500,$B41,'DADOS BRUTOS'!FO$3:FO$500)+IF($C41="",0,SUMIF('DADOS BRUTOS'!$A$3:$A$500,$C41,'DADOS BRUTOS'!FO$3:FO$500)))</f>
        <v/>
      </c>
      <c r="IP41" s="132">
        <f>IF(OR(IP$4="",$B41=""),0,SUMIF('DADOS BRUTOS'!$A$3:$A$500,$B41,'DADOS BRUTOS'!FP$3:FP$500)+IF($C41="",0,SUMIF('DADOS BRUTOS'!$A$3:$A$500,$C41,'DADOS BRUTOS'!FP$3:FP$500)))</f>
        <v/>
      </c>
      <c r="IQ41" s="132">
        <f>IF(OR(IQ$4="",$B41=""),0,SUMIF('DADOS BRUTOS'!$A$3:$A$500,$B41,'DADOS BRUTOS'!FQ$3:FQ$500)+IF($C41="",0,SUMIF('DADOS BRUTOS'!$A$3:$A$500,$C41,'DADOS BRUTOS'!FQ$3:FQ$500)))</f>
        <v/>
      </c>
      <c r="IR41" s="132">
        <f>IF(OR(IR$4="",$B41=""),0,SUMIF('DADOS BRUTOS'!$A$3:$A$500,$B41,'DADOS BRUTOS'!FR$3:FR$500)+IF($C41="",0,SUMIF('DADOS BRUTOS'!$A$3:$A$500,$C41,'DADOS BRUTOS'!FR$3:FR$500)))</f>
        <v/>
      </c>
      <c r="IS41" s="132">
        <f>IF(OR(IS$4="",$B41=""),0,SUMIF('DADOS BRUTOS'!$A$3:$A$500,$B41,'DADOS BRUTOS'!FS$3:FS$500)+IF($C41="",0,SUMIF('DADOS BRUTOS'!$A$3:$A$500,$C41,'DADOS BRUTOS'!FS$3:FS$500)))</f>
        <v/>
      </c>
      <c r="IT41" s="132">
        <f>IF(OR(IT$4="",$B41=""),0,SUMIF('DADOS BRUTOS'!$A$3:$A$500,$B41,'DADOS BRUTOS'!FT$3:FT$500)+IF($C41="",0,SUMIF('DADOS BRUTOS'!$A$3:$A$500,$C41,'DADOS BRUTOS'!FT$3:FT$500)))</f>
        <v/>
      </c>
      <c r="IU41" s="132">
        <f>IF(OR(IU$4="",$B41=""),0,SUMIF('DADOS BRUTOS'!$A$3:$A$500,$B41,'DADOS BRUTOS'!FU$3:FU$500)+IF($C41="",0,SUMIF('DADOS BRUTOS'!$A$3:$A$500,$C41,'DADOS BRUTOS'!FU$3:FU$500)))</f>
        <v/>
      </c>
      <c r="IV41" s="132">
        <f>IF(OR(IV$4="",$B41=""),0,SUMIF('DADOS BRUTOS'!$A$3:$A$500,$B41,'DADOS BRUTOS'!FV$3:FV$500)+IF($C41="",0,SUMIF('DADOS BRUTOS'!$A$3:$A$500,$C41,'DADOS BRUTOS'!FV$3:FV$500)))</f>
        <v/>
      </c>
      <c r="IW41" s="132">
        <f>IF(OR(IW$4="",$B41=""),0,SUMIF('DADOS BRUTOS'!$A$3:$A$500,$B41,'DADOS BRUTOS'!FW$3:FW$500)+IF($C41="",0,SUMIF('DADOS BRUTOS'!$A$3:$A$500,$C41,'DADOS BRUTOS'!FW$3:FW$500)))</f>
        <v/>
      </c>
      <c r="IX41" s="132">
        <f>IF(OR(IX$4="",$B41=""),0,SUMIF('DADOS BRUTOS'!$A$3:$A$500,$B41,'DADOS BRUTOS'!FX$3:FX$500)+IF($C41="",0,SUMIF('DADOS BRUTOS'!$A$3:$A$500,$C41,'DADOS BRUTOS'!FX$3:FX$500)))</f>
        <v/>
      </c>
      <c r="IY41" s="132">
        <f>IF(OR(IY$4="",$B41=""),0,SUMIF('DADOS BRUTOS'!$A$3:$A$500,$B41,'DADOS BRUTOS'!FY$3:FY$500)+IF($C41="",0,SUMIF('DADOS BRUTOS'!$A$3:$A$500,$C41,'DADOS BRUTOS'!FY$3:FY$500)))</f>
        <v/>
      </c>
      <c r="IZ41" s="132">
        <f>IF(OR(IZ$4="",$B41=""),0,SUMIF('DADOS BRUTOS'!$A$3:$A$500,$B41,'DADOS BRUTOS'!FZ$3:FZ$500)+IF($C41="",0,SUMIF('DADOS BRUTOS'!$A$3:$A$500,$C41,'DADOS BRUTOS'!FZ$3:FZ$500)))</f>
        <v/>
      </c>
      <c r="JA41" s="132">
        <f>IF(OR(JA$4="",$B41=""),0,SUMIF('DADOS BRUTOS'!$A$3:$A$500,$B41,'DADOS BRUTOS'!GA$3:GA$500)+IF($C41="",0,SUMIF('DADOS BRUTOS'!$A$3:$A$500,$C41,'DADOS BRUTOS'!GA$3:GA$500)))</f>
        <v/>
      </c>
      <c r="JB41" s="132">
        <f>IF(OR(JB$4="",$B41=""),0,SUMIF('DADOS BRUTOS'!$A$3:$A$500,$B41,'DADOS BRUTOS'!GB$3:GB$500)+IF($C41="",0,SUMIF('DADOS BRUTOS'!$A$3:$A$500,$C41,'DADOS BRUTOS'!GB$3:GB$500)))</f>
        <v/>
      </c>
      <c r="JC41" s="132">
        <f>IF(OR(JC$4="",$B41=""),0,SUMIF('DADOS BRUTOS'!$A$3:$A$500,$B41,'DADOS BRUTOS'!GC$3:GC$500)+IF($C41="",0,SUMIF('DADOS BRUTOS'!$A$3:$A$500,$C41,'DADOS BRUTOS'!GC$3:GC$500)))</f>
        <v/>
      </c>
      <c r="JD41" s="132">
        <f>IF(OR(JD$4="",$B41=""),0,SUMIF('DADOS BRUTOS'!$A$3:$A$500,$B41,'DADOS BRUTOS'!GD$3:GD$500)+IF($C41="",0,SUMIF('DADOS BRUTOS'!$A$3:$A$500,$C41,'DADOS BRUTOS'!GD$3:GD$500)))</f>
        <v/>
      </c>
      <c r="JE41" s="132">
        <f>IF(OR(JE$4="",$B41=""),0,SUMIF('DADOS BRUTOS'!$A$3:$A$500,$B41,'DADOS BRUTOS'!GE$3:GE$500)+IF($C41="",0,SUMIF('DADOS BRUTOS'!$A$3:$A$500,$C41,'DADOS BRUTOS'!GE$3:GE$500)))</f>
        <v/>
      </c>
      <c r="JF41" s="132">
        <f>IF(OR(JF$4="",$B41=""),0,SUMIF('DADOS BRUTOS'!$A$3:$A$500,$B41,'DADOS BRUTOS'!GF$3:GF$500)+IF($C41="",0,SUMIF('DADOS BRUTOS'!$A$3:$A$500,$C41,'DADOS BRUTOS'!GF$3:GF$500)))</f>
        <v/>
      </c>
      <c r="JG41" s="132">
        <f>IF(OR(JG$4="",$B41=""),0,SUMIF('DADOS BRUTOS'!$A$3:$A$500,$B41,'DADOS BRUTOS'!GG$3:GG$500)+IF($C41="",0,SUMIF('DADOS BRUTOS'!$A$3:$A$500,$C41,'DADOS BRUTOS'!GG$3:GG$500)))</f>
        <v/>
      </c>
      <c r="JH41" s="132">
        <f>IF(OR(JH$4="",$B41=""),0,SUMIF('DADOS BRUTOS'!$A$3:$A$500,$B41,'DADOS BRUTOS'!GH$3:GH$500)+IF($C41="",0,SUMIF('DADOS BRUTOS'!$A$3:$A$500,$C41,'DADOS BRUTOS'!GH$3:GH$500)))</f>
        <v/>
      </c>
      <c r="JI41" s="132">
        <f>IF(OR(JI$4="",$B41=""),0,SUMIF('DADOS BRUTOS'!$A$3:$A$500,$B41,'DADOS BRUTOS'!GI$3:GI$500)+IF($C41="",0,SUMIF('DADOS BRUTOS'!$A$3:$A$500,$C41,'DADOS BRUTOS'!GI$3:GI$500)))</f>
        <v/>
      </c>
      <c r="JJ41" s="132">
        <f>IF(OR(JJ$4="",$B41=""),0,SUMIF('DADOS BRUTOS'!$A$3:$A$500,$B41,'DADOS BRUTOS'!GJ$3:GJ$500)+IF($C41="",0,SUMIF('DADOS BRUTOS'!$A$3:$A$500,$C41,'DADOS BRUTOS'!GJ$3:GJ$500)))</f>
        <v/>
      </c>
      <c r="JK41" s="132">
        <f>IF(OR(JK$4="",$B41=""),0,SUMIF('DADOS BRUTOS'!$A$3:$A$500,$B41,'DADOS BRUTOS'!GK$3:GK$500)+IF($C41="",0,SUMIF('DADOS BRUTOS'!$A$3:$A$500,$C41,'DADOS BRUTOS'!GK$3:GK$500)))</f>
        <v/>
      </c>
      <c r="JL41" s="132">
        <f>IF(OR(JL$4="",$B41=""),0,SUMIF('DADOS BRUTOS'!$A$3:$A$500,$B41,'DADOS BRUTOS'!GL$3:GL$500)+IF($C41="",0,SUMIF('DADOS BRUTOS'!$A$3:$A$500,$C41,'DADOS BRUTOS'!GL$3:GL$500)))</f>
        <v/>
      </c>
      <c r="JM41" s="132">
        <f>IF(OR(JM$4="",$B41=""),0,SUMIF('DADOS BRUTOS'!$A$3:$A$500,$B41,'DADOS BRUTOS'!GM$3:GM$500)+IF($C41="",0,SUMIF('DADOS BRUTOS'!$A$3:$A$500,$C41,'DADOS BRUTOS'!GM$3:GM$500)))</f>
        <v/>
      </c>
      <c r="JN41" s="132">
        <f>IF(OR(JN$4="",$B41=""),0,SUMIF('DADOS BRUTOS'!$A$3:$A$500,$B41,'DADOS BRUTOS'!GN$3:GN$500)+IF($C41="",0,SUMIF('DADOS BRUTOS'!$A$3:$A$500,$C41,'DADOS BRUTOS'!GN$3:GN$500)))</f>
        <v/>
      </c>
      <c r="JO41" s="132">
        <f>IF(OR(JO$4="",$B41=""),0,SUMIF('DADOS BRUTOS'!$A$3:$A$500,$B41,'DADOS BRUTOS'!GO$3:GO$500)+IF($C41="",0,SUMIF('DADOS BRUTOS'!$A$3:$A$500,$C41,'DADOS BRUTOS'!GO$3:GO$500)))</f>
        <v/>
      </c>
      <c r="JP41" s="132">
        <f>IF(OR(JP$4="",$B41=""),0,SUMIF('DADOS BRUTOS'!$A$3:$A$500,$B41,'DADOS BRUTOS'!GP$3:GP$500)+IF($C41="",0,SUMIF('DADOS BRUTOS'!$A$3:$A$500,$C41,'DADOS BRUTOS'!GP$3:GP$500)))</f>
        <v/>
      </c>
      <c r="JQ41" s="132">
        <f>IF(OR(JQ$4="",$B41=""),0,SUMIF('DADOS BRUTOS'!$A$3:$A$500,$B41,'DADOS BRUTOS'!GQ$3:GQ$500)+IF($C41="",0,SUMIF('DADOS BRUTOS'!$A$3:$A$500,$C41,'DADOS BRUTOS'!GQ$3:GQ$500)))</f>
        <v/>
      </c>
      <c r="JR41" s="132">
        <f>IF(OR(JR$4="",$B41=""),0,SUMIF('DADOS BRUTOS'!$A$3:$A$500,$B41,'DADOS BRUTOS'!GR$3:GR$500)+IF($C41="",0,SUMIF('DADOS BRUTOS'!$A$3:$A$500,$C41,'DADOS BRUTOS'!GR$3:GR$500)))</f>
        <v/>
      </c>
      <c r="JS41" s="132">
        <f>IF(OR(JS$4="",$B41=""),0,SUMIF('DADOS BRUTOS'!$A$3:$A$500,$B41,'DADOS BRUTOS'!GS$3:GS$500)+IF($C41="",0,SUMIF('DADOS BRUTOS'!$A$3:$A$500,$C41,'DADOS BRUTOS'!GS$3:GS$500)))</f>
        <v/>
      </c>
    </row>
    <row r="42">
      <c r="A42" s="61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BZ42" s="49">
        <f>SUMPRODUCT(($CB$4:$JS$4&lt;&gt;"")*($CB$4:$JS$4&lt;=$D$4),$CB42:$JS42,$CB$1:$JS$1)</f>
        <v/>
      </c>
      <c r="CB42" s="132">
        <f>IF(OR(CB$4="",$B42=""),0,SUMIF('DADOS BRUTOS'!$A$3:$A$500,$B42,'DADOS BRUTOS'!B$3:B$500)+IF($C42="",0,SUMIF('DADOS BRUTOS'!$A$3:$A$500,$C42,'DADOS BRUTOS'!B$3:B$500)))</f>
        <v/>
      </c>
      <c r="CC42" s="132">
        <f>IF(OR(CC$4="",$B42=""),0,SUMIF('DADOS BRUTOS'!$A$3:$A$500,$B42,'DADOS BRUTOS'!C$3:C$500)+IF($C42="",0,SUMIF('DADOS BRUTOS'!$A$3:$A$500,$C42,'DADOS BRUTOS'!C$3:C$500)))</f>
        <v/>
      </c>
      <c r="CD42" s="132">
        <f>IF(OR(CD$4="",$B42=""),0,SUMIF('DADOS BRUTOS'!$A$3:$A$500,$B42,'DADOS BRUTOS'!D$3:D$500)+IF($C42="",0,SUMIF('DADOS BRUTOS'!$A$3:$A$500,$C42,'DADOS BRUTOS'!D$3:D$500)))</f>
        <v/>
      </c>
      <c r="CE42" s="132">
        <f>IF(OR(CE$4="",$B42=""),0,SUMIF('DADOS BRUTOS'!$A$3:$A$500,$B42,'DADOS BRUTOS'!E$3:E$500)+IF($C42="",0,SUMIF('DADOS BRUTOS'!$A$3:$A$500,$C42,'DADOS BRUTOS'!E$3:E$500)))</f>
        <v/>
      </c>
      <c r="CF42" s="132">
        <f>IF(OR(CF$4="",$B42=""),0,SUMIF('DADOS BRUTOS'!$A$3:$A$500,$B42,'DADOS BRUTOS'!F$3:F$500)+IF($C42="",0,SUMIF('DADOS BRUTOS'!$A$3:$A$500,$C42,'DADOS BRUTOS'!F$3:F$500)))</f>
        <v/>
      </c>
      <c r="CG42" s="132">
        <f>IF(OR(CG$4="",$B42=""),0,SUMIF('DADOS BRUTOS'!$A$3:$A$500,$B42,'DADOS BRUTOS'!G$3:G$500)+IF($C42="",0,SUMIF('DADOS BRUTOS'!$A$3:$A$500,$C42,'DADOS BRUTOS'!G$3:G$500)))</f>
        <v/>
      </c>
      <c r="CH42" s="132">
        <f>IF(OR(CH$4="",$B42=""),0,SUMIF('DADOS BRUTOS'!$A$3:$A$500,$B42,'DADOS BRUTOS'!H$3:H$500)+IF($C42="",0,SUMIF('DADOS BRUTOS'!$A$3:$A$500,$C42,'DADOS BRUTOS'!H$3:H$500)))</f>
        <v/>
      </c>
      <c r="CI42" s="132">
        <f>IF(OR(CI$4="",$B42=""),0,SUMIF('DADOS BRUTOS'!$A$3:$A$500,$B42,'DADOS BRUTOS'!I$3:I$500)+IF($C42="",0,SUMIF('DADOS BRUTOS'!$A$3:$A$500,$C42,'DADOS BRUTOS'!I$3:I$500)))</f>
        <v/>
      </c>
      <c r="CJ42" s="132">
        <f>IF(OR(CJ$4="",$B42=""),0,SUMIF('DADOS BRUTOS'!$A$3:$A$500,$B42,'DADOS BRUTOS'!J$3:J$500)+IF($C42="",0,SUMIF('DADOS BRUTOS'!$A$3:$A$500,$C42,'DADOS BRUTOS'!J$3:J$500)))</f>
        <v/>
      </c>
      <c r="CK42" s="132">
        <f>IF(OR(CK$4="",$B42=""),0,SUMIF('DADOS BRUTOS'!$A$3:$A$500,$B42,'DADOS BRUTOS'!K$3:K$500)+IF($C42="",0,SUMIF('DADOS BRUTOS'!$A$3:$A$500,$C42,'DADOS BRUTOS'!K$3:K$500)))</f>
        <v/>
      </c>
      <c r="CL42" s="132">
        <f>IF(OR(CL$4="",$B42=""),0,SUMIF('DADOS BRUTOS'!$A$3:$A$500,$B42,'DADOS BRUTOS'!L$3:L$500)+IF($C42="",0,SUMIF('DADOS BRUTOS'!$A$3:$A$500,$C42,'DADOS BRUTOS'!L$3:L$500)))</f>
        <v/>
      </c>
      <c r="CM42" s="132">
        <f>IF(OR(CM$4="",$B42=""),0,SUMIF('DADOS BRUTOS'!$A$3:$A$500,$B42,'DADOS BRUTOS'!M$3:M$500)+IF($C42="",0,SUMIF('DADOS BRUTOS'!$A$3:$A$500,$C42,'DADOS BRUTOS'!M$3:M$500)))</f>
        <v/>
      </c>
      <c r="CN42" s="132">
        <f>IF(OR(CN$4="",$B42=""),0,SUMIF('DADOS BRUTOS'!$A$3:$A$500,$B42,'DADOS BRUTOS'!N$3:N$500)+IF($C42="",0,SUMIF('DADOS BRUTOS'!$A$3:$A$500,$C42,'DADOS BRUTOS'!N$3:N$500)))</f>
        <v/>
      </c>
      <c r="CO42" s="132">
        <f>IF(OR(CO$4="",$B42=""),0,SUMIF('DADOS BRUTOS'!$A$3:$A$500,$B42,'DADOS BRUTOS'!O$3:O$500)+IF($C42="",0,SUMIF('DADOS BRUTOS'!$A$3:$A$500,$C42,'DADOS BRUTOS'!O$3:O$500)))</f>
        <v/>
      </c>
      <c r="CP42" s="132">
        <f>IF(OR(CP$4="",$B42=""),0,SUMIF('DADOS BRUTOS'!$A$3:$A$500,$B42,'DADOS BRUTOS'!P$3:P$500)+IF($C42="",0,SUMIF('DADOS BRUTOS'!$A$3:$A$500,$C42,'DADOS BRUTOS'!P$3:P$500)))</f>
        <v/>
      </c>
      <c r="CQ42" s="132">
        <f>IF(OR(CQ$4="",$B42=""),0,SUMIF('DADOS BRUTOS'!$A$3:$A$500,$B42,'DADOS BRUTOS'!Q$3:Q$500)+IF($C42="",0,SUMIF('DADOS BRUTOS'!$A$3:$A$500,$C42,'DADOS BRUTOS'!Q$3:Q$500)))</f>
        <v/>
      </c>
      <c r="CR42" s="132">
        <f>IF(OR(CR$4="",$B42=""),0,SUMIF('DADOS BRUTOS'!$A$3:$A$500,$B42,'DADOS BRUTOS'!R$3:R$500)+IF($C42="",0,SUMIF('DADOS BRUTOS'!$A$3:$A$500,$C42,'DADOS BRUTOS'!R$3:R$500)))</f>
        <v/>
      </c>
      <c r="CS42" s="132">
        <f>IF(OR(CS$4="",$B42=""),0,SUMIF('DADOS BRUTOS'!$A$3:$A$500,$B42,'DADOS BRUTOS'!S$3:S$500)+IF($C42="",0,SUMIF('DADOS BRUTOS'!$A$3:$A$500,$C42,'DADOS BRUTOS'!S$3:S$500)))</f>
        <v/>
      </c>
      <c r="CT42" s="132">
        <f>IF(OR(CT$4="",$B42=""),0,SUMIF('DADOS BRUTOS'!$A$3:$A$500,$B42,'DADOS BRUTOS'!T$3:T$500)+IF($C42="",0,SUMIF('DADOS BRUTOS'!$A$3:$A$500,$C42,'DADOS BRUTOS'!T$3:T$500)))</f>
        <v/>
      </c>
      <c r="CU42" s="132">
        <f>IF(OR(CU$4="",$B42=""),0,SUMIF('DADOS BRUTOS'!$A$3:$A$500,$B42,'DADOS BRUTOS'!U$3:U$500)+IF($C42="",0,SUMIF('DADOS BRUTOS'!$A$3:$A$500,$C42,'DADOS BRUTOS'!U$3:U$500)))</f>
        <v/>
      </c>
      <c r="CV42" s="132">
        <f>IF(OR(CV$4="",$B42=""),0,SUMIF('DADOS BRUTOS'!$A$3:$A$500,$B42,'DADOS BRUTOS'!V$3:V$500)+IF($C42="",0,SUMIF('DADOS BRUTOS'!$A$3:$A$500,$C42,'DADOS BRUTOS'!V$3:V$500)))</f>
        <v/>
      </c>
      <c r="CW42" s="132">
        <f>IF(OR(CW$4="",$B42=""),0,SUMIF('DADOS BRUTOS'!$A$3:$A$500,$B42,'DADOS BRUTOS'!W$3:W$500)+IF($C42="",0,SUMIF('DADOS BRUTOS'!$A$3:$A$500,$C42,'DADOS BRUTOS'!W$3:W$500)))</f>
        <v/>
      </c>
      <c r="CX42" s="132">
        <f>IF(OR(CX$4="",$B42=""),0,SUMIF('DADOS BRUTOS'!$A$3:$A$500,$B42,'DADOS BRUTOS'!X$3:X$500)+IF($C42="",0,SUMIF('DADOS BRUTOS'!$A$3:$A$500,$C42,'DADOS BRUTOS'!X$3:X$500)))</f>
        <v/>
      </c>
      <c r="CY42" s="132">
        <f>IF(OR(CY$4="",$B42=""),0,SUMIF('DADOS BRUTOS'!$A$3:$A$500,$B42,'DADOS BRUTOS'!Y$3:Y$500)+IF($C42="",0,SUMIF('DADOS BRUTOS'!$A$3:$A$500,$C42,'DADOS BRUTOS'!Y$3:Y$500)))</f>
        <v/>
      </c>
      <c r="CZ42" s="132">
        <f>IF(OR(CZ$4="",$B42=""),0,SUMIF('DADOS BRUTOS'!$A$3:$A$500,$B42,'DADOS BRUTOS'!Z$3:Z$500)+IF($C42="",0,SUMIF('DADOS BRUTOS'!$A$3:$A$500,$C42,'DADOS BRUTOS'!Z$3:Z$500)))</f>
        <v/>
      </c>
      <c r="DA42" s="132">
        <f>IF(OR(DA$4="",$B42=""),0,SUMIF('DADOS BRUTOS'!$A$3:$A$500,$B42,'DADOS BRUTOS'!AA$3:AA$500)+IF($C42="",0,SUMIF('DADOS BRUTOS'!$A$3:$A$500,$C42,'DADOS BRUTOS'!AA$3:AA$500)))</f>
        <v/>
      </c>
      <c r="DB42" s="132">
        <f>IF(OR(DB$4="",$B42=""),0,SUMIF('DADOS BRUTOS'!$A$3:$A$500,$B42,'DADOS BRUTOS'!AB$3:AB$500)+IF($C42="",0,SUMIF('DADOS BRUTOS'!$A$3:$A$500,$C42,'DADOS BRUTOS'!AB$3:AB$500)))</f>
        <v/>
      </c>
      <c r="DC42" s="132">
        <f>IF(OR(DC$4="",$B42=""),0,SUMIF('DADOS BRUTOS'!$A$3:$A$500,$B42,'DADOS BRUTOS'!AC$3:AC$500)+IF($C42="",0,SUMIF('DADOS BRUTOS'!$A$3:$A$500,$C42,'DADOS BRUTOS'!AC$3:AC$500)))</f>
        <v/>
      </c>
      <c r="DD42" s="132">
        <f>IF(OR(DD$4="",$B42=""),0,SUMIF('DADOS BRUTOS'!$A$3:$A$500,$B42,'DADOS BRUTOS'!AD$3:AD$500)+IF($C42="",0,SUMIF('DADOS BRUTOS'!$A$3:$A$500,$C42,'DADOS BRUTOS'!AD$3:AD$500)))</f>
        <v/>
      </c>
      <c r="DE42" s="132">
        <f>IF(OR(DE$4="",$B42=""),0,SUMIF('DADOS BRUTOS'!$A$3:$A$500,$B42,'DADOS BRUTOS'!AE$3:AE$500)+IF($C42="",0,SUMIF('DADOS BRUTOS'!$A$3:$A$500,$C42,'DADOS BRUTOS'!AE$3:AE$500)))</f>
        <v/>
      </c>
      <c r="DF42" s="132">
        <f>IF(OR(DF$4="",$B42=""),0,SUMIF('DADOS BRUTOS'!$A$3:$A$500,$B42,'DADOS BRUTOS'!AF$3:AF$500)+IF($C42="",0,SUMIF('DADOS BRUTOS'!$A$3:$A$500,$C42,'DADOS BRUTOS'!AF$3:AF$500)))</f>
        <v/>
      </c>
      <c r="DG42" s="132">
        <f>IF(OR(DG$4="",$B42=""),0,SUMIF('DADOS BRUTOS'!$A$3:$A$500,$B42,'DADOS BRUTOS'!AG$3:AG$500)+IF($C42="",0,SUMIF('DADOS BRUTOS'!$A$3:$A$500,$C42,'DADOS BRUTOS'!AG$3:AG$500)))</f>
        <v/>
      </c>
      <c r="DH42" s="132">
        <f>IF(OR(DH$4="",$B42=""),0,SUMIF('DADOS BRUTOS'!$A$3:$A$500,$B42,'DADOS BRUTOS'!AH$3:AH$500)+IF($C42="",0,SUMIF('DADOS BRUTOS'!$A$3:$A$500,$C42,'DADOS BRUTOS'!AH$3:AH$500)))</f>
        <v/>
      </c>
      <c r="DI42" s="132">
        <f>IF(OR(DI$4="",$B42=""),0,SUMIF('DADOS BRUTOS'!$A$3:$A$500,$B42,'DADOS BRUTOS'!AI$3:AI$500)+IF($C42="",0,SUMIF('DADOS BRUTOS'!$A$3:$A$500,$C42,'DADOS BRUTOS'!AI$3:AI$500)))</f>
        <v/>
      </c>
      <c r="DJ42" s="132">
        <f>IF(OR(DJ$4="",$B42=""),0,SUMIF('DADOS BRUTOS'!$A$3:$A$500,$B42,'DADOS BRUTOS'!AJ$3:AJ$500)+IF($C42="",0,SUMIF('DADOS BRUTOS'!$A$3:$A$500,$C42,'DADOS BRUTOS'!AJ$3:AJ$500)))</f>
        <v/>
      </c>
      <c r="DK42" s="132">
        <f>IF(OR(DK$4="",$B42=""),0,SUMIF('DADOS BRUTOS'!$A$3:$A$500,$B42,'DADOS BRUTOS'!AK$3:AK$500)+IF($C42="",0,SUMIF('DADOS BRUTOS'!$A$3:$A$500,$C42,'DADOS BRUTOS'!AK$3:AK$500)))</f>
        <v/>
      </c>
      <c r="DL42" s="132">
        <f>IF(OR(DL$4="",$B42=""),0,SUMIF('DADOS BRUTOS'!$A$3:$A$500,$B42,'DADOS BRUTOS'!AL$3:AL$500)+IF($C42="",0,SUMIF('DADOS BRUTOS'!$A$3:$A$500,$C42,'DADOS BRUTOS'!AL$3:AL$500)))</f>
        <v/>
      </c>
      <c r="DM42" s="132">
        <f>IF(OR(DM$4="",$B42=""),0,SUMIF('DADOS BRUTOS'!$A$3:$A$500,$B42,'DADOS BRUTOS'!AM$3:AM$500)+IF($C42="",0,SUMIF('DADOS BRUTOS'!$A$3:$A$500,$C42,'DADOS BRUTOS'!AM$3:AM$500)))</f>
        <v/>
      </c>
      <c r="DN42" s="132">
        <f>IF(OR(DN$4="",$B42=""),0,SUMIF('DADOS BRUTOS'!$A$3:$A$500,$B42,'DADOS BRUTOS'!AN$3:AN$500)+IF($C42="",0,SUMIF('DADOS BRUTOS'!$A$3:$A$500,$C42,'DADOS BRUTOS'!AN$3:AN$500)))</f>
        <v/>
      </c>
      <c r="DO42" s="132">
        <f>IF(OR(DO$4="",$B42=""),0,SUMIF('DADOS BRUTOS'!$A$3:$A$500,$B42,'DADOS BRUTOS'!AO$3:AO$500)+IF($C42="",0,SUMIF('DADOS BRUTOS'!$A$3:$A$500,$C42,'DADOS BRUTOS'!AO$3:AO$500)))</f>
        <v/>
      </c>
      <c r="DP42" s="132">
        <f>IF(OR(DP$4="",$B42=""),0,SUMIF('DADOS BRUTOS'!$A$3:$A$500,$B42,'DADOS BRUTOS'!AP$3:AP$500)+IF($C42="",0,SUMIF('DADOS BRUTOS'!$A$3:$A$500,$C42,'DADOS BRUTOS'!AP$3:AP$500)))</f>
        <v/>
      </c>
      <c r="DQ42" s="132">
        <f>IF(OR(DQ$4="",$B42=""),0,SUMIF('DADOS BRUTOS'!$A$3:$A$500,$B42,'DADOS BRUTOS'!AQ$3:AQ$500)+IF($C42="",0,SUMIF('DADOS BRUTOS'!$A$3:$A$500,$C42,'DADOS BRUTOS'!AQ$3:AQ$500)))</f>
        <v/>
      </c>
      <c r="DR42" s="132">
        <f>IF(OR(DR$4="",$B42=""),0,SUMIF('DADOS BRUTOS'!$A$3:$A$500,$B42,'DADOS BRUTOS'!AR$3:AR$500)+IF($C42="",0,SUMIF('DADOS BRUTOS'!$A$3:$A$500,$C42,'DADOS BRUTOS'!AR$3:AR$500)))</f>
        <v/>
      </c>
      <c r="DS42" s="132">
        <f>IF(OR(DS$4="",$B42=""),0,SUMIF('DADOS BRUTOS'!$A$3:$A$500,$B42,'DADOS BRUTOS'!AS$3:AS$500)+IF($C42="",0,SUMIF('DADOS BRUTOS'!$A$3:$A$500,$C42,'DADOS BRUTOS'!AS$3:AS$500)))</f>
        <v/>
      </c>
      <c r="DT42" s="132">
        <f>IF(OR(DT$4="",$B42=""),0,SUMIF('DADOS BRUTOS'!$A$3:$A$500,$B42,'DADOS BRUTOS'!AT$3:AT$500)+IF($C42="",0,SUMIF('DADOS BRUTOS'!$A$3:$A$500,$C42,'DADOS BRUTOS'!AT$3:AT$500)))</f>
        <v/>
      </c>
      <c r="DU42" s="132">
        <f>IF(OR(DU$4="",$B42=""),0,SUMIF('DADOS BRUTOS'!$A$3:$A$500,$B42,'DADOS BRUTOS'!AU$3:AU$500)+IF($C42="",0,SUMIF('DADOS BRUTOS'!$A$3:$A$500,$C42,'DADOS BRUTOS'!AU$3:AU$500)))</f>
        <v/>
      </c>
      <c r="DV42" s="132">
        <f>IF(OR(DV$4="",$B42=""),0,SUMIF('DADOS BRUTOS'!$A$3:$A$500,$B42,'DADOS BRUTOS'!AV$3:AV$500)+IF($C42="",0,SUMIF('DADOS BRUTOS'!$A$3:$A$500,$C42,'DADOS BRUTOS'!AV$3:AV$500)))</f>
        <v/>
      </c>
      <c r="DW42" s="132">
        <f>IF(OR(DW$4="",$B42=""),0,SUMIF('DADOS BRUTOS'!$A$3:$A$500,$B42,'DADOS BRUTOS'!AW$3:AW$500)+IF($C42="",0,SUMIF('DADOS BRUTOS'!$A$3:$A$500,$C42,'DADOS BRUTOS'!AW$3:AW$500)))</f>
        <v/>
      </c>
      <c r="DX42" s="132">
        <f>IF(OR(DX$4="",$B42=""),0,SUMIF('DADOS BRUTOS'!$A$3:$A$500,$B42,'DADOS BRUTOS'!AX$3:AX$500)+IF($C42="",0,SUMIF('DADOS BRUTOS'!$A$3:$A$500,$C42,'DADOS BRUTOS'!AX$3:AX$500)))</f>
        <v/>
      </c>
      <c r="DY42" s="132">
        <f>IF(OR(DY$4="",$B42=""),0,SUMIF('DADOS BRUTOS'!$A$3:$A$500,$B42,'DADOS BRUTOS'!AY$3:AY$500)+IF($C42="",0,SUMIF('DADOS BRUTOS'!$A$3:$A$500,$C42,'DADOS BRUTOS'!AY$3:AY$500)))</f>
        <v/>
      </c>
      <c r="DZ42" s="132">
        <f>IF(OR(DZ$4="",$B42=""),0,SUMIF('DADOS BRUTOS'!$A$3:$A$500,$B42,'DADOS BRUTOS'!AZ$3:AZ$500)+IF($C42="",0,SUMIF('DADOS BRUTOS'!$A$3:$A$500,$C42,'DADOS BRUTOS'!AZ$3:AZ$500)))</f>
        <v/>
      </c>
      <c r="EA42" s="132">
        <f>IF(OR(EA$4="",$B42=""),0,SUMIF('DADOS BRUTOS'!$A$3:$A$500,$B42,'DADOS BRUTOS'!BA$3:BA$500)+IF($C42="",0,SUMIF('DADOS BRUTOS'!$A$3:$A$500,$C42,'DADOS BRUTOS'!BA$3:BA$500)))</f>
        <v/>
      </c>
      <c r="EB42" s="132">
        <f>IF(OR(EB$4="",$B42=""),0,SUMIF('DADOS BRUTOS'!$A$3:$A$500,$B42,'DADOS BRUTOS'!BB$3:BB$500)+IF($C42="",0,SUMIF('DADOS BRUTOS'!$A$3:$A$500,$C42,'DADOS BRUTOS'!BB$3:BB$500)))</f>
        <v/>
      </c>
      <c r="EC42" s="132">
        <f>IF(OR(EC$4="",$B42=""),0,SUMIF('DADOS BRUTOS'!$A$3:$A$500,$B42,'DADOS BRUTOS'!BC$3:BC$500)+IF($C42="",0,SUMIF('DADOS BRUTOS'!$A$3:$A$500,$C42,'DADOS BRUTOS'!BC$3:BC$500)))</f>
        <v/>
      </c>
      <c r="ED42" s="132">
        <f>IF(OR(ED$4="",$B42=""),0,SUMIF('DADOS BRUTOS'!$A$3:$A$500,$B42,'DADOS BRUTOS'!BD$3:BD$500)+IF($C42="",0,SUMIF('DADOS BRUTOS'!$A$3:$A$500,$C42,'DADOS BRUTOS'!BD$3:BD$500)))</f>
        <v/>
      </c>
      <c r="EE42" s="132">
        <f>IF(OR(EE$4="",$B42=""),0,SUMIF('DADOS BRUTOS'!$A$3:$A$500,$B42,'DADOS BRUTOS'!BE$3:BE$500)+IF($C42="",0,SUMIF('DADOS BRUTOS'!$A$3:$A$500,$C42,'DADOS BRUTOS'!BE$3:BE$500)))</f>
        <v/>
      </c>
      <c r="EF42" s="132">
        <f>IF(OR(EF$4="",$B42=""),0,SUMIF('DADOS BRUTOS'!$A$3:$A$500,$B42,'DADOS BRUTOS'!BF$3:BF$500)+IF($C42="",0,SUMIF('DADOS BRUTOS'!$A$3:$A$500,$C42,'DADOS BRUTOS'!BF$3:BF$500)))</f>
        <v/>
      </c>
      <c r="EG42" s="132">
        <f>IF(OR(EG$4="",$B42=""),0,SUMIF('DADOS BRUTOS'!$A$3:$A$500,$B42,'DADOS BRUTOS'!BG$3:BG$500)+IF($C42="",0,SUMIF('DADOS BRUTOS'!$A$3:$A$500,$C42,'DADOS BRUTOS'!BG$3:BG$500)))</f>
        <v/>
      </c>
      <c r="EH42" s="132">
        <f>IF(OR(EH$4="",$B42=""),0,SUMIF('DADOS BRUTOS'!$A$3:$A$500,$B42,'DADOS BRUTOS'!BH$3:BH$500)+IF($C42="",0,SUMIF('DADOS BRUTOS'!$A$3:$A$500,$C42,'DADOS BRUTOS'!BH$3:BH$500)))</f>
        <v/>
      </c>
      <c r="EI42" s="132">
        <f>IF(OR(EI$4="",$B42=""),0,SUMIF('DADOS BRUTOS'!$A$3:$A$500,$B42,'DADOS BRUTOS'!BI$3:BI$500)+IF($C42="",0,SUMIF('DADOS BRUTOS'!$A$3:$A$500,$C42,'DADOS BRUTOS'!BI$3:BI$500)))</f>
        <v/>
      </c>
      <c r="EJ42" s="132">
        <f>IF(OR(EJ$4="",$B42=""),0,SUMIF('DADOS BRUTOS'!$A$3:$A$500,$B42,'DADOS BRUTOS'!BJ$3:BJ$500)+IF($C42="",0,SUMIF('DADOS BRUTOS'!$A$3:$A$500,$C42,'DADOS BRUTOS'!BJ$3:BJ$500)))</f>
        <v/>
      </c>
      <c r="EK42" s="132">
        <f>IF(OR(EK$4="",$B42=""),0,SUMIF('DADOS BRUTOS'!$A$3:$A$500,$B42,'DADOS BRUTOS'!BK$3:BK$500)+IF($C42="",0,SUMIF('DADOS BRUTOS'!$A$3:$A$500,$C42,'DADOS BRUTOS'!BK$3:BK$500)))</f>
        <v/>
      </c>
      <c r="EL42" s="132">
        <f>IF(OR(EL$4="",$B42=""),0,SUMIF('DADOS BRUTOS'!$A$3:$A$500,$B42,'DADOS BRUTOS'!BL$3:BL$500)+IF($C42="",0,SUMIF('DADOS BRUTOS'!$A$3:$A$500,$C42,'DADOS BRUTOS'!BL$3:BL$500)))</f>
        <v/>
      </c>
      <c r="EM42" s="132">
        <f>IF(OR(EM$4="",$B42=""),0,SUMIF('DADOS BRUTOS'!$A$3:$A$500,$B42,'DADOS BRUTOS'!BM$3:BM$500)+IF($C42="",0,SUMIF('DADOS BRUTOS'!$A$3:$A$500,$C42,'DADOS BRUTOS'!BM$3:BM$500)))</f>
        <v/>
      </c>
      <c r="EN42" s="132">
        <f>IF(OR(EN$4="",$B42=""),0,SUMIF('DADOS BRUTOS'!$A$3:$A$500,$B42,'DADOS BRUTOS'!BN$3:BN$500)+IF($C42="",0,SUMIF('DADOS BRUTOS'!$A$3:$A$500,$C42,'DADOS BRUTOS'!BN$3:BN$500)))</f>
        <v/>
      </c>
      <c r="EO42" s="132">
        <f>IF(OR(EO$4="",$B42=""),0,SUMIF('DADOS BRUTOS'!$A$3:$A$500,$B42,'DADOS BRUTOS'!BO$3:BO$500)+IF($C42="",0,SUMIF('DADOS BRUTOS'!$A$3:$A$500,$C42,'DADOS BRUTOS'!BO$3:BO$500)))</f>
        <v/>
      </c>
      <c r="EP42" s="132">
        <f>IF(OR(EP$4="",$B42=""),0,SUMIF('DADOS BRUTOS'!$A$3:$A$500,$B42,'DADOS BRUTOS'!BP$3:BP$500)+IF($C42="",0,SUMIF('DADOS BRUTOS'!$A$3:$A$500,$C42,'DADOS BRUTOS'!BP$3:BP$500)))</f>
        <v/>
      </c>
      <c r="EQ42" s="132">
        <f>IF(OR(EQ$4="",$B42=""),0,SUMIF('DADOS BRUTOS'!$A$3:$A$500,$B42,'DADOS BRUTOS'!BQ$3:BQ$500)+IF($C42="",0,SUMIF('DADOS BRUTOS'!$A$3:$A$500,$C42,'DADOS BRUTOS'!BQ$3:BQ$500)))</f>
        <v/>
      </c>
      <c r="ER42" s="132">
        <f>IF(OR(ER$4="",$B42=""),0,SUMIF('DADOS BRUTOS'!$A$3:$A$500,$B42,'DADOS BRUTOS'!BR$3:BR$500)+IF($C42="",0,SUMIF('DADOS BRUTOS'!$A$3:$A$500,$C42,'DADOS BRUTOS'!BR$3:BR$500)))</f>
        <v/>
      </c>
      <c r="ES42" s="132">
        <f>IF(OR(ES$4="",$B42=""),0,SUMIF('DADOS BRUTOS'!$A$3:$A$500,$B42,'DADOS BRUTOS'!BS$3:BS$500)+IF($C42="",0,SUMIF('DADOS BRUTOS'!$A$3:$A$500,$C42,'DADOS BRUTOS'!BS$3:BS$500)))</f>
        <v/>
      </c>
      <c r="ET42" s="132">
        <f>IF(OR(ET$4="",$B42=""),0,SUMIF('DADOS BRUTOS'!$A$3:$A$500,$B42,'DADOS BRUTOS'!BT$3:BT$500)+IF($C42="",0,SUMIF('DADOS BRUTOS'!$A$3:$A$500,$C42,'DADOS BRUTOS'!BT$3:BT$500)))</f>
        <v/>
      </c>
      <c r="EU42" s="132">
        <f>IF(OR(EU$4="",$B42=""),0,SUMIF('DADOS BRUTOS'!$A$3:$A$500,$B42,'DADOS BRUTOS'!BU$3:BU$500)+IF($C42="",0,SUMIF('DADOS BRUTOS'!$A$3:$A$500,$C42,'DADOS BRUTOS'!BU$3:BU$500)))</f>
        <v/>
      </c>
      <c r="EV42" s="132">
        <f>IF(OR(EV$4="",$B42=""),0,SUMIF('DADOS BRUTOS'!$A$3:$A$500,$B42,'DADOS BRUTOS'!BV$3:BV$500)+IF($C42="",0,SUMIF('DADOS BRUTOS'!$A$3:$A$500,$C42,'DADOS BRUTOS'!BV$3:BV$500)))</f>
        <v/>
      </c>
      <c r="EW42" s="132">
        <f>IF(OR(EW$4="",$B42=""),0,SUMIF('DADOS BRUTOS'!$A$3:$A$500,$B42,'DADOS BRUTOS'!BW$3:BW$500)+IF($C42="",0,SUMIF('DADOS BRUTOS'!$A$3:$A$500,$C42,'DADOS BRUTOS'!BW$3:BW$500)))</f>
        <v/>
      </c>
      <c r="EX42" s="132">
        <f>IF(OR(EX$4="",$B42=""),0,SUMIF('DADOS BRUTOS'!$A$3:$A$500,$B42,'DADOS BRUTOS'!BX$3:BX$500)+IF($C42="",0,SUMIF('DADOS BRUTOS'!$A$3:$A$500,$C42,'DADOS BRUTOS'!BX$3:BX$500)))</f>
        <v/>
      </c>
      <c r="EY42" s="132">
        <f>IF(OR(EY$4="",$B42=""),0,SUMIF('DADOS BRUTOS'!$A$3:$A$500,$B42,'DADOS BRUTOS'!BY$3:BY$500)+IF($C42="",0,SUMIF('DADOS BRUTOS'!$A$3:$A$500,$C42,'DADOS BRUTOS'!BY$3:BY$500)))</f>
        <v/>
      </c>
      <c r="EZ42" s="132">
        <f>IF(OR(EZ$4="",$B42=""),0,SUMIF('DADOS BRUTOS'!$A$3:$A$500,$B42,'DADOS BRUTOS'!BZ$3:BZ$500)+IF($C42="",0,SUMIF('DADOS BRUTOS'!$A$3:$A$500,$C42,'DADOS BRUTOS'!BZ$3:BZ$500)))</f>
        <v/>
      </c>
      <c r="FA42" s="132">
        <f>IF(OR(FA$4="",$B42=""),0,SUMIF('DADOS BRUTOS'!$A$3:$A$500,$B42,'DADOS BRUTOS'!CA$3:CA$500)+IF($C42="",0,SUMIF('DADOS BRUTOS'!$A$3:$A$500,$C42,'DADOS BRUTOS'!CA$3:CA$500)))</f>
        <v/>
      </c>
      <c r="FB42" s="132">
        <f>IF(OR(FB$4="",$B42=""),0,SUMIF('DADOS BRUTOS'!$A$3:$A$500,$B42,'DADOS BRUTOS'!CB$3:CB$500)+IF($C42="",0,SUMIF('DADOS BRUTOS'!$A$3:$A$500,$C42,'DADOS BRUTOS'!CB$3:CB$500)))</f>
        <v/>
      </c>
      <c r="FC42" s="132">
        <f>IF(OR(FC$4="",$B42=""),0,SUMIF('DADOS BRUTOS'!$A$3:$A$500,$B42,'DADOS BRUTOS'!CC$3:CC$500)+IF($C42="",0,SUMIF('DADOS BRUTOS'!$A$3:$A$500,$C42,'DADOS BRUTOS'!CC$3:CC$500)))</f>
        <v/>
      </c>
      <c r="FD42" s="132">
        <f>IF(OR(FD$4="",$B42=""),0,SUMIF('DADOS BRUTOS'!$A$3:$A$500,$B42,'DADOS BRUTOS'!CD$3:CD$500)+IF($C42="",0,SUMIF('DADOS BRUTOS'!$A$3:$A$500,$C42,'DADOS BRUTOS'!CD$3:CD$500)))</f>
        <v/>
      </c>
      <c r="FE42" s="132">
        <f>IF(OR(FE$4="",$B42=""),0,SUMIF('DADOS BRUTOS'!$A$3:$A$500,$B42,'DADOS BRUTOS'!CE$3:CE$500)+IF($C42="",0,SUMIF('DADOS BRUTOS'!$A$3:$A$500,$C42,'DADOS BRUTOS'!CE$3:CE$500)))</f>
        <v/>
      </c>
      <c r="FF42" s="132">
        <f>IF(OR(FF$4="",$B42=""),0,SUMIF('DADOS BRUTOS'!$A$3:$A$500,$B42,'DADOS BRUTOS'!CF$3:CF$500)+IF($C42="",0,SUMIF('DADOS BRUTOS'!$A$3:$A$500,$C42,'DADOS BRUTOS'!CF$3:CF$500)))</f>
        <v/>
      </c>
      <c r="FG42" s="132">
        <f>IF(OR(FG$4="",$B42=""),0,SUMIF('DADOS BRUTOS'!$A$3:$A$500,$B42,'DADOS BRUTOS'!CG$3:CG$500)+IF($C42="",0,SUMIF('DADOS BRUTOS'!$A$3:$A$500,$C42,'DADOS BRUTOS'!CG$3:CG$500)))</f>
        <v/>
      </c>
      <c r="FH42" s="132">
        <f>IF(OR(FH$4="",$B42=""),0,SUMIF('DADOS BRUTOS'!$A$3:$A$500,$B42,'DADOS BRUTOS'!CH$3:CH$500)+IF($C42="",0,SUMIF('DADOS BRUTOS'!$A$3:$A$500,$C42,'DADOS BRUTOS'!CH$3:CH$500)))</f>
        <v/>
      </c>
      <c r="FI42" s="132">
        <f>IF(OR(FI$4="",$B42=""),0,SUMIF('DADOS BRUTOS'!$A$3:$A$500,$B42,'DADOS BRUTOS'!CI$3:CI$500)+IF($C42="",0,SUMIF('DADOS BRUTOS'!$A$3:$A$500,$C42,'DADOS BRUTOS'!CI$3:CI$500)))</f>
        <v/>
      </c>
      <c r="FJ42" s="132">
        <f>IF(OR(FJ$4="",$B42=""),0,SUMIF('DADOS BRUTOS'!$A$3:$A$500,$B42,'DADOS BRUTOS'!CJ$3:CJ$500)+IF($C42="",0,SUMIF('DADOS BRUTOS'!$A$3:$A$500,$C42,'DADOS BRUTOS'!CJ$3:CJ$500)))</f>
        <v/>
      </c>
      <c r="FK42" s="132">
        <f>IF(OR(FK$4="",$B42=""),0,SUMIF('DADOS BRUTOS'!$A$3:$A$500,$B42,'DADOS BRUTOS'!CK$3:CK$500)+IF($C42="",0,SUMIF('DADOS BRUTOS'!$A$3:$A$500,$C42,'DADOS BRUTOS'!CK$3:CK$500)))</f>
        <v/>
      </c>
      <c r="FL42" s="132">
        <f>IF(OR(FL$4="",$B42=""),0,SUMIF('DADOS BRUTOS'!$A$3:$A$500,$B42,'DADOS BRUTOS'!CL$3:CL$500)+IF($C42="",0,SUMIF('DADOS BRUTOS'!$A$3:$A$500,$C42,'DADOS BRUTOS'!CL$3:CL$500)))</f>
        <v/>
      </c>
      <c r="FM42" s="132">
        <f>IF(OR(FM$4="",$B42=""),0,SUMIF('DADOS BRUTOS'!$A$3:$A$500,$B42,'DADOS BRUTOS'!CM$3:CM$500)+IF($C42="",0,SUMIF('DADOS BRUTOS'!$A$3:$A$500,$C42,'DADOS BRUTOS'!CM$3:CM$500)))</f>
        <v/>
      </c>
      <c r="FN42" s="132">
        <f>IF(OR(FN$4="",$B42=""),0,SUMIF('DADOS BRUTOS'!$A$3:$A$500,$B42,'DADOS BRUTOS'!CN$3:CN$500)+IF($C42="",0,SUMIF('DADOS BRUTOS'!$A$3:$A$500,$C42,'DADOS BRUTOS'!CN$3:CN$500)))</f>
        <v/>
      </c>
      <c r="FO42" s="132">
        <f>IF(OR(FO$4="",$B42=""),0,SUMIF('DADOS BRUTOS'!$A$3:$A$500,$B42,'DADOS BRUTOS'!CO$3:CO$500)+IF($C42="",0,SUMIF('DADOS BRUTOS'!$A$3:$A$500,$C42,'DADOS BRUTOS'!CO$3:CO$500)))</f>
        <v/>
      </c>
      <c r="FP42" s="132">
        <f>IF(OR(FP$4="",$B42=""),0,SUMIF('DADOS BRUTOS'!$A$3:$A$500,$B42,'DADOS BRUTOS'!CP$3:CP$500)+IF($C42="",0,SUMIF('DADOS BRUTOS'!$A$3:$A$500,$C42,'DADOS BRUTOS'!CP$3:CP$500)))</f>
        <v/>
      </c>
      <c r="FQ42" s="132">
        <f>IF(OR(FQ$4="",$B42=""),0,SUMIF('DADOS BRUTOS'!$A$3:$A$500,$B42,'DADOS BRUTOS'!CQ$3:CQ$500)+IF($C42="",0,SUMIF('DADOS BRUTOS'!$A$3:$A$500,$C42,'DADOS BRUTOS'!CQ$3:CQ$500)))</f>
        <v/>
      </c>
      <c r="FR42" s="132">
        <f>IF(OR(FR$4="",$B42=""),0,SUMIF('DADOS BRUTOS'!$A$3:$A$500,$B42,'DADOS BRUTOS'!CR$3:CR$500)+IF($C42="",0,SUMIF('DADOS BRUTOS'!$A$3:$A$500,$C42,'DADOS BRUTOS'!CR$3:CR$500)))</f>
        <v/>
      </c>
      <c r="FS42" s="132">
        <f>IF(OR(FS$4="",$B42=""),0,SUMIF('DADOS BRUTOS'!$A$3:$A$500,$B42,'DADOS BRUTOS'!CS$3:CS$500)+IF($C42="",0,SUMIF('DADOS BRUTOS'!$A$3:$A$500,$C42,'DADOS BRUTOS'!CS$3:CS$500)))</f>
        <v/>
      </c>
      <c r="FT42" s="132">
        <f>IF(OR(FT$4="",$B42=""),0,SUMIF('DADOS BRUTOS'!$A$3:$A$500,$B42,'DADOS BRUTOS'!CT$3:CT$500)+IF($C42="",0,SUMIF('DADOS BRUTOS'!$A$3:$A$500,$C42,'DADOS BRUTOS'!CT$3:CT$500)))</f>
        <v/>
      </c>
      <c r="FU42" s="132">
        <f>IF(OR(FU$4="",$B42=""),0,SUMIF('DADOS BRUTOS'!$A$3:$A$500,$B42,'DADOS BRUTOS'!CU$3:CU$500)+IF($C42="",0,SUMIF('DADOS BRUTOS'!$A$3:$A$500,$C42,'DADOS BRUTOS'!CU$3:CU$500)))</f>
        <v/>
      </c>
      <c r="FV42" s="132">
        <f>IF(OR(FV$4="",$B42=""),0,SUMIF('DADOS BRUTOS'!$A$3:$A$500,$B42,'DADOS BRUTOS'!CV$3:CV$500)+IF($C42="",0,SUMIF('DADOS BRUTOS'!$A$3:$A$500,$C42,'DADOS BRUTOS'!CV$3:CV$500)))</f>
        <v/>
      </c>
      <c r="FW42" s="132">
        <f>IF(OR(FW$4="",$B42=""),0,SUMIF('DADOS BRUTOS'!$A$3:$A$500,$B42,'DADOS BRUTOS'!CW$3:CW$500)+IF($C42="",0,SUMIF('DADOS BRUTOS'!$A$3:$A$500,$C42,'DADOS BRUTOS'!CW$3:CW$500)))</f>
        <v/>
      </c>
      <c r="FX42" s="132">
        <f>IF(OR(FX$4="",$B42=""),0,SUMIF('DADOS BRUTOS'!$A$3:$A$500,$B42,'DADOS BRUTOS'!CX$3:CX$500)+IF($C42="",0,SUMIF('DADOS BRUTOS'!$A$3:$A$500,$C42,'DADOS BRUTOS'!CX$3:CX$500)))</f>
        <v/>
      </c>
      <c r="FY42" s="132">
        <f>IF(OR(FY$4="",$B42=""),0,SUMIF('DADOS BRUTOS'!$A$3:$A$500,$B42,'DADOS BRUTOS'!CY$3:CY$500)+IF($C42="",0,SUMIF('DADOS BRUTOS'!$A$3:$A$500,$C42,'DADOS BRUTOS'!CY$3:CY$500)))</f>
        <v/>
      </c>
      <c r="FZ42" s="132">
        <f>IF(OR(FZ$4="",$B42=""),0,SUMIF('DADOS BRUTOS'!$A$3:$A$500,$B42,'DADOS BRUTOS'!CZ$3:CZ$500)+IF($C42="",0,SUMIF('DADOS BRUTOS'!$A$3:$A$500,$C42,'DADOS BRUTOS'!CZ$3:CZ$500)))</f>
        <v/>
      </c>
      <c r="GA42" s="132">
        <f>IF(OR(GA$4="",$B42=""),0,SUMIF('DADOS BRUTOS'!$A$3:$A$500,$B42,'DADOS BRUTOS'!DA$3:DA$500)+IF($C42="",0,SUMIF('DADOS BRUTOS'!$A$3:$A$500,$C42,'DADOS BRUTOS'!DA$3:DA$500)))</f>
        <v/>
      </c>
      <c r="GB42" s="132">
        <f>IF(OR(GB$4="",$B42=""),0,SUMIF('DADOS BRUTOS'!$A$3:$A$500,$B42,'DADOS BRUTOS'!DB$3:DB$500)+IF($C42="",0,SUMIF('DADOS BRUTOS'!$A$3:$A$500,$C42,'DADOS BRUTOS'!DB$3:DB$500)))</f>
        <v/>
      </c>
      <c r="GC42" s="132">
        <f>IF(OR(GC$4="",$B42=""),0,SUMIF('DADOS BRUTOS'!$A$3:$A$500,$B42,'DADOS BRUTOS'!DC$3:DC$500)+IF($C42="",0,SUMIF('DADOS BRUTOS'!$A$3:$A$500,$C42,'DADOS BRUTOS'!DC$3:DC$500)))</f>
        <v/>
      </c>
      <c r="GD42" s="132">
        <f>IF(OR(GD$4="",$B42=""),0,SUMIF('DADOS BRUTOS'!$A$3:$A$500,$B42,'DADOS BRUTOS'!DD$3:DD$500)+IF($C42="",0,SUMIF('DADOS BRUTOS'!$A$3:$A$500,$C42,'DADOS BRUTOS'!DD$3:DD$500)))</f>
        <v/>
      </c>
      <c r="GE42" s="132">
        <f>IF(OR(GE$4="",$B42=""),0,SUMIF('DADOS BRUTOS'!$A$3:$A$500,$B42,'DADOS BRUTOS'!DE$3:DE$500)+IF($C42="",0,SUMIF('DADOS BRUTOS'!$A$3:$A$500,$C42,'DADOS BRUTOS'!DE$3:DE$500)))</f>
        <v/>
      </c>
      <c r="GF42" s="132">
        <f>IF(OR(GF$4="",$B42=""),0,SUMIF('DADOS BRUTOS'!$A$3:$A$500,$B42,'DADOS BRUTOS'!DF$3:DF$500)+IF($C42="",0,SUMIF('DADOS BRUTOS'!$A$3:$A$500,$C42,'DADOS BRUTOS'!DF$3:DF$500)))</f>
        <v/>
      </c>
      <c r="GG42" s="132">
        <f>IF(OR(GG$4="",$B42=""),0,SUMIF('DADOS BRUTOS'!$A$3:$A$500,$B42,'DADOS BRUTOS'!DG$3:DG$500)+IF($C42="",0,SUMIF('DADOS BRUTOS'!$A$3:$A$500,$C42,'DADOS BRUTOS'!DG$3:DG$500)))</f>
        <v/>
      </c>
      <c r="GH42" s="132">
        <f>IF(OR(GH$4="",$B42=""),0,SUMIF('DADOS BRUTOS'!$A$3:$A$500,$B42,'DADOS BRUTOS'!DH$3:DH$500)+IF($C42="",0,SUMIF('DADOS BRUTOS'!$A$3:$A$500,$C42,'DADOS BRUTOS'!DH$3:DH$500)))</f>
        <v/>
      </c>
      <c r="GI42" s="132">
        <f>IF(OR(GI$4="",$B42=""),0,SUMIF('DADOS BRUTOS'!$A$3:$A$500,$B42,'DADOS BRUTOS'!DI$3:DI$500)+IF($C42="",0,SUMIF('DADOS BRUTOS'!$A$3:$A$500,$C42,'DADOS BRUTOS'!DI$3:DI$500)))</f>
        <v/>
      </c>
      <c r="GJ42" s="132">
        <f>IF(OR(GJ$4="",$B42=""),0,SUMIF('DADOS BRUTOS'!$A$3:$A$500,$B42,'DADOS BRUTOS'!DJ$3:DJ$500)+IF($C42="",0,SUMIF('DADOS BRUTOS'!$A$3:$A$500,$C42,'DADOS BRUTOS'!DJ$3:DJ$500)))</f>
        <v/>
      </c>
      <c r="GK42" s="132">
        <f>IF(OR(GK$4="",$B42=""),0,SUMIF('DADOS BRUTOS'!$A$3:$A$500,$B42,'DADOS BRUTOS'!DK$3:DK$500)+IF($C42="",0,SUMIF('DADOS BRUTOS'!$A$3:$A$500,$C42,'DADOS BRUTOS'!DK$3:DK$500)))</f>
        <v/>
      </c>
      <c r="GL42" s="132">
        <f>IF(OR(GL$4="",$B42=""),0,SUMIF('DADOS BRUTOS'!$A$3:$A$500,$B42,'DADOS BRUTOS'!DL$3:DL$500)+IF($C42="",0,SUMIF('DADOS BRUTOS'!$A$3:$A$500,$C42,'DADOS BRUTOS'!DL$3:DL$500)))</f>
        <v/>
      </c>
      <c r="GM42" s="132">
        <f>IF(OR(GM$4="",$B42=""),0,SUMIF('DADOS BRUTOS'!$A$3:$A$500,$B42,'DADOS BRUTOS'!DM$3:DM$500)+IF($C42="",0,SUMIF('DADOS BRUTOS'!$A$3:$A$500,$C42,'DADOS BRUTOS'!DM$3:DM$500)))</f>
        <v/>
      </c>
      <c r="GN42" s="132">
        <f>IF(OR(GN$4="",$B42=""),0,SUMIF('DADOS BRUTOS'!$A$3:$A$500,$B42,'DADOS BRUTOS'!DN$3:DN$500)+IF($C42="",0,SUMIF('DADOS BRUTOS'!$A$3:$A$500,$C42,'DADOS BRUTOS'!DN$3:DN$500)))</f>
        <v/>
      </c>
      <c r="GO42" s="132">
        <f>IF(OR(GO$4="",$B42=""),0,SUMIF('DADOS BRUTOS'!$A$3:$A$500,$B42,'DADOS BRUTOS'!DO$3:DO$500)+IF($C42="",0,SUMIF('DADOS BRUTOS'!$A$3:$A$500,$C42,'DADOS BRUTOS'!DO$3:DO$500)))</f>
        <v/>
      </c>
      <c r="GP42" s="132">
        <f>IF(OR(GP$4="",$B42=""),0,SUMIF('DADOS BRUTOS'!$A$3:$A$500,$B42,'DADOS BRUTOS'!DP$3:DP$500)+IF($C42="",0,SUMIF('DADOS BRUTOS'!$A$3:$A$500,$C42,'DADOS BRUTOS'!DP$3:DP$500)))</f>
        <v/>
      </c>
      <c r="GQ42" s="132">
        <f>IF(OR(GQ$4="",$B42=""),0,SUMIF('DADOS BRUTOS'!$A$3:$A$500,$B42,'DADOS BRUTOS'!DQ$3:DQ$500)+IF($C42="",0,SUMIF('DADOS BRUTOS'!$A$3:$A$500,$C42,'DADOS BRUTOS'!DQ$3:DQ$500)))</f>
        <v/>
      </c>
      <c r="GR42" s="132">
        <f>IF(OR(GR$4="",$B42=""),0,SUMIF('DADOS BRUTOS'!$A$3:$A$500,$B42,'DADOS BRUTOS'!DR$3:DR$500)+IF($C42="",0,SUMIF('DADOS BRUTOS'!$A$3:$A$500,$C42,'DADOS BRUTOS'!DR$3:DR$500)))</f>
        <v/>
      </c>
      <c r="GS42" s="132">
        <f>IF(OR(GS$4="",$B42=""),0,SUMIF('DADOS BRUTOS'!$A$3:$A$500,$B42,'DADOS BRUTOS'!DS$3:DS$500)+IF($C42="",0,SUMIF('DADOS BRUTOS'!$A$3:$A$500,$C42,'DADOS BRUTOS'!DS$3:DS$500)))</f>
        <v/>
      </c>
      <c r="GT42" s="132">
        <f>IF(OR(GT$4="",$B42=""),0,SUMIF('DADOS BRUTOS'!$A$3:$A$500,$B42,'DADOS BRUTOS'!DT$3:DT$500)+IF($C42="",0,SUMIF('DADOS BRUTOS'!$A$3:$A$500,$C42,'DADOS BRUTOS'!DT$3:DT$500)))</f>
        <v/>
      </c>
      <c r="GU42" s="132">
        <f>IF(OR(GU$4="",$B42=""),0,SUMIF('DADOS BRUTOS'!$A$3:$A$500,$B42,'DADOS BRUTOS'!DU$3:DU$500)+IF($C42="",0,SUMIF('DADOS BRUTOS'!$A$3:$A$500,$C42,'DADOS BRUTOS'!DU$3:DU$500)))</f>
        <v/>
      </c>
      <c r="GV42" s="132">
        <f>IF(OR(GV$4="",$B42=""),0,SUMIF('DADOS BRUTOS'!$A$3:$A$500,$B42,'DADOS BRUTOS'!DV$3:DV$500)+IF($C42="",0,SUMIF('DADOS BRUTOS'!$A$3:$A$500,$C42,'DADOS BRUTOS'!DV$3:DV$500)))</f>
        <v/>
      </c>
      <c r="GW42" s="132">
        <f>IF(OR(GW$4="",$B42=""),0,SUMIF('DADOS BRUTOS'!$A$3:$A$500,$B42,'DADOS BRUTOS'!DW$3:DW$500)+IF($C42="",0,SUMIF('DADOS BRUTOS'!$A$3:$A$500,$C42,'DADOS BRUTOS'!DW$3:DW$500)))</f>
        <v/>
      </c>
      <c r="GX42" s="132">
        <f>IF(OR(GX$4="",$B42=""),0,SUMIF('DADOS BRUTOS'!$A$3:$A$500,$B42,'DADOS BRUTOS'!DX$3:DX$500)+IF($C42="",0,SUMIF('DADOS BRUTOS'!$A$3:$A$500,$C42,'DADOS BRUTOS'!DX$3:DX$500)))</f>
        <v/>
      </c>
      <c r="GY42" s="132">
        <f>IF(OR(GY$4="",$B42=""),0,SUMIF('DADOS BRUTOS'!$A$3:$A$500,$B42,'DADOS BRUTOS'!DY$3:DY$500)+IF($C42="",0,SUMIF('DADOS BRUTOS'!$A$3:$A$500,$C42,'DADOS BRUTOS'!DY$3:DY$500)))</f>
        <v/>
      </c>
      <c r="GZ42" s="132">
        <f>IF(OR(GZ$4="",$B42=""),0,SUMIF('DADOS BRUTOS'!$A$3:$A$500,$B42,'DADOS BRUTOS'!DZ$3:DZ$500)+IF($C42="",0,SUMIF('DADOS BRUTOS'!$A$3:$A$500,$C42,'DADOS BRUTOS'!DZ$3:DZ$500)))</f>
        <v/>
      </c>
      <c r="HA42" s="132">
        <f>IF(OR(HA$4="",$B42=""),0,SUMIF('DADOS BRUTOS'!$A$3:$A$500,$B42,'DADOS BRUTOS'!EA$3:EA$500)+IF($C42="",0,SUMIF('DADOS BRUTOS'!$A$3:$A$500,$C42,'DADOS BRUTOS'!EA$3:EA$500)))</f>
        <v/>
      </c>
      <c r="HB42" s="132">
        <f>IF(OR(HB$4="",$B42=""),0,SUMIF('DADOS BRUTOS'!$A$3:$A$500,$B42,'DADOS BRUTOS'!EB$3:EB$500)+IF($C42="",0,SUMIF('DADOS BRUTOS'!$A$3:$A$500,$C42,'DADOS BRUTOS'!EB$3:EB$500)))</f>
        <v/>
      </c>
      <c r="HC42" s="132">
        <f>IF(OR(HC$4="",$B42=""),0,SUMIF('DADOS BRUTOS'!$A$3:$A$500,$B42,'DADOS BRUTOS'!EC$3:EC$500)+IF($C42="",0,SUMIF('DADOS BRUTOS'!$A$3:$A$500,$C42,'DADOS BRUTOS'!EC$3:EC$500)))</f>
        <v/>
      </c>
      <c r="HD42" s="132">
        <f>IF(OR(HD$4="",$B42=""),0,SUMIF('DADOS BRUTOS'!$A$3:$A$500,$B42,'DADOS BRUTOS'!ED$3:ED$500)+IF($C42="",0,SUMIF('DADOS BRUTOS'!$A$3:$A$500,$C42,'DADOS BRUTOS'!ED$3:ED$500)))</f>
        <v/>
      </c>
      <c r="HE42" s="132">
        <f>IF(OR(HE$4="",$B42=""),0,SUMIF('DADOS BRUTOS'!$A$3:$A$500,$B42,'DADOS BRUTOS'!EE$3:EE$500)+IF($C42="",0,SUMIF('DADOS BRUTOS'!$A$3:$A$500,$C42,'DADOS BRUTOS'!EE$3:EE$500)))</f>
        <v/>
      </c>
      <c r="HF42" s="132">
        <f>IF(OR(HF$4="",$B42=""),0,SUMIF('DADOS BRUTOS'!$A$3:$A$500,$B42,'DADOS BRUTOS'!EF$3:EF$500)+IF($C42="",0,SUMIF('DADOS BRUTOS'!$A$3:$A$500,$C42,'DADOS BRUTOS'!EF$3:EF$500)))</f>
        <v/>
      </c>
      <c r="HG42" s="132">
        <f>IF(OR(HG$4="",$B42=""),0,SUMIF('DADOS BRUTOS'!$A$3:$A$500,$B42,'DADOS BRUTOS'!EG$3:EG$500)+IF($C42="",0,SUMIF('DADOS BRUTOS'!$A$3:$A$500,$C42,'DADOS BRUTOS'!EG$3:EG$500)))</f>
        <v/>
      </c>
      <c r="HH42" s="132">
        <f>IF(OR(HH$4="",$B42=""),0,SUMIF('DADOS BRUTOS'!$A$3:$A$500,$B42,'DADOS BRUTOS'!EH$3:EH$500)+IF($C42="",0,SUMIF('DADOS BRUTOS'!$A$3:$A$500,$C42,'DADOS BRUTOS'!EH$3:EH$500)))</f>
        <v/>
      </c>
      <c r="HI42" s="132">
        <f>IF(OR(HI$4="",$B42=""),0,SUMIF('DADOS BRUTOS'!$A$3:$A$500,$B42,'DADOS BRUTOS'!EI$3:EI$500)+IF($C42="",0,SUMIF('DADOS BRUTOS'!$A$3:$A$500,$C42,'DADOS BRUTOS'!EI$3:EI$500)))</f>
        <v/>
      </c>
      <c r="HJ42" s="132">
        <f>IF(OR(HJ$4="",$B42=""),0,SUMIF('DADOS BRUTOS'!$A$3:$A$500,$B42,'DADOS BRUTOS'!EJ$3:EJ$500)+IF($C42="",0,SUMIF('DADOS BRUTOS'!$A$3:$A$500,$C42,'DADOS BRUTOS'!EJ$3:EJ$500)))</f>
        <v/>
      </c>
      <c r="HK42" s="132">
        <f>IF(OR(HK$4="",$B42=""),0,SUMIF('DADOS BRUTOS'!$A$3:$A$500,$B42,'DADOS BRUTOS'!EK$3:EK$500)+IF($C42="",0,SUMIF('DADOS BRUTOS'!$A$3:$A$500,$C42,'DADOS BRUTOS'!EK$3:EK$500)))</f>
        <v/>
      </c>
      <c r="HL42" s="132">
        <f>IF(OR(HL$4="",$B42=""),0,SUMIF('DADOS BRUTOS'!$A$3:$A$500,$B42,'DADOS BRUTOS'!EL$3:EL$500)+IF($C42="",0,SUMIF('DADOS BRUTOS'!$A$3:$A$500,$C42,'DADOS BRUTOS'!EL$3:EL$500)))</f>
        <v/>
      </c>
      <c r="HM42" s="132">
        <f>IF(OR(HM$4="",$B42=""),0,SUMIF('DADOS BRUTOS'!$A$3:$A$500,$B42,'DADOS BRUTOS'!EM$3:EM$500)+IF($C42="",0,SUMIF('DADOS BRUTOS'!$A$3:$A$500,$C42,'DADOS BRUTOS'!EM$3:EM$500)))</f>
        <v/>
      </c>
      <c r="HN42" s="132">
        <f>IF(OR(HN$4="",$B42=""),0,SUMIF('DADOS BRUTOS'!$A$3:$A$500,$B42,'DADOS BRUTOS'!EN$3:EN$500)+IF($C42="",0,SUMIF('DADOS BRUTOS'!$A$3:$A$500,$C42,'DADOS BRUTOS'!EN$3:EN$500)))</f>
        <v/>
      </c>
      <c r="HO42" s="132">
        <f>IF(OR(HO$4="",$B42=""),0,SUMIF('DADOS BRUTOS'!$A$3:$A$500,$B42,'DADOS BRUTOS'!EO$3:EO$500)+IF($C42="",0,SUMIF('DADOS BRUTOS'!$A$3:$A$500,$C42,'DADOS BRUTOS'!EO$3:EO$500)))</f>
        <v/>
      </c>
      <c r="HP42" s="132">
        <f>IF(OR(HP$4="",$B42=""),0,SUMIF('DADOS BRUTOS'!$A$3:$A$500,$B42,'DADOS BRUTOS'!EP$3:EP$500)+IF($C42="",0,SUMIF('DADOS BRUTOS'!$A$3:$A$500,$C42,'DADOS BRUTOS'!EP$3:EP$500)))</f>
        <v/>
      </c>
      <c r="HQ42" s="132">
        <f>IF(OR(HQ$4="",$B42=""),0,SUMIF('DADOS BRUTOS'!$A$3:$A$500,$B42,'DADOS BRUTOS'!EQ$3:EQ$500)+IF($C42="",0,SUMIF('DADOS BRUTOS'!$A$3:$A$500,$C42,'DADOS BRUTOS'!EQ$3:EQ$500)))</f>
        <v/>
      </c>
      <c r="HR42" s="132">
        <f>IF(OR(HR$4="",$B42=""),0,SUMIF('DADOS BRUTOS'!$A$3:$A$500,$B42,'DADOS BRUTOS'!ER$3:ER$500)+IF($C42="",0,SUMIF('DADOS BRUTOS'!$A$3:$A$500,$C42,'DADOS BRUTOS'!ER$3:ER$500)))</f>
        <v/>
      </c>
      <c r="HS42" s="132">
        <f>IF(OR(HS$4="",$B42=""),0,SUMIF('DADOS BRUTOS'!$A$3:$A$500,$B42,'DADOS BRUTOS'!ES$3:ES$500)+IF($C42="",0,SUMIF('DADOS BRUTOS'!$A$3:$A$500,$C42,'DADOS BRUTOS'!ES$3:ES$500)))</f>
        <v/>
      </c>
      <c r="HT42" s="132">
        <f>IF(OR(HT$4="",$B42=""),0,SUMIF('DADOS BRUTOS'!$A$3:$A$500,$B42,'DADOS BRUTOS'!ET$3:ET$500)+IF($C42="",0,SUMIF('DADOS BRUTOS'!$A$3:$A$500,$C42,'DADOS BRUTOS'!ET$3:ET$500)))</f>
        <v/>
      </c>
      <c r="HU42" s="132">
        <f>IF(OR(HU$4="",$B42=""),0,SUMIF('DADOS BRUTOS'!$A$3:$A$500,$B42,'DADOS BRUTOS'!EU$3:EU$500)+IF($C42="",0,SUMIF('DADOS BRUTOS'!$A$3:$A$500,$C42,'DADOS BRUTOS'!EU$3:EU$500)))</f>
        <v/>
      </c>
      <c r="HV42" s="132">
        <f>IF(OR(HV$4="",$B42=""),0,SUMIF('DADOS BRUTOS'!$A$3:$A$500,$B42,'DADOS BRUTOS'!EV$3:EV$500)+IF($C42="",0,SUMIF('DADOS BRUTOS'!$A$3:$A$500,$C42,'DADOS BRUTOS'!EV$3:EV$500)))</f>
        <v/>
      </c>
      <c r="HW42" s="132">
        <f>IF(OR(HW$4="",$B42=""),0,SUMIF('DADOS BRUTOS'!$A$3:$A$500,$B42,'DADOS BRUTOS'!EW$3:EW$500)+IF($C42="",0,SUMIF('DADOS BRUTOS'!$A$3:$A$500,$C42,'DADOS BRUTOS'!EW$3:EW$500)))</f>
        <v/>
      </c>
      <c r="HX42" s="132">
        <f>IF(OR(HX$4="",$B42=""),0,SUMIF('DADOS BRUTOS'!$A$3:$A$500,$B42,'DADOS BRUTOS'!EX$3:EX$500)+IF($C42="",0,SUMIF('DADOS BRUTOS'!$A$3:$A$500,$C42,'DADOS BRUTOS'!EX$3:EX$500)))</f>
        <v/>
      </c>
      <c r="HY42" s="132">
        <f>IF(OR(HY$4="",$B42=""),0,SUMIF('DADOS BRUTOS'!$A$3:$A$500,$B42,'DADOS BRUTOS'!EY$3:EY$500)+IF($C42="",0,SUMIF('DADOS BRUTOS'!$A$3:$A$500,$C42,'DADOS BRUTOS'!EY$3:EY$500)))</f>
        <v/>
      </c>
      <c r="HZ42" s="132">
        <f>IF(OR(HZ$4="",$B42=""),0,SUMIF('DADOS BRUTOS'!$A$3:$A$500,$B42,'DADOS BRUTOS'!EZ$3:EZ$500)+IF($C42="",0,SUMIF('DADOS BRUTOS'!$A$3:$A$500,$C42,'DADOS BRUTOS'!EZ$3:EZ$500)))</f>
        <v/>
      </c>
      <c r="IA42" s="132">
        <f>IF(OR(IA$4="",$B42=""),0,SUMIF('DADOS BRUTOS'!$A$3:$A$500,$B42,'DADOS BRUTOS'!FA$3:FA$500)+IF($C42="",0,SUMIF('DADOS BRUTOS'!$A$3:$A$500,$C42,'DADOS BRUTOS'!FA$3:FA$500)))</f>
        <v/>
      </c>
      <c r="IB42" s="132">
        <f>IF(OR(IB$4="",$B42=""),0,SUMIF('DADOS BRUTOS'!$A$3:$A$500,$B42,'DADOS BRUTOS'!FB$3:FB$500)+IF($C42="",0,SUMIF('DADOS BRUTOS'!$A$3:$A$500,$C42,'DADOS BRUTOS'!FB$3:FB$500)))</f>
        <v/>
      </c>
      <c r="IC42" s="132">
        <f>IF(OR(IC$4="",$B42=""),0,SUMIF('DADOS BRUTOS'!$A$3:$A$500,$B42,'DADOS BRUTOS'!FC$3:FC$500)+IF($C42="",0,SUMIF('DADOS BRUTOS'!$A$3:$A$500,$C42,'DADOS BRUTOS'!FC$3:FC$500)))</f>
        <v/>
      </c>
      <c r="ID42" s="132">
        <f>IF(OR(ID$4="",$B42=""),0,SUMIF('DADOS BRUTOS'!$A$3:$A$500,$B42,'DADOS BRUTOS'!FD$3:FD$500)+IF($C42="",0,SUMIF('DADOS BRUTOS'!$A$3:$A$500,$C42,'DADOS BRUTOS'!FD$3:FD$500)))</f>
        <v/>
      </c>
      <c r="IE42" s="132">
        <f>IF(OR(IE$4="",$B42=""),0,SUMIF('DADOS BRUTOS'!$A$3:$A$500,$B42,'DADOS BRUTOS'!FE$3:FE$500)+IF($C42="",0,SUMIF('DADOS BRUTOS'!$A$3:$A$500,$C42,'DADOS BRUTOS'!FE$3:FE$500)))</f>
        <v/>
      </c>
      <c r="IF42" s="132">
        <f>IF(OR(IF$4="",$B42=""),0,SUMIF('DADOS BRUTOS'!$A$3:$A$500,$B42,'DADOS BRUTOS'!FF$3:FF$500)+IF($C42="",0,SUMIF('DADOS BRUTOS'!$A$3:$A$500,$C42,'DADOS BRUTOS'!FF$3:FF$500)))</f>
        <v/>
      </c>
      <c r="IG42" s="132">
        <f>IF(OR(IG$4="",$B42=""),0,SUMIF('DADOS BRUTOS'!$A$3:$A$500,$B42,'DADOS BRUTOS'!FG$3:FG$500)+IF($C42="",0,SUMIF('DADOS BRUTOS'!$A$3:$A$500,$C42,'DADOS BRUTOS'!FG$3:FG$500)))</f>
        <v/>
      </c>
      <c r="IH42" s="132">
        <f>IF(OR(IH$4="",$B42=""),0,SUMIF('DADOS BRUTOS'!$A$3:$A$500,$B42,'DADOS BRUTOS'!FH$3:FH$500)+IF($C42="",0,SUMIF('DADOS BRUTOS'!$A$3:$A$500,$C42,'DADOS BRUTOS'!FH$3:FH$500)))</f>
        <v/>
      </c>
      <c r="II42" s="132">
        <f>IF(OR(II$4="",$B42=""),0,SUMIF('DADOS BRUTOS'!$A$3:$A$500,$B42,'DADOS BRUTOS'!FI$3:FI$500)+IF($C42="",0,SUMIF('DADOS BRUTOS'!$A$3:$A$500,$C42,'DADOS BRUTOS'!FI$3:FI$500)))</f>
        <v/>
      </c>
      <c r="IJ42" s="132">
        <f>IF(OR(IJ$4="",$B42=""),0,SUMIF('DADOS BRUTOS'!$A$3:$A$500,$B42,'DADOS BRUTOS'!FJ$3:FJ$500)+IF($C42="",0,SUMIF('DADOS BRUTOS'!$A$3:$A$500,$C42,'DADOS BRUTOS'!FJ$3:FJ$500)))</f>
        <v/>
      </c>
      <c r="IK42" s="132">
        <f>IF(OR(IK$4="",$B42=""),0,SUMIF('DADOS BRUTOS'!$A$3:$A$500,$B42,'DADOS BRUTOS'!FK$3:FK$500)+IF($C42="",0,SUMIF('DADOS BRUTOS'!$A$3:$A$500,$C42,'DADOS BRUTOS'!FK$3:FK$500)))</f>
        <v/>
      </c>
      <c r="IL42" s="132">
        <f>IF(OR(IL$4="",$B42=""),0,SUMIF('DADOS BRUTOS'!$A$3:$A$500,$B42,'DADOS BRUTOS'!FL$3:FL$500)+IF($C42="",0,SUMIF('DADOS BRUTOS'!$A$3:$A$500,$C42,'DADOS BRUTOS'!FL$3:FL$500)))</f>
        <v/>
      </c>
      <c r="IM42" s="132">
        <f>IF(OR(IM$4="",$B42=""),0,SUMIF('DADOS BRUTOS'!$A$3:$A$500,$B42,'DADOS BRUTOS'!FM$3:FM$500)+IF($C42="",0,SUMIF('DADOS BRUTOS'!$A$3:$A$500,$C42,'DADOS BRUTOS'!FM$3:FM$500)))</f>
        <v/>
      </c>
      <c r="IN42" s="132">
        <f>IF(OR(IN$4="",$B42=""),0,SUMIF('DADOS BRUTOS'!$A$3:$A$500,$B42,'DADOS BRUTOS'!FN$3:FN$500)+IF($C42="",0,SUMIF('DADOS BRUTOS'!$A$3:$A$500,$C42,'DADOS BRUTOS'!FN$3:FN$500)))</f>
        <v/>
      </c>
      <c r="IO42" s="132">
        <f>IF(OR(IO$4="",$B42=""),0,SUMIF('DADOS BRUTOS'!$A$3:$A$500,$B42,'DADOS BRUTOS'!FO$3:FO$500)+IF($C42="",0,SUMIF('DADOS BRUTOS'!$A$3:$A$500,$C42,'DADOS BRUTOS'!FO$3:FO$500)))</f>
        <v/>
      </c>
      <c r="IP42" s="132">
        <f>IF(OR(IP$4="",$B42=""),0,SUMIF('DADOS BRUTOS'!$A$3:$A$500,$B42,'DADOS BRUTOS'!FP$3:FP$500)+IF($C42="",0,SUMIF('DADOS BRUTOS'!$A$3:$A$500,$C42,'DADOS BRUTOS'!FP$3:FP$500)))</f>
        <v/>
      </c>
      <c r="IQ42" s="132">
        <f>IF(OR(IQ$4="",$B42=""),0,SUMIF('DADOS BRUTOS'!$A$3:$A$500,$B42,'DADOS BRUTOS'!FQ$3:FQ$500)+IF($C42="",0,SUMIF('DADOS BRUTOS'!$A$3:$A$500,$C42,'DADOS BRUTOS'!FQ$3:FQ$500)))</f>
        <v/>
      </c>
      <c r="IR42" s="132">
        <f>IF(OR(IR$4="",$B42=""),0,SUMIF('DADOS BRUTOS'!$A$3:$A$500,$B42,'DADOS BRUTOS'!FR$3:FR$500)+IF($C42="",0,SUMIF('DADOS BRUTOS'!$A$3:$A$500,$C42,'DADOS BRUTOS'!FR$3:FR$500)))</f>
        <v/>
      </c>
      <c r="IS42" s="132">
        <f>IF(OR(IS$4="",$B42=""),0,SUMIF('DADOS BRUTOS'!$A$3:$A$500,$B42,'DADOS BRUTOS'!FS$3:FS$500)+IF($C42="",0,SUMIF('DADOS BRUTOS'!$A$3:$A$500,$C42,'DADOS BRUTOS'!FS$3:FS$500)))</f>
        <v/>
      </c>
      <c r="IT42" s="132">
        <f>IF(OR(IT$4="",$B42=""),0,SUMIF('DADOS BRUTOS'!$A$3:$A$500,$B42,'DADOS BRUTOS'!FT$3:FT$500)+IF($C42="",0,SUMIF('DADOS BRUTOS'!$A$3:$A$500,$C42,'DADOS BRUTOS'!FT$3:FT$500)))</f>
        <v/>
      </c>
      <c r="IU42" s="132">
        <f>IF(OR(IU$4="",$B42=""),0,SUMIF('DADOS BRUTOS'!$A$3:$A$500,$B42,'DADOS BRUTOS'!FU$3:FU$500)+IF($C42="",0,SUMIF('DADOS BRUTOS'!$A$3:$A$500,$C42,'DADOS BRUTOS'!FU$3:FU$500)))</f>
        <v/>
      </c>
      <c r="IV42" s="132">
        <f>IF(OR(IV$4="",$B42=""),0,SUMIF('DADOS BRUTOS'!$A$3:$A$500,$B42,'DADOS BRUTOS'!FV$3:FV$500)+IF($C42="",0,SUMIF('DADOS BRUTOS'!$A$3:$A$500,$C42,'DADOS BRUTOS'!FV$3:FV$500)))</f>
        <v/>
      </c>
      <c r="IW42" s="132">
        <f>IF(OR(IW$4="",$B42=""),0,SUMIF('DADOS BRUTOS'!$A$3:$A$500,$B42,'DADOS BRUTOS'!FW$3:FW$500)+IF($C42="",0,SUMIF('DADOS BRUTOS'!$A$3:$A$500,$C42,'DADOS BRUTOS'!FW$3:FW$500)))</f>
        <v/>
      </c>
      <c r="IX42" s="132">
        <f>IF(OR(IX$4="",$B42=""),0,SUMIF('DADOS BRUTOS'!$A$3:$A$500,$B42,'DADOS BRUTOS'!FX$3:FX$500)+IF($C42="",0,SUMIF('DADOS BRUTOS'!$A$3:$A$500,$C42,'DADOS BRUTOS'!FX$3:FX$500)))</f>
        <v/>
      </c>
      <c r="IY42" s="132">
        <f>IF(OR(IY$4="",$B42=""),0,SUMIF('DADOS BRUTOS'!$A$3:$A$500,$B42,'DADOS BRUTOS'!FY$3:FY$500)+IF($C42="",0,SUMIF('DADOS BRUTOS'!$A$3:$A$500,$C42,'DADOS BRUTOS'!FY$3:FY$500)))</f>
        <v/>
      </c>
      <c r="IZ42" s="132">
        <f>IF(OR(IZ$4="",$B42=""),0,SUMIF('DADOS BRUTOS'!$A$3:$A$500,$B42,'DADOS BRUTOS'!FZ$3:FZ$500)+IF($C42="",0,SUMIF('DADOS BRUTOS'!$A$3:$A$500,$C42,'DADOS BRUTOS'!FZ$3:FZ$500)))</f>
        <v/>
      </c>
      <c r="JA42" s="132">
        <f>IF(OR(JA$4="",$B42=""),0,SUMIF('DADOS BRUTOS'!$A$3:$A$500,$B42,'DADOS BRUTOS'!GA$3:GA$500)+IF($C42="",0,SUMIF('DADOS BRUTOS'!$A$3:$A$500,$C42,'DADOS BRUTOS'!GA$3:GA$500)))</f>
        <v/>
      </c>
      <c r="JB42" s="132">
        <f>IF(OR(JB$4="",$B42=""),0,SUMIF('DADOS BRUTOS'!$A$3:$A$500,$B42,'DADOS BRUTOS'!GB$3:GB$500)+IF($C42="",0,SUMIF('DADOS BRUTOS'!$A$3:$A$500,$C42,'DADOS BRUTOS'!GB$3:GB$500)))</f>
        <v/>
      </c>
      <c r="JC42" s="132">
        <f>IF(OR(JC$4="",$B42=""),0,SUMIF('DADOS BRUTOS'!$A$3:$A$500,$B42,'DADOS BRUTOS'!GC$3:GC$500)+IF($C42="",0,SUMIF('DADOS BRUTOS'!$A$3:$A$500,$C42,'DADOS BRUTOS'!GC$3:GC$500)))</f>
        <v/>
      </c>
      <c r="JD42" s="132">
        <f>IF(OR(JD$4="",$B42=""),0,SUMIF('DADOS BRUTOS'!$A$3:$A$500,$B42,'DADOS BRUTOS'!GD$3:GD$500)+IF($C42="",0,SUMIF('DADOS BRUTOS'!$A$3:$A$500,$C42,'DADOS BRUTOS'!GD$3:GD$500)))</f>
        <v/>
      </c>
      <c r="JE42" s="132">
        <f>IF(OR(JE$4="",$B42=""),0,SUMIF('DADOS BRUTOS'!$A$3:$A$500,$B42,'DADOS BRUTOS'!GE$3:GE$500)+IF($C42="",0,SUMIF('DADOS BRUTOS'!$A$3:$A$500,$C42,'DADOS BRUTOS'!GE$3:GE$500)))</f>
        <v/>
      </c>
      <c r="JF42" s="132">
        <f>IF(OR(JF$4="",$B42=""),0,SUMIF('DADOS BRUTOS'!$A$3:$A$500,$B42,'DADOS BRUTOS'!GF$3:GF$500)+IF($C42="",0,SUMIF('DADOS BRUTOS'!$A$3:$A$500,$C42,'DADOS BRUTOS'!GF$3:GF$500)))</f>
        <v/>
      </c>
      <c r="JG42" s="132">
        <f>IF(OR(JG$4="",$B42=""),0,SUMIF('DADOS BRUTOS'!$A$3:$A$500,$B42,'DADOS BRUTOS'!GG$3:GG$500)+IF($C42="",0,SUMIF('DADOS BRUTOS'!$A$3:$A$500,$C42,'DADOS BRUTOS'!GG$3:GG$500)))</f>
        <v/>
      </c>
      <c r="JH42" s="132">
        <f>IF(OR(JH$4="",$B42=""),0,SUMIF('DADOS BRUTOS'!$A$3:$A$500,$B42,'DADOS BRUTOS'!GH$3:GH$500)+IF($C42="",0,SUMIF('DADOS BRUTOS'!$A$3:$A$500,$C42,'DADOS BRUTOS'!GH$3:GH$500)))</f>
        <v/>
      </c>
      <c r="JI42" s="132">
        <f>IF(OR(JI$4="",$B42=""),0,SUMIF('DADOS BRUTOS'!$A$3:$A$500,$B42,'DADOS BRUTOS'!GI$3:GI$500)+IF($C42="",0,SUMIF('DADOS BRUTOS'!$A$3:$A$500,$C42,'DADOS BRUTOS'!GI$3:GI$500)))</f>
        <v/>
      </c>
      <c r="JJ42" s="132">
        <f>IF(OR(JJ$4="",$B42=""),0,SUMIF('DADOS BRUTOS'!$A$3:$A$500,$B42,'DADOS BRUTOS'!GJ$3:GJ$500)+IF($C42="",0,SUMIF('DADOS BRUTOS'!$A$3:$A$500,$C42,'DADOS BRUTOS'!GJ$3:GJ$500)))</f>
        <v/>
      </c>
      <c r="JK42" s="132">
        <f>IF(OR(JK$4="",$B42=""),0,SUMIF('DADOS BRUTOS'!$A$3:$A$500,$B42,'DADOS BRUTOS'!GK$3:GK$500)+IF($C42="",0,SUMIF('DADOS BRUTOS'!$A$3:$A$500,$C42,'DADOS BRUTOS'!GK$3:GK$500)))</f>
        <v/>
      </c>
      <c r="JL42" s="132">
        <f>IF(OR(JL$4="",$B42=""),0,SUMIF('DADOS BRUTOS'!$A$3:$A$500,$B42,'DADOS BRUTOS'!GL$3:GL$500)+IF($C42="",0,SUMIF('DADOS BRUTOS'!$A$3:$A$500,$C42,'DADOS BRUTOS'!GL$3:GL$500)))</f>
        <v/>
      </c>
      <c r="JM42" s="132">
        <f>IF(OR(JM$4="",$B42=""),0,SUMIF('DADOS BRUTOS'!$A$3:$A$500,$B42,'DADOS BRUTOS'!GM$3:GM$500)+IF($C42="",0,SUMIF('DADOS BRUTOS'!$A$3:$A$500,$C42,'DADOS BRUTOS'!GM$3:GM$500)))</f>
        <v/>
      </c>
      <c r="JN42" s="132">
        <f>IF(OR(JN$4="",$B42=""),0,SUMIF('DADOS BRUTOS'!$A$3:$A$500,$B42,'DADOS BRUTOS'!GN$3:GN$500)+IF($C42="",0,SUMIF('DADOS BRUTOS'!$A$3:$A$500,$C42,'DADOS BRUTOS'!GN$3:GN$500)))</f>
        <v/>
      </c>
      <c r="JO42" s="132">
        <f>IF(OR(JO$4="",$B42=""),0,SUMIF('DADOS BRUTOS'!$A$3:$A$500,$B42,'DADOS BRUTOS'!GO$3:GO$500)+IF($C42="",0,SUMIF('DADOS BRUTOS'!$A$3:$A$500,$C42,'DADOS BRUTOS'!GO$3:GO$500)))</f>
        <v/>
      </c>
      <c r="JP42" s="132">
        <f>IF(OR(JP$4="",$B42=""),0,SUMIF('DADOS BRUTOS'!$A$3:$A$500,$B42,'DADOS BRUTOS'!GP$3:GP$500)+IF($C42="",0,SUMIF('DADOS BRUTOS'!$A$3:$A$500,$C42,'DADOS BRUTOS'!GP$3:GP$500)))</f>
        <v/>
      </c>
      <c r="JQ42" s="132">
        <f>IF(OR(JQ$4="",$B42=""),0,SUMIF('DADOS BRUTOS'!$A$3:$A$500,$B42,'DADOS BRUTOS'!GQ$3:GQ$500)+IF($C42="",0,SUMIF('DADOS BRUTOS'!$A$3:$A$500,$C42,'DADOS BRUTOS'!GQ$3:GQ$500)))</f>
        <v/>
      </c>
      <c r="JR42" s="132">
        <f>IF(OR(JR$4="",$B42=""),0,SUMIF('DADOS BRUTOS'!$A$3:$A$500,$B42,'DADOS BRUTOS'!GR$3:GR$500)+IF($C42="",0,SUMIF('DADOS BRUTOS'!$A$3:$A$500,$C42,'DADOS BRUTOS'!GR$3:GR$500)))</f>
        <v/>
      </c>
      <c r="JS42" s="132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33">
        <f>SUM(D5:D42)</f>
        <v/>
      </c>
      <c r="E44" s="133">
        <f>SUM(E5:E42)</f>
        <v/>
      </c>
      <c r="F44" s="133">
        <f>SUM(F5:F42)</f>
        <v/>
      </c>
      <c r="G44" s="133">
        <f>SUM(G5:G42)</f>
        <v/>
      </c>
      <c r="H44" s="133">
        <f>SUM(H5:H42)</f>
        <v/>
      </c>
      <c r="I44" s="133">
        <f>SUM(I5:I42)</f>
        <v/>
      </c>
      <c r="J44" s="133">
        <f>SUM(J5:J42)</f>
        <v/>
      </c>
      <c r="K44" s="133">
        <f>SUM(K5:K42)</f>
        <v/>
      </c>
      <c r="L44" s="133">
        <f>SUM(L5:L42)</f>
        <v/>
      </c>
      <c r="M44" s="133">
        <f>SUM(M5:M42)</f>
        <v/>
      </c>
      <c r="N44" s="133">
        <f>SUM(N5:N42)</f>
        <v/>
      </c>
      <c r="O44" s="133">
        <f>SUM(O5:O42)</f>
        <v/>
      </c>
      <c r="P44" s="133">
        <f>SUM(P5:P42)</f>
        <v/>
      </c>
      <c r="Q44" s="133">
        <f>SUM(Q5:Q42)</f>
        <v/>
      </c>
      <c r="R44" s="133">
        <f>SUM(R5:R42)</f>
        <v/>
      </c>
      <c r="S44" s="133">
        <f>SUM(S5:S42)</f>
        <v/>
      </c>
      <c r="T44" s="133">
        <f>SUM(T5:T42)</f>
        <v/>
      </c>
      <c r="U44" s="133">
        <f>SUM(U5:U42)</f>
        <v/>
      </c>
      <c r="V44" s="133">
        <f>SUM(V5:V42)</f>
        <v/>
      </c>
      <c r="W44" s="133">
        <f>SUM(W5:W42)</f>
        <v/>
      </c>
      <c r="X44" s="133">
        <f>SUM(X5:X42)</f>
        <v/>
      </c>
      <c r="Y44" s="133">
        <f>SUM(Y5:Y42)</f>
        <v/>
      </c>
      <c r="Z44" s="133">
        <f>SUM(Z5:Z42)</f>
        <v/>
      </c>
      <c r="AA44" s="133">
        <f>SUM(AA5:AA42)</f>
        <v/>
      </c>
      <c r="AB44" s="133">
        <f>SUM(AB5:AB42)</f>
        <v/>
      </c>
      <c r="AC44" s="133">
        <f>SUM(AC5:AC42)</f>
        <v/>
      </c>
      <c r="AD44" s="133">
        <f>SUM(AD5:AD42)</f>
        <v/>
      </c>
      <c r="AE44" s="133">
        <f>SUM(AE5:AE42)</f>
        <v/>
      </c>
      <c r="AF44" s="133">
        <f>SUM(AF5:AF42)</f>
        <v/>
      </c>
      <c r="AG44" s="133">
        <f>SUM(AG5:AG42)</f>
        <v/>
      </c>
      <c r="AH44" s="133">
        <f>SUM(AH5:AH42)</f>
        <v/>
      </c>
      <c r="AI44" s="133">
        <f>SUM(AI5:AI42)</f>
        <v/>
      </c>
      <c r="AJ44" s="133">
        <f>SUM(AJ5:AJ42)</f>
        <v/>
      </c>
      <c r="AK44" s="133">
        <f>SUM(AK5:AK42)</f>
        <v/>
      </c>
      <c r="AL44" s="133">
        <f>SUM(AL5:AL42)</f>
        <v/>
      </c>
      <c r="AM44" s="133">
        <f>SUM(AM5:AM42)</f>
        <v/>
      </c>
      <c r="AN44" s="133">
        <f>SUM(AN5:AN42)</f>
        <v/>
      </c>
      <c r="AO44" s="133">
        <f>SUM(AO5:AO42)</f>
        <v/>
      </c>
      <c r="AP44" s="133">
        <f>SUM(AP5:AP42)</f>
        <v/>
      </c>
      <c r="AQ44" s="133">
        <f>SUM(AQ5:AQ42)</f>
        <v/>
      </c>
      <c r="AR44" s="133">
        <f>SUM(AR5:AR42)</f>
        <v/>
      </c>
      <c r="AS44" s="133">
        <f>SUM(AS5:AS42)</f>
        <v/>
      </c>
      <c r="AT44" s="133">
        <f>SUM(AT5:AT42)</f>
        <v/>
      </c>
      <c r="AU44" s="133">
        <f>SUM(AU5:AU42)</f>
        <v/>
      </c>
      <c r="AV44" s="133">
        <f>SUM(AV5:AV42)</f>
        <v/>
      </c>
      <c r="AW44" s="133">
        <f>SUM(AW5:AW42)</f>
        <v/>
      </c>
      <c r="AX44" s="133">
        <f>SUM(AX5:AX42)</f>
        <v/>
      </c>
      <c r="AY44" s="133">
        <f>SUM(AY5:AY42)</f>
        <v/>
      </c>
      <c r="AZ44" s="133">
        <f>SUM(AZ5:AZ42)</f>
        <v/>
      </c>
      <c r="BA44" s="133">
        <f>SUM(BA5:BA42)</f>
        <v/>
      </c>
      <c r="BB44" s="133">
        <f>SUM(BB5:BB42)</f>
        <v/>
      </c>
      <c r="BC44" s="133">
        <f>SUM(BC5:BC42)</f>
        <v/>
      </c>
      <c r="BD44" s="133">
        <f>SUM(BD5:BD42)</f>
        <v/>
      </c>
      <c r="BE44" s="133">
        <f>SUM(BE5:BE42)</f>
        <v/>
      </c>
      <c r="BF44" s="133">
        <f>SUM(BF5:BF42)</f>
        <v/>
      </c>
      <c r="BG44" s="133">
        <f>SUM(BG5:BG42)</f>
        <v/>
      </c>
      <c r="BH44" s="133">
        <f>SUM(BH5:BH42)</f>
        <v/>
      </c>
      <c r="BI44" s="133">
        <f>SUM(BI5:BI42)</f>
        <v/>
      </c>
      <c r="BJ44" s="133">
        <f>SUM(BJ5:BJ42)</f>
        <v/>
      </c>
      <c r="BK44" s="133">
        <f>SUM(BK5:BK42)</f>
        <v/>
      </c>
      <c r="BL44" s="133">
        <f>SUM(BL5:BL42)</f>
        <v/>
      </c>
      <c r="BM44" s="133">
        <f>SUM(BM5:BM42)</f>
        <v/>
      </c>
      <c r="BN44" s="133">
        <f>SUM(BN5:BN42)</f>
        <v/>
      </c>
      <c r="BO44" s="133">
        <f>SUM(BO5:BO42)</f>
        <v/>
      </c>
      <c r="BP44" s="133">
        <f>SUM(BP5:BP42)</f>
        <v/>
      </c>
      <c r="BQ44" s="133">
        <f>SUM(BQ5:BQ42)</f>
        <v/>
      </c>
      <c r="BR44" s="133">
        <f>SUM(BR5:BR42)</f>
        <v/>
      </c>
      <c r="BS44" s="133">
        <f>SUM(BS5:BS42)</f>
        <v/>
      </c>
      <c r="BT44" s="133">
        <f>SUM(BT5:BT42)</f>
        <v/>
      </c>
      <c r="BU44" s="133">
        <f>SUM(BU5:BU42)</f>
        <v/>
      </c>
      <c r="BV44" s="133">
        <f>SUM(BV5:BV42)</f>
        <v/>
      </c>
      <c r="BW44" s="133">
        <f>SUM(BW5:BW42)</f>
        <v/>
      </c>
      <c r="BX44" s="133">
        <f>SUM(BX5:BX42)</f>
        <v/>
      </c>
      <c r="BY44" s="133">
        <f>SUM(BY5:BY42)</f>
        <v/>
      </c>
      <c r="BZ44" s="133">
        <f>SUM(BZ5:BZ42)</f>
        <v/>
      </c>
      <c r="CB44" s="132">
        <f>SUM(CB5:CB42)</f>
        <v/>
      </c>
      <c r="CC44" s="132">
        <f>SUM(CC5:CC42)</f>
        <v/>
      </c>
      <c r="CD44" s="132">
        <f>SUM(CD5:CD42)</f>
        <v/>
      </c>
      <c r="CE44" s="132">
        <f>SUM(CE5:CE42)</f>
        <v/>
      </c>
      <c r="CF44" s="132">
        <f>SUM(CF5:CF42)</f>
        <v/>
      </c>
      <c r="CG44" s="132">
        <f>SUM(CG5:CG42)</f>
        <v/>
      </c>
      <c r="CH44" s="132">
        <f>SUM(CH5:CH42)</f>
        <v/>
      </c>
      <c r="CI44" s="132">
        <f>SUM(CI5:CI42)</f>
        <v/>
      </c>
      <c r="CJ44" s="132">
        <f>SUM(CJ5:CJ42)</f>
        <v/>
      </c>
      <c r="CK44" s="132">
        <f>SUM(CK5:CK42)</f>
        <v/>
      </c>
      <c r="CL44" s="132">
        <f>SUM(CL5:CL42)</f>
        <v/>
      </c>
      <c r="CM44" s="132">
        <f>SUM(CM5:CM42)</f>
        <v/>
      </c>
      <c r="CN44" s="132">
        <f>SUM(CN5:CN42)</f>
        <v/>
      </c>
      <c r="CO44" s="132">
        <f>SUM(CO5:CO42)</f>
        <v/>
      </c>
      <c r="CP44" s="132">
        <f>SUM(CP5:CP42)</f>
        <v/>
      </c>
      <c r="CQ44" s="132">
        <f>SUM(CQ5:CQ42)</f>
        <v/>
      </c>
      <c r="CR44" s="132">
        <f>SUM(CR5:CR42)</f>
        <v/>
      </c>
      <c r="CS44" s="132">
        <f>SUM(CS5:CS42)</f>
        <v/>
      </c>
      <c r="CT44" s="132">
        <f>SUM(CT5:CT42)</f>
        <v/>
      </c>
      <c r="CU44" s="132">
        <f>SUM(CU5:CU42)</f>
        <v/>
      </c>
      <c r="CV44" s="132">
        <f>SUM(CV5:CV42)</f>
        <v/>
      </c>
      <c r="CW44" s="132">
        <f>SUM(CW5:CW42)</f>
        <v/>
      </c>
      <c r="CX44" s="132">
        <f>SUM(CX5:CX42)</f>
        <v/>
      </c>
      <c r="CY44" s="132">
        <f>SUM(CY5:CY42)</f>
        <v/>
      </c>
      <c r="CZ44" s="132">
        <f>SUM(CZ5:CZ42)</f>
        <v/>
      </c>
      <c r="DA44" s="132">
        <f>SUM(DA5:DA42)</f>
        <v/>
      </c>
      <c r="DB44" s="132">
        <f>SUM(DB5:DB42)</f>
        <v/>
      </c>
      <c r="DC44" s="132">
        <f>SUM(DC5:DC42)</f>
        <v/>
      </c>
      <c r="DD44" s="132">
        <f>SUM(DD5:DD42)</f>
        <v/>
      </c>
      <c r="DE44" s="132">
        <f>SUM(DE5:DE42)</f>
        <v/>
      </c>
      <c r="DF44" s="132">
        <f>SUM(DF5:DF42)</f>
        <v/>
      </c>
      <c r="DG44" s="132">
        <f>SUM(DG5:DG42)</f>
        <v/>
      </c>
      <c r="DH44" s="132">
        <f>SUM(DH5:DH42)</f>
        <v/>
      </c>
      <c r="DI44" s="132">
        <f>SUM(DI5:DI42)</f>
        <v/>
      </c>
      <c r="DJ44" s="132">
        <f>SUM(DJ5:DJ42)</f>
        <v/>
      </c>
      <c r="DK44" s="132">
        <f>SUM(DK5:DK42)</f>
        <v/>
      </c>
      <c r="DL44" s="132">
        <f>SUM(DL5:DL42)</f>
        <v/>
      </c>
      <c r="DM44" s="132">
        <f>SUM(DM5:DM42)</f>
        <v/>
      </c>
      <c r="DN44" s="132">
        <f>SUM(DN5:DN42)</f>
        <v/>
      </c>
      <c r="DO44" s="132">
        <f>SUM(DO5:DO42)</f>
        <v/>
      </c>
      <c r="DP44" s="132">
        <f>SUM(DP5:DP42)</f>
        <v/>
      </c>
      <c r="DQ44" s="132">
        <f>SUM(DQ5:DQ42)</f>
        <v/>
      </c>
      <c r="DR44" s="132">
        <f>SUM(DR5:DR42)</f>
        <v/>
      </c>
      <c r="DS44" s="132">
        <f>SUM(DS5:DS42)</f>
        <v/>
      </c>
      <c r="DT44" s="132">
        <f>SUM(DT5:DT42)</f>
        <v/>
      </c>
      <c r="DU44" s="132">
        <f>SUM(DU5:DU42)</f>
        <v/>
      </c>
      <c r="DV44" s="132">
        <f>SUM(DV5:DV42)</f>
        <v/>
      </c>
      <c r="DW44" s="132">
        <f>SUM(DW5:DW42)</f>
        <v/>
      </c>
      <c r="DX44" s="132">
        <f>SUM(DX5:DX42)</f>
        <v/>
      </c>
      <c r="DY44" s="132">
        <f>SUM(DY5:DY42)</f>
        <v/>
      </c>
      <c r="DZ44" s="132">
        <f>SUM(DZ5:DZ42)</f>
        <v/>
      </c>
      <c r="EA44" s="132">
        <f>SUM(EA5:EA42)</f>
        <v/>
      </c>
      <c r="EB44" s="132">
        <f>SUM(EB5:EB42)</f>
        <v/>
      </c>
      <c r="EC44" s="132">
        <f>SUM(EC5:EC42)</f>
        <v/>
      </c>
      <c r="ED44" s="132">
        <f>SUM(ED5:ED42)</f>
        <v/>
      </c>
      <c r="EE44" s="132">
        <f>SUM(EE5:EE42)</f>
        <v/>
      </c>
      <c r="EF44" s="132">
        <f>SUM(EF5:EF42)</f>
        <v/>
      </c>
      <c r="EG44" s="132">
        <f>SUM(EG5:EG42)</f>
        <v/>
      </c>
      <c r="EH44" s="132">
        <f>SUM(EH5:EH42)</f>
        <v/>
      </c>
      <c r="EI44" s="132">
        <f>SUM(EI5:EI42)</f>
        <v/>
      </c>
      <c r="EJ44" s="132">
        <f>SUM(EJ5:EJ42)</f>
        <v/>
      </c>
      <c r="EK44" s="132">
        <f>SUM(EK5:EK42)</f>
        <v/>
      </c>
      <c r="EL44" s="132">
        <f>SUM(EL5:EL42)</f>
        <v/>
      </c>
      <c r="EM44" s="132">
        <f>SUM(EM5:EM42)</f>
        <v/>
      </c>
      <c r="EN44" s="132">
        <f>SUM(EN5:EN42)</f>
        <v/>
      </c>
      <c r="EO44" s="132">
        <f>SUM(EO5:EO42)</f>
        <v/>
      </c>
      <c r="EP44" s="132">
        <f>SUM(EP5:EP42)</f>
        <v/>
      </c>
      <c r="EQ44" s="132">
        <f>SUM(EQ5:EQ42)</f>
        <v/>
      </c>
      <c r="ER44" s="132">
        <f>SUM(ER5:ER42)</f>
        <v/>
      </c>
      <c r="ES44" s="132">
        <f>SUM(ES5:ES42)</f>
        <v/>
      </c>
      <c r="ET44" s="132">
        <f>SUM(ET5:ET42)</f>
        <v/>
      </c>
      <c r="EU44" s="132">
        <f>SUM(EU5:EU42)</f>
        <v/>
      </c>
      <c r="EV44" s="132">
        <f>SUM(EV5:EV42)</f>
        <v/>
      </c>
      <c r="EW44" s="132">
        <f>SUM(EW5:EW42)</f>
        <v/>
      </c>
      <c r="EX44" s="132">
        <f>SUM(EX5:EX42)</f>
        <v/>
      </c>
      <c r="EY44" s="132">
        <f>SUM(EY5:EY42)</f>
        <v/>
      </c>
      <c r="EZ44" s="132">
        <f>SUM(EZ5:EZ42)</f>
        <v/>
      </c>
      <c r="FA44" s="132">
        <f>SUM(FA5:FA42)</f>
        <v/>
      </c>
      <c r="FB44" s="132">
        <f>SUM(FB5:FB42)</f>
        <v/>
      </c>
      <c r="FC44" s="132">
        <f>SUM(FC5:FC42)</f>
        <v/>
      </c>
      <c r="FD44" s="132">
        <f>SUM(FD5:FD42)</f>
        <v/>
      </c>
      <c r="FE44" s="132">
        <f>SUM(FE5:FE42)</f>
        <v/>
      </c>
      <c r="FF44" s="132">
        <f>SUM(FF5:FF42)</f>
        <v/>
      </c>
      <c r="FG44" s="132">
        <f>SUM(FG5:FG42)</f>
        <v/>
      </c>
      <c r="FH44" s="132">
        <f>SUM(FH5:FH42)</f>
        <v/>
      </c>
      <c r="FI44" s="132">
        <f>SUM(FI5:FI42)</f>
        <v/>
      </c>
      <c r="FJ44" s="132">
        <f>SUM(FJ5:FJ42)</f>
        <v/>
      </c>
      <c r="FK44" s="132">
        <f>SUM(FK5:FK42)</f>
        <v/>
      </c>
      <c r="FL44" s="132">
        <f>SUM(FL5:FL42)</f>
        <v/>
      </c>
      <c r="FM44" s="132">
        <f>SUM(FM5:FM42)</f>
        <v/>
      </c>
      <c r="FN44" s="132">
        <f>SUM(FN5:FN42)</f>
        <v/>
      </c>
      <c r="FO44" s="132">
        <f>SUM(FO5:FO42)</f>
        <v/>
      </c>
      <c r="FP44" s="132">
        <f>SUM(FP5:FP42)</f>
        <v/>
      </c>
      <c r="FQ44" s="132">
        <f>SUM(FQ5:FQ42)</f>
        <v/>
      </c>
      <c r="FR44" s="132">
        <f>SUM(FR5:FR42)</f>
        <v/>
      </c>
      <c r="FS44" s="132">
        <f>SUM(FS5:FS42)</f>
        <v/>
      </c>
      <c r="FT44" s="132">
        <f>SUM(FT5:FT42)</f>
        <v/>
      </c>
      <c r="FU44" s="132">
        <f>SUM(FU5:FU42)</f>
        <v/>
      </c>
      <c r="FV44" s="132">
        <f>SUM(FV5:FV42)</f>
        <v/>
      </c>
      <c r="FW44" s="132">
        <f>SUM(FW5:FW42)</f>
        <v/>
      </c>
      <c r="FX44" s="132">
        <f>SUM(FX5:FX42)</f>
        <v/>
      </c>
      <c r="FY44" s="132">
        <f>SUM(FY5:FY42)</f>
        <v/>
      </c>
      <c r="FZ44" s="132">
        <f>SUM(FZ5:FZ42)</f>
        <v/>
      </c>
      <c r="GA44" s="132">
        <f>SUM(GA5:GA42)</f>
        <v/>
      </c>
      <c r="GB44" s="132">
        <f>SUM(GB5:GB42)</f>
        <v/>
      </c>
      <c r="GC44" s="132">
        <f>SUM(GC5:GC42)</f>
        <v/>
      </c>
      <c r="GD44" s="132">
        <f>SUM(GD5:GD42)</f>
        <v/>
      </c>
      <c r="GE44" s="132">
        <f>SUM(GE5:GE42)</f>
        <v/>
      </c>
      <c r="GF44" s="132">
        <f>SUM(GF5:GF42)</f>
        <v/>
      </c>
      <c r="GG44" s="132">
        <f>SUM(GG5:GG42)</f>
        <v/>
      </c>
      <c r="GH44" s="132">
        <f>SUM(GH5:GH42)</f>
        <v/>
      </c>
      <c r="GI44" s="132">
        <f>SUM(GI5:GI42)</f>
        <v/>
      </c>
      <c r="GJ44" s="132">
        <f>SUM(GJ5:GJ42)</f>
        <v/>
      </c>
      <c r="GK44" s="132">
        <f>SUM(GK5:GK42)</f>
        <v/>
      </c>
      <c r="GL44" s="132">
        <f>SUM(GL5:GL42)</f>
        <v/>
      </c>
      <c r="GM44" s="132">
        <f>SUM(GM5:GM42)</f>
        <v/>
      </c>
      <c r="GN44" s="132">
        <f>SUM(GN5:GN42)</f>
        <v/>
      </c>
      <c r="GO44" s="132">
        <f>SUM(GO5:GO42)</f>
        <v/>
      </c>
      <c r="GP44" s="132">
        <f>SUM(GP5:GP42)</f>
        <v/>
      </c>
      <c r="GQ44" s="132">
        <f>SUM(GQ5:GQ42)</f>
        <v/>
      </c>
      <c r="GR44" s="132">
        <f>SUM(GR5:GR42)</f>
        <v/>
      </c>
      <c r="GS44" s="132">
        <f>SUM(GS5:GS42)</f>
        <v/>
      </c>
      <c r="GT44" s="132">
        <f>SUM(GT5:GT42)</f>
        <v/>
      </c>
      <c r="GU44" s="132">
        <f>SUM(GU5:GU42)</f>
        <v/>
      </c>
      <c r="GV44" s="132">
        <f>SUM(GV5:GV42)</f>
        <v/>
      </c>
      <c r="GW44" s="132">
        <f>SUM(GW5:GW42)</f>
        <v/>
      </c>
      <c r="GX44" s="132">
        <f>SUM(GX5:GX42)</f>
        <v/>
      </c>
      <c r="GY44" s="132">
        <f>SUM(GY5:GY42)</f>
        <v/>
      </c>
      <c r="GZ44" s="132">
        <f>SUM(GZ5:GZ42)</f>
        <v/>
      </c>
      <c r="HA44" s="132">
        <f>SUM(HA5:HA42)</f>
        <v/>
      </c>
      <c r="HB44" s="132">
        <f>SUM(HB5:HB42)</f>
        <v/>
      </c>
      <c r="HC44" s="132">
        <f>SUM(HC5:HC42)</f>
        <v/>
      </c>
      <c r="HD44" s="132">
        <f>SUM(HD5:HD42)</f>
        <v/>
      </c>
      <c r="HE44" s="132">
        <f>SUM(HE5:HE42)</f>
        <v/>
      </c>
      <c r="HF44" s="132">
        <f>SUM(HF5:HF42)</f>
        <v/>
      </c>
      <c r="HG44" s="132">
        <f>SUM(HG5:HG42)</f>
        <v/>
      </c>
      <c r="HH44" s="132">
        <f>SUM(HH5:HH42)</f>
        <v/>
      </c>
      <c r="HI44" s="132">
        <f>SUM(HI5:HI42)</f>
        <v/>
      </c>
      <c r="HJ44" s="132">
        <f>SUM(HJ5:HJ42)</f>
        <v/>
      </c>
      <c r="HK44" s="132">
        <f>SUM(HK5:HK42)</f>
        <v/>
      </c>
      <c r="HL44" s="132">
        <f>SUM(HL5:HL42)</f>
        <v/>
      </c>
      <c r="HM44" s="132">
        <f>SUM(HM5:HM42)</f>
        <v/>
      </c>
      <c r="HN44" s="132">
        <f>SUM(HN5:HN42)</f>
        <v/>
      </c>
      <c r="HO44" s="132">
        <f>SUM(HO5:HO42)</f>
        <v/>
      </c>
      <c r="HP44" s="132">
        <f>SUM(HP5:HP42)</f>
        <v/>
      </c>
      <c r="HQ44" s="132">
        <f>SUM(HQ5:HQ42)</f>
        <v/>
      </c>
      <c r="HR44" s="132">
        <f>SUM(HR5:HR42)</f>
        <v/>
      </c>
      <c r="HS44" s="132">
        <f>SUM(HS5:HS42)</f>
        <v/>
      </c>
      <c r="HT44" s="132">
        <f>SUM(HT5:HT42)</f>
        <v/>
      </c>
      <c r="HU44" s="132">
        <f>SUM(HU5:HU42)</f>
        <v/>
      </c>
      <c r="HV44" s="132">
        <f>SUM(HV5:HV42)</f>
        <v/>
      </c>
      <c r="HW44" s="132">
        <f>SUM(HW5:HW42)</f>
        <v/>
      </c>
      <c r="HX44" s="132">
        <f>SUM(HX5:HX42)</f>
        <v/>
      </c>
      <c r="HY44" s="132">
        <f>SUM(HY5:HY42)</f>
        <v/>
      </c>
      <c r="HZ44" s="132">
        <f>SUM(HZ5:HZ42)</f>
        <v/>
      </c>
      <c r="IA44" s="132">
        <f>SUM(IA5:IA42)</f>
        <v/>
      </c>
      <c r="IB44" s="132">
        <f>SUM(IB5:IB42)</f>
        <v/>
      </c>
      <c r="IC44" s="132">
        <f>SUM(IC5:IC42)</f>
        <v/>
      </c>
      <c r="ID44" s="132">
        <f>SUM(ID5:ID42)</f>
        <v/>
      </c>
      <c r="IE44" s="132">
        <f>SUM(IE5:IE42)</f>
        <v/>
      </c>
      <c r="IF44" s="132">
        <f>SUM(IF5:IF42)</f>
        <v/>
      </c>
      <c r="IG44" s="132">
        <f>SUM(IG5:IG42)</f>
        <v/>
      </c>
      <c r="IH44" s="132">
        <f>SUM(IH5:IH42)</f>
        <v/>
      </c>
      <c r="II44" s="132">
        <f>SUM(II5:II42)</f>
        <v/>
      </c>
      <c r="IJ44" s="132">
        <f>SUM(IJ5:IJ42)</f>
        <v/>
      </c>
      <c r="IK44" s="132">
        <f>SUM(IK5:IK42)</f>
        <v/>
      </c>
      <c r="IL44" s="132">
        <f>SUM(IL5:IL42)</f>
        <v/>
      </c>
      <c r="IM44" s="132">
        <f>SUM(IM5:IM42)</f>
        <v/>
      </c>
      <c r="IN44" s="132">
        <f>SUM(IN5:IN42)</f>
        <v/>
      </c>
      <c r="IO44" s="132">
        <f>SUM(IO5:IO42)</f>
        <v/>
      </c>
      <c r="IP44" s="132">
        <f>SUM(IP5:IP42)</f>
        <v/>
      </c>
      <c r="IQ44" s="132">
        <f>SUM(IQ5:IQ42)</f>
        <v/>
      </c>
      <c r="IR44" s="132">
        <f>SUM(IR5:IR42)</f>
        <v/>
      </c>
      <c r="IS44" s="132">
        <f>SUM(IS5:IS42)</f>
        <v/>
      </c>
      <c r="IT44" s="132">
        <f>SUM(IT5:IT42)</f>
        <v/>
      </c>
      <c r="IU44" s="132">
        <f>SUM(IU5:IU42)</f>
        <v/>
      </c>
      <c r="IV44" s="132">
        <f>SUM(IV5:IV42)</f>
        <v/>
      </c>
      <c r="IW44" s="132">
        <f>SUM(IW5:IW42)</f>
        <v/>
      </c>
      <c r="IX44" s="132">
        <f>SUM(IX5:IX42)</f>
        <v/>
      </c>
      <c r="IY44" s="132">
        <f>SUM(IY5:IY42)</f>
        <v/>
      </c>
      <c r="IZ44" s="132">
        <f>SUM(IZ5:IZ42)</f>
        <v/>
      </c>
      <c r="JA44" s="132">
        <f>SUM(JA5:JA42)</f>
        <v/>
      </c>
      <c r="JB44" s="132">
        <f>SUM(JB5:JB42)</f>
        <v/>
      </c>
      <c r="JC44" s="132">
        <f>SUM(JC5:JC42)</f>
        <v/>
      </c>
      <c r="JD44" s="132">
        <f>SUM(JD5:JD42)</f>
        <v/>
      </c>
      <c r="JE44" s="132">
        <f>SUM(JE5:JE42)</f>
        <v/>
      </c>
      <c r="JF44" s="132">
        <f>SUM(JF5:JF42)</f>
        <v/>
      </c>
      <c r="JG44" s="132">
        <f>SUM(JG5:JG42)</f>
        <v/>
      </c>
      <c r="JH44" s="132">
        <f>SUM(JH5:JH42)</f>
        <v/>
      </c>
      <c r="JI44" s="132">
        <f>SUM(JI5:JI42)</f>
        <v/>
      </c>
      <c r="JJ44" s="132">
        <f>SUM(JJ5:JJ42)</f>
        <v/>
      </c>
      <c r="JK44" s="132">
        <f>SUM(JK5:JK42)</f>
        <v/>
      </c>
      <c r="JL44" s="132">
        <f>SUM(JL5:JL42)</f>
        <v/>
      </c>
      <c r="JM44" s="132">
        <f>SUM(JM5:JM42)</f>
        <v/>
      </c>
      <c r="JN44" s="132">
        <f>SUM(JN5:JN42)</f>
        <v/>
      </c>
      <c r="JO44" s="132">
        <f>SUM(JO5:JO42)</f>
        <v/>
      </c>
      <c r="JP44" s="132">
        <f>SUM(JP5:JP42)</f>
        <v/>
      </c>
      <c r="JQ44" s="132">
        <f>SUM(JQ5:JQ42)</f>
        <v/>
      </c>
      <c r="JR44" s="132">
        <f>SUM(JR5:JR42)</f>
        <v/>
      </c>
      <c r="JS44" s="132">
        <f>SUM(JS5:JS42)</f>
        <v/>
      </c>
    </row>
    <row r="45">
      <c r="A45" s="46" t="inlineStr">
        <is>
          <t>TOTAL ACUMULADO</t>
        </is>
      </c>
      <c r="D45" s="116">
        <f>D44</f>
        <v/>
      </c>
      <c r="E45" s="116">
        <f>D45+E44</f>
        <v/>
      </c>
      <c r="F45" s="116">
        <f>E45+F44</f>
        <v/>
      </c>
      <c r="G45" s="116">
        <f>F45+G44</f>
        <v/>
      </c>
      <c r="H45" s="116">
        <f>G45+H44</f>
        <v/>
      </c>
      <c r="I45" s="116">
        <f>H45+I44</f>
        <v/>
      </c>
      <c r="J45" s="116">
        <f>I45+J44</f>
        <v/>
      </c>
      <c r="K45" s="116">
        <f>J45+K44</f>
        <v/>
      </c>
      <c r="L45" s="116">
        <f>K45+L44</f>
        <v/>
      </c>
      <c r="M45" s="116">
        <f>L45+M44</f>
        <v/>
      </c>
      <c r="N45" s="116">
        <f>M45+N44</f>
        <v/>
      </c>
      <c r="O45" s="116">
        <f>N45+O44</f>
        <v/>
      </c>
      <c r="P45" s="116">
        <f>O45+P44</f>
        <v/>
      </c>
      <c r="Q45" s="116">
        <f>P45+Q44</f>
        <v/>
      </c>
      <c r="R45" s="116">
        <f>Q45+R44</f>
        <v/>
      </c>
      <c r="S45" s="116">
        <f>R45+S44</f>
        <v/>
      </c>
      <c r="T45" s="116">
        <f>S45+T44</f>
        <v/>
      </c>
      <c r="U45" s="116">
        <f>T45+U44</f>
        <v/>
      </c>
      <c r="V45" s="116">
        <f>U45+V44</f>
        <v/>
      </c>
      <c r="W45" s="116">
        <f>V45+W44</f>
        <v/>
      </c>
      <c r="X45" s="116">
        <f>W45+X44</f>
        <v/>
      </c>
      <c r="Y45" s="116">
        <f>X45+Y44</f>
        <v/>
      </c>
      <c r="Z45" s="116">
        <f>Y45+Z44</f>
        <v/>
      </c>
      <c r="AA45" s="116">
        <f>Z45+AA44</f>
        <v/>
      </c>
      <c r="AB45" s="116">
        <f>AA45+AB44</f>
        <v/>
      </c>
      <c r="AC45" s="116">
        <f>AB45+AC44</f>
        <v/>
      </c>
      <c r="AD45" s="116">
        <f>AC45+AD44</f>
        <v/>
      </c>
      <c r="AE45" s="116">
        <f>AD45+AE44</f>
        <v/>
      </c>
      <c r="AF45" s="116">
        <f>AE45+AF44</f>
        <v/>
      </c>
      <c r="AG45" s="116">
        <f>AF45+AG44</f>
        <v/>
      </c>
      <c r="AH45" s="116">
        <f>AG45+AH44</f>
        <v/>
      </c>
      <c r="AI45" s="116">
        <f>AH45+AI44</f>
        <v/>
      </c>
      <c r="AJ45" s="116">
        <f>AI45+AJ44</f>
        <v/>
      </c>
      <c r="AK45" s="116">
        <f>AJ45+AK44</f>
        <v/>
      </c>
      <c r="AL45" s="116">
        <f>AK45+AL44</f>
        <v/>
      </c>
      <c r="AM45" s="116">
        <f>AL45+AM44</f>
        <v/>
      </c>
      <c r="AN45" s="116">
        <f>AM45+AN44</f>
        <v/>
      </c>
      <c r="AO45" s="116">
        <f>AN45+AO44</f>
        <v/>
      </c>
      <c r="AP45" s="116">
        <f>AO45+AP44</f>
        <v/>
      </c>
      <c r="AQ45" s="116">
        <f>AP45+AQ44</f>
        <v/>
      </c>
      <c r="AR45" s="116">
        <f>AQ45+AR44</f>
        <v/>
      </c>
      <c r="AS45" s="116">
        <f>AR45+AS44</f>
        <v/>
      </c>
      <c r="AT45" s="116">
        <f>AS45+AT44</f>
        <v/>
      </c>
      <c r="AU45" s="116">
        <f>AT45+AU44</f>
        <v/>
      </c>
      <c r="AV45" s="116">
        <f>AU45+AV44</f>
        <v/>
      </c>
      <c r="AW45" s="116">
        <f>AV45+AW44</f>
        <v/>
      </c>
      <c r="AX45" s="116">
        <f>AW45+AX44</f>
        <v/>
      </c>
      <c r="AY45" s="116">
        <f>AX45+AY44</f>
        <v/>
      </c>
      <c r="AZ45" s="116">
        <f>AY45+AZ44</f>
        <v/>
      </c>
      <c r="BA45" s="116">
        <f>AZ45+BA44</f>
        <v/>
      </c>
      <c r="BB45" s="116">
        <f>BA45+BB44</f>
        <v/>
      </c>
      <c r="BC45" s="116">
        <f>BB45+BC44</f>
        <v/>
      </c>
      <c r="BD45" s="116">
        <f>BC45+BD44</f>
        <v/>
      </c>
      <c r="BE45" s="116">
        <f>BD45+BE44</f>
        <v/>
      </c>
      <c r="BF45" s="116">
        <f>BE45+BF44</f>
        <v/>
      </c>
      <c r="BG45" s="116">
        <f>BF45+BG44</f>
        <v/>
      </c>
      <c r="BH45" s="116">
        <f>BG45+BH44</f>
        <v/>
      </c>
      <c r="BI45" s="116">
        <f>BH45+BI44</f>
        <v/>
      </c>
      <c r="BJ45" s="116">
        <f>BI45+BJ44</f>
        <v/>
      </c>
      <c r="BK45" s="116">
        <f>BJ45+BK44</f>
        <v/>
      </c>
      <c r="BL45" s="116">
        <f>BK45+BL44</f>
        <v/>
      </c>
      <c r="BM45" s="116">
        <f>BL45+BM44</f>
        <v/>
      </c>
      <c r="BN45" s="116">
        <f>BM45+BN44</f>
        <v/>
      </c>
      <c r="BO45" s="116">
        <f>BN45+BO44</f>
        <v/>
      </c>
      <c r="BP45" s="116">
        <f>BO45+BP44</f>
        <v/>
      </c>
      <c r="BQ45" s="116">
        <f>BP45+BQ44</f>
        <v/>
      </c>
      <c r="BR45" s="116">
        <f>BQ45+BR44</f>
        <v/>
      </c>
      <c r="BS45" s="116">
        <f>BR45+BS44</f>
        <v/>
      </c>
      <c r="BT45" s="116">
        <f>BS45+BT44</f>
        <v/>
      </c>
      <c r="BU45" s="116">
        <f>BT45+BU44</f>
        <v/>
      </c>
      <c r="BV45" s="116">
        <f>BU45+BV44</f>
        <v/>
      </c>
      <c r="BW45" s="116">
        <f>BV45+BW44</f>
        <v/>
      </c>
    </row>
    <row r="49">
      <c r="A49" s="66" t="inlineStr">
        <is>
          <t>NOMES DO ERP A IGNORAR (títulos, subtotais, grupos fora do orçamento)</t>
        </is>
      </c>
      <c r="B49" s="67" t="n"/>
      <c r="C49" s="68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34" t="n">
        <v>42856</v>
      </c>
      <c r="C2" s="134" t="n">
        <v>42917</v>
      </c>
      <c r="D2" s="134" t="n">
        <v>42948</v>
      </c>
      <c r="E2" s="134" t="n">
        <v>44986</v>
      </c>
      <c r="F2" s="134" t="n">
        <v>45017</v>
      </c>
      <c r="G2" s="134" t="n">
        <v>45047</v>
      </c>
      <c r="H2" s="134" t="n">
        <v>45139</v>
      </c>
      <c r="I2" s="134" t="n">
        <v>45170</v>
      </c>
      <c r="J2" s="134" t="n">
        <v>45231</v>
      </c>
      <c r="K2" s="134" t="n">
        <v>45323</v>
      </c>
      <c r="L2" s="134" t="n">
        <v>45352</v>
      </c>
      <c r="M2" s="134" t="n">
        <v>45383</v>
      </c>
      <c r="N2" s="134" t="n">
        <v>45413</v>
      </c>
      <c r="O2" s="134" t="n">
        <v>45444</v>
      </c>
      <c r="P2" s="134" t="n">
        <v>45474</v>
      </c>
      <c r="Q2" s="134" t="n">
        <v>45505</v>
      </c>
      <c r="R2" s="134" t="n">
        <v>45536</v>
      </c>
      <c r="S2" s="134" t="n">
        <v>45566</v>
      </c>
      <c r="T2" s="134" t="n">
        <v>45597</v>
      </c>
      <c r="U2" s="134" t="n">
        <v>45627</v>
      </c>
      <c r="V2" s="134" t="n">
        <v>45658</v>
      </c>
      <c r="W2" s="134" t="n">
        <v>45689</v>
      </c>
      <c r="X2" s="134" t="n">
        <v>45717</v>
      </c>
      <c r="Y2" s="134" t="n">
        <v>45748</v>
      </c>
      <c r="Z2" s="134" t="n">
        <v>45778</v>
      </c>
      <c r="AA2" s="134" t="n">
        <v>45809</v>
      </c>
      <c r="AB2" s="134" t="n">
        <v>45839</v>
      </c>
      <c r="AC2" s="134" t="n">
        <v>45870</v>
      </c>
      <c r="AD2" s="134" t="n">
        <v>45901</v>
      </c>
      <c r="AE2" s="134" t="n">
        <v>45931</v>
      </c>
      <c r="AF2" s="134" t="n">
        <v>45962</v>
      </c>
      <c r="AG2" s="134" t="n">
        <v>45992</v>
      </c>
      <c r="AH2" s="134" t="n">
        <v>46023</v>
      </c>
      <c r="AI2" s="134" t="n">
        <v>46054</v>
      </c>
      <c r="AJ2" s="134" t="n">
        <v>46082</v>
      </c>
      <c r="AK2" s="134" t="n">
        <v>46113</v>
      </c>
      <c r="AL2" s="134" t="n">
        <v>46143</v>
      </c>
      <c r="AM2" s="134" t="n">
        <v>46174</v>
      </c>
      <c r="AN2" s="134" t="n">
        <v>46204</v>
      </c>
      <c r="AO2" s="134" t="n">
        <v>46235</v>
      </c>
      <c r="AP2" s="134" t="n">
        <v>46266</v>
      </c>
      <c r="AQ2" s="134" t="n">
        <v>46296</v>
      </c>
      <c r="AR2" s="134" t="n">
        <v>46327</v>
      </c>
      <c r="AS2" s="134" t="n">
        <v>46357</v>
      </c>
      <c r="AT2" s="134" t="n">
        <v>46388</v>
      </c>
      <c r="AU2" s="134" t="n">
        <v>46419</v>
      </c>
      <c r="AV2" s="134" t="n">
        <v>46447</v>
      </c>
      <c r="AW2" s="134" t="n">
        <v>46478</v>
      </c>
      <c r="AX2" s="134" t="n">
        <v>46508</v>
      </c>
      <c r="AY2" s="134" t="n">
        <v>46539</v>
      </c>
      <c r="AZ2" s="134" t="n">
        <v>46569</v>
      </c>
      <c r="BA2" s="134" t="n">
        <v>46600</v>
      </c>
      <c r="BB2" s="134" t="n">
        <v>46631</v>
      </c>
      <c r="BC2" s="134" t="n">
        <v>46661</v>
      </c>
      <c r="BD2" s="134" t="n">
        <v>46692</v>
      </c>
      <c r="BE2" s="134" t="n">
        <v>46722</v>
      </c>
      <c r="BF2" s="134" t="n">
        <v>46753</v>
      </c>
      <c r="BG2" s="134" t="n">
        <v>46784</v>
      </c>
      <c r="BH2" s="134" t="n">
        <v>46813</v>
      </c>
      <c r="BI2" s="134" t="n">
        <v>46844</v>
      </c>
      <c r="BJ2" s="134" t="n">
        <v>46874</v>
      </c>
      <c r="BK2" s="134" t="n">
        <v>46905</v>
      </c>
      <c r="BL2" s="134" t="n">
        <v>46935</v>
      </c>
      <c r="BM2" s="134" t="n">
        <v>46966</v>
      </c>
      <c r="BN2" s="134" t="n">
        <v>46997</v>
      </c>
      <c r="BO2" s="134" t="n">
        <v>47027</v>
      </c>
      <c r="BP2" s="134" t="n">
        <v>47058</v>
      </c>
      <c r="BQ2" s="134" t="n">
        <v>47088</v>
      </c>
      <c r="BR2" s="134" t="n">
        <v>47119</v>
      </c>
      <c r="BS2" s="134" t="n">
        <v>47150</v>
      </c>
      <c r="BT2" s="134" t="n">
        <v>47178</v>
      </c>
      <c r="BU2" s="134" t="n">
        <v>47209</v>
      </c>
      <c r="BV2" s="134" t="n">
        <v>47239</v>
      </c>
      <c r="BW2" s="134" t="n">
        <v>47270</v>
      </c>
      <c r="BX2" s="134" t="n">
        <v>47300</v>
      </c>
      <c r="BY2" s="134" t="n">
        <v>47331</v>
      </c>
      <c r="BZ2" s="134" t="n">
        <v>47362</v>
      </c>
      <c r="CA2" s="134" t="n">
        <v>47392</v>
      </c>
      <c r="CB2" s="134" t="n">
        <v>47423</v>
      </c>
      <c r="CC2" s="134" t="n">
        <v>47453</v>
      </c>
      <c r="CD2" s="134" t="n">
        <v>47484</v>
      </c>
      <c r="CE2" s="134" t="n">
        <v>47515</v>
      </c>
      <c r="CF2" s="134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35" t="n">
        <v>12399.2</v>
      </c>
      <c r="AH8" s="135" t="n">
        <v>17424.55</v>
      </c>
      <c r="AI8" s="135" t="n">
        <v>59972.72</v>
      </c>
      <c r="AJ8" s="135" t="n">
        <v>69871.92</v>
      </c>
      <c r="AK8" s="135" t="n">
        <v>65066.02</v>
      </c>
      <c r="AL8" s="135" t="n">
        <v>68507.980001</v>
      </c>
      <c r="AM8" s="135" t="n">
        <v>91896.477034</v>
      </c>
      <c r="AN8" s="135" t="n">
        <v>162298.766475</v>
      </c>
      <c r="AO8" s="135" t="n">
        <v>407175.191727</v>
      </c>
      <c r="AP8" s="135" t="n">
        <v>256718.45</v>
      </c>
      <c r="AQ8" s="135" t="n">
        <v>12928.07</v>
      </c>
      <c r="AR8" s="135" t="n">
        <v>3600</v>
      </c>
      <c r="AS8" s="135" t="n">
        <v>1963.370001</v>
      </c>
      <c r="AT8" s="135" t="n">
        <v>15288.788836</v>
      </c>
      <c r="AU8" s="135" t="n">
        <v>3099.19</v>
      </c>
      <c r="BE8" s="135" t="n">
        <v>1500.53</v>
      </c>
      <c r="BK8" s="135" t="n">
        <v>3454.74</v>
      </c>
    </row>
    <row r="9">
      <c r="A9" s="4" t="inlineStr">
        <is>
          <t>BARRACAO DE OBRA</t>
        </is>
      </c>
      <c r="O9" s="135" t="n">
        <v>109930</v>
      </c>
      <c r="P9" s="135" t="n">
        <v>15506.51</v>
      </c>
      <c r="Q9" s="135" t="n">
        <v>41815.79</v>
      </c>
      <c r="R9" s="135" t="n">
        <v>40513.350003</v>
      </c>
      <c r="S9" s="135" t="n">
        <v>37030.381398</v>
      </c>
      <c r="T9" s="135" t="n">
        <v>16996.687011</v>
      </c>
      <c r="U9" s="135" t="n">
        <v>23171.580002</v>
      </c>
      <c r="V9" s="135" t="n">
        <v>22808.529999</v>
      </c>
      <c r="W9" s="135" t="n">
        <v>16264.91</v>
      </c>
      <c r="X9" s="135" t="n">
        <v>29988.515756</v>
      </c>
      <c r="Y9" s="135" t="n">
        <v>21169.759998</v>
      </c>
      <c r="Z9" s="135" t="n">
        <v>35479.880001</v>
      </c>
      <c r="AA9" s="135" t="n">
        <v>28668.21</v>
      </c>
      <c r="AB9" s="135" t="n">
        <v>45962.620362</v>
      </c>
      <c r="AC9" s="135" t="n">
        <v>3983.48</v>
      </c>
      <c r="AD9" s="135" t="n">
        <v>12389.37</v>
      </c>
      <c r="AE9" s="135" t="n">
        <v>10215.05</v>
      </c>
      <c r="AF9" s="135" t="n">
        <v>9256.01</v>
      </c>
      <c r="AG9" s="135" t="n">
        <v>15007.786401</v>
      </c>
      <c r="AH9" s="135" t="n">
        <v>11063.123461</v>
      </c>
      <c r="AI9" s="135" t="n">
        <v>19808.89</v>
      </c>
      <c r="AJ9" s="135" t="n">
        <v>34405.578612</v>
      </c>
      <c r="AK9" s="135" t="n">
        <v>22280.796388</v>
      </c>
      <c r="AL9" s="135" t="n">
        <v>47758.833193</v>
      </c>
      <c r="AM9" s="135" t="n">
        <v>67711.37500099999</v>
      </c>
      <c r="AN9" s="135" t="n">
        <v>65319.127912</v>
      </c>
      <c r="AO9" s="135" t="n">
        <v>41991.769723</v>
      </c>
      <c r="AP9" s="135" t="n">
        <v>22140.148521</v>
      </c>
      <c r="AQ9" s="135" t="n">
        <v>2111.666667</v>
      </c>
    </row>
    <row r="10">
      <c r="A10" s="4" t="inlineStr">
        <is>
          <t>CONSULTORIAS (OBRAS)</t>
        </is>
      </c>
      <c r="O10" s="135" t="n">
        <v>5145.77</v>
      </c>
      <c r="T10" s="135" t="n">
        <v>600</v>
      </c>
      <c r="U10" s="135" t="n">
        <v>10608.21</v>
      </c>
      <c r="V10" s="135" t="n">
        <v>3693.91</v>
      </c>
      <c r="W10" s="135" t="n">
        <v>35197.33</v>
      </c>
      <c r="X10" s="135" t="n">
        <v>4911.58</v>
      </c>
      <c r="Y10" s="135" t="n">
        <v>121600.74</v>
      </c>
      <c r="Z10" s="135" t="n">
        <v>13690.21</v>
      </c>
      <c r="AA10" s="135" t="n">
        <v>22921.25</v>
      </c>
      <c r="AB10" s="135" t="n">
        <v>8845.26</v>
      </c>
      <c r="AC10" s="135" t="n">
        <v>18079.95</v>
      </c>
      <c r="AD10" s="135" t="n">
        <v>9692.77</v>
      </c>
      <c r="AE10" s="135" t="n">
        <v>7194.08</v>
      </c>
      <c r="AF10" s="135" t="n">
        <v>1210.51</v>
      </c>
      <c r="AG10" s="135" t="n">
        <v>11561.11</v>
      </c>
      <c r="AH10" s="135" t="n">
        <v>17716.58</v>
      </c>
      <c r="AI10" s="135" t="n">
        <v>7355.76</v>
      </c>
      <c r="AJ10" s="135" t="n">
        <v>15350.39</v>
      </c>
      <c r="AK10" s="135" t="n">
        <v>5042.88</v>
      </c>
      <c r="AL10" s="135" t="n">
        <v>14373.26</v>
      </c>
      <c r="AM10" s="135" t="n">
        <v>15262.28</v>
      </c>
      <c r="AN10" s="135" t="n">
        <v>26975.46</v>
      </c>
      <c r="AO10" s="135" t="n">
        <v>24720.76</v>
      </c>
      <c r="AP10" s="135" t="n">
        <v>562.85</v>
      </c>
    </row>
    <row r="11">
      <c r="A11" s="4" t="inlineStr">
        <is>
          <t>CONSUMO DE ÁGUA, ENERGIA, ETC.</t>
        </is>
      </c>
      <c r="O11" s="135" t="n">
        <v>2079.83</v>
      </c>
      <c r="P11" s="135" t="n">
        <v>277.88</v>
      </c>
      <c r="Q11" s="135" t="n">
        <v>5614.43</v>
      </c>
      <c r="R11" s="135" t="n">
        <v>212.37</v>
      </c>
      <c r="S11" s="135" t="n">
        <v>7154.32</v>
      </c>
      <c r="T11" s="135" t="n">
        <v>6393.85</v>
      </c>
      <c r="U11" s="135" t="n">
        <v>2316.17</v>
      </c>
      <c r="V11" s="135" t="n">
        <v>2401.98</v>
      </c>
      <c r="W11" s="135" t="n">
        <v>1450.8</v>
      </c>
      <c r="X11" s="135" t="n">
        <v>1603.03</v>
      </c>
      <c r="Y11" s="135" t="n">
        <v>3230.42</v>
      </c>
      <c r="Z11" s="135" t="n">
        <v>36125.3</v>
      </c>
      <c r="AA11" s="135" t="n">
        <v>8271.299999999999</v>
      </c>
      <c r="AB11" s="135" t="n">
        <v>9828.09</v>
      </c>
      <c r="AC11" s="135" t="n">
        <v>11415.06</v>
      </c>
      <c r="AD11" s="135" t="n">
        <v>2828.95</v>
      </c>
      <c r="AE11" s="135" t="n">
        <v>10081.05</v>
      </c>
      <c r="AF11" s="135" t="n">
        <v>12794.61</v>
      </c>
      <c r="AG11" s="135" t="n">
        <v>12290.55</v>
      </c>
      <c r="AH11" s="135" t="n">
        <v>9222.870000000001</v>
      </c>
      <c r="AI11" s="135" t="n">
        <v>10989.07</v>
      </c>
      <c r="AJ11" s="135" t="n">
        <v>8412.84</v>
      </c>
      <c r="AK11" s="135" t="n">
        <v>20774.29</v>
      </c>
      <c r="AL11" s="135" t="n">
        <v>6237.74</v>
      </c>
      <c r="AM11" s="135" t="n">
        <v>31621.15</v>
      </c>
      <c r="AN11" s="135" t="n">
        <v>24694.83</v>
      </c>
      <c r="AO11" s="135" t="n">
        <v>21260.86</v>
      </c>
      <c r="AP11" s="135" t="n">
        <v>1250.65</v>
      </c>
    </row>
    <row r="12">
      <c r="A12" s="4" t="inlineStr">
        <is>
          <t>CONTENÇÃO</t>
        </is>
      </c>
      <c r="S12" s="135" t="n">
        <v>13118.18</v>
      </c>
      <c r="T12" s="135" t="n">
        <v>402488.37</v>
      </c>
      <c r="U12" s="135" t="n">
        <v>80803.88</v>
      </c>
      <c r="V12" s="135" t="n">
        <v>401205.9111</v>
      </c>
      <c r="W12" s="135" t="n">
        <v>102038.6725</v>
      </c>
      <c r="X12" s="135" t="n">
        <v>63098.194245</v>
      </c>
      <c r="Y12" s="135" t="n">
        <v>89709.61308700001</v>
      </c>
      <c r="Z12" s="135" t="n">
        <v>30062.316131</v>
      </c>
      <c r="AA12" s="135" t="n">
        <v>5503.54</v>
      </c>
      <c r="AB12" s="135" t="n">
        <v>26424.746216</v>
      </c>
      <c r="AC12" s="135" t="n">
        <v>22390.41</v>
      </c>
      <c r="AE12" s="135" t="n">
        <v>3442.65</v>
      </c>
      <c r="AF12" s="135" t="n">
        <v>1206.52</v>
      </c>
      <c r="AG12" s="135" t="n">
        <v>364.29</v>
      </c>
      <c r="AH12" s="135" t="n">
        <v>3707.67</v>
      </c>
      <c r="AO12" s="135" t="n">
        <v>3269.785755</v>
      </c>
      <c r="AP12" s="135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35" t="n">
        <v>445.21</v>
      </c>
      <c r="L15" s="135" t="n">
        <v>466.93</v>
      </c>
      <c r="M15" s="135" t="n">
        <v>477.33</v>
      </c>
      <c r="N15" s="135" t="n">
        <v>477.84</v>
      </c>
      <c r="O15" s="135" t="n">
        <v>2196.63</v>
      </c>
      <c r="P15" s="135" t="n">
        <v>2375.32</v>
      </c>
      <c r="Q15" s="135" t="n">
        <v>1562.54</v>
      </c>
      <c r="R15" s="135" t="n">
        <v>1757.31</v>
      </c>
      <c r="S15" s="135" t="n">
        <v>3767.34</v>
      </c>
      <c r="T15" s="135" t="n">
        <v>2371.66</v>
      </c>
      <c r="U15" s="135" t="n">
        <v>2476.720004</v>
      </c>
      <c r="V15" s="135" t="n">
        <v>3306.28</v>
      </c>
      <c r="W15" s="135" t="n">
        <v>11434.84</v>
      </c>
      <c r="X15" s="135" t="n">
        <v>3222.7</v>
      </c>
      <c r="Y15" s="135" t="n">
        <v>4812.119998</v>
      </c>
      <c r="Z15" s="135" t="n">
        <v>8139.679999</v>
      </c>
      <c r="AA15" s="135" t="n">
        <v>13810.4</v>
      </c>
      <c r="AB15" s="135" t="n">
        <v>12215.79</v>
      </c>
      <c r="AC15" s="135" t="n">
        <v>5057.54</v>
      </c>
      <c r="AD15" s="135" t="n">
        <v>5457.629999</v>
      </c>
      <c r="AE15" s="135" t="n">
        <v>4977.939999</v>
      </c>
      <c r="AF15" s="135" t="n">
        <v>6429.79</v>
      </c>
      <c r="AG15" s="135" t="n">
        <v>3871.6</v>
      </c>
      <c r="AH15" s="135" t="n">
        <v>2979.89</v>
      </c>
      <c r="AI15" s="135" t="n">
        <v>7550.11</v>
      </c>
      <c r="AJ15" s="135" t="n">
        <v>3668.42</v>
      </c>
      <c r="AK15" s="135" t="n">
        <v>8672.68</v>
      </c>
      <c r="AL15" s="135" t="n">
        <v>5341.600002</v>
      </c>
      <c r="AM15" s="135" t="n">
        <v>7014.32</v>
      </c>
      <c r="AN15" s="135" t="n">
        <v>56294.770001</v>
      </c>
      <c r="AO15" s="135" t="n">
        <v>38069.930002</v>
      </c>
      <c r="AP15" s="135" t="n">
        <v>36118.510002</v>
      </c>
      <c r="AQ15" s="135" t="n">
        <v>9511.42</v>
      </c>
    </row>
    <row r="16">
      <c r="A16" s="4" t="inlineStr">
        <is>
          <t>ELEVADORES</t>
        </is>
      </c>
      <c r="AM16" s="135" t="n">
        <v>200000</v>
      </c>
      <c r="AN16" s="135" t="n">
        <v>178000</v>
      </c>
      <c r="AO16" s="135" t="n">
        <v>176200</v>
      </c>
    </row>
    <row r="17">
      <c r="A17" s="4" t="inlineStr">
        <is>
          <t>EQUIPAMENTOS E FERRAMENTAS</t>
        </is>
      </c>
      <c r="O17" s="135" t="n">
        <v>1113</v>
      </c>
      <c r="P17" s="135" t="n">
        <v>1144.4</v>
      </c>
      <c r="Q17" s="135" t="n">
        <v>2067</v>
      </c>
      <c r="R17" s="135" t="n">
        <v>3800.38</v>
      </c>
      <c r="S17" s="135" t="n">
        <v>5065.181591</v>
      </c>
      <c r="T17" s="135" t="n">
        <v>1284.71</v>
      </c>
      <c r="U17" s="135" t="n">
        <v>8463.51</v>
      </c>
      <c r="V17" s="135" t="n">
        <v>6024.54</v>
      </c>
      <c r="W17" s="135" t="n">
        <v>1992.71</v>
      </c>
      <c r="X17" s="135" t="n">
        <v>7070.070001</v>
      </c>
      <c r="Y17" s="135" t="n">
        <v>8500.570002</v>
      </c>
      <c r="Z17" s="135" t="n">
        <v>20765.620003</v>
      </c>
      <c r="AA17" s="135" t="n">
        <v>27993.930001</v>
      </c>
      <c r="AB17" s="135" t="n">
        <v>30767.37</v>
      </c>
      <c r="AC17" s="135" t="n">
        <v>24067.83</v>
      </c>
      <c r="AD17" s="135" t="n">
        <v>28807.039994</v>
      </c>
      <c r="AE17" s="135" t="n">
        <v>37060.909998</v>
      </c>
      <c r="AF17" s="135" t="n">
        <v>48510.42</v>
      </c>
      <c r="AG17" s="135" t="n">
        <v>47082.829999</v>
      </c>
      <c r="AH17" s="135" t="n">
        <v>58328.517583</v>
      </c>
      <c r="AI17" s="135" t="n">
        <v>308900.417088</v>
      </c>
      <c r="AJ17" s="135" t="n">
        <v>194369.880018</v>
      </c>
      <c r="AK17" s="135" t="n">
        <v>298001.172448</v>
      </c>
      <c r="AL17" s="135" t="n">
        <v>153168.157956</v>
      </c>
      <c r="AM17" s="135" t="n">
        <v>153659.60754</v>
      </c>
      <c r="AN17" s="135" t="n">
        <v>137885.776657</v>
      </c>
      <c r="AO17" s="135" t="n">
        <v>235979.59622</v>
      </c>
      <c r="AP17" s="135" t="n">
        <v>103102.989846</v>
      </c>
      <c r="AQ17" s="135" t="n">
        <v>20237.020717</v>
      </c>
      <c r="AR17" s="135" t="n">
        <v>1617.042185</v>
      </c>
      <c r="AT17" s="135" t="n">
        <v>2678.291164</v>
      </c>
      <c r="BC17" s="135" t="n">
        <v>1502.10277</v>
      </c>
      <c r="BE17" s="135" t="n">
        <v>2512.000508</v>
      </c>
      <c r="BJ17" s="135" t="n">
        <v>6282.220001</v>
      </c>
      <c r="BW17" s="135" t="n">
        <v>287</v>
      </c>
    </row>
    <row r="18">
      <c r="A18" s="4" t="inlineStr">
        <is>
          <t>ESQUADRIAS</t>
        </is>
      </c>
      <c r="AN18" s="135" t="n">
        <v>41554.21</v>
      </c>
    </row>
    <row r="19">
      <c r="A19" s="4" t="inlineStr">
        <is>
          <t>ESTRUTURA EM CONTRETO ARMADO</t>
        </is>
      </c>
      <c r="Z19" s="135" t="n">
        <v>80860.35875</v>
      </c>
      <c r="AA19" s="135" t="n">
        <v>164376.555</v>
      </c>
      <c r="AB19" s="135" t="n">
        <v>391619.401939</v>
      </c>
      <c r="AC19" s="135" t="n">
        <v>641133.726317</v>
      </c>
      <c r="AD19" s="135" t="n">
        <v>652820.041652</v>
      </c>
      <c r="AE19" s="135" t="n">
        <v>484126.665201</v>
      </c>
      <c r="AF19" s="135" t="n">
        <v>856446.954793</v>
      </c>
      <c r="AG19" s="135" t="n">
        <v>726584.167532</v>
      </c>
      <c r="AH19" s="135" t="n">
        <v>1564076.696428</v>
      </c>
      <c r="AI19" s="135" t="n">
        <v>937286.722454</v>
      </c>
      <c r="AJ19" s="135" t="n">
        <v>1000442.670087</v>
      </c>
      <c r="AK19" s="135" t="n">
        <v>744805.482556</v>
      </c>
      <c r="AL19" s="135" t="n">
        <v>785035.801773</v>
      </c>
      <c r="AM19" s="135" t="n">
        <v>801412.33</v>
      </c>
      <c r="AN19" s="135" t="n">
        <v>1780716.732962</v>
      </c>
      <c r="AO19" s="135" t="n">
        <v>1146140.22607</v>
      </c>
      <c r="AP19" s="135" t="n">
        <v>1053521.702014</v>
      </c>
      <c r="AQ19" s="135" t="n">
        <v>205534.332702</v>
      </c>
      <c r="AR19" s="135" t="n">
        <v>58907.487815</v>
      </c>
      <c r="AS19" s="135" t="n">
        <v>5081.890001</v>
      </c>
      <c r="AU19" s="135" t="n">
        <v>35714.66</v>
      </c>
      <c r="AW19" s="135" t="n">
        <v>6806.48</v>
      </c>
      <c r="BB19" s="135" t="n">
        <v>6971.85</v>
      </c>
      <c r="BC19" s="135" t="n">
        <v>5200.503817</v>
      </c>
      <c r="BE19" s="135" t="n">
        <v>11989.8</v>
      </c>
      <c r="BF19" s="135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35" t="n">
        <v>599065.4989</v>
      </c>
      <c r="W21" s="135" t="n">
        <v>39184.6675</v>
      </c>
      <c r="X21" s="135" t="n">
        <v>401048.36</v>
      </c>
      <c r="Y21" s="135" t="n">
        <v>687004.70979</v>
      </c>
      <c r="Z21" s="135" t="n">
        <v>1332950.038604</v>
      </c>
      <c r="AA21" s="135" t="n">
        <v>1031256.692609</v>
      </c>
      <c r="AB21" s="135" t="n">
        <v>108710.818798</v>
      </c>
      <c r="AC21" s="135" t="n">
        <v>117502.473184</v>
      </c>
      <c r="AD21" s="135" t="n">
        <v>9672.073312</v>
      </c>
      <c r="AE21" s="135" t="n">
        <v>1860.015706</v>
      </c>
      <c r="AG21" s="135" t="n">
        <v>26195.86</v>
      </c>
      <c r="AJ21" s="135" t="n">
        <v>442.886348</v>
      </c>
      <c r="AK21" s="135" t="n">
        <v>239.70711</v>
      </c>
      <c r="AL21" s="135" t="n">
        <v>9.131739</v>
      </c>
      <c r="AO21" s="135" t="n">
        <v>46.799098</v>
      </c>
      <c r="AP21" s="135" t="n">
        <v>9204.176036000001</v>
      </c>
      <c r="AR21" s="135" t="n">
        <v>3849.213552</v>
      </c>
    </row>
    <row r="22">
      <c r="A22" s="4" t="inlineStr">
        <is>
          <t>FUNDAÇÃO SUPERFICIAL</t>
        </is>
      </c>
      <c r="X22" s="135" t="n">
        <v>1102.22</v>
      </c>
      <c r="Y22" s="135" t="n">
        <v>98550.729343</v>
      </c>
      <c r="Z22" s="135" t="n">
        <v>165306.283539</v>
      </c>
      <c r="AA22" s="135" t="n">
        <v>445497.272391</v>
      </c>
      <c r="AB22" s="135" t="n">
        <v>522979.472722</v>
      </c>
      <c r="AC22" s="135" t="n">
        <v>408940.822077</v>
      </c>
      <c r="AD22" s="135" t="n">
        <v>316719.58682</v>
      </c>
      <c r="AE22" s="135" t="n">
        <v>95793.814847</v>
      </c>
      <c r="AF22" s="135" t="n">
        <v>112674.475209</v>
      </c>
      <c r="AG22" s="135" t="n">
        <v>14447.625912</v>
      </c>
      <c r="AH22" s="135" t="n">
        <v>19649.726711</v>
      </c>
      <c r="AI22" s="135" t="n">
        <v>2468.503871</v>
      </c>
      <c r="AJ22" s="135" t="n">
        <v>6510.024133</v>
      </c>
      <c r="AK22" s="135" t="n">
        <v>6146.49</v>
      </c>
      <c r="AL22" s="135" t="n">
        <v>386.3508</v>
      </c>
      <c r="AN22" s="135" t="n">
        <v>86116.883334</v>
      </c>
      <c r="AO22" s="135" t="n">
        <v>104862.075231</v>
      </c>
      <c r="AP22" s="135" t="n">
        <v>48889.359378</v>
      </c>
      <c r="AQ22" s="135" t="n">
        <v>2949.726581</v>
      </c>
      <c r="AR22" s="135" t="n">
        <v>2337.336447</v>
      </c>
      <c r="AV22" s="135" t="n">
        <v>2519.974536</v>
      </c>
      <c r="BB22" s="135" t="n">
        <v>1542.71</v>
      </c>
    </row>
    <row r="23">
      <c r="A23" s="4" t="inlineStr">
        <is>
          <t>IMPERMEABILIZAÇÃO</t>
        </is>
      </c>
      <c r="AO23" s="135" t="n">
        <v>2270</v>
      </c>
      <c r="AP23" s="135" t="n">
        <v>28862.07</v>
      </c>
    </row>
    <row r="24">
      <c r="A24" s="4" t="inlineStr">
        <is>
          <t>INSTALAÇÕES COMBATE INCÊNDIO</t>
        </is>
      </c>
      <c r="AQ24" s="135" t="n">
        <v>11000.000001</v>
      </c>
      <c r="AR24" s="135" t="n">
        <v>11000.000001</v>
      </c>
      <c r="AS24" s="135" t="n">
        <v>11000.000001</v>
      </c>
    </row>
    <row r="25">
      <c r="A25" s="4" t="inlineStr">
        <is>
          <t>INSTALAÇÕES ELÉTRICAS</t>
        </is>
      </c>
      <c r="X25" s="135" t="n">
        <v>1100.75</v>
      </c>
      <c r="Y25" s="135" t="n">
        <v>1100.75</v>
      </c>
      <c r="AA25" s="135" t="n">
        <v>510</v>
      </c>
      <c r="AC25" s="135" t="n">
        <v>1836.75</v>
      </c>
      <c r="AD25" s="135" t="n">
        <v>80451.53</v>
      </c>
      <c r="AE25" s="135" t="n">
        <v>270</v>
      </c>
      <c r="AF25" s="135" t="n">
        <v>522</v>
      </c>
      <c r="AH25" s="135" t="n">
        <v>2854.92</v>
      </c>
      <c r="AI25" s="135" t="n">
        <v>29643.63</v>
      </c>
      <c r="AJ25" s="135" t="n">
        <v>66813.07580399999</v>
      </c>
      <c r="AK25" s="135" t="n">
        <v>89613.393616</v>
      </c>
      <c r="AL25" s="135" t="n">
        <v>147329.243835</v>
      </c>
      <c r="AM25" s="135" t="n">
        <v>90338.152713</v>
      </c>
      <c r="AN25" s="135" t="n">
        <v>113065.992656</v>
      </c>
      <c r="AO25" s="135" t="n">
        <v>119466.043335</v>
      </c>
      <c r="AP25" s="135" t="n">
        <v>146491.973336</v>
      </c>
      <c r="AQ25" s="135" t="n">
        <v>77381.61332999999</v>
      </c>
      <c r="AR25" s="135" t="n">
        <v>22014.089999</v>
      </c>
      <c r="AT25" s="135" t="n">
        <v>2170</v>
      </c>
      <c r="BD25" s="135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35" t="n">
        <v>11290</v>
      </c>
      <c r="V27" s="135" t="n">
        <v>5533.199999</v>
      </c>
      <c r="W27" s="135" t="n">
        <v>8558.700000000001</v>
      </c>
      <c r="X27" s="135" t="n">
        <v>620.11</v>
      </c>
      <c r="Y27" s="135" t="n">
        <v>8573.44778</v>
      </c>
      <c r="Z27" s="135" t="n">
        <v>3992.762977</v>
      </c>
      <c r="AB27" s="135" t="n">
        <v>4231.379966</v>
      </c>
      <c r="AC27" s="135" t="n">
        <v>2147.1</v>
      </c>
      <c r="AD27" s="135" t="n">
        <v>9723.998036000001</v>
      </c>
      <c r="AE27" s="135" t="n">
        <v>16171.313395</v>
      </c>
      <c r="AF27" s="135" t="n">
        <v>803</v>
      </c>
      <c r="AG27" s="135" t="n">
        <v>10520.7869</v>
      </c>
      <c r="AH27" s="135" t="n">
        <v>16111.373417</v>
      </c>
      <c r="AI27" s="135" t="n">
        <v>12473.013203</v>
      </c>
      <c r="AJ27" s="135" t="n">
        <v>747.79</v>
      </c>
      <c r="AK27" s="135" t="n">
        <v>8127.82875</v>
      </c>
      <c r="AL27" s="135" t="n">
        <v>111279.038882</v>
      </c>
      <c r="AM27" s="135" t="n">
        <v>165375.970017</v>
      </c>
      <c r="AN27" s="135" t="n">
        <v>81590.602908</v>
      </c>
      <c r="AO27" s="135" t="n">
        <v>74562.48208099999</v>
      </c>
      <c r="AP27" s="135" t="n">
        <v>73088.212774</v>
      </c>
      <c r="AS27" s="135" t="n">
        <v>1316.889143</v>
      </c>
      <c r="AT27" s="135" t="n">
        <v>2100</v>
      </c>
      <c r="AV27" s="135" t="n">
        <v>746.892453</v>
      </c>
      <c r="AX27" s="135" t="n">
        <v>493.5</v>
      </c>
      <c r="BE27" s="135" t="n">
        <v>10667.036485</v>
      </c>
    </row>
    <row r="28">
      <c r="A28" s="4" t="inlineStr">
        <is>
          <t>LIGAÇÕES PROVISÓRIAS AGUA, ENERGIA,TELEFONIA, ESGOTO</t>
        </is>
      </c>
      <c r="AE28" s="135" t="n">
        <v>1810.47</v>
      </c>
      <c r="AF28" s="135" t="n">
        <v>40.42</v>
      </c>
      <c r="AI28" s="135" t="n">
        <v>3150</v>
      </c>
      <c r="AJ28" s="135" t="n">
        <v>3150</v>
      </c>
      <c r="AK28" s="135" t="n">
        <v>673.66</v>
      </c>
      <c r="AL28" s="135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35" t="n">
        <v>8613.42</v>
      </c>
      <c r="O31" s="135" t="n">
        <v>43651.44</v>
      </c>
      <c r="P31" s="135" t="n">
        <v>74446.48</v>
      </c>
      <c r="Q31" s="135" t="n">
        <v>133014.04</v>
      </c>
      <c r="R31" s="135" t="n">
        <v>99557.35000000001</v>
      </c>
      <c r="S31" s="135" t="n">
        <v>131166.949276</v>
      </c>
      <c r="T31" s="135" t="n">
        <v>131072.550724</v>
      </c>
      <c r="U31" s="135" t="n">
        <v>159884.48</v>
      </c>
      <c r="V31" s="135" t="n">
        <v>170959.67</v>
      </c>
      <c r="W31" s="135" t="n">
        <v>210708.95</v>
      </c>
      <c r="X31" s="135" t="n">
        <v>353398.3</v>
      </c>
      <c r="Y31" s="135" t="n">
        <v>220168.51</v>
      </c>
      <c r="Z31" s="135" t="n">
        <v>208139.04</v>
      </c>
      <c r="AA31" s="135" t="n">
        <v>207096.94</v>
      </c>
      <c r="AB31" s="135" t="n">
        <v>224847.54</v>
      </c>
      <c r="AC31" s="135" t="n">
        <v>225258.07</v>
      </c>
      <c r="AD31" s="135" t="n">
        <v>227417.3557</v>
      </c>
      <c r="AE31" s="135" t="n">
        <v>262747.429699</v>
      </c>
      <c r="AF31" s="135" t="n">
        <v>273728.970001</v>
      </c>
      <c r="AG31" s="135" t="n">
        <v>317992.831257</v>
      </c>
      <c r="AH31" s="135" t="n">
        <v>306783.891729</v>
      </c>
      <c r="AI31" s="135" t="n">
        <v>265241.923199</v>
      </c>
      <c r="AJ31" s="135" t="n">
        <v>320168.887969</v>
      </c>
      <c r="AK31" s="135" t="n">
        <v>310668.523161</v>
      </c>
      <c r="AL31" s="135" t="n">
        <v>411419.123161</v>
      </c>
      <c r="AM31" s="135" t="n">
        <v>405413.319168</v>
      </c>
      <c r="AN31" s="135" t="n">
        <v>424292.327091</v>
      </c>
      <c r="AO31" s="135" t="n">
        <v>448590.478235</v>
      </c>
      <c r="AP31" s="135" t="n">
        <v>211861.139251</v>
      </c>
      <c r="AQ31" s="135" t="n">
        <v>90457.239994</v>
      </c>
      <c r="AR31" s="135" t="n">
        <v>93025.9572</v>
      </c>
      <c r="AS31" s="135" t="n">
        <v>86741.770857</v>
      </c>
      <c r="AU31" s="135" t="n">
        <v>8761.549999999999</v>
      </c>
      <c r="AV31" s="135" t="n">
        <v>7613.193011</v>
      </c>
      <c r="AZ31" s="135" t="n">
        <v>3450.4204</v>
      </c>
      <c r="BC31" s="135" t="n">
        <v>460.906182</v>
      </c>
      <c r="BE31" s="135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35" t="n">
        <v>28902.72</v>
      </c>
      <c r="S33" s="135" t="n">
        <v>6220.35</v>
      </c>
      <c r="T33" s="135" t="n">
        <v>5550</v>
      </c>
      <c r="U33" s="135" t="n">
        <v>17524.96</v>
      </c>
      <c r="V33" s="135" t="n">
        <v>39443.62</v>
      </c>
      <c r="W33" s="135" t="n">
        <v>5550</v>
      </c>
      <c r="X33" s="135" t="n">
        <v>5550</v>
      </c>
      <c r="Y33" s="135" t="n">
        <v>11350.63</v>
      </c>
      <c r="AA33" s="135" t="n">
        <v>1866.24</v>
      </c>
      <c r="AF33" s="135" t="n">
        <v>9704.450000000001</v>
      </c>
      <c r="AH33" s="135" t="n">
        <v>27084.68</v>
      </c>
      <c r="AI33" s="135" t="n">
        <v>16766.71</v>
      </c>
      <c r="AJ33" s="135" t="n">
        <v>29389.589999</v>
      </c>
      <c r="AK33" s="135" t="n">
        <v>25562.719999</v>
      </c>
      <c r="AL33" s="135" t="n">
        <v>6421.999326</v>
      </c>
      <c r="AM33" s="135" t="n">
        <v>646.000225</v>
      </c>
      <c r="AN33" s="135" t="n">
        <v>22827.97</v>
      </c>
      <c r="AO33" s="135" t="n">
        <v>4503.98</v>
      </c>
      <c r="AP33" s="135" t="n">
        <v>8553.719999999999</v>
      </c>
      <c r="AW33" s="135" t="n">
        <v>982.8</v>
      </c>
      <c r="BE33" s="135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35" t="n">
        <v>8641.32</v>
      </c>
      <c r="AI35" s="135" t="n">
        <v>814.95</v>
      </c>
      <c r="AJ35" s="135" t="n">
        <v>9268.799999999999</v>
      </c>
      <c r="AK35" s="135" t="n">
        <v>28370.3</v>
      </c>
      <c r="AL35" s="135" t="n">
        <v>13615.25</v>
      </c>
      <c r="AM35" s="135" t="n">
        <v>2226.14</v>
      </c>
      <c r="AN35" s="135" t="n">
        <v>20978.64</v>
      </c>
      <c r="AO35" s="135" t="n">
        <v>19983.6</v>
      </c>
      <c r="AP35" s="135" t="n">
        <v>6713.91</v>
      </c>
      <c r="AQ35" s="135" t="n">
        <v>3306</v>
      </c>
      <c r="BD35" s="135" t="n">
        <v>4240.58</v>
      </c>
      <c r="BE35" s="135" t="n">
        <v>2023.54</v>
      </c>
    </row>
    <row r="36">
      <c r="A36" s="4" t="inlineStr">
        <is>
          <t>PROJETOS</t>
        </is>
      </c>
      <c r="B36" s="135" t="n">
        <v>1877.05</v>
      </c>
      <c r="C36" s="135" t="n">
        <v>11788.53</v>
      </c>
      <c r="D36" s="135" t="n">
        <v>9911.469999999999</v>
      </c>
      <c r="E36" s="135" t="n">
        <v>27405</v>
      </c>
      <c r="F36" s="135" t="n">
        <v>30000</v>
      </c>
      <c r="G36" s="135" t="n">
        <v>2595</v>
      </c>
      <c r="H36" s="135" t="n">
        <v>27405</v>
      </c>
      <c r="I36" s="135" t="n">
        <v>2595</v>
      </c>
      <c r="O36" s="135" t="n">
        <v>152491.91</v>
      </c>
      <c r="P36" s="135" t="n">
        <v>125140.95</v>
      </c>
      <c r="Q36" s="135" t="n">
        <v>326043.62</v>
      </c>
      <c r="R36" s="135" t="n">
        <v>164914.3</v>
      </c>
      <c r="S36" s="135" t="n">
        <v>85250.64</v>
      </c>
      <c r="T36" s="135" t="n">
        <v>2939.9</v>
      </c>
      <c r="U36" s="135" t="n">
        <v>259290.11</v>
      </c>
      <c r="V36" s="135" t="n">
        <v>36.98</v>
      </c>
      <c r="W36" s="135" t="n">
        <v>30447.52</v>
      </c>
      <c r="Y36" s="135" t="n">
        <v>82453.39</v>
      </c>
      <c r="Z36" s="135" t="n">
        <v>102881.43</v>
      </c>
      <c r="AA36" s="135" t="n">
        <v>74685.67999999999</v>
      </c>
      <c r="AB36" s="135" t="n">
        <v>53850.38</v>
      </c>
      <c r="AC36" s="135" t="n">
        <v>24090.15</v>
      </c>
      <c r="AD36" s="135" t="n">
        <v>35275.5</v>
      </c>
      <c r="AE36" s="135" t="n">
        <v>73984.41</v>
      </c>
      <c r="AF36" s="135" t="n">
        <v>54894.51</v>
      </c>
      <c r="AG36" s="135" t="n">
        <v>83688.08</v>
      </c>
      <c r="AH36" s="135" t="n">
        <v>129838.79</v>
      </c>
      <c r="AI36" s="135" t="n">
        <v>7613.25</v>
      </c>
      <c r="AJ36" s="135" t="n">
        <v>1592.25</v>
      </c>
      <c r="AK36" s="135" t="n">
        <v>1005.84</v>
      </c>
      <c r="AL36" s="135" t="n">
        <v>79.41</v>
      </c>
      <c r="AM36" s="135" t="n">
        <v>6303.15</v>
      </c>
      <c r="AN36" s="135" t="n">
        <v>1967.1</v>
      </c>
      <c r="AO36" s="135" t="n">
        <v>1054.75</v>
      </c>
    </row>
    <row r="37">
      <c r="A37" s="4" t="inlineStr">
        <is>
          <t>REEMBOLSO MATERIAIS E SERVIÇOS</t>
        </is>
      </c>
      <c r="P37" s="135" t="n">
        <v>2980.76</v>
      </c>
      <c r="T37" s="135" t="n">
        <v>296496.77</v>
      </c>
      <c r="U37" s="135" t="n">
        <v>152560.4</v>
      </c>
      <c r="V37" s="135" t="n">
        <v>13557.83</v>
      </c>
      <c r="W37" s="135" t="n">
        <v>3844.04</v>
      </c>
      <c r="X37" s="135" t="n">
        <v>172860.34</v>
      </c>
      <c r="Y37" s="135" t="n">
        <v>4828.5</v>
      </c>
      <c r="Z37" s="135" t="n">
        <v>6213.2</v>
      </c>
      <c r="AA37" s="135" t="n">
        <v>19236.94</v>
      </c>
      <c r="AB37" s="135" t="n">
        <v>26489.41</v>
      </c>
      <c r="AC37" s="135" t="n">
        <v>48202.98</v>
      </c>
      <c r="AD37" s="135" t="n">
        <v>51261.44</v>
      </c>
      <c r="AE37" s="135" t="n">
        <v>49998.11</v>
      </c>
      <c r="AF37" s="135" t="n">
        <v>5052.62</v>
      </c>
    </row>
    <row r="38">
      <c r="A38" s="4" t="inlineStr">
        <is>
          <t>REVESTIMENTO DIVERSOS   FACHADA</t>
        </is>
      </c>
      <c r="AC38" s="135" t="n">
        <v>3000</v>
      </c>
      <c r="AD38" s="135" t="n">
        <v>4904.21</v>
      </c>
      <c r="AE38" s="135" t="n">
        <v>2800</v>
      </c>
      <c r="AO38" s="135" t="n">
        <v>9579.709999999999</v>
      </c>
      <c r="AP38" s="135" t="n">
        <v>5427.26</v>
      </c>
      <c r="AQ38" s="135" t="n">
        <v>2568.04</v>
      </c>
      <c r="BL38" s="135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35" t="n">
        <v>7919.302333</v>
      </c>
      <c r="AK41" s="135" t="n">
        <v>70931.88999900001</v>
      </c>
      <c r="AL41" s="135" t="n">
        <v>32198.53</v>
      </c>
      <c r="AM41" s="135" t="n">
        <v>66047.949999</v>
      </c>
      <c r="AN41" s="135" t="n">
        <v>37501.8</v>
      </c>
      <c r="AO41" s="135" t="n">
        <v>63429.659999</v>
      </c>
      <c r="AP41" s="135" t="n">
        <v>91946.83000099999</v>
      </c>
      <c r="BE41" s="135" t="n">
        <v>10990.960001</v>
      </c>
    </row>
    <row r="42">
      <c r="A42" s="4" t="inlineStr">
        <is>
          <t>SEGUROS</t>
        </is>
      </c>
      <c r="R42" s="135" t="n">
        <v>26212.54</v>
      </c>
      <c r="S42" s="135" t="n">
        <v>21466</v>
      </c>
      <c r="T42" s="135" t="n">
        <v>21250</v>
      </c>
      <c r="U42" s="135" t="n">
        <v>21250.06</v>
      </c>
      <c r="V42" s="135" t="n">
        <v>2021.46</v>
      </c>
    </row>
    <row r="43">
      <c r="A43" s="4" t="inlineStr">
        <is>
          <t>SERRALHERIA</t>
        </is>
      </c>
      <c r="AO43" s="135" t="n">
        <v>5500</v>
      </c>
    </row>
    <row r="44">
      <c r="A44" s="4" t="inlineStr">
        <is>
          <t>SERVIÇOS INICIAIS</t>
        </is>
      </c>
      <c r="O44" s="135" t="n">
        <v>187202.85</v>
      </c>
      <c r="P44" s="135" t="n">
        <v>233759.9</v>
      </c>
      <c r="Q44" s="135" t="n">
        <v>11100</v>
      </c>
      <c r="R44" s="135" t="n">
        <v>22548.94</v>
      </c>
      <c r="S44" s="135" t="n">
        <v>29528.407735</v>
      </c>
      <c r="T44" s="135" t="n">
        <v>2899.752265</v>
      </c>
      <c r="U44" s="135" t="n">
        <v>1500</v>
      </c>
      <c r="V44" s="135" t="n">
        <v>1500</v>
      </c>
      <c r="W44" s="135" t="n">
        <v>1500</v>
      </c>
      <c r="X44" s="135" t="n">
        <v>3228.72</v>
      </c>
      <c r="Y44" s="135" t="n">
        <v>71.28</v>
      </c>
      <c r="Z44" s="135" t="n">
        <v>1537.2</v>
      </c>
      <c r="AA44" s="135" t="n">
        <v>142.8</v>
      </c>
      <c r="AB44" s="135" t="n">
        <v>1500</v>
      </c>
      <c r="AC44" s="135" t="n">
        <v>1800</v>
      </c>
      <c r="AD44" s="135" t="n">
        <v>1800</v>
      </c>
      <c r="AE44" s="135" t="n">
        <v>1800</v>
      </c>
      <c r="AF44" s="135" t="n">
        <v>1800</v>
      </c>
      <c r="AG44" s="135" t="n">
        <v>1800</v>
      </c>
      <c r="AH44" s="135" t="n">
        <v>1800</v>
      </c>
      <c r="AI44" s="135" t="n">
        <v>1800</v>
      </c>
      <c r="AJ44" s="135" t="n">
        <v>1828.87909</v>
      </c>
      <c r="AK44" s="135" t="n">
        <v>4626.415359</v>
      </c>
      <c r="AL44" s="135" t="n">
        <v>1800.595238</v>
      </c>
      <c r="AM44" s="135" t="n">
        <v>1800</v>
      </c>
      <c r="AN44" s="135" t="n">
        <v>1800</v>
      </c>
      <c r="AO44" s="135" t="n">
        <v>8735.302616000001</v>
      </c>
      <c r="AP44" s="135" t="n">
        <v>24459.800154</v>
      </c>
      <c r="AQ44" s="135" t="n">
        <v>211.56</v>
      </c>
      <c r="BC44" s="135" t="n">
        <v>667.79723</v>
      </c>
    </row>
    <row r="45">
      <c r="A45" s="4" t="inlineStr">
        <is>
          <t>SERVIÇOS TERCEIRIZADOS</t>
        </is>
      </c>
      <c r="W45" s="135" t="n">
        <v>240</v>
      </c>
      <c r="AN45" s="135" t="n">
        <v>181.28</v>
      </c>
      <c r="AO45" s="135" t="n">
        <v>3.72</v>
      </c>
    </row>
    <row r="46">
      <c r="A46" s="4" t="inlineStr">
        <is>
          <t>TAXA DE ADMINISTRAÇÃO</t>
        </is>
      </c>
      <c r="J46" s="135" t="n">
        <v>15675.91</v>
      </c>
      <c r="O46" s="135" t="n">
        <v>200</v>
      </c>
      <c r="Q46" s="135" t="n">
        <v>148152.31</v>
      </c>
      <c r="R46" s="135" t="n">
        <v>49222.74</v>
      </c>
      <c r="S46" s="135" t="n">
        <v>60024.17</v>
      </c>
      <c r="T46" s="135" t="n">
        <v>141140.78</v>
      </c>
      <c r="U46" s="135" t="n">
        <v>122941.01</v>
      </c>
      <c r="V46" s="135" t="n">
        <v>50814.11</v>
      </c>
      <c r="W46" s="135" t="n">
        <v>154496.68</v>
      </c>
      <c r="X46" s="135" t="n">
        <v>65454.02</v>
      </c>
      <c r="Y46" s="135" t="n">
        <v>131068.65</v>
      </c>
      <c r="Z46" s="135" t="n">
        <v>142141.79</v>
      </c>
      <c r="AA46" s="135" t="n">
        <v>204940.64</v>
      </c>
      <c r="AB46" s="135" t="n">
        <v>212314.07</v>
      </c>
      <c r="AC46" s="135" t="n">
        <v>153383.08</v>
      </c>
      <c r="AD46" s="135" t="n">
        <v>162552.13</v>
      </c>
      <c r="AE46" s="135" t="n">
        <v>148137.86</v>
      </c>
      <c r="AF46" s="135" t="n">
        <v>112482.74</v>
      </c>
    </row>
    <row r="47">
      <c r="A47" s="4" t="inlineStr">
        <is>
          <t>TAXAS DIVERSAS</t>
        </is>
      </c>
      <c r="Q47" s="135" t="n">
        <v>262.55</v>
      </c>
      <c r="S47" s="135" t="n">
        <v>99.64</v>
      </c>
      <c r="T47" s="135" t="n">
        <v>99.64</v>
      </c>
      <c r="X47" s="135" t="n">
        <v>385.66</v>
      </c>
      <c r="AD47" s="135" t="n">
        <v>82.97</v>
      </c>
      <c r="AG47" s="135" t="n">
        <v>33097.94</v>
      </c>
      <c r="AK47" s="135" t="n">
        <v>11895.81</v>
      </c>
      <c r="AN47" s="135" t="n">
        <v>3420</v>
      </c>
    </row>
    <row r="48">
      <c r="A48" s="4" t="inlineStr">
        <is>
          <t>TERRAPLENAGEM</t>
        </is>
      </c>
      <c r="Q48" s="135" t="n">
        <v>40000</v>
      </c>
      <c r="R48" s="135" t="n">
        <v>209029.66</v>
      </c>
      <c r="S48" s="135" t="n">
        <v>725343.000001</v>
      </c>
      <c r="T48" s="135" t="n">
        <v>429843.8</v>
      </c>
      <c r="U48" s="135" t="n">
        <v>153567.17</v>
      </c>
      <c r="V48" s="135" t="n">
        <v>994.24</v>
      </c>
      <c r="W48" s="135" t="n">
        <v>31243</v>
      </c>
      <c r="X48" s="135" t="n">
        <v>359463.359999</v>
      </c>
      <c r="Y48" s="135" t="n">
        <v>26381.68</v>
      </c>
      <c r="Z48" s="135" t="n">
        <v>159.06</v>
      </c>
      <c r="AA48" s="135" t="n">
        <v>321918.24</v>
      </c>
      <c r="AB48" s="135" t="n">
        <v>1407.48</v>
      </c>
      <c r="AC48" s="135" t="n">
        <v>4172.538423</v>
      </c>
      <c r="AD48" s="135" t="n">
        <v>5301.040181</v>
      </c>
      <c r="AE48" s="135" t="n">
        <v>3180.626856</v>
      </c>
      <c r="AG48" s="135" t="n">
        <v>16033.8045</v>
      </c>
      <c r="AH48" s="135" t="n">
        <v>11145.578769</v>
      </c>
      <c r="AK48" s="135" t="n">
        <v>10506.16</v>
      </c>
      <c r="AL48" s="135" t="n">
        <v>660.3872</v>
      </c>
      <c r="AM48" s="135" t="n">
        <v>17495.34</v>
      </c>
      <c r="AP48" s="135" t="n">
        <v>3634.102946</v>
      </c>
    </row>
    <row r="49">
      <c r="A49" s="4" t="inlineStr">
        <is>
          <t>TRANSPORTES</t>
        </is>
      </c>
      <c r="P49" s="135" t="n">
        <v>4414.36</v>
      </c>
      <c r="Q49" s="135" t="n">
        <v>113.29</v>
      </c>
      <c r="R49" s="135" t="n">
        <v>4127.79</v>
      </c>
      <c r="S49" s="135" t="n">
        <v>3835.68</v>
      </c>
      <c r="T49" s="135" t="n">
        <v>1896.38</v>
      </c>
      <c r="U49" s="135" t="n">
        <v>3748.86</v>
      </c>
      <c r="V49" s="135" t="n">
        <v>1699.79</v>
      </c>
      <c r="W49" s="135" t="n">
        <v>9326.219999999999</v>
      </c>
      <c r="X49" s="135" t="n">
        <v>9590.33</v>
      </c>
      <c r="Y49" s="135" t="n">
        <v>2875.79</v>
      </c>
      <c r="Z49" s="135" t="n">
        <v>440.45</v>
      </c>
      <c r="AA49" s="135" t="n">
        <v>7744.89</v>
      </c>
      <c r="AB49" s="135" t="n">
        <v>311.47</v>
      </c>
      <c r="AC49" s="135" t="n">
        <v>1588.37</v>
      </c>
      <c r="AD49" s="135" t="n">
        <v>928.8099999999999</v>
      </c>
      <c r="AE49" s="135" t="n">
        <v>2489.76</v>
      </c>
      <c r="AF49" s="135" t="n">
        <v>17920.4</v>
      </c>
      <c r="AG49" s="135" t="n">
        <v>25229.86</v>
      </c>
      <c r="AH49" s="135" t="n">
        <v>10777.6676</v>
      </c>
      <c r="AI49" s="135" t="n">
        <v>15656.963384</v>
      </c>
      <c r="AJ49" s="135" t="n">
        <v>10975.703577</v>
      </c>
      <c r="AK49" s="135" t="n">
        <v>352.237532</v>
      </c>
      <c r="AL49" s="135" t="n">
        <v>9.283023</v>
      </c>
      <c r="AM49" s="135" t="n">
        <v>5812.22</v>
      </c>
      <c r="AN49" s="135" t="n">
        <v>41922.95</v>
      </c>
      <c r="AO49" s="135" t="n">
        <v>19111.026809</v>
      </c>
      <c r="AP49" s="135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PL'!F11</f>
        <v/>
      </c>
      <c r="K5" s="60">
        <f>'VALOR POR PL'!G11</f>
        <v/>
      </c>
      <c r="L5" s="60">
        <f>'DADOS HISTORICOS'!$BZ$5</f>
        <v/>
      </c>
      <c r="M5" s="138">
        <f>'CP RESUMO'!D5</f>
        <v/>
      </c>
      <c r="N5" s="139" t="n">
        <v>0</v>
      </c>
      <c r="O5" s="138">
        <f>IF(B5&lt;='VALOR POR PL'!$P$5,'CP RESUMO'!D47,"")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PL'!H11</f>
        <v/>
      </c>
      <c r="L6" s="49">
        <f>C6/IF(B6&lt;='VALOR POR PL'!$P$5,IFERROR(INDEX('"INCC-FGV"'!$B$2:$B$800,MATCH(B6,'"INCC-FGV"'!$A$2:$A$800,0)),$K$2),$K$2)</f>
        <v/>
      </c>
      <c r="M6" s="138">
        <f>'CP RESUMO'!E5</f>
        <v/>
      </c>
      <c r="N6" s="139">
        <f>MAX(0,M6-M5)</f>
        <v/>
      </c>
      <c r="O6" s="138">
        <f>IF(B6&lt;='VALOR POR PL'!$P$5,'CP RESUMO'!E47,"")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RESUMO'!F5</f>
        <v/>
      </c>
      <c r="N7" s="139">
        <f>MAX(0,M7-M6)</f>
        <v/>
      </c>
      <c r="O7" s="138">
        <f>IF(B7&lt;='VALOR POR PL'!$P$5,'CP RESUMO'!F47,"")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RESUMO'!G5</f>
        <v/>
      </c>
      <c r="N8" s="139">
        <f>MAX(0,M8-M7)</f>
        <v/>
      </c>
      <c r="O8" s="138">
        <f>IF(B8&lt;='VALOR POR PL'!$P$5,'CP RESUMO'!G47,"")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RESUMO'!H5</f>
        <v/>
      </c>
      <c r="N9" s="139">
        <f>MAX(0,M9-M8)</f>
        <v/>
      </c>
      <c r="O9" s="138">
        <f>IF(B9&lt;='VALOR POR PL'!$P$5,'CP RESUMO'!H47,"")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RESUMO'!I5</f>
        <v/>
      </c>
      <c r="N10" s="139">
        <f>MAX(0,M10-M9)</f>
        <v/>
      </c>
      <c r="O10" s="138">
        <f>IF(B10&lt;='VALOR POR PL'!$P$5,'CP RESUMO'!I47,"")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RESUMO'!J5</f>
        <v/>
      </c>
      <c r="N11" s="139">
        <f>MAX(0,M11-M10)</f>
        <v/>
      </c>
      <c r="O11" s="138">
        <f>IF(B11&lt;='VALOR POR PL'!$P$5,'CP RESUMO'!J47,"")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RESUMO'!K5</f>
        <v/>
      </c>
      <c r="N12" s="139">
        <f>MAX(0,M12-M11)</f>
        <v/>
      </c>
      <c r="O12" s="138">
        <f>IF(B12&lt;='VALOR POR PL'!$P$5,'CP RESUMO'!K47,"")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PL'!I11</f>
        <v/>
      </c>
      <c r="L13" s="49">
        <f>C13/IF(B13&lt;='VALOR POR PL'!$P$5,IFERROR(INDEX('"INCC-FGV"'!$B$2:$B$800,MATCH(B13,'"INCC-FGV"'!$A$2:$A$800,0)),$K$2),$K$2)</f>
        <v/>
      </c>
      <c r="M13" s="138">
        <f>'CP RESUMO'!L5</f>
        <v/>
      </c>
      <c r="N13" s="139">
        <f>MAX(0,M13-M12)</f>
        <v/>
      </c>
      <c r="O13" s="138">
        <f>IF(B13&lt;='VALOR POR PL'!$P$5,'CP RESUMO'!L47,"")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RESUMO'!$D$47:$BW$47,MATCH('VALOR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RESUMO'!M5</f>
        <v/>
      </c>
      <c r="N14" s="139">
        <f>MAX(0,M14-M13)</f>
        <v/>
      </c>
      <c r="O14" s="138">
        <f>IF(B14&lt;='VALOR POR PL'!$P$5,'CP RESUMO'!M47,"")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RESUMO'!N5</f>
        <v/>
      </c>
      <c r="N15" s="139">
        <f>MAX(0,M15-M14)</f>
        <v/>
      </c>
      <c r="O15" s="138">
        <f>IF(B15&lt;='VALOR POR PL'!$P$5,'CP RESUMO'!N47,"")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RESUMO'!O5</f>
        <v/>
      </c>
      <c r="N16" s="139">
        <f>MAX(0,M16-M15)</f>
        <v/>
      </c>
      <c r="O16" s="138">
        <f>IF(B16&lt;='VALOR POR PL'!$P$5,'CP RESUMO'!O47,"")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RESUMO'!P5</f>
        <v/>
      </c>
      <c r="N17" s="139">
        <f>MAX(0,M17-M16)</f>
        <v/>
      </c>
      <c r="O17" s="138">
        <f>IF(B17&lt;='VALOR POR PL'!$P$5,'CP RESUMO'!P47,"")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RESUMO'!Q5</f>
        <v/>
      </c>
      <c r="N18" s="139">
        <f>MAX(0,M18-M17)</f>
        <v/>
      </c>
      <c r="O18" s="138">
        <f>IF(B18&lt;='VALOR POR PL'!$P$5,'CP RESUMO'!Q47,"")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RESUMO'!R5</f>
        <v/>
      </c>
      <c r="N19" s="139">
        <f>MAX(0,M19-M18)</f>
        <v/>
      </c>
      <c r="O19" s="138">
        <f>IF(B19&lt;='VALOR POR PL'!$P$5,'CP RESUMO'!R47,"")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RESUMO'!S5</f>
        <v/>
      </c>
      <c r="N20" s="139">
        <f>MAX(0,M20-M19)</f>
        <v/>
      </c>
      <c r="O20" s="138">
        <f>IF(B20&lt;='VALOR POR PL'!$P$5,'CP RESUMO'!S47,"")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RESUMO'!T5</f>
        <v/>
      </c>
      <c r="N21" s="139">
        <f>MAX(0,M21-M20)</f>
        <v/>
      </c>
      <c r="O21" s="138">
        <f>IF(B21&lt;='VALOR POR PL'!$P$5,'CP RESUMO'!T47,"")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RESUMO'!U5</f>
        <v/>
      </c>
      <c r="N22" s="139">
        <f>MAX(0,M22-M21)</f>
        <v/>
      </c>
      <c r="O22" s="138">
        <f>IF(B22&lt;='VALOR POR PL'!$P$5,'CP RESUMO'!U47,"")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RESUMO'!V5</f>
        <v/>
      </c>
      <c r="N23" s="139">
        <f>MAX(0,M23-M22)</f>
        <v/>
      </c>
      <c r="O23" s="138">
        <f>IF(B23&lt;='VALOR POR PL'!$P$5,'CP RESUMO'!V47,"")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RESUMO'!W5</f>
        <v/>
      </c>
      <c r="N24" s="139">
        <f>MAX(0,M24-M23)</f>
        <v/>
      </c>
      <c r="O24" s="138">
        <f>IF(B24&lt;='VALOR POR PL'!$P$5,'CP RESUMO'!W47,"")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RESUMO'!X5</f>
        <v/>
      </c>
      <c r="N25" s="139">
        <f>MAX(0,M25-M24)</f>
        <v/>
      </c>
      <c r="O25" s="138">
        <f>IF(B25&lt;='VALOR POR PL'!$P$5,'CP RESUMO'!X47,"")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2675</v>
      </c>
      <c r="L26" s="49">
        <f>C26/IF(B26&lt;='VALOR POR PL'!$P$5,IFERROR(INDEX('"INCC-FGV"'!$B$2:$B$800,MATCH(B26,'"INCC-FGV"'!$A$2:$A$800,0)),$K$2),$K$2)</f>
        <v/>
      </c>
      <c r="M26" s="138">
        <f>'CP RESUMO'!Y5</f>
        <v/>
      </c>
      <c r="N26" s="139">
        <f>MAX(0,M26-M25)</f>
        <v/>
      </c>
      <c r="O26" s="138">
        <f>IF(B26&lt;='VALOR POR PL'!$P$5,'CP RESUMO'!Y47,"")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2675</v>
      </c>
      <c r="L27" s="49">
        <f>C27/IF(B27&lt;='VALOR POR PL'!$P$5,IFERROR(INDEX('"INCC-FGV"'!$B$2:$B$800,MATCH(B27,'"INCC-FGV"'!$A$2:$A$800,0)),$K$2),$K$2)</f>
        <v/>
      </c>
      <c r="M27" s="138">
        <f>'CP RESUMO'!Z5</f>
        <v/>
      </c>
      <c r="N27" s="139">
        <f>MAX(0,M27-M26)</f>
        <v/>
      </c>
      <c r="O27" s="138">
        <f>IF(B27&lt;='VALOR POR PL'!$P$5,'CP RESUMO'!Z47,"")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2675</v>
      </c>
      <c r="L28" s="49">
        <f>C28/IF(B28&lt;='VALOR POR PL'!$P$5,IFERROR(INDEX('"INCC-FGV"'!$B$2:$B$800,MATCH(B28,'"INCC-FGV"'!$A$2:$A$800,0)),$K$2),$K$2)</f>
        <v/>
      </c>
      <c r="M28" s="138">
        <f>'CP RESUMO'!AA5</f>
        <v/>
      </c>
      <c r="N28" s="139">
        <f>MAX(0,M28-M27)</f>
        <v/>
      </c>
      <c r="O28" s="138">
        <f>IF(B28&lt;='VALOR POR PL'!$P$5,'CP RESUMO'!AA47,"")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2675</v>
      </c>
      <c r="L29" s="49">
        <f>C29/IF(B29&lt;='VALOR POR PL'!$P$5,IFERROR(INDEX('"INCC-FGV"'!$B$2:$B$800,MATCH(B29,'"INCC-FGV"'!$A$2:$A$800,0)),$K$2),$K$2)</f>
        <v/>
      </c>
      <c r="M29" s="138">
        <f>'CP RESUMO'!AB5</f>
        <v/>
      </c>
      <c r="N29" s="139">
        <f>MAX(0,M29-M28)</f>
        <v/>
      </c>
      <c r="O29" s="138">
        <f>IF(B29&lt;='VALOR POR PL'!$P$5,'CP RESUMO'!AB47,"")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2675</v>
      </c>
      <c r="L30" s="49">
        <f>C30/IF(B30&lt;='VALOR POR PL'!$P$5,IFERROR(INDEX('"INCC-FGV"'!$B$2:$B$800,MATCH(B30,'"INCC-FGV"'!$A$2:$A$800,0)),$K$2),$K$2)</f>
        <v/>
      </c>
      <c r="M30" s="138">
        <f>'CP RESUMO'!AC5</f>
        <v/>
      </c>
      <c r="N30" s="139">
        <f>MAX(0,M30-M29)</f>
        <v/>
      </c>
      <c r="O30" s="138">
        <f>IF(B30&lt;='VALOR POR PL'!$P$5,'CP RESUMO'!AC47,"")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2675</v>
      </c>
      <c r="L31" s="49">
        <f>C31/IF(B31&lt;='VALOR POR PL'!$P$5,IFERROR(INDEX('"INCC-FGV"'!$B$2:$B$800,MATCH(B31,'"INCC-FGV"'!$A$2:$A$800,0)),$K$2),$K$2)</f>
        <v/>
      </c>
      <c r="M31" s="138">
        <f>'CP RESUMO'!AD5</f>
        <v/>
      </c>
      <c r="N31" s="139">
        <f>MAX(0,M31-M30)</f>
        <v/>
      </c>
      <c r="O31" s="138">
        <f>IF(B31&lt;='VALOR POR PL'!$P$5,'CP RESUMO'!AD47,"")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2675</v>
      </c>
      <c r="L32" s="49">
        <f>C32/IF(B32&lt;='VALOR POR PL'!$P$5,IFERROR(INDEX('"INCC-FGV"'!$B$2:$B$800,MATCH(B32,'"INCC-FGV"'!$A$2:$A$800,0)),$K$2),$K$2)</f>
        <v/>
      </c>
      <c r="M32" s="138">
        <f>'CP RESUMO'!AE5</f>
        <v/>
      </c>
      <c r="N32" s="139">
        <f>MAX(0,M32-M31)</f>
        <v/>
      </c>
      <c r="O32" s="138">
        <f>IF(B32&lt;='VALOR POR PL'!$P$5,'CP RESUMO'!AE47,"")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2675</v>
      </c>
      <c r="L33" s="49">
        <f>C33/IF(B33&lt;='VALOR POR PL'!$P$5,IFERROR(INDEX('"INCC-FGV"'!$B$2:$B$800,MATCH(B33,'"INCC-FGV"'!$A$2:$A$800,0)),$K$2),$K$2)</f>
        <v/>
      </c>
      <c r="M33" s="138">
        <f>'CP RESUMO'!AF5</f>
        <v/>
      </c>
      <c r="N33" s="139">
        <f>MAX(0,M33-M32)</f>
        <v/>
      </c>
      <c r="O33" s="138">
        <f>IF(B33&lt;='VALOR POR PL'!$P$5,'CP RESUMO'!AF47,"")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2675</v>
      </c>
      <c r="L34" s="49">
        <f>C34/IF(B34&lt;='VALOR POR PL'!$P$5,IFERROR(INDEX('"INCC-FGV"'!$B$2:$B$800,MATCH(B34,'"INCC-FGV"'!$A$2:$A$800,0)),$K$2),$K$2)</f>
        <v/>
      </c>
      <c r="M34" s="138">
        <f>'CP RESUMO'!AG5</f>
        <v/>
      </c>
      <c r="N34" s="139">
        <f>MAX(0,M34-M33)</f>
        <v/>
      </c>
      <c r="O34" s="138">
        <f>IF(B34&lt;='VALOR POR PL'!$P$5,'CP RESUMO'!AG47,"")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2675</v>
      </c>
      <c r="L35" s="49">
        <f>C35/IF(B35&lt;='VALOR POR PL'!$P$5,IFERROR(INDEX('"INCC-FGV"'!$B$2:$B$800,MATCH(B35,'"INCC-FGV"'!$A$2:$A$800,0)),$K$2),$K$2)</f>
        <v/>
      </c>
      <c r="M35" s="138">
        <f>'CP RESUMO'!AH5</f>
        <v/>
      </c>
      <c r="N35" s="139">
        <f>MAX(0,M35-M34)</f>
        <v/>
      </c>
      <c r="O35" s="138">
        <f>IF(B35&lt;='VALOR POR PL'!$P$5,'CP RESUMO'!AH47,"")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2675</v>
      </c>
      <c r="L36" s="49">
        <f>C36/IF(B36&lt;='VALOR POR PL'!$P$5,IFERROR(INDEX('"INCC-FGV"'!$B$2:$B$800,MATCH(B36,'"INCC-FGV"'!$A$2:$A$800,0)),$K$2),$K$2)</f>
        <v/>
      </c>
      <c r="M36" s="138">
        <f>'CP RESUMO'!AI5</f>
        <v/>
      </c>
      <c r="N36" s="139">
        <f>MAX(0,M36-M35)</f>
        <v/>
      </c>
      <c r="O36" s="138">
        <f>IF(B36&lt;='VALOR POR PL'!$P$5,'CP RESUMO'!AI47,"")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2675</v>
      </c>
      <c r="L37" s="49">
        <f>C37/IF(B37&lt;='VALOR POR PL'!$P$5,IFERROR(INDEX('"INCC-FGV"'!$B$2:$B$800,MATCH(B37,'"INCC-FGV"'!$A$2:$A$800,0)),$K$2),$K$2)</f>
        <v/>
      </c>
      <c r="M37" s="138">
        <f>'CP RESUMO'!AJ5</f>
        <v/>
      </c>
      <c r="N37" s="139">
        <f>MAX(0,M37-M36)</f>
        <v/>
      </c>
      <c r="O37" s="138">
        <f>IF(B37&lt;='VALOR POR PL'!$P$5,'CP RESUMO'!AJ47,"")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2675</v>
      </c>
      <c r="L38" s="49">
        <f>C38/IF(B38&lt;='VALOR POR PL'!$P$5,IFERROR(INDEX('"INCC-FGV"'!$B$2:$B$800,MATCH(B38,'"INCC-FGV"'!$A$2:$A$800,0)),$K$2),$K$2)</f>
        <v/>
      </c>
      <c r="M38" s="138">
        <f>'CP RESUMO'!AK5</f>
        <v/>
      </c>
      <c r="N38" s="139">
        <f>MAX(0,M38-M37)</f>
        <v/>
      </c>
      <c r="O38" s="138">
        <f>IF(B38&lt;='VALOR POR PL'!$P$5,'CP RESUMO'!AK47,"")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2675</v>
      </c>
      <c r="L39" s="49">
        <f>C39/IF(B39&lt;='VALOR POR PL'!$P$5,IFERROR(INDEX('"INCC-FGV"'!$B$2:$B$800,MATCH(B39,'"INCC-FGV"'!$A$2:$A$800,0)),$K$2),$K$2)</f>
        <v/>
      </c>
      <c r="M39" s="138">
        <f>'CP RESUMO'!AL5</f>
        <v/>
      </c>
      <c r="N39" s="139">
        <f>MAX(0,M39-M38)</f>
        <v/>
      </c>
      <c r="O39" s="138">
        <f>IF(B39&lt;='VALOR POR PL'!$P$5,'CP RESUMO'!AL47,"")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2675</v>
      </c>
      <c r="L40" s="49">
        <f>C40/IF(B40&lt;='VALOR POR PL'!$P$5,IFERROR(INDEX('"INCC-FGV"'!$B$2:$B$800,MATCH(B40,'"INCC-FGV"'!$A$2:$A$800,0)),$K$2),$K$2)</f>
        <v/>
      </c>
      <c r="M40" s="138">
        <f>'CP RESUMO'!AM5</f>
        <v/>
      </c>
      <c r="N40" s="139">
        <f>MAX(0,M40-M39)</f>
        <v/>
      </c>
      <c r="O40" s="138">
        <f>IF(B40&lt;='VALOR POR PL'!$P$5,'CP RESUMO'!AM47,"")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2675</v>
      </c>
      <c r="L41" s="49">
        <f>C41/IF(B41&lt;='VALOR POR PL'!$P$5,IFERROR(INDEX('"INCC-FGV"'!$B$2:$B$800,MATCH(B41,'"INCC-FGV"'!$A$2:$A$800,0)),$K$2),$K$2)</f>
        <v/>
      </c>
      <c r="M41" s="138">
        <f>'CP RESUMO'!AN5</f>
        <v/>
      </c>
      <c r="N41" s="139">
        <f>MAX(0,M41-M40)</f>
        <v/>
      </c>
      <c r="O41" s="138">
        <f>IF(B41&lt;='VALOR POR PL'!$P$5,'CP RESUMO'!AN47,"")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2675</v>
      </c>
      <c r="L42" s="49">
        <f>C42/IF(B42&lt;='VALOR POR PL'!$P$5,IFERROR(INDEX('"INCC-FGV"'!$B$2:$B$800,MATCH(B42,'"INCC-FGV"'!$A$2:$A$800,0)),$K$2),$K$2)</f>
        <v/>
      </c>
      <c r="M42" s="138">
        <f>'CP RESUMO'!AO5</f>
        <v/>
      </c>
      <c r="N42" s="139">
        <f>MAX(0,M42-M41)</f>
        <v/>
      </c>
      <c r="O42" s="138">
        <f>IF(B42&lt;='VALOR POR PL'!$P$5,'CP RESUMO'!AO47,"")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RESUMO'!AP5</f>
        <v/>
      </c>
      <c r="N43" s="139">
        <f>MAX(0,M43-M42)</f>
        <v/>
      </c>
      <c r="O43" s="138">
        <f>IF(B43&lt;='VALOR POR PL'!$P$5,'CP RESUMO'!AP47,"")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RESUMO'!AQ5</f>
        <v/>
      </c>
      <c r="N44" s="139">
        <f>MAX(0,M44-M43)</f>
        <v/>
      </c>
      <c r="O44" s="138">
        <f>IF(B44&lt;='VALOR POR PL'!$P$5,'CP RESUMO'!AQ47,"")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RESUMO'!AR5</f>
        <v/>
      </c>
      <c r="N45" s="139">
        <f>MAX(0,M45-M44)</f>
        <v/>
      </c>
      <c r="O45" s="138">
        <f>IF(B45&lt;='VALOR POR PL'!$P$5,'CP RESUMO'!AR47,"")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RESUMO'!AS5</f>
        <v/>
      </c>
      <c r="N46" s="139">
        <f>MAX(0,M46-M45)</f>
        <v/>
      </c>
      <c r="O46" s="138">
        <f>IF(B46&lt;='VALOR POR PL'!$P$5,'CP RESUMO'!AS47,"")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RESUMO'!AT5</f>
        <v/>
      </c>
      <c r="N47" s="139">
        <f>MAX(0,M47-M46)</f>
        <v/>
      </c>
      <c r="O47" s="138">
        <f>IF(B47&lt;='VALOR POR PL'!$P$5,'CP RESUMO'!AT47,"")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RESUMO'!AU5</f>
        <v/>
      </c>
      <c r="N48" s="139">
        <f>MAX(0,M48-M47)</f>
        <v/>
      </c>
      <c r="O48" s="138">
        <f>IF(B48&lt;='VALOR POR PL'!$P$5,'CP RESUMO'!AU47,"")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RESUMO'!AV5</f>
        <v/>
      </c>
      <c r="N49" s="139">
        <f>MAX(0,M49-M48)</f>
        <v/>
      </c>
      <c r="O49" s="138">
        <f>IF(B49&lt;='VALOR POR PL'!$P$5,'CP RESUMO'!AV47,"")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RESUMO'!AW5</f>
        <v/>
      </c>
      <c r="N50" s="139">
        <f>MAX(0,M50-M49)</f>
        <v/>
      </c>
      <c r="O50" s="138">
        <f>IF(B50&lt;='VALOR POR PL'!$P$5,'CP RESUMO'!AW47,"")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RESUMO'!AX5</f>
        <v/>
      </c>
      <c r="N51" s="139">
        <f>MAX(0,M51-M50)</f>
        <v/>
      </c>
      <c r="O51" s="138">
        <f>IF(B51&lt;='VALOR POR PL'!$P$5,'CP RESUMO'!AX47,"")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RESUMO'!AY5</f>
        <v/>
      </c>
      <c r="N52" s="139">
        <f>MAX(0,M52-M51)</f>
        <v/>
      </c>
      <c r="O52" s="138">
        <f>IF(B52&lt;='VALOR POR PL'!$P$5,'CP RESUMO'!AY47,"")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RESUMO'!AZ5</f>
        <v/>
      </c>
      <c r="N53" s="139">
        <f>MAX(0,M53-M52)</f>
        <v/>
      </c>
      <c r="O53" s="138">
        <f>IF(B53&lt;='VALOR POR PL'!$P$5,'CP RESUMO'!AZ47,"")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RESUMO'!BA5</f>
        <v/>
      </c>
      <c r="N54" s="139">
        <f>MAX(0,M54-M53)</f>
        <v/>
      </c>
      <c r="O54" s="138">
        <f>IF(B54&lt;='VALOR POR PL'!$P$5,'CP RESUMO'!BA47,"")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RESUMO'!BB5</f>
        <v/>
      </c>
      <c r="N55" s="139">
        <f>MAX(0,M55-M54)</f>
        <v/>
      </c>
      <c r="O55" s="138">
        <f>IF(B55&lt;='VALOR POR PL'!$P$5,'CP RESUMO'!BB47,"")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RESUMO'!BC5</f>
        <v/>
      </c>
      <c r="N56" s="139">
        <f>MAX(0,M56-M55)</f>
        <v/>
      </c>
      <c r="O56" s="138">
        <f>IF(B56&lt;='VALOR POR PL'!$P$5,'CP RESUMO'!BC47,"")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RESUMO'!BD5</f>
        <v/>
      </c>
      <c r="N57" s="139">
        <f>MAX(0,M57-M56)</f>
        <v/>
      </c>
      <c r="O57" s="138">
        <f>IF(B57&lt;='VALOR POR PL'!$P$5,'CP RESUMO'!BD47,"")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RESUMO'!BE5</f>
        <v/>
      </c>
      <c r="N58" s="139">
        <f>MAX(0,M58-M57)</f>
        <v/>
      </c>
      <c r="O58" s="138">
        <f>IF(B58&lt;='VALOR POR PL'!$P$5,'CP RESUMO'!BE47,"")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RESUMO'!BF5</f>
        <v/>
      </c>
      <c r="N59" s="139">
        <f>MAX(0,M59-M58)</f>
        <v/>
      </c>
      <c r="O59" s="138">
        <f>IF(B59&lt;='VALOR POR PL'!$P$5,'CP RESUMO'!BF47,"")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RESUMO'!BG5</f>
        <v/>
      </c>
      <c r="N60" s="139">
        <f>MAX(0,M60-M59)</f>
        <v/>
      </c>
      <c r="O60" s="138">
        <f>IF(B60&lt;='VALOR POR PL'!$P$5,'CP RESUMO'!BG47,"")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RESUMO'!BH5</f>
        <v/>
      </c>
      <c r="N61" s="139">
        <f>MAX(0,M61-M60)</f>
        <v/>
      </c>
      <c r="O61" s="138">
        <f>IF(B61&lt;='VALOR POR PL'!$P$5,'CP RESUMO'!BH47,"")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RESUMO'!BI5</f>
        <v/>
      </c>
      <c r="N62" s="139">
        <f>MAX(0,M62-M61)</f>
        <v/>
      </c>
      <c r="O62" s="138">
        <f>IF(B62&lt;='VALOR POR PL'!$P$5,'CP RESUMO'!BI47,"")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RESUMO'!BJ5</f>
        <v/>
      </c>
      <c r="N63" s="139">
        <f>MAX(0,M63-M62)</f>
        <v/>
      </c>
      <c r="O63" s="138">
        <f>IF(B63&lt;='VALOR POR PL'!$P$5,'CP RESUMO'!BJ47,"")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RESUMO'!BK5</f>
        <v/>
      </c>
      <c r="N64" s="139">
        <f>MAX(0,M64-M63)</f>
        <v/>
      </c>
      <c r="O64" s="138">
        <f>IF(B64&lt;='VALOR POR PL'!$P$5,'CP RESUMO'!BK47,"")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RESUMO'!BL5</f>
        <v/>
      </c>
      <c r="N65" s="139">
        <f>MAX(0,M65-M64)</f>
        <v/>
      </c>
      <c r="O65" s="138">
        <f>IF(B65&lt;='VALOR POR PL'!$P$5,'CP RESUMO'!BL47,"")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RESUMO'!BM5</f>
        <v/>
      </c>
      <c r="N66" s="139">
        <f>MAX(0,M66-M65)</f>
        <v/>
      </c>
      <c r="O66" s="138">
        <f>IF(B66&lt;='VALOR POR PL'!$P$5,'CP RESUMO'!BM47,"")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RESUMO'!BN5</f>
        <v/>
      </c>
      <c r="N67" s="139">
        <f>MAX(0,M67-M66)</f>
        <v/>
      </c>
      <c r="O67" s="138">
        <f>IF(B67&lt;='VALOR POR PL'!$P$5,'CP RESUMO'!BN47,"")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RESUMO'!BO5</f>
        <v/>
      </c>
      <c r="N68" s="139">
        <f>MAX(0,M68-M67)</f>
        <v/>
      </c>
      <c r="O68" s="138">
        <f>IF(B68&lt;='VALOR POR PL'!$P$5,'CP RESUMO'!BO47,"")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RESUMO'!BP5</f>
        <v/>
      </c>
      <c r="N69" s="139">
        <f>MAX(0,M69-M68)</f>
        <v/>
      </c>
      <c r="O69" s="138">
        <f>IF(B69&lt;='VALOR POR PL'!$P$5,'CP RESUMO'!BP47,"")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RESUMO'!BQ5</f>
        <v/>
      </c>
      <c r="N70" s="139">
        <f>MAX(0,M70-M69)</f>
        <v/>
      </c>
      <c r="O70" s="138">
        <f>IF(B70&lt;='VALOR POR PL'!$P$5,'CP RESUMO'!BQ47,"")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RESUMO'!BR5</f>
        <v/>
      </c>
      <c r="N71" s="139">
        <f>MAX(0,M71-M70)</f>
        <v/>
      </c>
      <c r="O71" s="138">
        <f>IF(B71&lt;='VALOR POR PL'!$P$5,'CP RESUMO'!BR47,"")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RESUMO'!BS5</f>
        <v/>
      </c>
      <c r="N72" s="139">
        <f>MAX(0,M72-M71)</f>
        <v/>
      </c>
      <c r="O72" s="138">
        <f>IF(B72&lt;='VALOR POR PL'!$P$5,'CP RESUMO'!BS47,"")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RESUMO'!BT5</f>
        <v/>
      </c>
      <c r="N73" s="139">
        <f>MAX(0,M73-M72)</f>
        <v/>
      </c>
      <c r="O73" s="138">
        <f>IF(B73&lt;='VALOR POR PL'!$P$5,'CP RESUMO'!BT47,"")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RESUMO'!BU5</f>
        <v/>
      </c>
      <c r="N74" s="139">
        <f>MAX(0,M74-M73)</f>
        <v/>
      </c>
      <c r="O74" s="138">
        <f>IF(B74&lt;='VALOR POR PL'!$P$5,'CP RESUMO'!BU47,"")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RESUMO'!BV5</f>
        <v/>
      </c>
      <c r="N75" s="139">
        <f>MAX(0,M75-M74)</f>
        <v/>
      </c>
      <c r="O75" s="138">
        <f>IF(B75&lt;='VALOR POR PL'!$P$5,'CP RESUMO'!BV47,"")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RESUMO'!BW5</f>
        <v/>
      </c>
      <c r="N76" s="139">
        <f>MAX(0,M76-M75)</f>
        <v/>
      </c>
      <c r="O76" s="138">
        <f>IF(B76&lt;='VALOR POR PL'!$P$5,'CP RESUMO'!BW47,"")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PL'!F48</f>
        <v/>
      </c>
      <c r="K5" s="60">
        <f>'VALOR POR PL'!G48</f>
        <v/>
      </c>
      <c r="L5" s="60">
        <f>'DADOS HISTORICOS'!$BZ$42</f>
        <v/>
      </c>
      <c r="M5" s="138">
        <f>'CP RESUMO'!D42</f>
        <v/>
      </c>
      <c r="N5" s="139" t="n">
        <v>0</v>
      </c>
      <c r="O5" s="138">
        <f>IF(B5&lt;='VALOR POR PL'!$P$5,'CP RESUMO'!D84,"")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PL'!H48</f>
        <v/>
      </c>
      <c r="L6" s="49">
        <f>C6/IF(B6&lt;='VALOR POR PL'!$P$5,IFERROR(INDEX('"INCC-FGV"'!$B$2:$B$800,MATCH(B6,'"INCC-FGV"'!$A$2:$A$800,0)),$K$2),$K$2)</f>
        <v/>
      </c>
      <c r="M6" s="138">
        <f>'CP RESUMO'!E42</f>
        <v/>
      </c>
      <c r="N6" s="139">
        <f>MAX(0,M6-M5)</f>
        <v/>
      </c>
      <c r="O6" s="138">
        <f>IF(B6&lt;='VALOR POR PL'!$P$5,'CP RESUMO'!E84,"")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RESUMO'!F42</f>
        <v/>
      </c>
      <c r="N7" s="139">
        <f>MAX(0,M7-M6)</f>
        <v/>
      </c>
      <c r="O7" s="138">
        <f>IF(B7&lt;='VALOR POR PL'!$P$5,'CP RESUMO'!F84,"")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RESUMO'!G42</f>
        <v/>
      </c>
      <c r="N8" s="139">
        <f>MAX(0,M8-M7)</f>
        <v/>
      </c>
      <c r="O8" s="138">
        <f>IF(B8&lt;='VALOR POR PL'!$P$5,'CP RESUMO'!G84,"")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RESUMO'!H42</f>
        <v/>
      </c>
      <c r="N9" s="139">
        <f>MAX(0,M9-M8)</f>
        <v/>
      </c>
      <c r="O9" s="138">
        <f>IF(B9&lt;='VALOR POR PL'!$P$5,'CP RESUMO'!H84,"")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RESUMO'!I42</f>
        <v/>
      </c>
      <c r="N10" s="139">
        <f>MAX(0,M10-M9)</f>
        <v/>
      </c>
      <c r="O10" s="138">
        <f>IF(B10&lt;='VALOR POR PL'!$P$5,'CP RESUMO'!I84,"")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RESUMO'!J42</f>
        <v/>
      </c>
      <c r="N11" s="139">
        <f>MAX(0,M11-M10)</f>
        <v/>
      </c>
      <c r="O11" s="138">
        <f>IF(B11&lt;='VALOR POR PL'!$P$5,'CP RESUMO'!J84,"")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RESUMO'!K42</f>
        <v/>
      </c>
      <c r="N12" s="139">
        <f>MAX(0,M12-M11)</f>
        <v/>
      </c>
      <c r="O12" s="138">
        <f>IF(B12&lt;='VALOR POR PL'!$P$5,'CP RESUMO'!K84,"")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PL'!I48</f>
        <v/>
      </c>
      <c r="L13" s="49">
        <f>C13/IF(B13&lt;='VALOR POR PL'!$P$5,IFERROR(INDEX('"INCC-FGV"'!$B$2:$B$800,MATCH(B13,'"INCC-FGV"'!$A$2:$A$800,0)),$K$2),$K$2)</f>
        <v/>
      </c>
      <c r="M13" s="138">
        <f>'CP RESUMO'!L42</f>
        <v/>
      </c>
      <c r="N13" s="139">
        <f>MAX(0,M13-M12)</f>
        <v/>
      </c>
      <c r="O13" s="138">
        <f>IF(B13&lt;='VALOR POR PL'!$P$5,'CP RESUMO'!L84,"")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RESUMO'!$D$84:$BW$84,MATCH('VALOR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RESUMO'!M42</f>
        <v/>
      </c>
      <c r="N14" s="139">
        <f>MAX(0,M14-M13)</f>
        <v/>
      </c>
      <c r="O14" s="138">
        <f>IF(B14&lt;='VALOR POR PL'!$P$5,'CP RESUMO'!M84,"")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RESUMO'!N42</f>
        <v/>
      </c>
      <c r="N15" s="139">
        <f>MAX(0,M15-M14)</f>
        <v/>
      </c>
      <c r="O15" s="138">
        <f>IF(B15&lt;='VALOR POR PL'!$P$5,'CP RESUMO'!N84,"")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RESUMO'!O42</f>
        <v/>
      </c>
      <c r="N16" s="139">
        <f>MAX(0,M16-M15)</f>
        <v/>
      </c>
      <c r="O16" s="138">
        <f>IF(B16&lt;='VALOR POR PL'!$P$5,'CP RESUMO'!O84,"")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RESUMO'!P42</f>
        <v/>
      </c>
      <c r="N17" s="139">
        <f>MAX(0,M17-M16)</f>
        <v/>
      </c>
      <c r="O17" s="138">
        <f>IF(B17&lt;='VALOR POR PL'!$P$5,'CP RESUMO'!P84,"")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RESUMO'!Q42</f>
        <v/>
      </c>
      <c r="N18" s="139">
        <f>MAX(0,M18-M17)</f>
        <v/>
      </c>
      <c r="O18" s="138">
        <f>IF(B18&lt;='VALOR POR PL'!$P$5,'CP RESUMO'!Q84,"")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RESUMO'!R42</f>
        <v/>
      </c>
      <c r="N19" s="139">
        <f>MAX(0,M19-M18)</f>
        <v/>
      </c>
      <c r="O19" s="138">
        <f>IF(B19&lt;='VALOR POR PL'!$P$5,'CP RESUMO'!R84,"")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RESUMO'!S42</f>
        <v/>
      </c>
      <c r="N20" s="139">
        <f>MAX(0,M20-M19)</f>
        <v/>
      </c>
      <c r="O20" s="138">
        <f>IF(B20&lt;='VALOR POR PL'!$P$5,'CP RESUMO'!S84,"")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RESUMO'!T42</f>
        <v/>
      </c>
      <c r="N21" s="139">
        <f>MAX(0,M21-M20)</f>
        <v/>
      </c>
      <c r="O21" s="138">
        <f>IF(B21&lt;='VALOR POR PL'!$P$5,'CP RESUMO'!T84,"")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RESUMO'!U42</f>
        <v/>
      </c>
      <c r="N22" s="139">
        <f>MAX(0,M22-M21)</f>
        <v/>
      </c>
      <c r="O22" s="138">
        <f>IF(B22&lt;='VALOR POR PL'!$P$5,'CP RESUMO'!U84,"")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RESUMO'!V42</f>
        <v/>
      </c>
      <c r="N23" s="139">
        <f>MAX(0,M23-M22)</f>
        <v/>
      </c>
      <c r="O23" s="138">
        <f>IF(B23&lt;='VALOR POR PL'!$P$5,'CP RESUMO'!V84,"")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Somente o incorrido no ERP: a meta em INCC (VALOR POR PL!H48) é o próprio incorrido em INCC, sem previsão futura.</t>
        </is>
      </c>
      <c r="L24" s="49">
        <f>C24/IF(B24&lt;='VALOR POR PL'!$P$5,IFERROR(INDEX('"INCC-FGV"'!$B$2:$B$800,MATCH(B24,'"INCC-FGV"'!$A$2:$A$800,0)),$K$2),$K$2)</f>
        <v/>
      </c>
      <c r="M24" s="138">
        <f>'CP RESUMO'!W42</f>
        <v/>
      </c>
      <c r="N24" s="139">
        <f>MAX(0,M24-M23)</f>
        <v/>
      </c>
      <c r="O24" s="138">
        <f>IF(B24&lt;='VALOR POR PL'!$P$5,'CP RESUMO'!W84,"")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RESUMO'!X42</f>
        <v/>
      </c>
      <c r="N25" s="139">
        <f>MAX(0,M25-M24)</f>
        <v/>
      </c>
      <c r="O25" s="138">
        <f>IF(B25&lt;='VALOR POR PL'!$P$5,'CP RESUMO'!X84,"")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RESUMO'!Y42</f>
        <v/>
      </c>
      <c r="N26" s="139">
        <f>MAX(0,M26-M25)</f>
        <v/>
      </c>
      <c r="O26" s="138">
        <f>IF(B26&lt;='VALOR POR PL'!$P$5,'CP RESUMO'!Y84,"")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RESUMO'!Z42</f>
        <v/>
      </c>
      <c r="N27" s="139">
        <f>MAX(0,M27-M26)</f>
        <v/>
      </c>
      <c r="O27" s="138">
        <f>IF(B27&lt;='VALOR POR PL'!$P$5,'CP RESUMO'!Z84,"")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RESUMO'!AA42</f>
        <v/>
      </c>
      <c r="N28" s="139">
        <f>MAX(0,M28-M27)</f>
        <v/>
      </c>
      <c r="O28" s="138">
        <f>IF(B28&lt;='VALOR POR PL'!$P$5,'CP RESUMO'!AA84,"")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RESUMO'!AB42</f>
        <v/>
      </c>
      <c r="N29" s="139">
        <f>MAX(0,M29-M28)</f>
        <v/>
      </c>
      <c r="O29" s="138">
        <f>IF(B29&lt;='VALOR POR PL'!$P$5,'CP RESUMO'!AB84,"")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RESUMO'!AC42</f>
        <v/>
      </c>
      <c r="N30" s="139">
        <f>MAX(0,M30-M29)</f>
        <v/>
      </c>
      <c r="O30" s="138">
        <f>IF(B30&lt;='VALOR POR PL'!$P$5,'CP RESUMO'!AC84,"")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RESUMO'!AD42</f>
        <v/>
      </c>
      <c r="N31" s="139">
        <f>MAX(0,M31-M30)</f>
        <v/>
      </c>
      <c r="O31" s="138">
        <f>IF(B31&lt;='VALOR POR PL'!$P$5,'CP RESUMO'!AD84,"")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RESUMO'!AE42</f>
        <v/>
      </c>
      <c r="N32" s="139">
        <f>MAX(0,M32-M31)</f>
        <v/>
      </c>
      <c r="O32" s="138">
        <f>IF(B32&lt;='VALOR POR PL'!$P$5,'CP RESUMO'!AE84,"")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RESUMO'!AF42</f>
        <v/>
      </c>
      <c r="N33" s="139">
        <f>MAX(0,M33-M32)</f>
        <v/>
      </c>
      <c r="O33" s="138">
        <f>IF(B33&lt;='VALOR POR PL'!$P$5,'CP RESUMO'!AF84,"")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RESUMO'!AG42</f>
        <v/>
      </c>
      <c r="N34" s="139">
        <f>MAX(0,M34-M33)</f>
        <v/>
      </c>
      <c r="O34" s="138">
        <f>IF(B34&lt;='VALOR POR PL'!$P$5,'CP RESUMO'!AG84,"")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RESUMO'!AH42</f>
        <v/>
      </c>
      <c r="N35" s="139">
        <f>MAX(0,M35-M34)</f>
        <v/>
      </c>
      <c r="O35" s="138">
        <f>IF(B35&lt;='VALOR POR PL'!$P$5,'CP RESUMO'!AH84,"")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RESUMO'!AI42</f>
        <v/>
      </c>
      <c r="N36" s="139">
        <f>MAX(0,M36-M35)</f>
        <v/>
      </c>
      <c r="O36" s="138">
        <f>IF(B36&lt;='VALOR POR PL'!$P$5,'CP RESUMO'!AI84,"")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RESUMO'!AJ42</f>
        <v/>
      </c>
      <c r="N37" s="139">
        <f>MAX(0,M37-M36)</f>
        <v/>
      </c>
      <c r="O37" s="138">
        <f>IF(B37&lt;='VALOR POR PL'!$P$5,'CP RESUMO'!AJ84,"")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RESUMO'!AK42</f>
        <v/>
      </c>
      <c r="N38" s="139">
        <f>MAX(0,M38-M37)</f>
        <v/>
      </c>
      <c r="O38" s="138">
        <f>IF(B38&lt;='VALOR POR PL'!$P$5,'CP RESUMO'!AK84,"")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RESUMO'!AL42</f>
        <v/>
      </c>
      <c r="N39" s="139">
        <f>MAX(0,M39-M38)</f>
        <v/>
      </c>
      <c r="O39" s="138">
        <f>IF(B39&lt;='VALOR POR PL'!$P$5,'CP RESUMO'!AL84,"")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RESUMO'!AM42</f>
        <v/>
      </c>
      <c r="N40" s="139">
        <f>MAX(0,M40-M39)</f>
        <v/>
      </c>
      <c r="O40" s="138">
        <f>IF(B40&lt;='VALOR POR PL'!$P$5,'CP RESUMO'!AM84,"")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RESUMO'!AN42</f>
        <v/>
      </c>
      <c r="N41" s="139">
        <f>MAX(0,M41-M40)</f>
        <v/>
      </c>
      <c r="O41" s="138">
        <f>IF(B41&lt;='VALOR POR PL'!$P$5,'CP RESUMO'!AN84,"")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RESUMO'!AO42</f>
        <v/>
      </c>
      <c r="N42" s="139">
        <f>MAX(0,M42-M41)</f>
        <v/>
      </c>
      <c r="O42" s="138">
        <f>IF(B42&lt;='VALOR POR PL'!$P$5,'CP RESUMO'!AO84,"")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RESUMO'!AP42</f>
        <v/>
      </c>
      <c r="N43" s="139">
        <f>MAX(0,M43-M42)</f>
        <v/>
      </c>
      <c r="O43" s="138">
        <f>IF(B43&lt;='VALOR POR PL'!$P$5,'CP RESUMO'!AP84,"")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RESUMO'!AQ42</f>
        <v/>
      </c>
      <c r="N44" s="139">
        <f>MAX(0,M44-M43)</f>
        <v/>
      </c>
      <c r="O44" s="138">
        <f>IF(B44&lt;='VALOR POR PL'!$P$5,'CP RESUMO'!AQ84,"")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RESUMO'!AR42</f>
        <v/>
      </c>
      <c r="N45" s="139">
        <f>MAX(0,M45-M44)</f>
        <v/>
      </c>
      <c r="O45" s="138">
        <f>IF(B45&lt;='VALOR POR PL'!$P$5,'CP RESUMO'!AR84,"")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RESUMO'!AS42</f>
        <v/>
      </c>
      <c r="N46" s="139">
        <f>MAX(0,M46-M45)</f>
        <v/>
      </c>
      <c r="O46" s="138">
        <f>IF(B46&lt;='VALOR POR PL'!$P$5,'CP RESUMO'!AS84,"")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RESUMO'!AT42</f>
        <v/>
      </c>
      <c r="N47" s="139">
        <f>MAX(0,M47-M46)</f>
        <v/>
      </c>
      <c r="O47" s="138">
        <f>IF(B47&lt;='VALOR POR PL'!$P$5,'CP RESUMO'!AT84,"")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RESUMO'!AU42</f>
        <v/>
      </c>
      <c r="N48" s="139">
        <f>MAX(0,M48-M47)</f>
        <v/>
      </c>
      <c r="O48" s="138">
        <f>IF(B48&lt;='VALOR POR PL'!$P$5,'CP RESUMO'!AU84,"")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RESUMO'!AV42</f>
        <v/>
      </c>
      <c r="N49" s="139">
        <f>MAX(0,M49-M48)</f>
        <v/>
      </c>
      <c r="O49" s="138">
        <f>IF(B49&lt;='VALOR POR PL'!$P$5,'CP RESUMO'!AV84,"")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RESUMO'!AW42</f>
        <v/>
      </c>
      <c r="N50" s="139">
        <f>MAX(0,M50-M49)</f>
        <v/>
      </c>
      <c r="O50" s="138">
        <f>IF(B50&lt;='VALOR POR PL'!$P$5,'CP RESUMO'!AW84,"")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RESUMO'!AX42</f>
        <v/>
      </c>
      <c r="N51" s="139">
        <f>MAX(0,M51-M50)</f>
        <v/>
      </c>
      <c r="O51" s="138">
        <f>IF(B51&lt;='VALOR POR PL'!$P$5,'CP RESUMO'!AX84,"")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RESUMO'!AY42</f>
        <v/>
      </c>
      <c r="N52" s="139">
        <f>MAX(0,M52-M51)</f>
        <v/>
      </c>
      <c r="O52" s="138">
        <f>IF(B52&lt;='VALOR POR PL'!$P$5,'CP RESUMO'!AY84,"")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RESUMO'!AZ42</f>
        <v/>
      </c>
      <c r="N53" s="139">
        <f>MAX(0,M53-M52)</f>
        <v/>
      </c>
      <c r="O53" s="138">
        <f>IF(B53&lt;='VALOR POR PL'!$P$5,'CP RESUMO'!AZ84,"")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RESUMO'!BA42</f>
        <v/>
      </c>
      <c r="N54" s="139">
        <f>MAX(0,M54-M53)</f>
        <v/>
      </c>
      <c r="O54" s="138">
        <f>IF(B54&lt;='VALOR POR PL'!$P$5,'CP RESUMO'!BA84,"")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RESUMO'!BB42</f>
        <v/>
      </c>
      <c r="N55" s="139">
        <f>MAX(0,M55-M54)</f>
        <v/>
      </c>
      <c r="O55" s="138">
        <f>IF(B55&lt;='VALOR POR PL'!$P$5,'CP RESUMO'!BB84,"")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RESUMO'!BC42</f>
        <v/>
      </c>
      <c r="N56" s="139">
        <f>MAX(0,M56-M55)</f>
        <v/>
      </c>
      <c r="O56" s="138">
        <f>IF(B56&lt;='VALOR POR PL'!$P$5,'CP RESUMO'!BC84,"")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RESUMO'!BD42</f>
        <v/>
      </c>
      <c r="N57" s="139">
        <f>MAX(0,M57-M56)</f>
        <v/>
      </c>
      <c r="O57" s="138">
        <f>IF(B57&lt;='VALOR POR PL'!$P$5,'CP RESUMO'!BD84,"")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RESUMO'!BE42</f>
        <v/>
      </c>
      <c r="N58" s="139">
        <f>MAX(0,M58-M57)</f>
        <v/>
      </c>
      <c r="O58" s="138">
        <f>IF(B58&lt;='VALOR POR PL'!$P$5,'CP RESUMO'!BE84,"")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RESUMO'!BF42</f>
        <v/>
      </c>
      <c r="N59" s="139">
        <f>MAX(0,M59-M58)</f>
        <v/>
      </c>
      <c r="O59" s="138">
        <f>IF(B59&lt;='VALOR POR PL'!$P$5,'CP RESUMO'!BF84,"")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RESUMO'!BG42</f>
        <v/>
      </c>
      <c r="N60" s="139">
        <f>MAX(0,M60-M59)</f>
        <v/>
      </c>
      <c r="O60" s="138">
        <f>IF(B60&lt;='VALOR POR PL'!$P$5,'CP RESUMO'!BG84,"")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RESUMO'!BH42</f>
        <v/>
      </c>
      <c r="N61" s="139">
        <f>MAX(0,M61-M60)</f>
        <v/>
      </c>
      <c r="O61" s="138">
        <f>IF(B61&lt;='VALOR POR PL'!$P$5,'CP RESUMO'!BH84,"")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RESUMO'!BI42</f>
        <v/>
      </c>
      <c r="N62" s="139">
        <f>MAX(0,M62-M61)</f>
        <v/>
      </c>
      <c r="O62" s="138">
        <f>IF(B62&lt;='VALOR POR PL'!$P$5,'CP RESUMO'!BI84,"")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RESUMO'!BJ42</f>
        <v/>
      </c>
      <c r="N63" s="139">
        <f>MAX(0,M63-M62)</f>
        <v/>
      </c>
      <c r="O63" s="138">
        <f>IF(B63&lt;='VALOR POR PL'!$P$5,'CP RESUMO'!BJ84,"")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RESUMO'!BK42</f>
        <v/>
      </c>
      <c r="N64" s="139">
        <f>MAX(0,M64-M63)</f>
        <v/>
      </c>
      <c r="O64" s="138">
        <f>IF(B64&lt;='VALOR POR PL'!$P$5,'CP RESUMO'!BK84,"")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RESUMO'!BL42</f>
        <v/>
      </c>
      <c r="N65" s="139">
        <f>MAX(0,M65-M64)</f>
        <v/>
      </c>
      <c r="O65" s="138">
        <f>IF(B65&lt;='VALOR POR PL'!$P$5,'CP RESUMO'!BL84,"")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RESUMO'!BM42</f>
        <v/>
      </c>
      <c r="N66" s="139">
        <f>MAX(0,M66-M65)</f>
        <v/>
      </c>
      <c r="O66" s="138">
        <f>IF(B66&lt;='VALOR POR PL'!$P$5,'CP RESUMO'!BM84,"")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RESUMO'!BN42</f>
        <v/>
      </c>
      <c r="N67" s="139">
        <f>MAX(0,M67-M66)</f>
        <v/>
      </c>
      <c r="O67" s="138">
        <f>IF(B67&lt;='VALOR POR PL'!$P$5,'CP RESUMO'!BN84,"")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RESUMO'!BO42</f>
        <v/>
      </c>
      <c r="N68" s="139">
        <f>MAX(0,M68-M67)</f>
        <v/>
      </c>
      <c r="O68" s="138">
        <f>IF(B68&lt;='VALOR POR PL'!$P$5,'CP RESUMO'!BO84,"")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RESUMO'!BP42</f>
        <v/>
      </c>
      <c r="N69" s="139">
        <f>MAX(0,M69-M68)</f>
        <v/>
      </c>
      <c r="O69" s="138">
        <f>IF(B69&lt;='VALOR POR PL'!$P$5,'CP RESUMO'!BP84,"")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RESUMO'!BQ42</f>
        <v/>
      </c>
      <c r="N70" s="139">
        <f>MAX(0,M70-M69)</f>
        <v/>
      </c>
      <c r="O70" s="138">
        <f>IF(B70&lt;='VALOR POR PL'!$P$5,'CP RESUMO'!BQ84,"")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RESUMO'!BR42</f>
        <v/>
      </c>
      <c r="N71" s="139">
        <f>MAX(0,M71-M70)</f>
        <v/>
      </c>
      <c r="O71" s="138">
        <f>IF(B71&lt;='VALOR POR PL'!$P$5,'CP RESUMO'!BR84,"")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RESUMO'!BS42</f>
        <v/>
      </c>
      <c r="N72" s="139">
        <f>MAX(0,M72-M71)</f>
        <v/>
      </c>
      <c r="O72" s="138">
        <f>IF(B72&lt;='VALOR POR PL'!$P$5,'CP RESUMO'!BS84,"")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RESUMO'!BT42</f>
        <v/>
      </c>
      <c r="N73" s="139">
        <f>MAX(0,M73-M72)</f>
        <v/>
      </c>
      <c r="O73" s="138">
        <f>IF(B73&lt;='VALOR POR PL'!$P$5,'CP RESUMO'!BT84,"")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RESUMO'!BU42</f>
        <v/>
      </c>
      <c r="N74" s="139">
        <f>MAX(0,M74-M73)</f>
        <v/>
      </c>
      <c r="O74" s="138">
        <f>IF(B74&lt;='VALOR POR PL'!$P$5,'CP RESUMO'!BU84,"")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RESUMO'!BV42</f>
        <v/>
      </c>
      <c r="N75" s="139">
        <f>MAX(0,M75-M74)</f>
        <v/>
      </c>
      <c r="O75" s="138">
        <f>IF(B75&lt;='VALOR POR PL'!$P$5,'CP RESUMO'!BV84,"")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RESUMO'!BW42</f>
        <v/>
      </c>
      <c r="N76" s="139">
        <f>MAX(0,M76-M75)</f>
        <v/>
      </c>
      <c r="O76" s="138">
        <f>IF(B76&lt;='VALOR POR PL'!$P$5,'CP RESUMO'!BW84,"")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PL'!F12</f>
        <v/>
      </c>
      <c r="K5" s="60">
        <f>'VALOR POR PL'!G12</f>
        <v/>
      </c>
      <c r="L5" s="60">
        <f>'DADOS HISTORICOS'!$BZ$6</f>
        <v/>
      </c>
      <c r="M5" s="138">
        <f>'CP RESUMO'!D6</f>
        <v/>
      </c>
      <c r="N5" s="139" t="n">
        <v>0</v>
      </c>
      <c r="O5" s="138">
        <f>IF(B5&lt;='VALOR POR PL'!$P$5,'CP RESUMO'!D48,"")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PL'!H12</f>
        <v/>
      </c>
      <c r="L6" s="49">
        <f>C6/IF(B6&lt;='VALOR POR PL'!$P$5,IFERROR(INDEX('"INCC-FGV"'!$B$2:$B$800,MATCH(B6,'"INCC-FGV"'!$A$2:$A$800,0)),$K$2),$K$2)</f>
        <v/>
      </c>
      <c r="M6" s="138">
        <f>'CP RESUMO'!E6</f>
        <v/>
      </c>
      <c r="N6" s="139">
        <f>MAX(0,M6-M5)</f>
        <v/>
      </c>
      <c r="O6" s="138">
        <f>IF(B6&lt;='VALOR POR PL'!$P$5,'CP RESUMO'!E48,"")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RESUMO'!F6</f>
        <v/>
      </c>
      <c r="N7" s="139">
        <f>MAX(0,M7-M6)</f>
        <v/>
      </c>
      <c r="O7" s="138">
        <f>IF(B7&lt;='VALOR POR PL'!$P$5,'CP RESUMO'!F48,"")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RESUMO'!G6</f>
        <v/>
      </c>
      <c r="N8" s="139">
        <f>MAX(0,M8-M7)</f>
        <v/>
      </c>
      <c r="O8" s="138">
        <f>IF(B8&lt;='VALOR POR PL'!$P$5,'CP RESUMO'!G48,"")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RESUMO'!H6</f>
        <v/>
      </c>
      <c r="N9" s="139">
        <f>MAX(0,M9-M8)</f>
        <v/>
      </c>
      <c r="O9" s="138">
        <f>IF(B9&lt;='VALOR POR PL'!$P$5,'CP RESUMO'!H48,"")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RESUMO'!I6</f>
        <v/>
      </c>
      <c r="N10" s="139">
        <f>MAX(0,M10-M9)</f>
        <v/>
      </c>
      <c r="O10" s="138">
        <f>IF(B10&lt;='VALOR POR PL'!$P$5,'CP RESUMO'!I48,"")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RESUMO'!J6</f>
        <v/>
      </c>
      <c r="N11" s="139">
        <f>MAX(0,M11-M10)</f>
        <v/>
      </c>
      <c r="O11" s="138">
        <f>IF(B11&lt;='VALOR POR PL'!$P$5,'CP RESUMO'!J48,"")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RESUMO'!K6</f>
        <v/>
      </c>
      <c r="N12" s="139">
        <f>MAX(0,M12-M11)</f>
        <v/>
      </c>
      <c r="O12" s="138">
        <f>IF(B12&lt;='VALOR POR PL'!$P$5,'CP RESUMO'!K48,"")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PL'!I12</f>
        <v/>
      </c>
      <c r="L13" s="49">
        <f>C13/IF(B13&lt;='VALOR POR PL'!$P$5,IFERROR(INDEX('"INCC-FGV"'!$B$2:$B$800,MATCH(B13,'"INCC-FGV"'!$A$2:$A$800,0)),$K$2),$K$2)</f>
        <v/>
      </c>
      <c r="M13" s="138">
        <f>'CP RESUMO'!L6</f>
        <v/>
      </c>
      <c r="N13" s="139">
        <f>MAX(0,M13-M12)</f>
        <v/>
      </c>
      <c r="O13" s="138">
        <f>IF(B13&lt;='VALOR POR PL'!$P$5,'CP RESUMO'!L48,"")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RESUMO'!$D$48:$BW$48,MATCH('VALOR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RESUMO'!M6</f>
        <v/>
      </c>
      <c r="N14" s="139">
        <f>MAX(0,M14-M13)</f>
        <v/>
      </c>
      <c r="O14" s="138">
        <f>IF(B14&lt;='VALOR POR PL'!$P$5,'CP RESUMO'!M48,"")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RESUMO'!N6</f>
        <v/>
      </c>
      <c r="N15" s="139">
        <f>MAX(0,M15-M14)</f>
        <v/>
      </c>
      <c r="O15" s="138">
        <f>IF(B15&lt;='VALOR POR PL'!$P$5,'CP RESUMO'!N48,"")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RESUMO'!O6</f>
        <v/>
      </c>
      <c r="N16" s="139">
        <f>MAX(0,M16-M15)</f>
        <v/>
      </c>
      <c r="O16" s="138">
        <f>IF(B16&lt;='VALOR POR PL'!$P$5,'CP RESUMO'!O48,"")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RESUMO'!P6</f>
        <v/>
      </c>
      <c r="N17" s="139">
        <f>MAX(0,M17-M16)</f>
        <v/>
      </c>
      <c r="O17" s="138">
        <f>IF(B17&lt;='VALOR POR PL'!$P$5,'CP RESUMO'!P48,"")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RESUMO'!Q6</f>
        <v/>
      </c>
      <c r="N18" s="139">
        <f>MAX(0,M18-M17)</f>
        <v/>
      </c>
      <c r="O18" s="138">
        <f>IF(B18&lt;='VALOR POR PL'!$P$5,'CP RESUMO'!Q48,"")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RESUMO'!R6</f>
        <v/>
      </c>
      <c r="N19" s="139">
        <f>MAX(0,M19-M18)</f>
        <v/>
      </c>
      <c r="O19" s="138">
        <f>IF(B19&lt;='VALOR POR PL'!$P$5,'CP RESUMO'!R48,"")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RESUMO'!S6</f>
        <v/>
      </c>
      <c r="N20" s="139">
        <f>MAX(0,M20-M19)</f>
        <v/>
      </c>
      <c r="O20" s="138">
        <f>IF(B20&lt;='VALOR POR PL'!$P$5,'CP RESUMO'!S48,"")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RESUMO'!T6</f>
        <v/>
      </c>
      <c r="N21" s="139">
        <f>MAX(0,M21-M20)</f>
        <v/>
      </c>
      <c r="O21" s="138">
        <f>IF(B21&lt;='VALOR POR PL'!$P$5,'CP RESUMO'!T48,"")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RESUMO'!U6</f>
        <v/>
      </c>
      <c r="N22" s="139">
        <f>MAX(0,M22-M21)</f>
        <v/>
      </c>
      <c r="O22" s="138">
        <f>IF(B22&lt;='VALOR POR PL'!$P$5,'CP RESUMO'!U48,"")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RESUMO'!V6</f>
        <v/>
      </c>
      <c r="N23" s="139">
        <f>MAX(0,M23-M22)</f>
        <v/>
      </c>
      <c r="O23" s="138">
        <f>IF(B23&lt;='VALOR POR PL'!$P$5,'CP RESUMO'!V48,"")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RESUMO'!W6</f>
        <v/>
      </c>
      <c r="N24" s="139">
        <f>MAX(0,M24-M23)</f>
        <v/>
      </c>
      <c r="O24" s="138">
        <f>IF(B24&lt;='VALOR POR PL'!$P$5,'CP RESUMO'!W48,"")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RESUMO'!X6</f>
        <v/>
      </c>
      <c r="N25" s="139">
        <f>MAX(0,M25-M24)</f>
        <v/>
      </c>
      <c r="O25" s="138">
        <f>IF(B25&lt;='VALOR POR PL'!$P$5,'CP RESUMO'!X48,"")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1510.31</v>
      </c>
      <c r="L26" s="49">
        <f>C26/IF(B26&lt;='VALOR POR PL'!$P$5,IFERROR(INDEX('"INCC-FGV"'!$B$2:$B$800,MATCH(B26,'"INCC-FGV"'!$A$2:$A$800,0)),$K$2),$K$2)</f>
        <v/>
      </c>
      <c r="M26" s="138">
        <f>'CP RESUMO'!Y6</f>
        <v/>
      </c>
      <c r="N26" s="139">
        <f>MAX(0,M26-M25)</f>
        <v/>
      </c>
      <c r="O26" s="138">
        <f>IF(B26&lt;='VALOR POR PL'!$P$5,'CP RESUMO'!Y48,"")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1510.31</v>
      </c>
      <c r="L27" s="49">
        <f>C27/IF(B27&lt;='VALOR POR PL'!$P$5,IFERROR(INDEX('"INCC-FGV"'!$B$2:$B$800,MATCH(B27,'"INCC-FGV"'!$A$2:$A$800,0)),$K$2),$K$2)</f>
        <v/>
      </c>
      <c r="M27" s="138">
        <f>'CP RESUMO'!Z6</f>
        <v/>
      </c>
      <c r="N27" s="139">
        <f>MAX(0,M27-M26)</f>
        <v/>
      </c>
      <c r="O27" s="138">
        <f>IF(B27&lt;='VALOR POR PL'!$P$5,'CP RESUMO'!Z48,"")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1510.31</v>
      </c>
      <c r="L28" s="49">
        <f>C28/IF(B28&lt;='VALOR POR PL'!$P$5,IFERROR(INDEX('"INCC-FGV"'!$B$2:$B$800,MATCH(B28,'"INCC-FGV"'!$A$2:$A$800,0)),$K$2),$K$2)</f>
        <v/>
      </c>
      <c r="M28" s="138">
        <f>'CP RESUMO'!AA6</f>
        <v/>
      </c>
      <c r="N28" s="139">
        <f>MAX(0,M28-M27)</f>
        <v/>
      </c>
      <c r="O28" s="138">
        <f>IF(B28&lt;='VALOR POR PL'!$P$5,'CP RESUMO'!AA48,"")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1510.31</v>
      </c>
      <c r="L29" s="49">
        <f>C29/IF(B29&lt;='VALOR POR PL'!$P$5,IFERROR(INDEX('"INCC-FGV"'!$B$2:$B$800,MATCH(B29,'"INCC-FGV"'!$A$2:$A$800,0)),$K$2),$K$2)</f>
        <v/>
      </c>
      <c r="M29" s="138">
        <f>'CP RESUMO'!AB6</f>
        <v/>
      </c>
      <c r="N29" s="139">
        <f>MAX(0,M29-M28)</f>
        <v/>
      </c>
      <c r="O29" s="138">
        <f>IF(B29&lt;='VALOR POR PL'!$P$5,'CP RESUMO'!AB48,"")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1510.31</v>
      </c>
      <c r="L30" s="49">
        <f>C30/IF(B30&lt;='VALOR POR PL'!$P$5,IFERROR(INDEX('"INCC-FGV"'!$B$2:$B$800,MATCH(B30,'"INCC-FGV"'!$A$2:$A$800,0)),$K$2),$K$2)</f>
        <v/>
      </c>
      <c r="M30" s="138">
        <f>'CP RESUMO'!AC6</f>
        <v/>
      </c>
      <c r="N30" s="139">
        <f>MAX(0,M30-M29)</f>
        <v/>
      </c>
      <c r="O30" s="138">
        <f>IF(B30&lt;='VALOR POR PL'!$P$5,'CP RESUMO'!AC48,"")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1510.31</v>
      </c>
      <c r="L31" s="49">
        <f>C31/IF(B31&lt;='VALOR POR PL'!$P$5,IFERROR(INDEX('"INCC-FGV"'!$B$2:$B$800,MATCH(B31,'"INCC-FGV"'!$A$2:$A$800,0)),$K$2),$K$2)</f>
        <v/>
      </c>
      <c r="M31" s="138">
        <f>'CP RESUMO'!AD6</f>
        <v/>
      </c>
      <c r="N31" s="139">
        <f>MAX(0,M31-M30)</f>
        <v/>
      </c>
      <c r="O31" s="138">
        <f>IF(B31&lt;='VALOR POR PL'!$P$5,'CP RESUMO'!AD48,"")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1510.31</v>
      </c>
      <c r="L32" s="49">
        <f>C32/IF(B32&lt;='VALOR POR PL'!$P$5,IFERROR(INDEX('"INCC-FGV"'!$B$2:$B$800,MATCH(B32,'"INCC-FGV"'!$A$2:$A$800,0)),$K$2),$K$2)</f>
        <v/>
      </c>
      <c r="M32" s="138">
        <f>'CP RESUMO'!AE6</f>
        <v/>
      </c>
      <c r="N32" s="139">
        <f>MAX(0,M32-M31)</f>
        <v/>
      </c>
      <c r="O32" s="138">
        <f>IF(B32&lt;='VALOR POR PL'!$P$5,'CP RESUMO'!AE48,"")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1510.31</v>
      </c>
      <c r="L33" s="49">
        <f>C33/IF(B33&lt;='VALOR POR PL'!$P$5,IFERROR(INDEX('"INCC-FGV"'!$B$2:$B$800,MATCH(B33,'"INCC-FGV"'!$A$2:$A$800,0)),$K$2),$K$2)</f>
        <v/>
      </c>
      <c r="M33" s="138">
        <f>'CP RESUMO'!AF6</f>
        <v/>
      </c>
      <c r="N33" s="139">
        <f>MAX(0,M33-M32)</f>
        <v/>
      </c>
      <c r="O33" s="138">
        <f>IF(B33&lt;='VALOR POR PL'!$P$5,'CP RESUMO'!AF48,"")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1510.31</v>
      </c>
      <c r="L34" s="49">
        <f>C34/IF(B34&lt;='VALOR POR PL'!$P$5,IFERROR(INDEX('"INCC-FGV"'!$B$2:$B$800,MATCH(B34,'"INCC-FGV"'!$A$2:$A$800,0)),$K$2),$K$2)</f>
        <v/>
      </c>
      <c r="M34" s="138">
        <f>'CP RESUMO'!AG6</f>
        <v/>
      </c>
      <c r="N34" s="139">
        <f>MAX(0,M34-M33)</f>
        <v/>
      </c>
      <c r="O34" s="138">
        <f>IF(B34&lt;='VALOR POR PL'!$P$5,'CP RESUMO'!AG48,"")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1510.31</v>
      </c>
      <c r="L35" s="49">
        <f>C35/IF(B35&lt;='VALOR POR PL'!$P$5,IFERROR(INDEX('"INCC-FGV"'!$B$2:$B$800,MATCH(B35,'"INCC-FGV"'!$A$2:$A$800,0)),$K$2),$K$2)</f>
        <v/>
      </c>
      <c r="M35" s="138">
        <f>'CP RESUMO'!AH6</f>
        <v/>
      </c>
      <c r="N35" s="139">
        <f>MAX(0,M35-M34)</f>
        <v/>
      </c>
      <c r="O35" s="138">
        <f>IF(B35&lt;='VALOR POR PL'!$P$5,'CP RESUMO'!AH48,"")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1510.31</v>
      </c>
      <c r="L36" s="49">
        <f>C36/IF(B36&lt;='VALOR POR PL'!$P$5,IFERROR(INDEX('"INCC-FGV"'!$B$2:$B$800,MATCH(B36,'"INCC-FGV"'!$A$2:$A$800,0)),$K$2),$K$2)</f>
        <v/>
      </c>
      <c r="M36" s="138">
        <f>'CP RESUMO'!AI6</f>
        <v/>
      </c>
      <c r="N36" s="139">
        <f>MAX(0,M36-M35)</f>
        <v/>
      </c>
      <c r="O36" s="138">
        <f>IF(B36&lt;='VALOR POR PL'!$P$5,'CP RESUMO'!AI48,"")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1510.31</v>
      </c>
      <c r="L37" s="49">
        <f>C37/IF(B37&lt;='VALOR POR PL'!$P$5,IFERROR(INDEX('"INCC-FGV"'!$B$2:$B$800,MATCH(B37,'"INCC-FGV"'!$A$2:$A$800,0)),$K$2),$K$2)</f>
        <v/>
      </c>
      <c r="M37" s="138">
        <f>'CP RESUMO'!AJ6</f>
        <v/>
      </c>
      <c r="N37" s="139">
        <f>MAX(0,M37-M36)</f>
        <v/>
      </c>
      <c r="O37" s="138">
        <f>IF(B37&lt;='VALOR POR PL'!$P$5,'CP RESUMO'!AJ48,"")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1510.31</v>
      </c>
      <c r="L38" s="49">
        <f>C38/IF(B38&lt;='VALOR POR PL'!$P$5,IFERROR(INDEX('"INCC-FGV"'!$B$2:$B$800,MATCH(B38,'"INCC-FGV"'!$A$2:$A$800,0)),$K$2),$K$2)</f>
        <v/>
      </c>
      <c r="M38" s="138">
        <f>'CP RESUMO'!AK6</f>
        <v/>
      </c>
      <c r="N38" s="139">
        <f>MAX(0,M38-M37)</f>
        <v/>
      </c>
      <c r="O38" s="138">
        <f>IF(B38&lt;='VALOR POR PL'!$P$5,'CP RESUMO'!AK48,"")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1510.31</v>
      </c>
      <c r="L39" s="49">
        <f>C39/IF(B39&lt;='VALOR POR PL'!$P$5,IFERROR(INDEX('"INCC-FGV"'!$B$2:$B$800,MATCH(B39,'"INCC-FGV"'!$A$2:$A$800,0)),$K$2),$K$2)</f>
        <v/>
      </c>
      <c r="M39" s="138">
        <f>'CP RESUMO'!AL6</f>
        <v/>
      </c>
      <c r="N39" s="139">
        <f>MAX(0,M39-M38)</f>
        <v/>
      </c>
      <c r="O39" s="138">
        <f>IF(B39&lt;='VALOR POR PL'!$P$5,'CP RESUMO'!AL48,"")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1510.31</v>
      </c>
      <c r="L40" s="49">
        <f>C40/IF(B40&lt;='VALOR POR PL'!$P$5,IFERROR(INDEX('"INCC-FGV"'!$B$2:$B$800,MATCH(B40,'"INCC-FGV"'!$A$2:$A$800,0)),$K$2),$K$2)</f>
        <v/>
      </c>
      <c r="M40" s="138">
        <f>'CP RESUMO'!AM6</f>
        <v/>
      </c>
      <c r="N40" s="139">
        <f>MAX(0,M40-M39)</f>
        <v/>
      </c>
      <c r="O40" s="138">
        <f>IF(B40&lt;='VALOR POR PL'!$P$5,'CP RESUMO'!AM48,"")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1510.31</v>
      </c>
      <c r="L41" s="49">
        <f>C41/IF(B41&lt;='VALOR POR PL'!$P$5,IFERROR(INDEX('"INCC-FGV"'!$B$2:$B$800,MATCH(B41,'"INCC-FGV"'!$A$2:$A$800,0)),$K$2),$K$2)</f>
        <v/>
      </c>
      <c r="M41" s="138">
        <f>'CP RESUMO'!AN6</f>
        <v/>
      </c>
      <c r="N41" s="139">
        <f>MAX(0,M41-M40)</f>
        <v/>
      </c>
      <c r="O41" s="138">
        <f>IF(B41&lt;='VALOR POR PL'!$P$5,'CP RESUMO'!AN48,"")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1510.31</v>
      </c>
      <c r="L42" s="49">
        <f>C42/IF(B42&lt;='VALOR POR PL'!$P$5,IFERROR(INDEX('"INCC-FGV"'!$B$2:$B$800,MATCH(B42,'"INCC-FGV"'!$A$2:$A$800,0)),$K$2),$K$2)</f>
        <v/>
      </c>
      <c r="M42" s="138">
        <f>'CP RESUMO'!AO6</f>
        <v/>
      </c>
      <c r="N42" s="139">
        <f>MAX(0,M42-M41)</f>
        <v/>
      </c>
      <c r="O42" s="138">
        <f>IF(B42&lt;='VALOR POR PL'!$P$5,'CP RESUMO'!AO48,"")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1510.31</v>
      </c>
      <c r="L43" s="49">
        <f>C43/IF(B43&lt;='VALOR POR PL'!$P$5,IFERROR(INDEX('"INCC-FGV"'!$B$2:$B$800,MATCH(B43,'"INCC-FGV"'!$A$2:$A$800,0)),$K$2),$K$2)</f>
        <v/>
      </c>
      <c r="M43" s="138">
        <f>'CP RESUMO'!AP6</f>
        <v/>
      </c>
      <c r="N43" s="139">
        <f>MAX(0,M43-M42)</f>
        <v/>
      </c>
      <c r="O43" s="138">
        <f>IF(B43&lt;='VALOR POR PL'!$P$5,'CP RESUMO'!AP48,"")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1510.31</v>
      </c>
      <c r="L44" s="49">
        <f>C44/IF(B44&lt;='VALOR POR PL'!$P$5,IFERROR(INDEX('"INCC-FGV"'!$B$2:$B$800,MATCH(B44,'"INCC-FGV"'!$A$2:$A$800,0)),$K$2),$K$2)</f>
        <v/>
      </c>
      <c r="M44" s="138">
        <f>'CP RESUMO'!AQ6</f>
        <v/>
      </c>
      <c r="N44" s="139">
        <f>MAX(0,M44-M43)</f>
        <v/>
      </c>
      <c r="O44" s="138">
        <f>IF(B44&lt;='VALOR POR PL'!$P$5,'CP RESUMO'!AQ48,"")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1510.31</v>
      </c>
      <c r="L45" s="49">
        <f>C45/IF(B45&lt;='VALOR POR PL'!$P$5,IFERROR(INDEX('"INCC-FGV"'!$B$2:$B$800,MATCH(B45,'"INCC-FGV"'!$A$2:$A$800,0)),$K$2),$K$2)</f>
        <v/>
      </c>
      <c r="M45" s="138">
        <f>'CP RESUMO'!AR6</f>
        <v/>
      </c>
      <c r="N45" s="139">
        <f>MAX(0,M45-M44)</f>
        <v/>
      </c>
      <c r="O45" s="138">
        <f>IF(B45&lt;='VALOR POR PL'!$P$5,'CP RESUMO'!AR48,"")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1510.31</v>
      </c>
      <c r="L46" s="49">
        <f>C46/IF(B46&lt;='VALOR POR PL'!$P$5,IFERROR(INDEX('"INCC-FGV"'!$B$2:$B$800,MATCH(B46,'"INCC-FGV"'!$A$2:$A$800,0)),$K$2),$K$2)</f>
        <v/>
      </c>
      <c r="M46" s="138">
        <f>'CP RESUMO'!AS6</f>
        <v/>
      </c>
      <c r="N46" s="139">
        <f>MAX(0,M46-M45)</f>
        <v/>
      </c>
      <c r="O46" s="138">
        <f>IF(B46&lt;='VALOR POR PL'!$P$5,'CP RESUMO'!AS48,"")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1510.31</v>
      </c>
      <c r="L47" s="49">
        <f>C47/IF(B47&lt;='VALOR POR PL'!$P$5,IFERROR(INDEX('"INCC-FGV"'!$B$2:$B$800,MATCH(B47,'"INCC-FGV"'!$A$2:$A$800,0)),$K$2),$K$2)</f>
        <v/>
      </c>
      <c r="M47" s="138">
        <f>'CP RESUMO'!AT6</f>
        <v/>
      </c>
      <c r="N47" s="139">
        <f>MAX(0,M47-M46)</f>
        <v/>
      </c>
      <c r="O47" s="138">
        <f>IF(B47&lt;='VALOR POR PL'!$P$5,'CP RESUMO'!AT48,"")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1510.31</v>
      </c>
      <c r="L48" s="49">
        <f>C48/IF(B48&lt;='VALOR POR PL'!$P$5,IFERROR(INDEX('"INCC-FGV"'!$B$2:$B$800,MATCH(B48,'"INCC-FGV"'!$A$2:$A$800,0)),$K$2),$K$2)</f>
        <v/>
      </c>
      <c r="M48" s="138">
        <f>'CP RESUMO'!AU6</f>
        <v/>
      </c>
      <c r="N48" s="139">
        <f>MAX(0,M48-M47)</f>
        <v/>
      </c>
      <c r="O48" s="138">
        <f>IF(B48&lt;='VALOR POR PL'!$P$5,'CP RESUMO'!AU48,"")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1510.31</v>
      </c>
      <c r="L49" s="49">
        <f>C49/IF(B49&lt;='VALOR POR PL'!$P$5,IFERROR(INDEX('"INCC-FGV"'!$B$2:$B$800,MATCH(B49,'"INCC-FGV"'!$A$2:$A$800,0)),$K$2),$K$2)</f>
        <v/>
      </c>
      <c r="M49" s="138">
        <f>'CP RESUMO'!AV6</f>
        <v/>
      </c>
      <c r="N49" s="139">
        <f>MAX(0,M49-M48)</f>
        <v/>
      </c>
      <c r="O49" s="138">
        <f>IF(B49&lt;='VALOR POR PL'!$P$5,'CP RESUMO'!AV48,"")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1510.31</v>
      </c>
      <c r="L50" s="49">
        <f>C50/IF(B50&lt;='VALOR POR PL'!$P$5,IFERROR(INDEX('"INCC-FGV"'!$B$2:$B$800,MATCH(B50,'"INCC-FGV"'!$A$2:$A$800,0)),$K$2),$K$2)</f>
        <v/>
      </c>
      <c r="M50" s="138">
        <f>'CP RESUMO'!AW6</f>
        <v/>
      </c>
      <c r="N50" s="139">
        <f>MAX(0,M50-M49)</f>
        <v/>
      </c>
      <c r="O50" s="138">
        <f>IF(B50&lt;='VALOR POR PL'!$P$5,'CP RESUMO'!AW48,"")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1510.31</v>
      </c>
      <c r="L51" s="49">
        <f>C51/IF(B51&lt;='VALOR POR PL'!$P$5,IFERROR(INDEX('"INCC-FGV"'!$B$2:$B$800,MATCH(B51,'"INCC-FGV"'!$A$2:$A$800,0)),$K$2),$K$2)</f>
        <v/>
      </c>
      <c r="M51" s="138">
        <f>'CP RESUMO'!AX6</f>
        <v/>
      </c>
      <c r="N51" s="139">
        <f>MAX(0,M51-M50)</f>
        <v/>
      </c>
      <c r="O51" s="138">
        <f>IF(B51&lt;='VALOR POR PL'!$P$5,'CP RESUMO'!AX48,"")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1510.31</v>
      </c>
      <c r="L52" s="49">
        <f>C52/IF(B52&lt;='VALOR POR PL'!$P$5,IFERROR(INDEX('"INCC-FGV"'!$B$2:$B$800,MATCH(B52,'"INCC-FGV"'!$A$2:$A$800,0)),$K$2),$K$2)</f>
        <v/>
      </c>
      <c r="M52" s="138">
        <f>'CP RESUMO'!AY6</f>
        <v/>
      </c>
      <c r="N52" s="139">
        <f>MAX(0,M52-M51)</f>
        <v/>
      </c>
      <c r="O52" s="138">
        <f>IF(B52&lt;='VALOR POR PL'!$P$5,'CP RESUMO'!AY48,"")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1510.31</v>
      </c>
      <c r="L53" s="49">
        <f>C53/IF(B53&lt;='VALOR POR PL'!$P$5,IFERROR(INDEX('"INCC-FGV"'!$B$2:$B$800,MATCH(B53,'"INCC-FGV"'!$A$2:$A$800,0)),$K$2),$K$2)</f>
        <v/>
      </c>
      <c r="M53" s="138">
        <f>'CP RESUMO'!AZ6</f>
        <v/>
      </c>
      <c r="N53" s="139">
        <f>MAX(0,M53-M52)</f>
        <v/>
      </c>
      <c r="O53" s="138">
        <f>IF(B53&lt;='VALOR POR PL'!$P$5,'CP RESUMO'!AZ48,"")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RESUMO'!BA6</f>
        <v/>
      </c>
      <c r="N54" s="139">
        <f>MAX(0,M54-M53)</f>
        <v/>
      </c>
      <c r="O54" s="138">
        <f>IF(B54&lt;='VALOR POR PL'!$P$5,'CP RESUMO'!BA48,"")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RESUMO'!BB6</f>
        <v/>
      </c>
      <c r="N55" s="139">
        <f>MAX(0,M55-M54)</f>
        <v/>
      </c>
      <c r="O55" s="138">
        <f>IF(B55&lt;='VALOR POR PL'!$P$5,'CP RESUMO'!BB48,"")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RESUMO'!BC6</f>
        <v/>
      </c>
      <c r="N56" s="139">
        <f>MAX(0,M56-M55)</f>
        <v/>
      </c>
      <c r="O56" s="138">
        <f>IF(B56&lt;='VALOR POR PL'!$P$5,'CP RESUMO'!BC48,"")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RESUMO'!BD6</f>
        <v/>
      </c>
      <c r="N57" s="139">
        <f>MAX(0,M57-M56)</f>
        <v/>
      </c>
      <c r="O57" s="138">
        <f>IF(B57&lt;='VALOR POR PL'!$P$5,'CP RESUMO'!BD48,"")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RESUMO'!BE6</f>
        <v/>
      </c>
      <c r="N58" s="139">
        <f>MAX(0,M58-M57)</f>
        <v/>
      </c>
      <c r="O58" s="138">
        <f>IF(B58&lt;='VALOR POR PL'!$P$5,'CP RESUMO'!BE48,"")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RESUMO'!BF6</f>
        <v/>
      </c>
      <c r="N59" s="139">
        <f>MAX(0,M59-M58)</f>
        <v/>
      </c>
      <c r="O59" s="138">
        <f>IF(B59&lt;='VALOR POR PL'!$P$5,'CP RESUMO'!BF48,"")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RESUMO'!BG6</f>
        <v/>
      </c>
      <c r="N60" s="139">
        <f>MAX(0,M60-M59)</f>
        <v/>
      </c>
      <c r="O60" s="138">
        <f>IF(B60&lt;='VALOR POR PL'!$P$5,'CP RESUMO'!BG48,"")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RESUMO'!BH6</f>
        <v/>
      </c>
      <c r="N61" s="139">
        <f>MAX(0,M61-M60)</f>
        <v/>
      </c>
      <c r="O61" s="138">
        <f>IF(B61&lt;='VALOR POR PL'!$P$5,'CP RESUMO'!BH48,"")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RESUMO'!BI6</f>
        <v/>
      </c>
      <c r="N62" s="139">
        <f>MAX(0,M62-M61)</f>
        <v/>
      </c>
      <c r="O62" s="138">
        <f>IF(B62&lt;='VALOR POR PL'!$P$5,'CP RESUMO'!BI48,"")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RESUMO'!BJ6</f>
        <v/>
      </c>
      <c r="N63" s="139">
        <f>MAX(0,M63-M62)</f>
        <v/>
      </c>
      <c r="O63" s="138">
        <f>IF(B63&lt;='VALOR POR PL'!$P$5,'CP RESUMO'!BJ48,"")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RESUMO'!BK6</f>
        <v/>
      </c>
      <c r="N64" s="139">
        <f>MAX(0,M64-M63)</f>
        <v/>
      </c>
      <c r="O64" s="138">
        <f>IF(B64&lt;='VALOR POR PL'!$P$5,'CP RESUMO'!BK48,"")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RESUMO'!BL6</f>
        <v/>
      </c>
      <c r="N65" s="139">
        <f>MAX(0,M65-M64)</f>
        <v/>
      </c>
      <c r="O65" s="138">
        <f>IF(B65&lt;='VALOR POR PL'!$P$5,'CP RESUMO'!BL48,"")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RESUMO'!BM6</f>
        <v/>
      </c>
      <c r="N66" s="139">
        <f>MAX(0,M66-M65)</f>
        <v/>
      </c>
      <c r="O66" s="138">
        <f>IF(B66&lt;='VALOR POR PL'!$P$5,'CP RESUMO'!BM48,"")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RESUMO'!BN6</f>
        <v/>
      </c>
      <c r="N67" s="139">
        <f>MAX(0,M67-M66)</f>
        <v/>
      </c>
      <c r="O67" s="138">
        <f>IF(B67&lt;='VALOR POR PL'!$P$5,'CP RESUMO'!BN48,"")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RESUMO'!BO6</f>
        <v/>
      </c>
      <c r="N68" s="139">
        <f>MAX(0,M68-M67)</f>
        <v/>
      </c>
      <c r="O68" s="138">
        <f>IF(B68&lt;='VALOR POR PL'!$P$5,'CP RESUMO'!BO48,"")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RESUMO'!BP6</f>
        <v/>
      </c>
      <c r="N69" s="139">
        <f>MAX(0,M69-M68)</f>
        <v/>
      </c>
      <c r="O69" s="138">
        <f>IF(B69&lt;='VALOR POR PL'!$P$5,'CP RESUMO'!BP48,"")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RESUMO'!BQ6</f>
        <v/>
      </c>
      <c r="N70" s="139">
        <f>MAX(0,M70-M69)</f>
        <v/>
      </c>
      <c r="O70" s="138">
        <f>IF(B70&lt;='VALOR POR PL'!$P$5,'CP RESUMO'!BQ48,"")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RESUMO'!BR6</f>
        <v/>
      </c>
      <c r="N71" s="139">
        <f>MAX(0,M71-M70)</f>
        <v/>
      </c>
      <c r="O71" s="138">
        <f>IF(B71&lt;='VALOR POR PL'!$P$5,'CP RESUMO'!BR48,"")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RESUMO'!BS6</f>
        <v/>
      </c>
      <c r="N72" s="139">
        <f>MAX(0,M72-M71)</f>
        <v/>
      </c>
      <c r="O72" s="138">
        <f>IF(B72&lt;='VALOR POR PL'!$P$5,'CP RESUMO'!BS48,"")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RESUMO'!BT6</f>
        <v/>
      </c>
      <c r="N73" s="139">
        <f>MAX(0,M73-M72)</f>
        <v/>
      </c>
      <c r="O73" s="138">
        <f>IF(B73&lt;='VALOR POR PL'!$P$5,'CP RESUMO'!BT48,"")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RESUMO'!BU6</f>
        <v/>
      </c>
      <c r="N74" s="139">
        <f>MAX(0,M74-M73)</f>
        <v/>
      </c>
      <c r="O74" s="138">
        <f>IF(B74&lt;='VALOR POR PL'!$P$5,'CP RESUMO'!BU48,"")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RESUMO'!BV6</f>
        <v/>
      </c>
      <c r="N75" s="139">
        <f>MAX(0,M75-M74)</f>
        <v/>
      </c>
      <c r="O75" s="138">
        <f>IF(B75&lt;='VALOR POR PL'!$P$5,'CP RESUMO'!BV48,"")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RESUMO'!BW6</f>
        <v/>
      </c>
      <c r="N76" s="139">
        <f>MAX(0,M76-M75)</f>
        <v/>
      </c>
      <c r="O76" s="138">
        <f>IF(B76&lt;='VALOR POR PL'!$P$5,'CP RESUMO'!BW48,"")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PL'!F13</f>
        <v/>
      </c>
      <c r="K5" s="60">
        <f>'VALOR POR PL'!G13</f>
        <v/>
      </c>
      <c r="L5" s="60">
        <f>'DADOS HISTORICOS'!$BZ$7</f>
        <v/>
      </c>
      <c r="M5" s="138">
        <f>'CP RESUMO'!D7</f>
        <v/>
      </c>
      <c r="N5" s="139" t="n">
        <v>0</v>
      </c>
      <c r="O5" s="138">
        <f>IF(B5&lt;='VALOR POR PL'!$P$5,'CP RESUMO'!D49,"")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PL'!H13</f>
        <v/>
      </c>
      <c r="L6" s="49">
        <f>C6/IF(B6&lt;='VALOR POR PL'!$P$5,IFERROR(INDEX('"INCC-FGV"'!$B$2:$B$800,MATCH(B6,'"INCC-FGV"'!$A$2:$A$800,0)),$K$2),$K$2)</f>
        <v/>
      </c>
      <c r="M6" s="138">
        <f>'CP RESUMO'!E7</f>
        <v/>
      </c>
      <c r="N6" s="139">
        <f>MAX(0,M6-M5)</f>
        <v/>
      </c>
      <c r="O6" s="138">
        <f>IF(B6&lt;='VALOR POR PL'!$P$5,'CP RESUMO'!E49,"")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RESUMO'!F7</f>
        <v/>
      </c>
      <c r="N7" s="139">
        <f>MAX(0,M7-M6)</f>
        <v/>
      </c>
      <c r="O7" s="138">
        <f>IF(B7&lt;='VALOR POR PL'!$P$5,'CP RESUMO'!F49,"")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RESUMO'!G7</f>
        <v/>
      </c>
      <c r="N8" s="139">
        <f>MAX(0,M8-M7)</f>
        <v/>
      </c>
      <c r="O8" s="138">
        <f>IF(B8&lt;='VALOR POR PL'!$P$5,'CP RESUMO'!G49,"")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RESUMO'!H7</f>
        <v/>
      </c>
      <c r="N9" s="139">
        <f>MAX(0,M9-M8)</f>
        <v/>
      </c>
      <c r="O9" s="138">
        <f>IF(B9&lt;='VALOR POR PL'!$P$5,'CP RESUMO'!H49,"")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RESUMO'!I7</f>
        <v/>
      </c>
      <c r="N10" s="139">
        <f>MAX(0,M10-M9)</f>
        <v/>
      </c>
      <c r="O10" s="138">
        <f>IF(B10&lt;='VALOR POR PL'!$P$5,'CP RESUMO'!I49,"")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RESUMO'!J7</f>
        <v/>
      </c>
      <c r="N11" s="139">
        <f>MAX(0,M11-M10)</f>
        <v/>
      </c>
      <c r="O11" s="138">
        <f>IF(B11&lt;='VALOR POR PL'!$P$5,'CP RESUMO'!J49,"")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RESUMO'!K7</f>
        <v/>
      </c>
      <c r="N12" s="139">
        <f>MAX(0,M12-M11)</f>
        <v/>
      </c>
      <c r="O12" s="138">
        <f>IF(B12&lt;='VALOR POR PL'!$P$5,'CP RESUMO'!K49,"")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PL'!I13</f>
        <v/>
      </c>
      <c r="L13" s="49">
        <f>C13/IF(B13&lt;='VALOR POR PL'!$P$5,IFERROR(INDEX('"INCC-FGV"'!$B$2:$B$800,MATCH(B13,'"INCC-FGV"'!$A$2:$A$800,0)),$K$2),$K$2)</f>
        <v/>
      </c>
      <c r="M13" s="138">
        <f>'CP RESUMO'!L7</f>
        <v/>
      </c>
      <c r="N13" s="139">
        <f>MAX(0,M13-M12)</f>
        <v/>
      </c>
      <c r="O13" s="138">
        <f>IF(B13&lt;='VALOR POR PL'!$P$5,'CP RESUMO'!L49,"")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RESUMO'!$D$49:$BW$49,MATCH('VALOR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RESUMO'!M7</f>
        <v/>
      </c>
      <c r="N14" s="139">
        <f>MAX(0,M14-M13)</f>
        <v/>
      </c>
      <c r="O14" s="138">
        <f>IF(B14&lt;='VALOR POR PL'!$P$5,'CP RESUMO'!M49,"")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RESUMO'!N7</f>
        <v/>
      </c>
      <c r="N15" s="139">
        <f>MAX(0,M15-M14)</f>
        <v/>
      </c>
      <c r="O15" s="138">
        <f>IF(B15&lt;='VALOR POR PL'!$P$5,'CP RESUMO'!N49,"")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RESUMO'!O7</f>
        <v/>
      </c>
      <c r="N16" s="139">
        <f>MAX(0,M16-M15)</f>
        <v/>
      </c>
      <c r="O16" s="138">
        <f>IF(B16&lt;='VALOR POR PL'!$P$5,'CP RESUMO'!O49,"")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RESUMO'!P7</f>
        <v/>
      </c>
      <c r="N17" s="139">
        <f>MAX(0,M17-M16)</f>
        <v/>
      </c>
      <c r="O17" s="138">
        <f>IF(B17&lt;='VALOR POR PL'!$P$5,'CP RESUMO'!P49,"")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RESUMO'!Q7</f>
        <v/>
      </c>
      <c r="N18" s="139">
        <f>MAX(0,M18-M17)</f>
        <v/>
      </c>
      <c r="O18" s="138">
        <f>IF(B18&lt;='VALOR POR PL'!$P$5,'CP RESUMO'!Q49,"")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RESUMO'!R7</f>
        <v/>
      </c>
      <c r="N19" s="139">
        <f>MAX(0,M19-M18)</f>
        <v/>
      </c>
      <c r="O19" s="138">
        <f>IF(B19&lt;='VALOR POR PL'!$P$5,'CP RESUMO'!R49,"")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RESUMO'!S7</f>
        <v/>
      </c>
      <c r="N20" s="139">
        <f>MAX(0,M20-M19)</f>
        <v/>
      </c>
      <c r="O20" s="138">
        <f>IF(B20&lt;='VALOR POR PL'!$P$5,'CP RESUMO'!S49,"")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RESUMO'!T7</f>
        <v/>
      </c>
      <c r="N21" s="139">
        <f>MAX(0,M21-M20)</f>
        <v/>
      </c>
      <c r="O21" s="138">
        <f>IF(B21&lt;='VALOR POR PL'!$P$5,'CP RESUMO'!T49,"")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RESUMO'!U7</f>
        <v/>
      </c>
      <c r="N22" s="139">
        <f>MAX(0,M22-M21)</f>
        <v/>
      </c>
      <c r="O22" s="138">
        <f>IF(B22&lt;='VALOR POR PL'!$P$5,'CP RESUMO'!U49,"")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RESUMO'!V7</f>
        <v/>
      </c>
      <c r="N23" s="139">
        <f>MAX(0,M23-M22)</f>
        <v/>
      </c>
      <c r="O23" s="138">
        <f>IF(B23&lt;='VALOR POR PL'!$P$5,'CP RESUMO'!V49,"")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RESUMO'!W7</f>
        <v/>
      </c>
      <c r="N24" s="139">
        <f>MAX(0,M24-M23)</f>
        <v/>
      </c>
      <c r="O24" s="138">
        <f>IF(B24&lt;='VALOR POR PL'!$P$5,'CP RESUMO'!W49,"")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RESUMO'!X7</f>
        <v/>
      </c>
      <c r="N25" s="139">
        <f>MAX(0,M25-M24)</f>
        <v/>
      </c>
      <c r="O25" s="138">
        <f>IF(B25&lt;='VALOR POR PL'!$P$5,'CP RESUMO'!X49,"")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927</v>
      </c>
      <c r="L26" s="49">
        <f>C26/IF(B26&lt;='VALOR POR PL'!$P$5,IFERROR(INDEX('"INCC-FGV"'!$B$2:$B$800,MATCH(B26,'"INCC-FGV"'!$A$2:$A$800,0)),$K$2),$K$2)</f>
        <v/>
      </c>
      <c r="M26" s="138">
        <f>'CP RESUMO'!Y7</f>
        <v/>
      </c>
      <c r="N26" s="139">
        <f>MAX(0,M26-M25)</f>
        <v/>
      </c>
      <c r="O26" s="138">
        <f>IF(B26&lt;='VALOR POR PL'!$P$5,'CP RESUMO'!Y49,"")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RESUMO'!Z7</f>
        <v/>
      </c>
      <c r="N27" s="139">
        <f>MAX(0,M27-M26)</f>
        <v/>
      </c>
      <c r="O27" s="138">
        <f>IF(B27&lt;='VALOR POR PL'!$P$5,'CP RESUMO'!Z49,"")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RESUMO'!AA7</f>
        <v/>
      </c>
      <c r="N28" s="139">
        <f>MAX(0,M28-M27)</f>
        <v/>
      </c>
      <c r="O28" s="138">
        <f>IF(B28&lt;='VALOR POR PL'!$P$5,'CP RESUMO'!AA49,"")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927</v>
      </c>
      <c r="L29" s="49">
        <f>C29/IF(B29&lt;='VALOR POR PL'!$P$5,IFERROR(INDEX('"INCC-FGV"'!$B$2:$B$800,MATCH(B29,'"INCC-FGV"'!$A$2:$A$800,0)),$K$2),$K$2)</f>
        <v/>
      </c>
      <c r="M29" s="138">
        <f>'CP RESUMO'!AB7</f>
        <v/>
      </c>
      <c r="N29" s="139">
        <f>MAX(0,M29-M28)</f>
        <v/>
      </c>
      <c r="O29" s="138">
        <f>IF(B29&lt;='VALOR POR PL'!$P$5,'CP RESUMO'!AB49,"")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RESUMO'!AC7</f>
        <v/>
      </c>
      <c r="N30" s="139">
        <f>MAX(0,M30-M29)</f>
        <v/>
      </c>
      <c r="O30" s="138">
        <f>IF(B30&lt;='VALOR POR PL'!$P$5,'CP RESUMO'!AC49,"")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RESUMO'!AD7</f>
        <v/>
      </c>
      <c r="N31" s="139">
        <f>MAX(0,M31-M30)</f>
        <v/>
      </c>
      <c r="O31" s="138">
        <f>IF(B31&lt;='VALOR POR PL'!$P$5,'CP RESUMO'!AD49,"")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927</v>
      </c>
      <c r="L32" s="49">
        <f>C32/IF(B32&lt;='VALOR POR PL'!$P$5,IFERROR(INDEX('"INCC-FGV"'!$B$2:$B$800,MATCH(B32,'"INCC-FGV"'!$A$2:$A$800,0)),$K$2),$K$2)</f>
        <v/>
      </c>
      <c r="M32" s="138">
        <f>'CP RESUMO'!AE7</f>
        <v/>
      </c>
      <c r="N32" s="139">
        <f>MAX(0,M32-M31)</f>
        <v/>
      </c>
      <c r="O32" s="138">
        <f>IF(B32&lt;='VALOR POR PL'!$P$5,'CP RESUMO'!AE49,"")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RESUMO'!AF7</f>
        <v/>
      </c>
      <c r="N33" s="139">
        <f>MAX(0,M33-M32)</f>
        <v/>
      </c>
      <c r="O33" s="138">
        <f>IF(B33&lt;='VALOR POR PL'!$P$5,'CP RESUMO'!AF49,"")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RESUMO'!AG7</f>
        <v/>
      </c>
      <c r="N34" s="139">
        <f>MAX(0,M34-M33)</f>
        <v/>
      </c>
      <c r="O34" s="138">
        <f>IF(B34&lt;='VALOR POR PL'!$P$5,'CP RESUMO'!AG49,"")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927</v>
      </c>
      <c r="L35" s="49">
        <f>C35/IF(B35&lt;='VALOR POR PL'!$P$5,IFERROR(INDEX('"INCC-FGV"'!$B$2:$B$800,MATCH(B35,'"INCC-FGV"'!$A$2:$A$800,0)),$K$2),$K$2)</f>
        <v/>
      </c>
      <c r="M35" s="138">
        <f>'CP RESUMO'!AH7</f>
        <v/>
      </c>
      <c r="N35" s="139">
        <f>MAX(0,M35-M34)</f>
        <v/>
      </c>
      <c r="O35" s="138">
        <f>IF(B35&lt;='VALOR POR PL'!$P$5,'CP RESUMO'!AH49,"")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RESUMO'!AI7</f>
        <v/>
      </c>
      <c r="N36" s="139">
        <f>MAX(0,M36-M35)</f>
        <v/>
      </c>
      <c r="O36" s="138">
        <f>IF(B36&lt;='VALOR POR PL'!$P$5,'CP RESUMO'!AI49,"")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RESUMO'!AJ7</f>
        <v/>
      </c>
      <c r="N37" s="139">
        <f>MAX(0,M37-M36)</f>
        <v/>
      </c>
      <c r="O37" s="138">
        <f>IF(B37&lt;='VALOR POR PL'!$P$5,'CP RESUMO'!AJ49,"")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927</v>
      </c>
      <c r="L38" s="49">
        <f>C38/IF(B38&lt;='VALOR POR PL'!$P$5,IFERROR(INDEX('"INCC-FGV"'!$B$2:$B$800,MATCH(B38,'"INCC-FGV"'!$A$2:$A$800,0)),$K$2),$K$2)</f>
        <v/>
      </c>
      <c r="M38" s="138">
        <f>'CP RESUMO'!AK7</f>
        <v/>
      </c>
      <c r="N38" s="139">
        <f>MAX(0,M38-M37)</f>
        <v/>
      </c>
      <c r="O38" s="138">
        <f>IF(B38&lt;='VALOR POR PL'!$P$5,'CP RESUMO'!AK49,"")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RESUMO'!AL7</f>
        <v/>
      </c>
      <c r="N39" s="139">
        <f>MAX(0,M39-M38)</f>
        <v/>
      </c>
      <c r="O39" s="138">
        <f>IF(B39&lt;='VALOR POR PL'!$P$5,'CP RESUMO'!AL49,"")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RESUMO'!AM7</f>
        <v/>
      </c>
      <c r="N40" s="139">
        <f>MAX(0,M40-M39)</f>
        <v/>
      </c>
      <c r="O40" s="138">
        <f>IF(B40&lt;='VALOR POR PL'!$P$5,'CP RESUMO'!AM49,"")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107435.9</v>
      </c>
      <c r="L41" s="49">
        <f>C41/IF(B41&lt;='VALOR POR PL'!$P$5,IFERROR(INDEX('"INCC-FGV"'!$B$2:$B$800,MATCH(B41,'"INCC-FGV"'!$A$2:$A$800,0)),$K$2),$K$2)</f>
        <v/>
      </c>
      <c r="M41" s="138">
        <f>'CP RESUMO'!AN7</f>
        <v/>
      </c>
      <c r="N41" s="139">
        <f>MAX(0,M41-M40)</f>
        <v/>
      </c>
      <c r="O41" s="138">
        <f>IF(B41&lt;='VALOR POR PL'!$P$5,'CP RESUMO'!AN49,"")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RESUMO'!AO7</f>
        <v/>
      </c>
      <c r="N42" s="139">
        <f>MAX(0,M42-M41)</f>
        <v/>
      </c>
      <c r="O42" s="138">
        <f>IF(B42&lt;='VALOR POR PL'!$P$5,'CP RESUMO'!AO49,"")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RESUMO'!AP7</f>
        <v/>
      </c>
      <c r="N43" s="139">
        <f>MAX(0,M43-M42)</f>
        <v/>
      </c>
      <c r="O43" s="138">
        <f>IF(B43&lt;='VALOR POR PL'!$P$5,'CP RESUMO'!AP49,"")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RESUMO'!AQ7</f>
        <v/>
      </c>
      <c r="N44" s="139">
        <f>MAX(0,M44-M43)</f>
        <v/>
      </c>
      <c r="O44" s="138">
        <f>IF(B44&lt;='VALOR POR PL'!$P$5,'CP RESUMO'!AQ49,"")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RESUMO'!AR7</f>
        <v/>
      </c>
      <c r="N45" s="139">
        <f>MAX(0,M45-M44)</f>
        <v/>
      </c>
      <c r="O45" s="138">
        <f>IF(B45&lt;='VALOR POR PL'!$P$5,'CP RESUMO'!AR49,"")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RESUMO'!AS7</f>
        <v/>
      </c>
      <c r="N46" s="139">
        <f>MAX(0,M46-M45)</f>
        <v/>
      </c>
      <c r="O46" s="138">
        <f>IF(B46&lt;='VALOR POR PL'!$P$5,'CP RESUMO'!AS49,"")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RESUMO'!AT7</f>
        <v/>
      </c>
      <c r="N47" s="139">
        <f>MAX(0,M47-M46)</f>
        <v/>
      </c>
      <c r="O47" s="138">
        <f>IF(B47&lt;='VALOR POR PL'!$P$5,'CP RESUMO'!AT49,"")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RESUMO'!AU7</f>
        <v/>
      </c>
      <c r="N48" s="139">
        <f>MAX(0,M48-M47)</f>
        <v/>
      </c>
      <c r="O48" s="138">
        <f>IF(B48&lt;='VALOR POR PL'!$P$5,'CP RESUMO'!AU49,"")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RESUMO'!AV7</f>
        <v/>
      </c>
      <c r="N49" s="139">
        <f>MAX(0,M49-M48)</f>
        <v/>
      </c>
      <c r="O49" s="138">
        <f>IF(B49&lt;='VALOR POR PL'!$P$5,'CP RESUMO'!AV49,"")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RESUMO'!AW7</f>
        <v/>
      </c>
      <c r="N50" s="139">
        <f>MAX(0,M50-M49)</f>
        <v/>
      </c>
      <c r="O50" s="138">
        <f>IF(B50&lt;='VALOR POR PL'!$P$5,'CP RESUMO'!AW49,"")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RESUMO'!AX7</f>
        <v/>
      </c>
      <c r="N51" s="139">
        <f>MAX(0,M51-M50)</f>
        <v/>
      </c>
      <c r="O51" s="138">
        <f>IF(B51&lt;='VALOR POR PL'!$P$5,'CP RESUMO'!AX49,"")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RESUMO'!AY7</f>
        <v/>
      </c>
      <c r="N52" s="139">
        <f>MAX(0,M52-M51)</f>
        <v/>
      </c>
      <c r="O52" s="138">
        <f>IF(B52&lt;='VALOR POR PL'!$P$5,'CP RESUMO'!AY49,"")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RESUMO'!AZ7</f>
        <v/>
      </c>
      <c r="N53" s="139">
        <f>MAX(0,M53-M52)</f>
        <v/>
      </c>
      <c r="O53" s="138">
        <f>IF(B53&lt;='VALOR POR PL'!$P$5,'CP RESUMO'!AZ49,"")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RESUMO'!BA7</f>
        <v/>
      </c>
      <c r="N54" s="139">
        <f>MAX(0,M54-M53)</f>
        <v/>
      </c>
      <c r="O54" s="138">
        <f>IF(B54&lt;='VALOR POR PL'!$P$5,'CP RESUMO'!BA49,"")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RESUMO'!BB7</f>
        <v/>
      </c>
      <c r="N55" s="139">
        <f>MAX(0,M55-M54)</f>
        <v/>
      </c>
      <c r="O55" s="138">
        <f>IF(B55&lt;='VALOR POR PL'!$P$5,'CP RESUMO'!BB49,"")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RESUMO'!BC7</f>
        <v/>
      </c>
      <c r="N56" s="139">
        <f>MAX(0,M56-M55)</f>
        <v/>
      </c>
      <c r="O56" s="138">
        <f>IF(B56&lt;='VALOR POR PL'!$P$5,'CP RESUMO'!BC49,"")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RESUMO'!BD7</f>
        <v/>
      </c>
      <c r="N57" s="139">
        <f>MAX(0,M57-M56)</f>
        <v/>
      </c>
      <c r="O57" s="138">
        <f>IF(B57&lt;='VALOR POR PL'!$P$5,'CP RESUMO'!BD49,"")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RESUMO'!BE7</f>
        <v/>
      </c>
      <c r="N58" s="139">
        <f>MAX(0,M58-M57)</f>
        <v/>
      </c>
      <c r="O58" s="138">
        <f>IF(B58&lt;='VALOR POR PL'!$P$5,'CP RESUMO'!BE49,"")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RESUMO'!BF7</f>
        <v/>
      </c>
      <c r="N59" s="139">
        <f>MAX(0,M59-M58)</f>
        <v/>
      </c>
      <c r="O59" s="138">
        <f>IF(B59&lt;='VALOR POR PL'!$P$5,'CP RESUMO'!BF49,"")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RESUMO'!BG7</f>
        <v/>
      </c>
      <c r="N60" s="139">
        <f>MAX(0,M60-M59)</f>
        <v/>
      </c>
      <c r="O60" s="138">
        <f>IF(B60&lt;='VALOR POR PL'!$P$5,'CP RESUMO'!BG49,"")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RESUMO'!BH7</f>
        <v/>
      </c>
      <c r="N61" s="139">
        <f>MAX(0,M61-M60)</f>
        <v/>
      </c>
      <c r="O61" s="138">
        <f>IF(B61&lt;='VALOR POR PL'!$P$5,'CP RESUMO'!BH49,"")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RESUMO'!BI7</f>
        <v/>
      </c>
      <c r="N62" s="139">
        <f>MAX(0,M62-M61)</f>
        <v/>
      </c>
      <c r="O62" s="138">
        <f>IF(B62&lt;='VALOR POR PL'!$P$5,'CP RESUMO'!BI49,"")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RESUMO'!BJ7</f>
        <v/>
      </c>
      <c r="N63" s="139">
        <f>MAX(0,M63-M62)</f>
        <v/>
      </c>
      <c r="O63" s="138">
        <f>IF(B63&lt;='VALOR POR PL'!$P$5,'CP RESUMO'!BJ49,"")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RESUMO'!BK7</f>
        <v/>
      </c>
      <c r="N64" s="139">
        <f>MAX(0,M64-M63)</f>
        <v/>
      </c>
      <c r="O64" s="138">
        <f>IF(B64&lt;='VALOR POR PL'!$P$5,'CP RESUMO'!BK49,"")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RESUMO'!BL7</f>
        <v/>
      </c>
      <c r="N65" s="139">
        <f>MAX(0,M65-M64)</f>
        <v/>
      </c>
      <c r="O65" s="138">
        <f>IF(B65&lt;='VALOR POR PL'!$P$5,'CP RESUMO'!BL49,"")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RESUMO'!BM7</f>
        <v/>
      </c>
      <c r="N66" s="139">
        <f>MAX(0,M66-M65)</f>
        <v/>
      </c>
      <c r="O66" s="138">
        <f>IF(B66&lt;='VALOR POR PL'!$P$5,'CP RESUMO'!BM49,"")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RESUMO'!BN7</f>
        <v/>
      </c>
      <c r="N67" s="139">
        <f>MAX(0,M67-M66)</f>
        <v/>
      </c>
      <c r="O67" s="138">
        <f>IF(B67&lt;='VALOR POR PL'!$P$5,'CP RESUMO'!BN49,"")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RESUMO'!BO7</f>
        <v/>
      </c>
      <c r="N68" s="139">
        <f>MAX(0,M68-M67)</f>
        <v/>
      </c>
      <c r="O68" s="138">
        <f>IF(B68&lt;='VALOR POR PL'!$P$5,'CP RESUMO'!BO49,"")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RESUMO'!BP7</f>
        <v/>
      </c>
      <c r="N69" s="139">
        <f>MAX(0,M69-M68)</f>
        <v/>
      </c>
      <c r="O69" s="138">
        <f>IF(B69&lt;='VALOR POR PL'!$P$5,'CP RESUMO'!BP49,"")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RESUMO'!BQ7</f>
        <v/>
      </c>
      <c r="N70" s="139">
        <f>MAX(0,M70-M69)</f>
        <v/>
      </c>
      <c r="O70" s="138">
        <f>IF(B70&lt;='VALOR POR PL'!$P$5,'CP RESUMO'!BQ49,"")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RESUMO'!BR7</f>
        <v/>
      </c>
      <c r="N71" s="139">
        <f>MAX(0,M71-M70)</f>
        <v/>
      </c>
      <c r="O71" s="138">
        <f>IF(B71&lt;='VALOR POR PL'!$P$5,'CP RESUMO'!BR49,"")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RESUMO'!BS7</f>
        <v/>
      </c>
      <c r="N72" s="139">
        <f>MAX(0,M72-M71)</f>
        <v/>
      </c>
      <c r="O72" s="138">
        <f>IF(B72&lt;='VALOR POR PL'!$P$5,'CP RESUMO'!BS49,"")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RESUMO'!BT7</f>
        <v/>
      </c>
      <c r="N73" s="139">
        <f>MAX(0,M73-M72)</f>
        <v/>
      </c>
      <c r="O73" s="138">
        <f>IF(B73&lt;='VALOR POR PL'!$P$5,'CP RESUMO'!BT49,"")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RESUMO'!BU7</f>
        <v/>
      </c>
      <c r="N74" s="139">
        <f>MAX(0,M74-M73)</f>
        <v/>
      </c>
      <c r="O74" s="138">
        <f>IF(B74&lt;='VALOR POR PL'!$P$5,'CP RESUMO'!BU49,"")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RESUMO'!BV7</f>
        <v/>
      </c>
      <c r="N75" s="139">
        <f>MAX(0,M75-M74)</f>
        <v/>
      </c>
      <c r="O75" s="138">
        <f>IF(B75&lt;='VALOR POR PL'!$P$5,'CP RESUMO'!BV49,"")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RESUMO'!BW7</f>
        <v/>
      </c>
      <c r="N76" s="139">
        <f>MAX(0,M76-M75)</f>
        <v/>
      </c>
      <c r="O76" s="138">
        <f>IF(B76&lt;='VALOR POR PL'!$P$5,'CP RESUMO'!BW49,"")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PL'!F14</f>
        <v/>
      </c>
      <c r="K5" s="60">
        <f>'VALOR POR PL'!G14</f>
        <v/>
      </c>
      <c r="L5" s="60">
        <f>'DADOS HISTORICOS'!$BZ$8</f>
        <v/>
      </c>
      <c r="M5" s="138">
        <f>'CP RESUMO'!D8</f>
        <v/>
      </c>
      <c r="N5" s="139" t="n">
        <v>0</v>
      </c>
      <c r="O5" s="138">
        <f>IF(B5&lt;='VALOR POR PL'!$P$5,'CP RESUMO'!D50,"")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PL'!H14</f>
        <v/>
      </c>
      <c r="L6" s="49">
        <f>C6/IF(B6&lt;='VALOR POR PL'!$P$5,IFERROR(INDEX('"INCC-FGV"'!$B$2:$B$800,MATCH(B6,'"INCC-FGV"'!$A$2:$A$800,0)),$K$2),$K$2)</f>
        <v/>
      </c>
      <c r="M6" s="138">
        <f>'CP RESUMO'!E8</f>
        <v/>
      </c>
      <c r="N6" s="139">
        <f>MAX(0,M6-M5)</f>
        <v/>
      </c>
      <c r="O6" s="138">
        <f>IF(B6&lt;='VALOR POR PL'!$P$5,'CP RESUMO'!E50,"")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RESUMO'!F8</f>
        <v/>
      </c>
      <c r="N7" s="139">
        <f>MAX(0,M7-M6)</f>
        <v/>
      </c>
      <c r="O7" s="138">
        <f>IF(B7&lt;='VALOR POR PL'!$P$5,'CP RESUMO'!F50,"")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RESUMO'!G8</f>
        <v/>
      </c>
      <c r="N8" s="139">
        <f>MAX(0,M8-M7)</f>
        <v/>
      </c>
      <c r="O8" s="138">
        <f>IF(B8&lt;='VALOR POR PL'!$P$5,'CP RESUMO'!G50,"")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RESUMO'!H8</f>
        <v/>
      </c>
      <c r="N9" s="139">
        <f>MAX(0,M9-M8)</f>
        <v/>
      </c>
      <c r="O9" s="138">
        <f>IF(B9&lt;='VALOR POR PL'!$P$5,'CP RESUMO'!H50,"")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RESUMO'!I8</f>
        <v/>
      </c>
      <c r="N10" s="139">
        <f>MAX(0,M10-M9)</f>
        <v/>
      </c>
      <c r="O10" s="138">
        <f>IF(B10&lt;='VALOR POR PL'!$P$5,'CP RESUMO'!I50,"")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RESUMO'!J8</f>
        <v/>
      </c>
      <c r="N11" s="139">
        <f>MAX(0,M11-M10)</f>
        <v/>
      </c>
      <c r="O11" s="138">
        <f>IF(B11&lt;='VALOR POR PL'!$P$5,'CP RESUMO'!J50,"")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RESUMO'!K8</f>
        <v/>
      </c>
      <c r="N12" s="139">
        <f>MAX(0,M12-M11)</f>
        <v/>
      </c>
      <c r="O12" s="138">
        <f>IF(B12&lt;='VALOR POR PL'!$P$5,'CP RESUMO'!K50,"")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PL'!I14</f>
        <v/>
      </c>
      <c r="L13" s="49">
        <f>C13/IF(B13&lt;='VALOR POR PL'!$P$5,IFERROR(INDEX('"INCC-FGV"'!$B$2:$B$800,MATCH(B13,'"INCC-FGV"'!$A$2:$A$800,0)),$K$2),$K$2)</f>
        <v/>
      </c>
      <c r="M13" s="138">
        <f>'CP RESUMO'!L8</f>
        <v/>
      </c>
      <c r="N13" s="139">
        <f>MAX(0,M13-M12)</f>
        <v/>
      </c>
      <c r="O13" s="138">
        <f>IF(B13&lt;='VALOR POR PL'!$P$5,'CP RESUMO'!L50,"")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RESUMO'!$D$50:$BW$50,MATCH('VALOR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RESUMO'!M8</f>
        <v/>
      </c>
      <c r="N14" s="139">
        <f>MAX(0,M14-M13)</f>
        <v/>
      </c>
      <c r="O14" s="138">
        <f>IF(B14&lt;='VALOR POR PL'!$P$5,'CP RESUMO'!M50,"")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RESUMO'!N8</f>
        <v/>
      </c>
      <c r="N15" s="139">
        <f>MAX(0,M15-M14)</f>
        <v/>
      </c>
      <c r="O15" s="138">
        <f>IF(B15&lt;='VALOR POR PL'!$P$5,'CP RESUMO'!N50,"")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RESUMO'!O8</f>
        <v/>
      </c>
      <c r="N16" s="139">
        <f>MAX(0,M16-M15)</f>
        <v/>
      </c>
      <c r="O16" s="138">
        <f>IF(B16&lt;='VALOR POR PL'!$P$5,'CP RESUMO'!O50,"")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RESUMO'!P8</f>
        <v/>
      </c>
      <c r="N17" s="139">
        <f>MAX(0,M17-M16)</f>
        <v/>
      </c>
      <c r="O17" s="138">
        <f>IF(B17&lt;='VALOR POR PL'!$P$5,'CP RESUMO'!P50,"")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RESUMO'!Q8</f>
        <v/>
      </c>
      <c r="N18" s="139">
        <f>MAX(0,M18-M17)</f>
        <v/>
      </c>
      <c r="O18" s="138">
        <f>IF(B18&lt;='VALOR POR PL'!$P$5,'CP RESUMO'!Q50,"")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RESUMO'!R8</f>
        <v/>
      </c>
      <c r="N19" s="139">
        <f>MAX(0,M19-M18)</f>
        <v/>
      </c>
      <c r="O19" s="138">
        <f>IF(B19&lt;='VALOR POR PL'!$P$5,'CP RESUMO'!R50,"")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RESUMO'!S8</f>
        <v/>
      </c>
      <c r="N20" s="139">
        <f>MAX(0,M20-M19)</f>
        <v/>
      </c>
      <c r="O20" s="138">
        <f>IF(B20&lt;='VALOR POR PL'!$P$5,'CP RESUMO'!S50,"")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RESUMO'!T8</f>
        <v/>
      </c>
      <c r="N21" s="139">
        <f>MAX(0,M21-M20)</f>
        <v/>
      </c>
      <c r="O21" s="138">
        <f>IF(B21&lt;='VALOR POR PL'!$P$5,'CP RESUMO'!T50,"")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RESUMO'!U8</f>
        <v/>
      </c>
      <c r="N22" s="139">
        <f>MAX(0,M22-M21)</f>
        <v/>
      </c>
      <c r="O22" s="138">
        <f>IF(B22&lt;='VALOR POR PL'!$P$5,'CP RESUMO'!U50,"")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RESUMO'!V8</f>
        <v/>
      </c>
      <c r="N23" s="139">
        <f>MAX(0,M23-M22)</f>
        <v/>
      </c>
      <c r="O23" s="138">
        <f>IF(B23&lt;='VALOR POR PL'!$P$5,'CP RESUMO'!V50,"")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RESUMO'!W8</f>
        <v/>
      </c>
      <c r="N24" s="139">
        <f>MAX(0,M24-M23)</f>
        <v/>
      </c>
      <c r="O24" s="138">
        <f>IF(B24&lt;='VALOR POR PL'!$P$5,'CP RESUMO'!W50,"")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RESUMO'!X8</f>
        <v/>
      </c>
      <c r="N25" s="139">
        <f>MAX(0,M25-M24)</f>
        <v/>
      </c>
      <c r="O25" s="138">
        <f>IF(B25&lt;='VALOR POR PL'!$P$5,'CP RESUMO'!X50,"")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RESUMO'!Y8</f>
        <v/>
      </c>
      <c r="N26" s="139">
        <f>MAX(0,M26-M25)</f>
        <v/>
      </c>
      <c r="O26" s="138">
        <f>IF(B26&lt;='VALOR POR PL'!$P$5,'CP RESUMO'!Y50,"")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82313.95</v>
      </c>
      <c r="L27" s="49">
        <f>C27/IF(B27&lt;='VALOR POR PL'!$P$5,IFERROR(INDEX('"INCC-FGV"'!$B$2:$B$800,MATCH(B27,'"INCC-FGV"'!$A$2:$A$800,0)),$K$2),$K$2)</f>
        <v/>
      </c>
      <c r="M27" s="138">
        <f>'CP RESUMO'!Z8</f>
        <v/>
      </c>
      <c r="N27" s="139">
        <f>MAX(0,M27-M26)</f>
        <v/>
      </c>
      <c r="O27" s="138">
        <f>IF(B27&lt;='VALOR POR PL'!$P$5,'CP RESUMO'!Z50,"")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72336.5</v>
      </c>
      <c r="L28" s="49">
        <f>C28/IF(B28&lt;='VALOR POR PL'!$P$5,IFERROR(INDEX('"INCC-FGV"'!$B$2:$B$800,MATCH(B28,'"INCC-FGV"'!$A$2:$A$800,0)),$K$2),$K$2)</f>
        <v/>
      </c>
      <c r="M28" s="138">
        <f>'CP RESUMO'!AA8</f>
        <v/>
      </c>
      <c r="N28" s="139">
        <f>MAX(0,M28-M27)</f>
        <v/>
      </c>
      <c r="O28" s="138">
        <f>IF(B28&lt;='VALOR POR PL'!$P$5,'CP RESUMO'!AA50,"")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9977.450000000001</v>
      </c>
      <c r="L29" s="49">
        <f>C29/IF(B29&lt;='VALOR POR PL'!$P$5,IFERROR(INDEX('"INCC-FGV"'!$B$2:$B$800,MATCH(B29,'"INCC-FGV"'!$A$2:$A$800,0)),$K$2),$K$2)</f>
        <v/>
      </c>
      <c r="M29" s="138">
        <f>'CP RESUMO'!AB8</f>
        <v/>
      </c>
      <c r="N29" s="139">
        <f>MAX(0,M29-M28)</f>
        <v/>
      </c>
      <c r="O29" s="138">
        <f>IF(B29&lt;='VALOR POR PL'!$P$5,'CP RESUMO'!AB50,"")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9977.450000000001</v>
      </c>
      <c r="L30" s="49">
        <f>C30/IF(B30&lt;='VALOR POR PL'!$P$5,IFERROR(INDEX('"INCC-FGV"'!$B$2:$B$800,MATCH(B30,'"INCC-FGV"'!$A$2:$A$800,0)),$K$2),$K$2)</f>
        <v/>
      </c>
      <c r="M30" s="138">
        <f>'CP RESUMO'!AC8</f>
        <v/>
      </c>
      <c r="N30" s="139">
        <f>MAX(0,M30-M29)</f>
        <v/>
      </c>
      <c r="O30" s="138">
        <f>IF(B30&lt;='VALOR POR PL'!$P$5,'CP RESUMO'!AC50,"")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9977.450000000001</v>
      </c>
      <c r="L31" s="49">
        <f>C31/IF(B31&lt;='VALOR POR PL'!$P$5,IFERROR(INDEX('"INCC-FGV"'!$B$2:$B$800,MATCH(B31,'"INCC-FGV"'!$A$2:$A$800,0)),$K$2),$K$2)</f>
        <v/>
      </c>
      <c r="M31" s="138">
        <f>'CP RESUMO'!AD8</f>
        <v/>
      </c>
      <c r="N31" s="139">
        <f>MAX(0,M31-M30)</f>
        <v/>
      </c>
      <c r="O31" s="138">
        <f>IF(B31&lt;='VALOR POR PL'!$P$5,'CP RESUMO'!AD50,"")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9977.450000000001</v>
      </c>
      <c r="L32" s="49">
        <f>C32/IF(B32&lt;='VALOR POR PL'!$P$5,IFERROR(INDEX('"INCC-FGV"'!$B$2:$B$800,MATCH(B32,'"INCC-FGV"'!$A$2:$A$800,0)),$K$2),$K$2)</f>
        <v/>
      </c>
      <c r="M32" s="138">
        <f>'CP RESUMO'!AE8</f>
        <v/>
      </c>
      <c r="N32" s="139">
        <f>MAX(0,M32-M31)</f>
        <v/>
      </c>
      <c r="O32" s="138">
        <f>IF(B32&lt;='VALOR POR PL'!$P$5,'CP RESUMO'!AE50,"")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9977.450000000001</v>
      </c>
      <c r="L33" s="49">
        <f>C33/IF(B33&lt;='VALOR POR PL'!$P$5,IFERROR(INDEX('"INCC-FGV"'!$B$2:$B$800,MATCH(B33,'"INCC-FGV"'!$A$2:$A$800,0)),$K$2),$K$2)</f>
        <v/>
      </c>
      <c r="M33" s="138">
        <f>'CP RESUMO'!AF8</f>
        <v/>
      </c>
      <c r="N33" s="139">
        <f>MAX(0,M33-M32)</f>
        <v/>
      </c>
      <c r="O33" s="138">
        <f>IF(B33&lt;='VALOR POR PL'!$P$5,'CP RESUMO'!AF50,"")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9977.450000000001</v>
      </c>
      <c r="L34" s="49">
        <f>C34/IF(B34&lt;='VALOR POR PL'!$P$5,IFERROR(INDEX('"INCC-FGV"'!$B$2:$B$800,MATCH(B34,'"INCC-FGV"'!$A$2:$A$800,0)),$K$2),$K$2)</f>
        <v/>
      </c>
      <c r="M34" s="138">
        <f>'CP RESUMO'!AG8</f>
        <v/>
      </c>
      <c r="N34" s="139">
        <f>MAX(0,M34-M33)</f>
        <v/>
      </c>
      <c r="O34" s="138">
        <f>IF(B34&lt;='VALOR POR PL'!$P$5,'CP RESUMO'!AG50,"")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9977.450000000001</v>
      </c>
      <c r="L35" s="49">
        <f>C35/IF(B35&lt;='VALOR POR PL'!$P$5,IFERROR(INDEX('"INCC-FGV"'!$B$2:$B$800,MATCH(B35,'"INCC-FGV"'!$A$2:$A$800,0)),$K$2),$K$2)</f>
        <v/>
      </c>
      <c r="M35" s="138">
        <f>'CP RESUMO'!AH8</f>
        <v/>
      </c>
      <c r="N35" s="139">
        <f>MAX(0,M35-M34)</f>
        <v/>
      </c>
      <c r="O35" s="138">
        <f>IF(B35&lt;='VALOR POR PL'!$P$5,'CP RESUMO'!AH50,"")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14966.17</v>
      </c>
      <c r="L36" s="49">
        <f>C36/IF(B36&lt;='VALOR POR PL'!$P$5,IFERROR(INDEX('"INCC-FGV"'!$B$2:$B$800,MATCH(B36,'"INCC-FGV"'!$A$2:$A$800,0)),$K$2),$K$2)</f>
        <v/>
      </c>
      <c r="M36" s="138">
        <f>'CP RESUMO'!AI8</f>
        <v/>
      </c>
      <c r="N36" s="139">
        <f>MAX(0,M36-M35)</f>
        <v/>
      </c>
      <c r="O36" s="138">
        <f>IF(B36&lt;='VALOR POR PL'!$P$5,'CP RESUMO'!AI50,"")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14966.17</v>
      </c>
      <c r="L37" s="49">
        <f>C37/IF(B37&lt;='VALOR POR PL'!$P$5,IFERROR(INDEX('"INCC-FGV"'!$B$2:$B$800,MATCH(B37,'"INCC-FGV"'!$A$2:$A$800,0)),$K$2),$K$2)</f>
        <v/>
      </c>
      <c r="M37" s="138">
        <f>'CP RESUMO'!AJ8</f>
        <v/>
      </c>
      <c r="N37" s="139">
        <f>MAX(0,M37-M36)</f>
        <v/>
      </c>
      <c r="O37" s="138">
        <f>IF(B37&lt;='VALOR POR PL'!$P$5,'CP RESUMO'!AJ50,"")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14966.17</v>
      </c>
      <c r="L38" s="49">
        <f>C38/IF(B38&lt;='VALOR POR PL'!$P$5,IFERROR(INDEX('"INCC-FGV"'!$B$2:$B$800,MATCH(B38,'"INCC-FGV"'!$A$2:$A$800,0)),$K$2),$K$2)</f>
        <v/>
      </c>
      <c r="M38" s="138">
        <f>'CP RESUMO'!AK8</f>
        <v/>
      </c>
      <c r="N38" s="139">
        <f>MAX(0,M38-M37)</f>
        <v/>
      </c>
      <c r="O38" s="138">
        <f>IF(B38&lt;='VALOR POR PL'!$P$5,'CP RESUMO'!AK50,"")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14966.17</v>
      </c>
      <c r="L39" s="49">
        <f>C39/IF(B39&lt;='VALOR POR PL'!$P$5,IFERROR(INDEX('"INCC-FGV"'!$B$2:$B$800,MATCH(B39,'"INCC-FGV"'!$A$2:$A$800,0)),$K$2),$K$2)</f>
        <v/>
      </c>
      <c r="M39" s="138">
        <f>'CP RESUMO'!AL8</f>
        <v/>
      </c>
      <c r="N39" s="139">
        <f>MAX(0,M39-M38)</f>
        <v/>
      </c>
      <c r="O39" s="138">
        <f>IF(B39&lt;='VALOR POR PL'!$P$5,'CP RESUMO'!AL50,"")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14966.17</v>
      </c>
      <c r="L40" s="49">
        <f>C40/IF(B40&lt;='VALOR POR PL'!$P$5,IFERROR(INDEX('"INCC-FGV"'!$B$2:$B$800,MATCH(B40,'"INCC-FGV"'!$A$2:$A$800,0)),$K$2),$K$2)</f>
        <v/>
      </c>
      <c r="M40" s="138">
        <f>'CP RESUMO'!AM8</f>
        <v/>
      </c>
      <c r="N40" s="139">
        <f>MAX(0,M40-M39)</f>
        <v/>
      </c>
      <c r="O40" s="138">
        <f>IF(B40&lt;='VALOR POR PL'!$P$5,'CP RESUMO'!AM50,"")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14966.17</v>
      </c>
      <c r="L41" s="49">
        <f>C41/IF(B41&lt;='VALOR POR PL'!$P$5,IFERROR(INDEX('"INCC-FGV"'!$B$2:$B$800,MATCH(B41,'"INCC-FGV"'!$A$2:$A$800,0)),$K$2),$K$2)</f>
        <v/>
      </c>
      <c r="M41" s="138">
        <f>'CP RESUMO'!AN8</f>
        <v/>
      </c>
      <c r="N41" s="139">
        <f>MAX(0,M41-M40)</f>
        <v/>
      </c>
      <c r="O41" s="138">
        <f>IF(B41&lt;='VALOR POR PL'!$P$5,'CP RESUMO'!AN50,"")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19954.9</v>
      </c>
      <c r="L42" s="49">
        <f>C42/IF(B42&lt;='VALOR POR PL'!$P$5,IFERROR(INDEX('"INCC-FGV"'!$B$2:$B$800,MATCH(B42,'"INCC-FGV"'!$A$2:$A$800,0)),$K$2),$K$2)</f>
        <v/>
      </c>
      <c r="M42" s="138">
        <f>'CP RESUMO'!AO8</f>
        <v/>
      </c>
      <c r="N42" s="139">
        <f>MAX(0,M42-M41)</f>
        <v/>
      </c>
      <c r="O42" s="138">
        <f>IF(B42&lt;='VALOR POR PL'!$P$5,'CP RESUMO'!AO50,"")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9977.450000000001</v>
      </c>
      <c r="L43" s="49">
        <f>C43/IF(B43&lt;='VALOR POR PL'!$P$5,IFERROR(INDEX('"INCC-FGV"'!$B$2:$B$800,MATCH(B43,'"INCC-FGV"'!$A$2:$A$800,0)),$K$2),$K$2)</f>
        <v/>
      </c>
      <c r="M43" s="138">
        <f>'CP RESUMO'!AP8</f>
        <v/>
      </c>
      <c r="N43" s="139">
        <f>MAX(0,M43-M42)</f>
        <v/>
      </c>
      <c r="O43" s="138">
        <f>IF(B43&lt;='VALOR POR PL'!$P$5,'CP RESUMO'!AP50,"")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7493.06</v>
      </c>
      <c r="L44" s="49">
        <f>C44/IF(B44&lt;='VALOR POR PL'!$P$5,IFERROR(INDEX('"INCC-FGV"'!$B$2:$B$800,MATCH(B44,'"INCC-FGV"'!$A$2:$A$800,0)),$K$2),$K$2)</f>
        <v/>
      </c>
      <c r="M44" s="138">
        <f>'CP RESUMO'!AQ8</f>
        <v/>
      </c>
      <c r="N44" s="139">
        <f>MAX(0,M44-M43)</f>
        <v/>
      </c>
      <c r="O44" s="138">
        <f>IF(B44&lt;='VALOR POR PL'!$P$5,'CP RESUMO'!AQ50,"")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4988.72</v>
      </c>
      <c r="L45" s="49">
        <f>C45/IF(B45&lt;='VALOR POR PL'!$P$5,IFERROR(INDEX('"INCC-FGV"'!$B$2:$B$800,MATCH(B45,'"INCC-FGV"'!$A$2:$A$800,0)),$K$2),$K$2)</f>
        <v/>
      </c>
      <c r="M45" s="138">
        <f>'CP RESUMO'!AR8</f>
        <v/>
      </c>
      <c r="N45" s="139">
        <f>MAX(0,M45-M44)</f>
        <v/>
      </c>
      <c r="O45" s="138">
        <f>IF(B45&lt;='VALOR POR PL'!$P$5,'CP RESUMO'!AR50,"")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2701.09</v>
      </c>
      <c r="L46" s="49">
        <f>C46/IF(B46&lt;='VALOR POR PL'!$P$5,IFERROR(INDEX('"INCC-FGV"'!$B$2:$B$800,MATCH(B46,'"INCC-FGV"'!$A$2:$A$800,0)),$K$2),$K$2)</f>
        <v/>
      </c>
      <c r="M46" s="138">
        <f>'CP RESUMO'!AS8</f>
        <v/>
      </c>
      <c r="N46" s="139">
        <f>MAX(0,M46-M45)</f>
        <v/>
      </c>
      <c r="O46" s="138">
        <f>IF(B46&lt;='VALOR POR PL'!$P$5,'CP RESUMO'!AS50,"")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RESUMO'!AT8</f>
        <v/>
      </c>
      <c r="N47" s="139">
        <f>MAX(0,M47-M46)</f>
        <v/>
      </c>
      <c r="O47" s="138">
        <f>IF(B47&lt;='VALOR POR PL'!$P$5,'CP RESUMO'!AT50,"")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RESUMO'!AU8</f>
        <v/>
      </c>
      <c r="N48" s="139">
        <f>MAX(0,M48-M47)</f>
        <v/>
      </c>
      <c r="O48" s="138">
        <f>IF(B48&lt;='VALOR POR PL'!$P$5,'CP RESUMO'!AU50,"")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RESUMO'!AV8</f>
        <v/>
      </c>
      <c r="N49" s="139">
        <f>MAX(0,M49-M48)</f>
        <v/>
      </c>
      <c r="O49" s="138">
        <f>IF(B49&lt;='VALOR POR PL'!$P$5,'CP RESUMO'!AV50,"")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RESUMO'!AW8</f>
        <v/>
      </c>
      <c r="N50" s="139">
        <f>MAX(0,M50-M49)</f>
        <v/>
      </c>
      <c r="O50" s="138">
        <f>IF(B50&lt;='VALOR POR PL'!$P$5,'CP RESUMO'!AW50,"")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RESUMO'!AX8</f>
        <v/>
      </c>
      <c r="N51" s="139">
        <f>MAX(0,M51-M50)</f>
        <v/>
      </c>
      <c r="O51" s="138">
        <f>IF(B51&lt;='VALOR POR PL'!$P$5,'CP RESUMO'!AX50,"")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RESUMO'!AY8</f>
        <v/>
      </c>
      <c r="N52" s="139">
        <f>MAX(0,M52-M51)</f>
        <v/>
      </c>
      <c r="O52" s="138">
        <f>IF(B52&lt;='VALOR POR PL'!$P$5,'CP RESUMO'!AY50,"")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RESUMO'!AZ8</f>
        <v/>
      </c>
      <c r="N53" s="139">
        <f>MAX(0,M53-M52)</f>
        <v/>
      </c>
      <c r="O53" s="138">
        <f>IF(B53&lt;='VALOR POR PL'!$P$5,'CP RESUMO'!AZ50,"")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RESUMO'!BA8</f>
        <v/>
      </c>
      <c r="N54" s="139">
        <f>MAX(0,M54-M53)</f>
        <v/>
      </c>
      <c r="O54" s="138">
        <f>IF(B54&lt;='VALOR POR PL'!$P$5,'CP RESUMO'!BA50,"")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RESUMO'!BB8</f>
        <v/>
      </c>
      <c r="N55" s="139">
        <f>MAX(0,M55-M54)</f>
        <v/>
      </c>
      <c r="O55" s="138">
        <f>IF(B55&lt;='VALOR POR PL'!$P$5,'CP RESUMO'!BB50,"")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RESUMO'!BC8</f>
        <v/>
      </c>
      <c r="N56" s="139">
        <f>MAX(0,M56-M55)</f>
        <v/>
      </c>
      <c r="O56" s="138">
        <f>IF(B56&lt;='VALOR POR PL'!$P$5,'CP RESUMO'!BC50,"")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RESUMO'!BD8</f>
        <v/>
      </c>
      <c r="N57" s="139">
        <f>MAX(0,M57-M56)</f>
        <v/>
      </c>
      <c r="O57" s="138">
        <f>IF(B57&lt;='VALOR POR PL'!$P$5,'CP RESUMO'!BD50,"")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RESUMO'!BE8</f>
        <v/>
      </c>
      <c r="N58" s="139">
        <f>MAX(0,M58-M57)</f>
        <v/>
      </c>
      <c r="O58" s="138">
        <f>IF(B58&lt;='VALOR POR PL'!$P$5,'CP RESUMO'!BE50,"")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RESUMO'!BF8</f>
        <v/>
      </c>
      <c r="N59" s="139">
        <f>MAX(0,M59-M58)</f>
        <v/>
      </c>
      <c r="O59" s="138">
        <f>IF(B59&lt;='VALOR POR PL'!$P$5,'CP RESUMO'!BF50,"")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RESUMO'!BG8</f>
        <v/>
      </c>
      <c r="N60" s="139">
        <f>MAX(0,M60-M59)</f>
        <v/>
      </c>
      <c r="O60" s="138">
        <f>IF(B60&lt;='VALOR POR PL'!$P$5,'CP RESUMO'!BG50,"")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RESUMO'!BH8</f>
        <v/>
      </c>
      <c r="N61" s="139">
        <f>MAX(0,M61-M60)</f>
        <v/>
      </c>
      <c r="O61" s="138">
        <f>IF(B61&lt;='VALOR POR PL'!$P$5,'CP RESUMO'!BH50,"")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RESUMO'!BI8</f>
        <v/>
      </c>
      <c r="N62" s="139">
        <f>MAX(0,M62-M61)</f>
        <v/>
      </c>
      <c r="O62" s="138">
        <f>IF(B62&lt;='VALOR POR PL'!$P$5,'CP RESUMO'!BI50,"")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RESUMO'!BJ8</f>
        <v/>
      </c>
      <c r="N63" s="139">
        <f>MAX(0,M63-M62)</f>
        <v/>
      </c>
      <c r="O63" s="138">
        <f>IF(B63&lt;='VALOR POR PL'!$P$5,'CP RESUMO'!BJ50,"")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RESUMO'!BK8</f>
        <v/>
      </c>
      <c r="N64" s="139">
        <f>MAX(0,M64-M63)</f>
        <v/>
      </c>
      <c r="O64" s="138">
        <f>IF(B64&lt;='VALOR POR PL'!$P$5,'CP RESUMO'!BK50,"")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RESUMO'!BL8</f>
        <v/>
      </c>
      <c r="N65" s="139">
        <f>MAX(0,M65-M64)</f>
        <v/>
      </c>
      <c r="O65" s="138">
        <f>IF(B65&lt;='VALOR POR PL'!$P$5,'CP RESUMO'!BL50,"")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RESUMO'!BM8</f>
        <v/>
      </c>
      <c r="N66" s="139">
        <f>MAX(0,M66-M65)</f>
        <v/>
      </c>
      <c r="O66" s="138">
        <f>IF(B66&lt;='VALOR POR PL'!$P$5,'CP RESUMO'!BM50,"")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RESUMO'!BN8</f>
        <v/>
      </c>
      <c r="N67" s="139">
        <f>MAX(0,M67-M66)</f>
        <v/>
      </c>
      <c r="O67" s="138">
        <f>IF(B67&lt;='VALOR POR PL'!$P$5,'CP RESUMO'!BN50,"")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RESUMO'!BO8</f>
        <v/>
      </c>
      <c r="N68" s="139">
        <f>MAX(0,M68-M67)</f>
        <v/>
      </c>
      <c r="O68" s="138">
        <f>IF(B68&lt;='VALOR POR PL'!$P$5,'CP RESUMO'!BO50,"")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RESUMO'!BP8</f>
        <v/>
      </c>
      <c r="N69" s="139">
        <f>MAX(0,M69-M68)</f>
        <v/>
      </c>
      <c r="O69" s="138">
        <f>IF(B69&lt;='VALOR POR PL'!$P$5,'CP RESUMO'!BP50,"")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RESUMO'!BQ8</f>
        <v/>
      </c>
      <c r="N70" s="139">
        <f>MAX(0,M70-M69)</f>
        <v/>
      </c>
      <c r="O70" s="138">
        <f>IF(B70&lt;='VALOR POR PL'!$P$5,'CP RESUMO'!BQ50,"")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RESUMO'!BR8</f>
        <v/>
      </c>
      <c r="N71" s="139">
        <f>MAX(0,M71-M70)</f>
        <v/>
      </c>
      <c r="O71" s="138">
        <f>IF(B71&lt;='VALOR POR PL'!$P$5,'CP RESUMO'!BR50,"")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RESUMO'!BS8</f>
        <v/>
      </c>
      <c r="N72" s="139">
        <f>MAX(0,M72-M71)</f>
        <v/>
      </c>
      <c r="O72" s="138">
        <f>IF(B72&lt;='VALOR POR PL'!$P$5,'CP RESUMO'!BS50,"")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RESUMO'!BT8</f>
        <v/>
      </c>
      <c r="N73" s="139">
        <f>MAX(0,M73-M72)</f>
        <v/>
      </c>
      <c r="O73" s="138">
        <f>IF(B73&lt;='VALOR POR PL'!$P$5,'CP RESUMO'!BT50,"")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RESUMO'!BU8</f>
        <v/>
      </c>
      <c r="N74" s="139">
        <f>MAX(0,M74-M73)</f>
        <v/>
      </c>
      <c r="O74" s="138">
        <f>IF(B74&lt;='VALOR POR PL'!$P$5,'CP RESUMO'!BU50,"")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RESUMO'!BV8</f>
        <v/>
      </c>
      <c r="N75" s="139">
        <f>MAX(0,M75-M74)</f>
        <v/>
      </c>
      <c r="O75" s="138">
        <f>IF(B75&lt;='VALOR POR PL'!$P$5,'CP RESUMO'!BV50,"")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RESUMO'!BW8</f>
        <v/>
      </c>
      <c r="N76" s="139">
        <f>MAX(0,M76-M75)</f>
        <v/>
      </c>
      <c r="O76" s="138">
        <f>IF(B76&lt;='VALOR POR PL'!$P$5,'CP RESUMO'!BW50,"")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PL'!F15</f>
        <v/>
      </c>
      <c r="K5" s="60">
        <f>'VALOR POR PL'!G15</f>
        <v/>
      </c>
      <c r="L5" s="60">
        <f>'DADOS HISTORICOS'!$BZ$9</f>
        <v/>
      </c>
      <c r="M5" s="138">
        <f>'CP RESUMO'!D9</f>
        <v/>
      </c>
      <c r="N5" s="139" t="n">
        <v>0</v>
      </c>
      <c r="O5" s="138">
        <f>IF(B5&lt;='VALOR POR PL'!$P$5,'CP RESUMO'!D51,"")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PL'!H15</f>
        <v/>
      </c>
      <c r="L6" s="49">
        <f>C6/IF(B6&lt;='VALOR POR PL'!$P$5,IFERROR(INDEX('"INCC-FGV"'!$B$2:$B$800,MATCH(B6,'"INCC-FGV"'!$A$2:$A$800,0)),$K$2),$K$2)</f>
        <v/>
      </c>
      <c r="M6" s="138">
        <f>'CP RESUMO'!E9</f>
        <v/>
      </c>
      <c r="N6" s="139">
        <f>MAX(0,M6-M5)</f>
        <v/>
      </c>
      <c r="O6" s="138">
        <f>IF(B6&lt;='VALOR POR PL'!$P$5,'CP RESUMO'!E51,"")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RESUMO'!F9</f>
        <v/>
      </c>
      <c r="N7" s="139">
        <f>MAX(0,M7-M6)</f>
        <v/>
      </c>
      <c r="O7" s="138">
        <f>IF(B7&lt;='VALOR POR PL'!$P$5,'CP RESUMO'!F51,"")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RESUMO'!G9</f>
        <v/>
      </c>
      <c r="N8" s="139">
        <f>MAX(0,M8-M7)</f>
        <v/>
      </c>
      <c r="O8" s="138">
        <f>IF(B8&lt;='VALOR POR PL'!$P$5,'CP RESUMO'!G51,"")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RESUMO'!H9</f>
        <v/>
      </c>
      <c r="N9" s="139">
        <f>MAX(0,M9-M8)</f>
        <v/>
      </c>
      <c r="O9" s="138">
        <f>IF(B9&lt;='VALOR POR PL'!$P$5,'CP RESUMO'!H51,"")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RESUMO'!I9</f>
        <v/>
      </c>
      <c r="N10" s="139">
        <f>MAX(0,M10-M9)</f>
        <v/>
      </c>
      <c r="O10" s="138">
        <f>IF(B10&lt;='VALOR POR PL'!$P$5,'CP RESUMO'!I51,"")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RESUMO'!J9</f>
        <v/>
      </c>
      <c r="N11" s="139">
        <f>MAX(0,M11-M10)</f>
        <v/>
      </c>
      <c r="O11" s="138">
        <f>IF(B11&lt;='VALOR POR PL'!$P$5,'CP RESUMO'!J51,"")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RESUMO'!K9</f>
        <v/>
      </c>
      <c r="N12" s="139">
        <f>MAX(0,M12-M11)</f>
        <v/>
      </c>
      <c r="O12" s="138">
        <f>IF(B12&lt;='VALOR POR PL'!$P$5,'CP RESUMO'!K51,"")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PL'!I15</f>
        <v/>
      </c>
      <c r="L13" s="49">
        <f>C13/IF(B13&lt;='VALOR POR PL'!$P$5,IFERROR(INDEX('"INCC-FGV"'!$B$2:$B$800,MATCH(B13,'"INCC-FGV"'!$A$2:$A$800,0)),$K$2),$K$2)</f>
        <v/>
      </c>
      <c r="M13" s="138">
        <f>'CP RESUMO'!L9</f>
        <v/>
      </c>
      <c r="N13" s="139">
        <f>MAX(0,M13-M12)</f>
        <v/>
      </c>
      <c r="O13" s="138">
        <f>IF(B13&lt;='VALOR POR PL'!$P$5,'CP RESUMO'!L51,"")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RESUMO'!$D$51:$BW$51,MATCH('VALOR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RESUMO'!M9</f>
        <v/>
      </c>
      <c r="N14" s="139">
        <f>MAX(0,M14-M13)</f>
        <v/>
      </c>
      <c r="O14" s="138">
        <f>IF(B14&lt;='VALOR POR PL'!$P$5,'CP RESUMO'!M51,"")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RESUMO'!N9</f>
        <v/>
      </c>
      <c r="N15" s="139">
        <f>MAX(0,M15-M14)</f>
        <v/>
      </c>
      <c r="O15" s="138">
        <f>IF(B15&lt;='VALOR POR PL'!$P$5,'CP RESUMO'!N51,"")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RESUMO'!O9</f>
        <v/>
      </c>
      <c r="N16" s="139">
        <f>MAX(0,M16-M15)</f>
        <v/>
      </c>
      <c r="O16" s="138">
        <f>IF(B16&lt;='VALOR POR PL'!$P$5,'CP RESUMO'!O51,"")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RESUMO'!P9</f>
        <v/>
      </c>
      <c r="N17" s="139">
        <f>MAX(0,M17-M16)</f>
        <v/>
      </c>
      <c r="O17" s="138">
        <f>IF(B17&lt;='VALOR POR PL'!$P$5,'CP RESUMO'!P51,"")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RESUMO'!Q9</f>
        <v/>
      </c>
      <c r="N18" s="139">
        <f>MAX(0,M18-M17)</f>
        <v/>
      </c>
      <c r="O18" s="138">
        <f>IF(B18&lt;='VALOR POR PL'!$P$5,'CP RESUMO'!Q51,"")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RESUMO'!R9</f>
        <v/>
      </c>
      <c r="N19" s="139">
        <f>MAX(0,M19-M18)</f>
        <v/>
      </c>
      <c r="O19" s="138">
        <f>IF(B19&lt;='VALOR POR PL'!$P$5,'CP RESUMO'!R51,"")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RESUMO'!S9</f>
        <v/>
      </c>
      <c r="N20" s="139">
        <f>MAX(0,M20-M19)</f>
        <v/>
      </c>
      <c r="O20" s="138">
        <f>IF(B20&lt;='VALOR POR PL'!$P$5,'CP RESUMO'!S51,"")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RESUMO'!T9</f>
        <v/>
      </c>
      <c r="N21" s="139">
        <f>MAX(0,M21-M20)</f>
        <v/>
      </c>
      <c r="O21" s="138">
        <f>IF(B21&lt;='VALOR POR PL'!$P$5,'CP RESUMO'!T51,"")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RESUMO'!U9</f>
        <v/>
      </c>
      <c r="N22" s="139">
        <f>MAX(0,M22-M21)</f>
        <v/>
      </c>
      <c r="O22" s="138">
        <f>IF(B22&lt;='VALOR POR PL'!$P$5,'CP RESUMO'!U51,"")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RESUMO'!V9</f>
        <v/>
      </c>
      <c r="N23" s="139">
        <f>MAX(0,M23-M22)</f>
        <v/>
      </c>
      <c r="O23" s="138">
        <f>IF(B23&lt;='VALOR POR PL'!$P$5,'CP RESUMO'!V51,"")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Sem aba no arquivo original: projeção = orçamento reajustado pelo INCC do corte; saldo em curva linear até dez/2028 (premissa dos indiretos). Confirmar.</t>
        </is>
      </c>
      <c r="L24" s="49">
        <f>C24/IF(B24&lt;='VALOR POR PL'!$P$5,IFERROR(INDEX('"INCC-FGV"'!$B$2:$B$800,MATCH(B24,'"INCC-FGV"'!$A$2:$A$800,0)),$K$2),$K$2)</f>
        <v/>
      </c>
      <c r="M24" s="138">
        <f>'CP RESUMO'!W9</f>
        <v/>
      </c>
      <c r="N24" s="139">
        <f>MAX(0,M24-M23)</f>
        <v/>
      </c>
      <c r="O24" s="138">
        <f>IF(B24&lt;='VALOR POR PL'!$P$5,'CP RESUMO'!W51,"")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RESUMO'!X9</f>
        <v/>
      </c>
      <c r="N25" s="139">
        <f>MAX(0,M25-M24)</f>
        <v/>
      </c>
      <c r="O25" s="138">
        <f>IF(B25&lt;='VALOR POR PL'!$P$5,'CP RESUMO'!X51,"")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1200.13</v>
      </c>
      <c r="L26" s="49">
        <f>C26/IF(B26&lt;='VALOR POR PL'!$P$5,IFERROR(INDEX('"INCC-FGV"'!$B$2:$B$800,MATCH(B26,'"INCC-FGV"'!$A$2:$A$800,0)),$K$2),$K$2)</f>
        <v/>
      </c>
      <c r="M26" s="138">
        <f>'CP RESUMO'!Y9</f>
        <v/>
      </c>
      <c r="N26" s="139">
        <f>MAX(0,M26-M25)</f>
        <v/>
      </c>
      <c r="O26" s="138">
        <f>IF(B26&lt;='VALOR POR PL'!$P$5,'CP RESUMO'!Y51,"")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1200.13</v>
      </c>
      <c r="L27" s="49">
        <f>C27/IF(B27&lt;='VALOR POR PL'!$P$5,IFERROR(INDEX('"INCC-FGV"'!$B$2:$B$800,MATCH(B27,'"INCC-FGV"'!$A$2:$A$800,0)),$K$2),$K$2)</f>
        <v/>
      </c>
      <c r="M27" s="138">
        <f>'CP RESUMO'!Z9</f>
        <v/>
      </c>
      <c r="N27" s="139">
        <f>MAX(0,M27-M26)</f>
        <v/>
      </c>
      <c r="O27" s="138">
        <f>IF(B27&lt;='VALOR POR PL'!$P$5,'CP RESUMO'!Z51,"")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1200.13</v>
      </c>
      <c r="L28" s="49">
        <f>C28/IF(B28&lt;='VALOR POR PL'!$P$5,IFERROR(INDEX('"INCC-FGV"'!$B$2:$B$800,MATCH(B28,'"INCC-FGV"'!$A$2:$A$800,0)),$K$2),$K$2)</f>
        <v/>
      </c>
      <c r="M28" s="138">
        <f>'CP RESUMO'!AA9</f>
        <v/>
      </c>
      <c r="N28" s="139">
        <f>MAX(0,M28-M27)</f>
        <v/>
      </c>
      <c r="O28" s="138">
        <f>IF(B28&lt;='VALOR POR PL'!$P$5,'CP RESUMO'!AA51,"")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1200.13</v>
      </c>
      <c r="L29" s="49">
        <f>C29/IF(B29&lt;='VALOR POR PL'!$P$5,IFERROR(INDEX('"INCC-FGV"'!$B$2:$B$800,MATCH(B29,'"INCC-FGV"'!$A$2:$A$800,0)),$K$2),$K$2)</f>
        <v/>
      </c>
      <c r="M29" s="138">
        <f>'CP RESUMO'!AB9</f>
        <v/>
      </c>
      <c r="N29" s="139">
        <f>MAX(0,M29-M28)</f>
        <v/>
      </c>
      <c r="O29" s="138">
        <f>IF(B29&lt;='VALOR POR PL'!$P$5,'CP RESUMO'!AB51,"")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1200.13</v>
      </c>
      <c r="L30" s="49">
        <f>C30/IF(B30&lt;='VALOR POR PL'!$P$5,IFERROR(INDEX('"INCC-FGV"'!$B$2:$B$800,MATCH(B30,'"INCC-FGV"'!$A$2:$A$800,0)),$K$2),$K$2)</f>
        <v/>
      </c>
      <c r="M30" s="138">
        <f>'CP RESUMO'!AC9</f>
        <v/>
      </c>
      <c r="N30" s="139">
        <f>MAX(0,M30-M29)</f>
        <v/>
      </c>
      <c r="O30" s="138">
        <f>IF(B30&lt;='VALOR POR PL'!$P$5,'CP RESUMO'!AC51,"")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1200.13</v>
      </c>
      <c r="L31" s="49">
        <f>C31/IF(B31&lt;='VALOR POR PL'!$P$5,IFERROR(INDEX('"INCC-FGV"'!$B$2:$B$800,MATCH(B31,'"INCC-FGV"'!$A$2:$A$800,0)),$K$2),$K$2)</f>
        <v/>
      </c>
      <c r="M31" s="138">
        <f>'CP RESUMO'!AD9</f>
        <v/>
      </c>
      <c r="N31" s="139">
        <f>MAX(0,M31-M30)</f>
        <v/>
      </c>
      <c r="O31" s="138">
        <f>IF(B31&lt;='VALOR POR PL'!$P$5,'CP RESUMO'!AD51,"")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1200.13</v>
      </c>
      <c r="L32" s="49">
        <f>C32/IF(B32&lt;='VALOR POR PL'!$P$5,IFERROR(INDEX('"INCC-FGV"'!$B$2:$B$800,MATCH(B32,'"INCC-FGV"'!$A$2:$A$800,0)),$K$2),$K$2)</f>
        <v/>
      </c>
      <c r="M32" s="138">
        <f>'CP RESUMO'!AE9</f>
        <v/>
      </c>
      <c r="N32" s="139">
        <f>MAX(0,M32-M31)</f>
        <v/>
      </c>
      <c r="O32" s="138">
        <f>IF(B32&lt;='VALOR POR PL'!$P$5,'CP RESUMO'!AE51,"")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1200.13</v>
      </c>
      <c r="L33" s="49">
        <f>C33/IF(B33&lt;='VALOR POR PL'!$P$5,IFERROR(INDEX('"INCC-FGV"'!$B$2:$B$800,MATCH(B33,'"INCC-FGV"'!$A$2:$A$800,0)),$K$2),$K$2)</f>
        <v/>
      </c>
      <c r="M33" s="138">
        <f>'CP RESUMO'!AF9</f>
        <v/>
      </c>
      <c r="N33" s="139">
        <f>MAX(0,M33-M32)</f>
        <v/>
      </c>
      <c r="O33" s="138">
        <f>IF(B33&lt;='VALOR POR PL'!$P$5,'CP RESUMO'!AF51,"")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1200.13</v>
      </c>
      <c r="L34" s="49">
        <f>C34/IF(B34&lt;='VALOR POR PL'!$P$5,IFERROR(INDEX('"INCC-FGV"'!$B$2:$B$800,MATCH(B34,'"INCC-FGV"'!$A$2:$A$800,0)),$K$2),$K$2)</f>
        <v/>
      </c>
      <c r="M34" s="138">
        <f>'CP RESUMO'!AG9</f>
        <v/>
      </c>
      <c r="N34" s="139">
        <f>MAX(0,M34-M33)</f>
        <v/>
      </c>
      <c r="O34" s="138">
        <f>IF(B34&lt;='VALOR POR PL'!$P$5,'CP RESUMO'!AG51,"")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1200.13</v>
      </c>
      <c r="L35" s="49">
        <f>C35/IF(B35&lt;='VALOR POR PL'!$P$5,IFERROR(INDEX('"INCC-FGV"'!$B$2:$B$800,MATCH(B35,'"INCC-FGV"'!$A$2:$A$800,0)),$K$2),$K$2)</f>
        <v/>
      </c>
      <c r="M35" s="138">
        <f>'CP RESUMO'!AH9</f>
        <v/>
      </c>
      <c r="N35" s="139">
        <f>MAX(0,M35-M34)</f>
        <v/>
      </c>
      <c r="O35" s="138">
        <f>IF(B35&lt;='VALOR POR PL'!$P$5,'CP RESUMO'!AH51,"")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1200.13</v>
      </c>
      <c r="L36" s="49">
        <f>C36/IF(B36&lt;='VALOR POR PL'!$P$5,IFERROR(INDEX('"INCC-FGV"'!$B$2:$B$800,MATCH(B36,'"INCC-FGV"'!$A$2:$A$800,0)),$K$2),$K$2)</f>
        <v/>
      </c>
      <c r="M36" s="138">
        <f>'CP RESUMO'!AI9</f>
        <v/>
      </c>
      <c r="N36" s="139">
        <f>MAX(0,M36-M35)</f>
        <v/>
      </c>
      <c r="O36" s="138">
        <f>IF(B36&lt;='VALOR POR PL'!$P$5,'CP RESUMO'!AI51,"")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1200.13</v>
      </c>
      <c r="L37" s="49">
        <f>C37/IF(B37&lt;='VALOR POR PL'!$P$5,IFERROR(INDEX('"INCC-FGV"'!$B$2:$B$800,MATCH(B37,'"INCC-FGV"'!$A$2:$A$800,0)),$K$2),$K$2)</f>
        <v/>
      </c>
      <c r="M37" s="138">
        <f>'CP RESUMO'!AJ9</f>
        <v/>
      </c>
      <c r="N37" s="139">
        <f>MAX(0,M37-M36)</f>
        <v/>
      </c>
      <c r="O37" s="138">
        <f>IF(B37&lt;='VALOR POR PL'!$P$5,'CP RESUMO'!AJ51,"")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1200.13</v>
      </c>
      <c r="L38" s="49">
        <f>C38/IF(B38&lt;='VALOR POR PL'!$P$5,IFERROR(INDEX('"INCC-FGV"'!$B$2:$B$800,MATCH(B38,'"INCC-FGV"'!$A$2:$A$800,0)),$K$2),$K$2)</f>
        <v/>
      </c>
      <c r="M38" s="138">
        <f>'CP RESUMO'!AK9</f>
        <v/>
      </c>
      <c r="N38" s="139">
        <f>MAX(0,M38-M37)</f>
        <v/>
      </c>
      <c r="O38" s="138">
        <f>IF(B38&lt;='VALOR POR PL'!$P$5,'CP RESUMO'!AK51,"")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1200.13</v>
      </c>
      <c r="L39" s="49">
        <f>C39/IF(B39&lt;='VALOR POR PL'!$P$5,IFERROR(INDEX('"INCC-FGV"'!$B$2:$B$800,MATCH(B39,'"INCC-FGV"'!$A$2:$A$800,0)),$K$2),$K$2)</f>
        <v/>
      </c>
      <c r="M39" s="138">
        <f>'CP RESUMO'!AL9</f>
        <v/>
      </c>
      <c r="N39" s="139">
        <f>MAX(0,M39-M38)</f>
        <v/>
      </c>
      <c r="O39" s="138">
        <f>IF(B39&lt;='VALOR POR PL'!$P$5,'CP RESUMO'!AL51,"")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1200.13</v>
      </c>
      <c r="L40" s="49">
        <f>C40/IF(B40&lt;='VALOR POR PL'!$P$5,IFERROR(INDEX('"INCC-FGV"'!$B$2:$B$800,MATCH(B40,'"INCC-FGV"'!$A$2:$A$800,0)),$K$2),$K$2)</f>
        <v/>
      </c>
      <c r="M40" s="138">
        <f>'CP RESUMO'!AM9</f>
        <v/>
      </c>
      <c r="N40" s="139">
        <f>MAX(0,M40-M39)</f>
        <v/>
      </c>
      <c r="O40" s="138">
        <f>IF(B40&lt;='VALOR POR PL'!$P$5,'CP RESUMO'!AM51,"")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1200.13</v>
      </c>
      <c r="L41" s="49">
        <f>C41/IF(B41&lt;='VALOR POR PL'!$P$5,IFERROR(INDEX('"INCC-FGV"'!$B$2:$B$800,MATCH(B41,'"INCC-FGV"'!$A$2:$A$800,0)),$K$2),$K$2)</f>
        <v/>
      </c>
      <c r="M41" s="138">
        <f>'CP RESUMO'!AN9</f>
        <v/>
      </c>
      <c r="N41" s="139">
        <f>MAX(0,M41-M40)</f>
        <v/>
      </c>
      <c r="O41" s="138">
        <f>IF(B41&lt;='VALOR POR PL'!$P$5,'CP RESUMO'!AN51,"")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1200.13</v>
      </c>
      <c r="L42" s="49">
        <f>C42/IF(B42&lt;='VALOR POR PL'!$P$5,IFERROR(INDEX('"INCC-FGV"'!$B$2:$B$800,MATCH(B42,'"INCC-FGV"'!$A$2:$A$800,0)),$K$2),$K$2)</f>
        <v/>
      </c>
      <c r="M42" s="138">
        <f>'CP RESUMO'!AO9</f>
        <v/>
      </c>
      <c r="N42" s="139">
        <f>MAX(0,M42-M41)</f>
        <v/>
      </c>
      <c r="O42" s="138">
        <f>IF(B42&lt;='VALOR POR PL'!$P$5,'CP RESUMO'!AO51,"")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1200.13</v>
      </c>
      <c r="L43" s="49">
        <f>C43/IF(B43&lt;='VALOR POR PL'!$P$5,IFERROR(INDEX('"INCC-FGV"'!$B$2:$B$800,MATCH(B43,'"INCC-FGV"'!$A$2:$A$800,0)),$K$2),$K$2)</f>
        <v/>
      </c>
      <c r="M43" s="138">
        <f>'CP RESUMO'!AP9</f>
        <v/>
      </c>
      <c r="N43" s="139">
        <f>MAX(0,M43-M42)</f>
        <v/>
      </c>
      <c r="O43" s="138">
        <f>IF(B43&lt;='VALOR POR PL'!$P$5,'CP RESUMO'!AP51,"")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1200.13</v>
      </c>
      <c r="L44" s="49">
        <f>C44/IF(B44&lt;='VALOR POR PL'!$P$5,IFERROR(INDEX('"INCC-FGV"'!$B$2:$B$800,MATCH(B44,'"INCC-FGV"'!$A$2:$A$800,0)),$K$2),$K$2)</f>
        <v/>
      </c>
      <c r="M44" s="138">
        <f>'CP RESUMO'!AQ9</f>
        <v/>
      </c>
      <c r="N44" s="139">
        <f>MAX(0,M44-M43)</f>
        <v/>
      </c>
      <c r="O44" s="138">
        <f>IF(B44&lt;='VALOR POR PL'!$P$5,'CP RESUMO'!AQ51,"")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1200.13</v>
      </c>
      <c r="L45" s="49">
        <f>C45/IF(B45&lt;='VALOR POR PL'!$P$5,IFERROR(INDEX('"INCC-FGV"'!$B$2:$B$800,MATCH(B45,'"INCC-FGV"'!$A$2:$A$800,0)),$K$2),$K$2)</f>
        <v/>
      </c>
      <c r="M45" s="138">
        <f>'CP RESUMO'!AR9</f>
        <v/>
      </c>
      <c r="N45" s="139">
        <f>MAX(0,M45-M44)</f>
        <v/>
      </c>
      <c r="O45" s="138">
        <f>IF(B45&lt;='VALOR POR PL'!$P$5,'CP RESUMO'!AR51,"")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1200.13</v>
      </c>
      <c r="L46" s="49">
        <f>C46/IF(B46&lt;='VALOR POR PL'!$P$5,IFERROR(INDEX('"INCC-FGV"'!$B$2:$B$800,MATCH(B46,'"INCC-FGV"'!$A$2:$A$800,0)),$K$2),$K$2)</f>
        <v/>
      </c>
      <c r="M46" s="138">
        <f>'CP RESUMO'!AS9</f>
        <v/>
      </c>
      <c r="N46" s="139">
        <f>MAX(0,M46-M45)</f>
        <v/>
      </c>
      <c r="O46" s="138">
        <f>IF(B46&lt;='VALOR POR PL'!$P$5,'CP RESUMO'!AS51,"")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1200.13</v>
      </c>
      <c r="L47" s="49">
        <f>C47/IF(B47&lt;='VALOR POR PL'!$P$5,IFERROR(INDEX('"INCC-FGV"'!$B$2:$B$800,MATCH(B47,'"INCC-FGV"'!$A$2:$A$800,0)),$K$2),$K$2)</f>
        <v/>
      </c>
      <c r="M47" s="138">
        <f>'CP RESUMO'!AT9</f>
        <v/>
      </c>
      <c r="N47" s="139">
        <f>MAX(0,M47-M46)</f>
        <v/>
      </c>
      <c r="O47" s="138">
        <f>IF(B47&lt;='VALOR POR PL'!$P$5,'CP RESUMO'!AT51,"")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1200.13</v>
      </c>
      <c r="L48" s="49">
        <f>C48/IF(B48&lt;='VALOR POR PL'!$P$5,IFERROR(INDEX('"INCC-FGV"'!$B$2:$B$800,MATCH(B48,'"INCC-FGV"'!$A$2:$A$800,0)),$K$2),$K$2)</f>
        <v/>
      </c>
      <c r="M48" s="138">
        <f>'CP RESUMO'!AU9</f>
        <v/>
      </c>
      <c r="N48" s="139">
        <f>MAX(0,M48-M47)</f>
        <v/>
      </c>
      <c r="O48" s="138">
        <f>IF(B48&lt;='VALOR POR PL'!$P$5,'CP RESUMO'!AU51,"")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1200.13</v>
      </c>
      <c r="L49" s="49">
        <f>C49/IF(B49&lt;='VALOR POR PL'!$P$5,IFERROR(INDEX('"INCC-FGV"'!$B$2:$B$800,MATCH(B49,'"INCC-FGV"'!$A$2:$A$800,0)),$K$2),$K$2)</f>
        <v/>
      </c>
      <c r="M49" s="138">
        <f>'CP RESUMO'!AV9</f>
        <v/>
      </c>
      <c r="N49" s="139">
        <f>MAX(0,M49-M48)</f>
        <v/>
      </c>
      <c r="O49" s="138">
        <f>IF(B49&lt;='VALOR POR PL'!$P$5,'CP RESUMO'!AV51,"")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1200.13</v>
      </c>
      <c r="L50" s="49">
        <f>C50/IF(B50&lt;='VALOR POR PL'!$P$5,IFERROR(INDEX('"INCC-FGV"'!$B$2:$B$800,MATCH(B50,'"INCC-FGV"'!$A$2:$A$800,0)),$K$2),$K$2)</f>
        <v/>
      </c>
      <c r="M50" s="138">
        <f>'CP RESUMO'!AW9</f>
        <v/>
      </c>
      <c r="N50" s="139">
        <f>MAX(0,M50-M49)</f>
        <v/>
      </c>
      <c r="O50" s="138">
        <f>IF(B50&lt;='VALOR POR PL'!$P$5,'CP RESUMO'!AW51,"")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1200.13</v>
      </c>
      <c r="L51" s="49">
        <f>C51/IF(B51&lt;='VALOR POR PL'!$P$5,IFERROR(INDEX('"INCC-FGV"'!$B$2:$B$800,MATCH(B51,'"INCC-FGV"'!$A$2:$A$800,0)),$K$2),$K$2)</f>
        <v/>
      </c>
      <c r="M51" s="138">
        <f>'CP RESUMO'!AX9</f>
        <v/>
      </c>
      <c r="N51" s="139">
        <f>MAX(0,M51-M50)</f>
        <v/>
      </c>
      <c r="O51" s="138">
        <f>IF(B51&lt;='VALOR POR PL'!$P$5,'CP RESUMO'!AX51,"")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1200.13</v>
      </c>
      <c r="L52" s="49">
        <f>C52/IF(B52&lt;='VALOR POR PL'!$P$5,IFERROR(INDEX('"INCC-FGV"'!$B$2:$B$800,MATCH(B52,'"INCC-FGV"'!$A$2:$A$800,0)),$K$2),$K$2)</f>
        <v/>
      </c>
      <c r="M52" s="138">
        <f>'CP RESUMO'!AY9</f>
        <v/>
      </c>
      <c r="N52" s="139">
        <f>MAX(0,M52-M51)</f>
        <v/>
      </c>
      <c r="O52" s="138">
        <f>IF(B52&lt;='VALOR POR PL'!$P$5,'CP RESUMO'!AY51,"")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1200.13</v>
      </c>
      <c r="L53" s="49">
        <f>C53/IF(B53&lt;='VALOR POR PL'!$P$5,IFERROR(INDEX('"INCC-FGV"'!$B$2:$B$800,MATCH(B53,'"INCC-FGV"'!$A$2:$A$800,0)),$K$2),$K$2)</f>
        <v/>
      </c>
      <c r="M53" s="138">
        <f>'CP RESUMO'!AZ9</f>
        <v/>
      </c>
      <c r="N53" s="139">
        <f>MAX(0,M53-M52)</f>
        <v/>
      </c>
      <c r="O53" s="138">
        <f>IF(B53&lt;='VALOR POR PL'!$P$5,'CP RESUMO'!AZ51,"")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RESUMO'!BA9</f>
        <v/>
      </c>
      <c r="N54" s="139">
        <f>MAX(0,M54-M53)</f>
        <v/>
      </c>
      <c r="O54" s="138">
        <f>IF(B54&lt;='VALOR POR PL'!$P$5,'CP RESUMO'!BA51,"")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RESUMO'!BB9</f>
        <v/>
      </c>
      <c r="N55" s="139">
        <f>MAX(0,M55-M54)</f>
        <v/>
      </c>
      <c r="O55" s="138">
        <f>IF(B55&lt;='VALOR POR PL'!$P$5,'CP RESUMO'!BB51,"")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RESUMO'!BC9</f>
        <v/>
      </c>
      <c r="N56" s="139">
        <f>MAX(0,M56-M55)</f>
        <v/>
      </c>
      <c r="O56" s="138">
        <f>IF(B56&lt;='VALOR POR PL'!$P$5,'CP RESUMO'!BC51,"")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RESUMO'!BD9</f>
        <v/>
      </c>
      <c r="N57" s="139">
        <f>MAX(0,M57-M56)</f>
        <v/>
      </c>
      <c r="O57" s="138">
        <f>IF(B57&lt;='VALOR POR PL'!$P$5,'CP RESUMO'!BD51,"")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RESUMO'!BE9</f>
        <v/>
      </c>
      <c r="N58" s="139">
        <f>MAX(0,M58-M57)</f>
        <v/>
      </c>
      <c r="O58" s="138">
        <f>IF(B58&lt;='VALOR POR PL'!$P$5,'CP RESUMO'!BE51,"")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RESUMO'!BF9</f>
        <v/>
      </c>
      <c r="N59" s="139">
        <f>MAX(0,M59-M58)</f>
        <v/>
      </c>
      <c r="O59" s="138">
        <f>IF(B59&lt;='VALOR POR PL'!$P$5,'CP RESUMO'!BF51,"")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RESUMO'!BG9</f>
        <v/>
      </c>
      <c r="N60" s="139">
        <f>MAX(0,M60-M59)</f>
        <v/>
      </c>
      <c r="O60" s="138">
        <f>IF(B60&lt;='VALOR POR PL'!$P$5,'CP RESUMO'!BG51,"")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RESUMO'!BH9</f>
        <v/>
      </c>
      <c r="N61" s="139">
        <f>MAX(0,M61-M60)</f>
        <v/>
      </c>
      <c r="O61" s="138">
        <f>IF(B61&lt;='VALOR POR PL'!$P$5,'CP RESUMO'!BH51,"")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RESUMO'!BI9</f>
        <v/>
      </c>
      <c r="N62" s="139">
        <f>MAX(0,M62-M61)</f>
        <v/>
      </c>
      <c r="O62" s="138">
        <f>IF(B62&lt;='VALOR POR PL'!$P$5,'CP RESUMO'!BI51,"")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RESUMO'!BJ9</f>
        <v/>
      </c>
      <c r="N63" s="139">
        <f>MAX(0,M63-M62)</f>
        <v/>
      </c>
      <c r="O63" s="138">
        <f>IF(B63&lt;='VALOR POR PL'!$P$5,'CP RESUMO'!BJ51,"")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RESUMO'!BK9</f>
        <v/>
      </c>
      <c r="N64" s="139">
        <f>MAX(0,M64-M63)</f>
        <v/>
      </c>
      <c r="O64" s="138">
        <f>IF(B64&lt;='VALOR POR PL'!$P$5,'CP RESUMO'!BK51,"")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RESUMO'!BL9</f>
        <v/>
      </c>
      <c r="N65" s="139">
        <f>MAX(0,M65-M64)</f>
        <v/>
      </c>
      <c r="O65" s="138">
        <f>IF(B65&lt;='VALOR POR PL'!$P$5,'CP RESUMO'!BL51,"")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RESUMO'!BM9</f>
        <v/>
      </c>
      <c r="N66" s="139">
        <f>MAX(0,M66-M65)</f>
        <v/>
      </c>
      <c r="O66" s="138">
        <f>IF(B66&lt;='VALOR POR PL'!$P$5,'CP RESUMO'!BM51,"")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RESUMO'!BN9</f>
        <v/>
      </c>
      <c r="N67" s="139">
        <f>MAX(0,M67-M66)</f>
        <v/>
      </c>
      <c r="O67" s="138">
        <f>IF(B67&lt;='VALOR POR PL'!$P$5,'CP RESUMO'!BN51,"")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RESUMO'!BO9</f>
        <v/>
      </c>
      <c r="N68" s="139">
        <f>MAX(0,M68-M67)</f>
        <v/>
      </c>
      <c r="O68" s="138">
        <f>IF(B68&lt;='VALOR POR PL'!$P$5,'CP RESUMO'!BO51,"")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RESUMO'!BP9</f>
        <v/>
      </c>
      <c r="N69" s="139">
        <f>MAX(0,M69-M68)</f>
        <v/>
      </c>
      <c r="O69" s="138">
        <f>IF(B69&lt;='VALOR POR PL'!$P$5,'CP RESUMO'!BP51,"")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RESUMO'!BQ9</f>
        <v/>
      </c>
      <c r="N70" s="139">
        <f>MAX(0,M70-M69)</f>
        <v/>
      </c>
      <c r="O70" s="138">
        <f>IF(B70&lt;='VALOR POR PL'!$P$5,'CP RESUMO'!BQ51,"")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RESUMO'!BR9</f>
        <v/>
      </c>
      <c r="N71" s="139">
        <f>MAX(0,M71-M70)</f>
        <v/>
      </c>
      <c r="O71" s="138">
        <f>IF(B71&lt;='VALOR POR PL'!$P$5,'CP RESUMO'!BR51,"")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RESUMO'!BS9</f>
        <v/>
      </c>
      <c r="N72" s="139">
        <f>MAX(0,M72-M71)</f>
        <v/>
      </c>
      <c r="O72" s="138">
        <f>IF(B72&lt;='VALOR POR PL'!$P$5,'CP RESUMO'!BS51,"")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RESUMO'!BT9</f>
        <v/>
      </c>
      <c r="N73" s="139">
        <f>MAX(0,M73-M72)</f>
        <v/>
      </c>
      <c r="O73" s="138">
        <f>IF(B73&lt;='VALOR POR PL'!$P$5,'CP RESUMO'!BT51,"")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RESUMO'!BU9</f>
        <v/>
      </c>
      <c r="N74" s="139">
        <f>MAX(0,M74-M73)</f>
        <v/>
      </c>
      <c r="O74" s="138">
        <f>IF(B74&lt;='VALOR POR PL'!$P$5,'CP RESUMO'!BU51,"")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RESUMO'!BV9</f>
        <v/>
      </c>
      <c r="N75" s="139">
        <f>MAX(0,M75-M74)</f>
        <v/>
      </c>
      <c r="O75" s="138">
        <f>IF(B75&lt;='VALOR POR PL'!$P$5,'CP RESUMO'!BV51,"")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RESUMO'!BW9</f>
        <v/>
      </c>
      <c r="N76" s="139">
        <f>MAX(0,M76-M75)</f>
        <v/>
      </c>
      <c r="O76" s="138">
        <f>IF(B76&lt;='VALOR POR PL'!$P$5,'CP RESUMO'!BW51,"")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PL'!F16</f>
        <v/>
      </c>
      <c r="K5" s="60">
        <f>'VALOR POR PL'!G16</f>
        <v/>
      </c>
      <c r="L5" s="60">
        <f>'DADOS HISTORICOS'!$BZ$10</f>
        <v/>
      </c>
      <c r="M5" s="138">
        <f>'CP RESUMO'!D10</f>
        <v/>
      </c>
      <c r="N5" s="139" t="n">
        <v>0</v>
      </c>
      <c r="O5" s="138">
        <f>IF(B5&lt;='VALOR POR PL'!$P$5,'CP RESUMO'!D52,"")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PL'!H16</f>
        <v/>
      </c>
      <c r="L6" s="49">
        <f>C6/IF(B6&lt;='VALOR POR PL'!$P$5,IFERROR(INDEX('"INCC-FGV"'!$B$2:$B$800,MATCH(B6,'"INCC-FGV"'!$A$2:$A$800,0)),$K$2),$K$2)</f>
        <v/>
      </c>
      <c r="M6" s="138">
        <f>'CP RESUMO'!E10</f>
        <v/>
      </c>
      <c r="N6" s="139">
        <f>MAX(0,M6-M5)</f>
        <v/>
      </c>
      <c r="O6" s="138">
        <f>IF(B6&lt;='VALOR POR PL'!$P$5,'CP RESUMO'!E52,"")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RESUMO'!F10</f>
        <v/>
      </c>
      <c r="N7" s="139">
        <f>MAX(0,M7-M6)</f>
        <v/>
      </c>
      <c r="O7" s="138">
        <f>IF(B7&lt;='VALOR POR PL'!$P$5,'CP RESUMO'!F52,"")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RESUMO'!G10</f>
        <v/>
      </c>
      <c r="N8" s="139">
        <f>MAX(0,M8-M7)</f>
        <v/>
      </c>
      <c r="O8" s="138">
        <f>IF(B8&lt;='VALOR POR PL'!$P$5,'CP RESUMO'!G52,"")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RESUMO'!H10</f>
        <v/>
      </c>
      <c r="N9" s="139">
        <f>MAX(0,M9-M8)</f>
        <v/>
      </c>
      <c r="O9" s="138">
        <f>IF(B9&lt;='VALOR POR PL'!$P$5,'CP RESUMO'!H52,"")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RESUMO'!I10</f>
        <v/>
      </c>
      <c r="N10" s="139">
        <f>MAX(0,M10-M9)</f>
        <v/>
      </c>
      <c r="O10" s="138">
        <f>IF(B10&lt;='VALOR POR PL'!$P$5,'CP RESUMO'!I52,"")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RESUMO'!J10</f>
        <v/>
      </c>
      <c r="N11" s="139">
        <f>MAX(0,M11-M10)</f>
        <v/>
      </c>
      <c r="O11" s="138">
        <f>IF(B11&lt;='VALOR POR PL'!$P$5,'CP RESUMO'!J52,"")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RESUMO'!K10</f>
        <v/>
      </c>
      <c r="N12" s="139">
        <f>MAX(0,M12-M11)</f>
        <v/>
      </c>
      <c r="O12" s="138">
        <f>IF(B12&lt;='VALOR POR PL'!$P$5,'CP RESUMO'!K52,"")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PL'!I16</f>
        <v/>
      </c>
      <c r="L13" s="49">
        <f>C13/IF(B13&lt;='VALOR POR PL'!$P$5,IFERROR(INDEX('"INCC-FGV"'!$B$2:$B$800,MATCH(B13,'"INCC-FGV"'!$A$2:$A$800,0)),$K$2),$K$2)</f>
        <v/>
      </c>
      <c r="M13" s="138">
        <f>'CP RESUMO'!L10</f>
        <v/>
      </c>
      <c r="N13" s="139">
        <f>MAX(0,M13-M12)</f>
        <v/>
      </c>
      <c r="O13" s="138">
        <f>IF(B13&lt;='VALOR POR PL'!$P$5,'CP RESUMO'!L52,"")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RESUMO'!$D$52:$BW$52,MATCH('VALOR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RESUMO'!M10</f>
        <v/>
      </c>
      <c r="N14" s="139">
        <f>MAX(0,M14-M13)</f>
        <v/>
      </c>
      <c r="O14" s="138">
        <f>IF(B14&lt;='VALOR POR PL'!$P$5,'CP RESUMO'!M52,"")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RESUMO'!N10</f>
        <v/>
      </c>
      <c r="N15" s="139">
        <f>MAX(0,M15-M14)</f>
        <v/>
      </c>
      <c r="O15" s="138">
        <f>IF(B15&lt;='VALOR POR PL'!$P$5,'CP RESUMO'!N52,"")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RESUMO'!O10</f>
        <v/>
      </c>
      <c r="N16" s="139">
        <f>MAX(0,M16-M15)</f>
        <v/>
      </c>
      <c r="O16" s="138">
        <f>IF(B16&lt;='VALOR POR PL'!$P$5,'CP RESUMO'!O52,"")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RESUMO'!P10</f>
        <v/>
      </c>
      <c r="N17" s="139">
        <f>MAX(0,M17-M16)</f>
        <v/>
      </c>
      <c r="O17" s="138">
        <f>IF(B17&lt;='VALOR POR PL'!$P$5,'CP RESUMO'!P52,"")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RESUMO'!Q10</f>
        <v/>
      </c>
      <c r="N18" s="139">
        <f>MAX(0,M18-M17)</f>
        <v/>
      </c>
      <c r="O18" s="138">
        <f>IF(B18&lt;='VALOR POR PL'!$P$5,'CP RESUMO'!Q52,"")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RESUMO'!R10</f>
        <v/>
      </c>
      <c r="N19" s="139">
        <f>MAX(0,M19-M18)</f>
        <v/>
      </c>
      <c r="O19" s="138">
        <f>IF(B19&lt;='VALOR POR PL'!$P$5,'CP RESUMO'!R52,"")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RESUMO'!S10</f>
        <v/>
      </c>
      <c r="N20" s="139">
        <f>MAX(0,M20-M19)</f>
        <v/>
      </c>
      <c r="O20" s="138">
        <f>IF(B20&lt;='VALOR POR PL'!$P$5,'CP RESUMO'!S52,"")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RESUMO'!T10</f>
        <v/>
      </c>
      <c r="N21" s="139">
        <f>MAX(0,M21-M20)</f>
        <v/>
      </c>
      <c r="O21" s="138">
        <f>IF(B21&lt;='VALOR POR PL'!$P$5,'CP RESUMO'!T52,"")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RESUMO'!U10</f>
        <v/>
      </c>
      <c r="N22" s="139">
        <f>MAX(0,M22-M21)</f>
        <v/>
      </c>
      <c r="O22" s="138">
        <f>IF(B22&lt;='VALOR POR PL'!$P$5,'CP RESUMO'!U52,"")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RESUMO'!V10</f>
        <v/>
      </c>
      <c r="N23" s="139">
        <f>MAX(0,M23-M22)</f>
        <v/>
      </c>
      <c r="O23" s="138">
        <f>IF(B23&lt;='VALOR POR PL'!$P$5,'CP RESUMO'!V52,"")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RESUMO'!W10</f>
        <v/>
      </c>
      <c r="N24" s="139">
        <f>MAX(0,M24-M23)</f>
        <v/>
      </c>
      <c r="O24" s="138">
        <f>IF(B24&lt;='VALOR POR PL'!$P$5,'CP RESUMO'!W52,"")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RESUMO'!X10</f>
        <v/>
      </c>
      <c r="N25" s="139">
        <f>MAX(0,M25-M24)</f>
        <v/>
      </c>
      <c r="O25" s="138">
        <f>IF(B25&lt;='VALOR POR PL'!$P$5,'CP RESUMO'!X52,"")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10923.41</v>
      </c>
      <c r="L26" s="49">
        <f>C26/IF(B26&lt;='VALOR POR PL'!$P$5,IFERROR(INDEX('"INCC-FGV"'!$B$2:$B$800,MATCH(B26,'"INCC-FGV"'!$A$2:$A$800,0)),$K$2),$K$2)</f>
        <v/>
      </c>
      <c r="M26" s="138">
        <f>'CP RESUMO'!Y10</f>
        <v/>
      </c>
      <c r="N26" s="139">
        <f>MAX(0,M26-M25)</f>
        <v/>
      </c>
      <c r="O26" s="138">
        <f>IF(B26&lt;='VALOR POR PL'!$P$5,'CP RESUMO'!Y52,"")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11941.36</v>
      </c>
      <c r="L27" s="49">
        <f>C27/IF(B27&lt;='VALOR POR PL'!$P$5,IFERROR(INDEX('"INCC-FGV"'!$B$2:$B$800,MATCH(B27,'"INCC-FGV"'!$A$2:$A$800,0)),$K$2),$K$2)</f>
        <v/>
      </c>
      <c r="M27" s="138">
        <f>'CP RESUMO'!Z10</f>
        <v/>
      </c>
      <c r="N27" s="139">
        <f>MAX(0,M27-M26)</f>
        <v/>
      </c>
      <c r="O27" s="138">
        <f>IF(B27&lt;='VALOR POR PL'!$P$5,'CP RESUMO'!Z52,"")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11856.53</v>
      </c>
      <c r="L28" s="49">
        <f>C28/IF(B28&lt;='VALOR POR PL'!$P$5,IFERROR(INDEX('"INCC-FGV"'!$B$2:$B$800,MATCH(B28,'"INCC-FGV"'!$A$2:$A$800,0)),$K$2),$K$2)</f>
        <v/>
      </c>
      <c r="M28" s="138">
        <f>'CP RESUMO'!AA10</f>
        <v/>
      </c>
      <c r="N28" s="139">
        <f>MAX(0,M28-M27)</f>
        <v/>
      </c>
      <c r="O28" s="138">
        <f>IF(B28&lt;='VALOR POR PL'!$P$5,'CP RESUMO'!AA52,"")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11856.53</v>
      </c>
      <c r="L29" s="49">
        <f>C29/IF(B29&lt;='VALOR POR PL'!$P$5,IFERROR(INDEX('"INCC-FGV"'!$B$2:$B$800,MATCH(B29,'"INCC-FGV"'!$A$2:$A$800,0)),$K$2),$K$2)</f>
        <v/>
      </c>
      <c r="M29" s="138">
        <f>'CP RESUMO'!AB10</f>
        <v/>
      </c>
      <c r="N29" s="139">
        <f>MAX(0,M29-M28)</f>
        <v/>
      </c>
      <c r="O29" s="138">
        <f>IF(B29&lt;='VALOR POR PL'!$P$5,'CP RESUMO'!AB52,"")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12535.16</v>
      </c>
      <c r="L30" s="49">
        <f>C30/IF(B30&lt;='VALOR POR PL'!$P$5,IFERROR(INDEX('"INCC-FGV"'!$B$2:$B$800,MATCH(B30,'"INCC-FGV"'!$A$2:$A$800,0)),$K$2),$K$2)</f>
        <v/>
      </c>
      <c r="M30" s="138">
        <f>'CP RESUMO'!AC10</f>
        <v/>
      </c>
      <c r="N30" s="139">
        <f>MAX(0,M30-M29)</f>
        <v/>
      </c>
      <c r="O30" s="138">
        <f>IF(B30&lt;='VALOR POR PL'!$P$5,'CP RESUMO'!AC52,"")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12959.3</v>
      </c>
      <c r="L31" s="49">
        <f>C31/IF(B31&lt;='VALOR POR PL'!$P$5,IFERROR(INDEX('"INCC-FGV"'!$B$2:$B$800,MATCH(B31,'"INCC-FGV"'!$A$2:$A$800,0)),$K$2),$K$2)</f>
        <v/>
      </c>
      <c r="M31" s="138">
        <f>'CP RESUMO'!AD10</f>
        <v/>
      </c>
      <c r="N31" s="139">
        <f>MAX(0,M31-M30)</f>
        <v/>
      </c>
      <c r="O31" s="138">
        <f>IF(B31&lt;='VALOR POR PL'!$P$5,'CP RESUMO'!AD52,"")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13722.76</v>
      </c>
      <c r="L32" s="49">
        <f>C32/IF(B32&lt;='VALOR POR PL'!$P$5,IFERROR(INDEX('"INCC-FGV"'!$B$2:$B$800,MATCH(B32,'"INCC-FGV"'!$A$2:$A$800,0)),$K$2),$K$2)</f>
        <v/>
      </c>
      <c r="M32" s="138">
        <f>'CP RESUMO'!AE10</f>
        <v/>
      </c>
      <c r="N32" s="139">
        <f>MAX(0,M32-M31)</f>
        <v/>
      </c>
      <c r="O32" s="138">
        <f>IF(B32&lt;='VALOR POR PL'!$P$5,'CP RESUMO'!AE52,"")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19088.95</v>
      </c>
      <c r="L33" s="49">
        <f>C33/IF(B33&lt;='VALOR POR PL'!$P$5,IFERROR(INDEX('"INCC-FGV"'!$B$2:$B$800,MATCH(B33,'"INCC-FGV"'!$A$2:$A$800,0)),$K$2),$K$2)</f>
        <v/>
      </c>
      <c r="M33" s="138">
        <f>'CP RESUMO'!AF10</f>
        <v/>
      </c>
      <c r="N33" s="139">
        <f>MAX(0,M33-M32)</f>
        <v/>
      </c>
      <c r="O33" s="138">
        <f>IF(B33&lt;='VALOR POR PL'!$P$5,'CP RESUMO'!AF52,"")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20647.7</v>
      </c>
      <c r="L34" s="49">
        <f>C34/IF(B34&lt;='VALOR POR PL'!$P$5,IFERROR(INDEX('"INCC-FGV"'!$B$2:$B$800,MATCH(B34,'"INCC-FGV"'!$A$2:$A$800,0)),$K$2),$K$2)</f>
        <v/>
      </c>
      <c r="M34" s="138">
        <f>'CP RESUMO'!AG10</f>
        <v/>
      </c>
      <c r="N34" s="139">
        <f>MAX(0,M34-M33)</f>
        <v/>
      </c>
      <c r="O34" s="138">
        <f>IF(B34&lt;='VALOR POR PL'!$P$5,'CP RESUMO'!AG52,"")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21292.17</v>
      </c>
      <c r="L35" s="49">
        <f>C35/IF(B35&lt;='VALOR POR PL'!$P$5,IFERROR(INDEX('"INCC-FGV"'!$B$2:$B$800,MATCH(B35,'"INCC-FGV"'!$A$2:$A$800,0)),$K$2),$K$2)</f>
        <v/>
      </c>
      <c r="M35" s="138">
        <f>'CP RESUMO'!AH10</f>
        <v/>
      </c>
      <c r="N35" s="139">
        <f>MAX(0,M35-M34)</f>
        <v/>
      </c>
      <c r="O35" s="138">
        <f>IF(B35&lt;='VALOR POR PL'!$P$5,'CP RESUMO'!AH52,"")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19078.46</v>
      </c>
      <c r="L36" s="49">
        <f>C36/IF(B36&lt;='VALOR POR PL'!$P$5,IFERROR(INDEX('"INCC-FGV"'!$B$2:$B$800,MATCH(B36,'"INCC-FGV"'!$A$2:$A$800,0)),$K$2),$K$2)</f>
        <v/>
      </c>
      <c r="M36" s="138">
        <f>'CP RESUMO'!AI10</f>
        <v/>
      </c>
      <c r="N36" s="139">
        <f>MAX(0,M36-M35)</f>
        <v/>
      </c>
      <c r="O36" s="138">
        <f>IF(B36&lt;='VALOR POR PL'!$P$5,'CP RESUMO'!AI52,"")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18458.35</v>
      </c>
      <c r="L37" s="49">
        <f>C37/IF(B37&lt;='VALOR POR PL'!$P$5,IFERROR(INDEX('"INCC-FGV"'!$B$2:$B$800,MATCH(B37,'"INCC-FGV"'!$A$2:$A$800,0)),$K$2),$K$2)</f>
        <v/>
      </c>
      <c r="M37" s="138">
        <f>'CP RESUMO'!AJ10</f>
        <v/>
      </c>
      <c r="N37" s="139">
        <f>MAX(0,M37-M36)</f>
        <v/>
      </c>
      <c r="O37" s="138">
        <f>IF(B37&lt;='VALOR POR PL'!$P$5,'CP RESUMO'!AJ52,"")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18251.99</v>
      </c>
      <c r="L38" s="49">
        <f>C38/IF(B38&lt;='VALOR POR PL'!$P$5,IFERROR(INDEX('"INCC-FGV"'!$B$2:$B$800,MATCH(B38,'"INCC-FGV"'!$A$2:$A$800,0)),$K$2),$K$2)</f>
        <v/>
      </c>
      <c r="M38" s="138">
        <f>'CP RESUMO'!AK10</f>
        <v/>
      </c>
      <c r="N38" s="139">
        <f>MAX(0,M38-M37)</f>
        <v/>
      </c>
      <c r="O38" s="138">
        <f>IF(B38&lt;='VALOR POR PL'!$P$5,'CP RESUMO'!AK52,"")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17901.08</v>
      </c>
      <c r="L39" s="49">
        <f>C39/IF(B39&lt;='VALOR POR PL'!$P$5,IFERROR(INDEX('"INCC-FGV"'!$B$2:$B$800,MATCH(B39,'"INCC-FGV"'!$A$2:$A$800,0)),$K$2),$K$2)</f>
        <v/>
      </c>
      <c r="M39" s="138">
        <f>'CP RESUMO'!AL10</f>
        <v/>
      </c>
      <c r="N39" s="139">
        <f>MAX(0,M39-M38)</f>
        <v/>
      </c>
      <c r="O39" s="138">
        <f>IF(B39&lt;='VALOR POR PL'!$P$5,'CP RESUMO'!AL52,"")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14857.92</v>
      </c>
      <c r="L40" s="49">
        <f>C40/IF(B40&lt;='VALOR POR PL'!$P$5,IFERROR(INDEX('"INCC-FGV"'!$B$2:$B$800,MATCH(B40,'"INCC-FGV"'!$A$2:$A$800,0)),$K$2),$K$2)</f>
        <v/>
      </c>
      <c r="M40" s="138">
        <f>'CP RESUMO'!AM10</f>
        <v/>
      </c>
      <c r="N40" s="139">
        <f>MAX(0,M40-M39)</f>
        <v/>
      </c>
      <c r="O40" s="138">
        <f>IF(B40&lt;='VALOR POR PL'!$P$5,'CP RESUMO'!AM52,"")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17071.94</v>
      </c>
      <c r="L41" s="49">
        <f>C41/IF(B41&lt;='VALOR POR PL'!$P$5,IFERROR(INDEX('"INCC-FGV"'!$B$2:$B$800,MATCH(B41,'"INCC-FGV"'!$A$2:$A$800,0)),$K$2),$K$2)</f>
        <v/>
      </c>
      <c r="M41" s="138">
        <f>'CP RESUMO'!AN10</f>
        <v/>
      </c>
      <c r="N41" s="139">
        <f>MAX(0,M41-M40)</f>
        <v/>
      </c>
      <c r="O41" s="138">
        <f>IF(B41&lt;='VALOR POR PL'!$P$5,'CP RESUMO'!AN52,"")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16919.97</v>
      </c>
      <c r="L42" s="49">
        <f>C42/IF(B42&lt;='VALOR POR PL'!$P$5,IFERROR(INDEX('"INCC-FGV"'!$B$2:$B$800,MATCH(B42,'"INCC-FGV"'!$A$2:$A$800,0)),$K$2),$K$2)</f>
        <v/>
      </c>
      <c r="M42" s="138">
        <f>'CP RESUMO'!AO10</f>
        <v/>
      </c>
      <c r="N42" s="139">
        <f>MAX(0,M42-M41)</f>
        <v/>
      </c>
      <c r="O42" s="138">
        <f>IF(B42&lt;='VALOR POR PL'!$P$5,'CP RESUMO'!AO52,"")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10976.72</v>
      </c>
      <c r="L43" s="49">
        <f>C43/IF(B43&lt;='VALOR POR PL'!$P$5,IFERROR(INDEX('"INCC-FGV"'!$B$2:$B$800,MATCH(B43,'"INCC-FGV"'!$A$2:$A$800,0)),$K$2),$K$2)</f>
        <v/>
      </c>
      <c r="M43" s="138">
        <f>'CP RESUMO'!AP10</f>
        <v/>
      </c>
      <c r="N43" s="139">
        <f>MAX(0,M43-M42)</f>
        <v/>
      </c>
      <c r="O43" s="138">
        <f>IF(B43&lt;='VALOR POR PL'!$P$5,'CP RESUMO'!AP52,"")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7212.89</v>
      </c>
      <c r="L44" s="49">
        <f>C44/IF(B44&lt;='VALOR POR PL'!$P$5,IFERROR(INDEX('"INCC-FGV"'!$B$2:$B$800,MATCH(B44,'"INCC-FGV"'!$A$2:$A$800,0)),$K$2),$K$2)</f>
        <v/>
      </c>
      <c r="M44" s="138">
        <f>'CP RESUMO'!AQ10</f>
        <v/>
      </c>
      <c r="N44" s="139">
        <f>MAX(0,M44-M43)</f>
        <v/>
      </c>
      <c r="O44" s="138">
        <f>IF(B44&lt;='VALOR POR PL'!$P$5,'CP RESUMO'!AQ52,"")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5305.66</v>
      </c>
      <c r="L45" s="49">
        <f>C45/IF(B45&lt;='VALOR POR PL'!$P$5,IFERROR(INDEX('"INCC-FGV"'!$B$2:$B$800,MATCH(B45,'"INCC-FGV"'!$A$2:$A$800,0)),$K$2),$K$2)</f>
        <v/>
      </c>
      <c r="M45" s="138">
        <f>'CP RESUMO'!AR10</f>
        <v/>
      </c>
      <c r="N45" s="139">
        <f>MAX(0,M45-M44)</f>
        <v/>
      </c>
      <c r="O45" s="138">
        <f>IF(B45&lt;='VALOR POR PL'!$P$5,'CP RESUMO'!AR52,"")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2743.21</v>
      </c>
      <c r="L46" s="49">
        <f>C46/IF(B46&lt;='VALOR POR PL'!$P$5,IFERROR(INDEX('"INCC-FGV"'!$B$2:$B$800,MATCH(B46,'"INCC-FGV"'!$A$2:$A$800,0)),$K$2),$K$2)</f>
        <v/>
      </c>
      <c r="M46" s="138">
        <f>'CP RESUMO'!AS10</f>
        <v/>
      </c>
      <c r="N46" s="139">
        <f>MAX(0,M46-M45)</f>
        <v/>
      </c>
      <c r="O46" s="138">
        <f>IF(B46&lt;='VALOR POR PL'!$P$5,'CP RESUMO'!AS52,"")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1259.33</v>
      </c>
      <c r="L47" s="49">
        <f>C47/IF(B47&lt;='VALOR POR PL'!$P$5,IFERROR(INDEX('"INCC-FGV"'!$B$2:$B$800,MATCH(B47,'"INCC-FGV"'!$A$2:$A$800,0)),$K$2),$K$2)</f>
        <v/>
      </c>
      <c r="M47" s="138">
        <f>'CP RESUMO'!AT10</f>
        <v/>
      </c>
      <c r="N47" s="139">
        <f>MAX(0,M47-M46)</f>
        <v/>
      </c>
      <c r="O47" s="138">
        <f>IF(B47&lt;='VALOR POR PL'!$P$5,'CP RESUMO'!AT52,"")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RESUMO'!AU10</f>
        <v/>
      </c>
      <c r="N48" s="139">
        <f>MAX(0,M48-M47)</f>
        <v/>
      </c>
      <c r="O48" s="138">
        <f>IF(B48&lt;='VALOR POR PL'!$P$5,'CP RESUMO'!AU52,"")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RESUMO'!AV10</f>
        <v/>
      </c>
      <c r="N49" s="139">
        <f>MAX(0,M49-M48)</f>
        <v/>
      </c>
      <c r="O49" s="138">
        <f>IF(B49&lt;='VALOR POR PL'!$P$5,'CP RESUMO'!AV52,"")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RESUMO'!AW10</f>
        <v/>
      </c>
      <c r="N50" s="139">
        <f>MAX(0,M50-M49)</f>
        <v/>
      </c>
      <c r="O50" s="138">
        <f>IF(B50&lt;='VALOR POR PL'!$P$5,'CP RESUMO'!AW52,"")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RESUMO'!AX10</f>
        <v/>
      </c>
      <c r="N51" s="139">
        <f>MAX(0,M51-M50)</f>
        <v/>
      </c>
      <c r="O51" s="138">
        <f>IF(B51&lt;='VALOR POR PL'!$P$5,'CP RESUMO'!AX52,"")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RESUMO'!AY10</f>
        <v/>
      </c>
      <c r="N52" s="139">
        <f>MAX(0,M52-M51)</f>
        <v/>
      </c>
      <c r="O52" s="138">
        <f>IF(B52&lt;='VALOR POR PL'!$P$5,'CP RESUMO'!AY52,"")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RESUMO'!AZ10</f>
        <v/>
      </c>
      <c r="N53" s="139">
        <f>MAX(0,M53-M52)</f>
        <v/>
      </c>
      <c r="O53" s="138">
        <f>IF(B53&lt;='VALOR POR PL'!$P$5,'CP RESUMO'!AZ52,"")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RESUMO'!BA10</f>
        <v/>
      </c>
      <c r="N54" s="139">
        <f>MAX(0,M54-M53)</f>
        <v/>
      </c>
      <c r="O54" s="138">
        <f>IF(B54&lt;='VALOR POR PL'!$P$5,'CP RESUMO'!BA52,"")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RESUMO'!BB10</f>
        <v/>
      </c>
      <c r="N55" s="139">
        <f>MAX(0,M55-M54)</f>
        <v/>
      </c>
      <c r="O55" s="138">
        <f>IF(B55&lt;='VALOR POR PL'!$P$5,'CP RESUMO'!BB52,"")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RESUMO'!BC10</f>
        <v/>
      </c>
      <c r="N56" s="139">
        <f>MAX(0,M56-M55)</f>
        <v/>
      </c>
      <c r="O56" s="138">
        <f>IF(B56&lt;='VALOR POR PL'!$P$5,'CP RESUMO'!BC52,"")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RESUMO'!BD10</f>
        <v/>
      </c>
      <c r="N57" s="139">
        <f>MAX(0,M57-M56)</f>
        <v/>
      </c>
      <c r="O57" s="138">
        <f>IF(B57&lt;='VALOR POR PL'!$P$5,'CP RESUMO'!BD52,"")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RESUMO'!BE10</f>
        <v/>
      </c>
      <c r="N58" s="139">
        <f>MAX(0,M58-M57)</f>
        <v/>
      </c>
      <c r="O58" s="138">
        <f>IF(B58&lt;='VALOR POR PL'!$P$5,'CP RESUMO'!BE52,"")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RESUMO'!BF10</f>
        <v/>
      </c>
      <c r="N59" s="139">
        <f>MAX(0,M59-M58)</f>
        <v/>
      </c>
      <c r="O59" s="138">
        <f>IF(B59&lt;='VALOR POR PL'!$P$5,'CP RESUMO'!BF52,"")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RESUMO'!BG10</f>
        <v/>
      </c>
      <c r="N60" s="139">
        <f>MAX(0,M60-M59)</f>
        <v/>
      </c>
      <c r="O60" s="138">
        <f>IF(B60&lt;='VALOR POR PL'!$P$5,'CP RESUMO'!BG52,"")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RESUMO'!BH10</f>
        <v/>
      </c>
      <c r="N61" s="139">
        <f>MAX(0,M61-M60)</f>
        <v/>
      </c>
      <c r="O61" s="138">
        <f>IF(B61&lt;='VALOR POR PL'!$P$5,'CP RESUMO'!BH52,"")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RESUMO'!BI10</f>
        <v/>
      </c>
      <c r="N62" s="139">
        <f>MAX(0,M62-M61)</f>
        <v/>
      </c>
      <c r="O62" s="138">
        <f>IF(B62&lt;='VALOR POR PL'!$P$5,'CP RESUMO'!BI52,"")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RESUMO'!BJ10</f>
        <v/>
      </c>
      <c r="N63" s="139">
        <f>MAX(0,M63-M62)</f>
        <v/>
      </c>
      <c r="O63" s="138">
        <f>IF(B63&lt;='VALOR POR PL'!$P$5,'CP RESUMO'!BJ52,"")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RESUMO'!BK10</f>
        <v/>
      </c>
      <c r="N64" s="139">
        <f>MAX(0,M64-M63)</f>
        <v/>
      </c>
      <c r="O64" s="138">
        <f>IF(B64&lt;='VALOR POR PL'!$P$5,'CP RESUMO'!BK52,"")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RESUMO'!BL10</f>
        <v/>
      </c>
      <c r="N65" s="139">
        <f>MAX(0,M65-M64)</f>
        <v/>
      </c>
      <c r="O65" s="138">
        <f>IF(B65&lt;='VALOR POR PL'!$P$5,'CP RESUMO'!BL52,"")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RESUMO'!BM10</f>
        <v/>
      </c>
      <c r="N66" s="139">
        <f>MAX(0,M66-M65)</f>
        <v/>
      </c>
      <c r="O66" s="138">
        <f>IF(B66&lt;='VALOR POR PL'!$P$5,'CP RESUMO'!BM52,"")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RESUMO'!BN10</f>
        <v/>
      </c>
      <c r="N67" s="139">
        <f>MAX(0,M67-M66)</f>
        <v/>
      </c>
      <c r="O67" s="138">
        <f>IF(B67&lt;='VALOR POR PL'!$P$5,'CP RESUMO'!BN52,"")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RESUMO'!BO10</f>
        <v/>
      </c>
      <c r="N68" s="139">
        <f>MAX(0,M68-M67)</f>
        <v/>
      </c>
      <c r="O68" s="138">
        <f>IF(B68&lt;='VALOR POR PL'!$P$5,'CP RESUMO'!BO52,"")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RESUMO'!BP10</f>
        <v/>
      </c>
      <c r="N69" s="139">
        <f>MAX(0,M69-M68)</f>
        <v/>
      </c>
      <c r="O69" s="138">
        <f>IF(B69&lt;='VALOR POR PL'!$P$5,'CP RESUMO'!BP52,"")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RESUMO'!BQ10</f>
        <v/>
      </c>
      <c r="N70" s="139">
        <f>MAX(0,M70-M69)</f>
        <v/>
      </c>
      <c r="O70" s="138">
        <f>IF(B70&lt;='VALOR POR PL'!$P$5,'CP RESUMO'!BQ52,"")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RESUMO'!BR10</f>
        <v/>
      </c>
      <c r="N71" s="139">
        <f>MAX(0,M71-M70)</f>
        <v/>
      </c>
      <c r="O71" s="138">
        <f>IF(B71&lt;='VALOR POR PL'!$P$5,'CP RESUMO'!BR52,"")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RESUMO'!BS10</f>
        <v/>
      </c>
      <c r="N72" s="139">
        <f>MAX(0,M72-M71)</f>
        <v/>
      </c>
      <c r="O72" s="138">
        <f>IF(B72&lt;='VALOR POR PL'!$P$5,'CP RESUMO'!BS52,"")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RESUMO'!BT10</f>
        <v/>
      </c>
      <c r="N73" s="139">
        <f>MAX(0,M73-M72)</f>
        <v/>
      </c>
      <c r="O73" s="138">
        <f>IF(B73&lt;='VALOR POR PL'!$P$5,'CP RESUMO'!BT52,"")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RESUMO'!BU10</f>
        <v/>
      </c>
      <c r="N74" s="139">
        <f>MAX(0,M74-M73)</f>
        <v/>
      </c>
      <c r="O74" s="138">
        <f>IF(B74&lt;='VALOR POR PL'!$P$5,'CP RESUMO'!BU52,"")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RESUMO'!BV10</f>
        <v/>
      </c>
      <c r="N75" s="139">
        <f>MAX(0,M75-M74)</f>
        <v/>
      </c>
      <c r="O75" s="138">
        <f>IF(B75&lt;='VALOR POR PL'!$P$5,'CP RESUMO'!BV52,"")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RESUMO'!BW10</f>
        <v/>
      </c>
      <c r="N76" s="139">
        <f>MAX(0,M76-M75)</f>
        <v/>
      </c>
      <c r="O76" s="138">
        <f>IF(B76&lt;='VALOR POR PL'!$P$5,'CP RESUMO'!BW52,"")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PL'!F17</f>
        <v/>
      </c>
      <c r="K5" s="60">
        <f>'VALOR POR PL'!G17</f>
        <v/>
      </c>
      <c r="L5" s="60">
        <f>'DADOS HISTORICOS'!$BZ$11</f>
        <v/>
      </c>
      <c r="M5" s="138">
        <f>'CP RESUMO'!D11</f>
        <v/>
      </c>
      <c r="N5" s="139" t="n">
        <v>0</v>
      </c>
      <c r="O5" s="138">
        <f>IF(B5&lt;='VALOR POR PL'!$P$5,'CP RESUMO'!D53,"")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PL'!H17</f>
        <v/>
      </c>
      <c r="L6" s="49">
        <f>C6/IF(B6&lt;='VALOR POR PL'!$P$5,IFERROR(INDEX('"INCC-FGV"'!$B$2:$B$800,MATCH(B6,'"INCC-FGV"'!$A$2:$A$800,0)),$K$2),$K$2)</f>
        <v/>
      </c>
      <c r="M6" s="138">
        <f>'CP RESUMO'!E11</f>
        <v/>
      </c>
      <c r="N6" s="139">
        <f>MAX(0,M6-M5)</f>
        <v/>
      </c>
      <c r="O6" s="138">
        <f>IF(B6&lt;='VALOR POR PL'!$P$5,'CP RESUMO'!E53,"")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RESUMO'!F11</f>
        <v/>
      </c>
      <c r="N7" s="139">
        <f>MAX(0,M7-M6)</f>
        <v/>
      </c>
      <c r="O7" s="138">
        <f>IF(B7&lt;='VALOR POR PL'!$P$5,'CP RESUMO'!F53,"")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RESUMO'!G11</f>
        <v/>
      </c>
      <c r="N8" s="139">
        <f>MAX(0,M8-M7)</f>
        <v/>
      </c>
      <c r="O8" s="138">
        <f>IF(B8&lt;='VALOR POR PL'!$P$5,'CP RESUMO'!G53,"")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RESUMO'!H11</f>
        <v/>
      </c>
      <c r="N9" s="139">
        <f>MAX(0,M9-M8)</f>
        <v/>
      </c>
      <c r="O9" s="138">
        <f>IF(B9&lt;='VALOR POR PL'!$P$5,'CP RESUMO'!H53,"")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RESUMO'!I11</f>
        <v/>
      </c>
      <c r="N10" s="139">
        <f>MAX(0,M10-M9)</f>
        <v/>
      </c>
      <c r="O10" s="138">
        <f>IF(B10&lt;='VALOR POR PL'!$P$5,'CP RESUMO'!I53,"")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RESUMO'!J11</f>
        <v/>
      </c>
      <c r="N11" s="139">
        <f>MAX(0,M11-M10)</f>
        <v/>
      </c>
      <c r="O11" s="138">
        <f>IF(B11&lt;='VALOR POR PL'!$P$5,'CP RESUMO'!J53,"")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RESUMO'!K11</f>
        <v/>
      </c>
      <c r="N12" s="139">
        <f>MAX(0,M12-M11)</f>
        <v/>
      </c>
      <c r="O12" s="138">
        <f>IF(B12&lt;='VALOR POR PL'!$P$5,'CP RESUMO'!K53,"")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PL'!I17</f>
        <v/>
      </c>
      <c r="L13" s="49">
        <f>C13/IF(B13&lt;='VALOR POR PL'!$P$5,IFERROR(INDEX('"INCC-FGV"'!$B$2:$B$800,MATCH(B13,'"INCC-FGV"'!$A$2:$A$800,0)),$K$2),$K$2)</f>
        <v/>
      </c>
      <c r="M13" s="138">
        <f>'CP RESUMO'!L11</f>
        <v/>
      </c>
      <c r="N13" s="139">
        <f>MAX(0,M13-M12)</f>
        <v/>
      </c>
      <c r="O13" s="138">
        <f>IF(B13&lt;='VALOR POR PL'!$P$5,'CP RESUMO'!L53,"")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RESUMO'!$D$53:$BW$53,MATCH('VALOR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RESUMO'!M11</f>
        <v/>
      </c>
      <c r="N14" s="139">
        <f>MAX(0,M14-M13)</f>
        <v/>
      </c>
      <c r="O14" s="138">
        <f>IF(B14&lt;='VALOR POR PL'!$P$5,'CP RESUMO'!M53,"")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RESUMO'!N11</f>
        <v/>
      </c>
      <c r="N15" s="139">
        <f>MAX(0,M15-M14)</f>
        <v/>
      </c>
      <c r="O15" s="138">
        <f>IF(B15&lt;='VALOR POR PL'!$P$5,'CP RESUMO'!N53,"")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RESUMO'!O11</f>
        <v/>
      </c>
      <c r="N16" s="139">
        <f>MAX(0,M16-M15)</f>
        <v/>
      </c>
      <c r="O16" s="138">
        <f>IF(B16&lt;='VALOR POR PL'!$P$5,'CP RESUMO'!O53,"")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RESUMO'!P11</f>
        <v/>
      </c>
      <c r="N17" s="139">
        <f>MAX(0,M17-M16)</f>
        <v/>
      </c>
      <c r="O17" s="138">
        <f>IF(B17&lt;='VALOR POR PL'!$P$5,'CP RESUMO'!P53,"")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RESUMO'!Q11</f>
        <v/>
      </c>
      <c r="N18" s="139">
        <f>MAX(0,M18-M17)</f>
        <v/>
      </c>
      <c r="O18" s="138">
        <f>IF(B18&lt;='VALOR POR PL'!$P$5,'CP RESUMO'!Q53,"")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RESUMO'!R11</f>
        <v/>
      </c>
      <c r="N19" s="139">
        <f>MAX(0,M19-M18)</f>
        <v/>
      </c>
      <c r="O19" s="138">
        <f>IF(B19&lt;='VALOR POR PL'!$P$5,'CP RESUMO'!R53,"")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RESUMO'!S11</f>
        <v/>
      </c>
      <c r="N20" s="139">
        <f>MAX(0,M20-M19)</f>
        <v/>
      </c>
      <c r="O20" s="138">
        <f>IF(B20&lt;='VALOR POR PL'!$P$5,'CP RESUMO'!S53,"")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RESUMO'!T11</f>
        <v/>
      </c>
      <c r="N21" s="139">
        <f>MAX(0,M21-M20)</f>
        <v/>
      </c>
      <c r="O21" s="138">
        <f>IF(B21&lt;='VALOR POR PL'!$P$5,'CP RESUMO'!T53,"")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NÃO</t>
        </is>
      </c>
      <c r="L22" s="49">
        <f>C22/IF(B22&lt;='VALOR POR PL'!$P$5,IFERROR(INDEX('"INCC-FGV"'!$B$2:$B$800,MATCH(B22,'"INCC-FGV"'!$A$2:$A$800,0)),$K$2),$K$2)</f>
        <v/>
      </c>
      <c r="M22" s="138">
        <f>'CP RESUMO'!U11</f>
        <v/>
      </c>
      <c r="N22" s="139">
        <f>MAX(0,M22-M21)</f>
        <v/>
      </c>
      <c r="O22" s="138">
        <f>IF(B22&lt;='VALOR POR PL'!$P$5,'CP RESUMO'!U53,"")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RESUMO'!V11</f>
        <v/>
      </c>
      <c r="N23" s="139">
        <f>MAX(0,M23-M22)</f>
        <v/>
      </c>
      <c r="O23" s="138">
        <f>IF(B23&lt;='VALOR POR PL'!$P$5,'CP RESUMO'!V53,"")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L24" s="49">
        <f>C24/IF(B24&lt;='VALOR POR PL'!$P$5,IFERROR(INDEX('"INCC-FGV"'!$B$2:$B$800,MATCH(B24,'"INCC-FGV"'!$A$2:$A$800,0)),$K$2),$K$2)</f>
        <v/>
      </c>
      <c r="M24" s="138">
        <f>'CP RESUMO'!W11</f>
        <v/>
      </c>
      <c r="N24" s="139">
        <f>MAX(0,M24-M23)</f>
        <v/>
      </c>
      <c r="O24" s="138">
        <f>IF(B24&lt;='VALOR POR PL'!$P$5,'CP RESUMO'!W53,"")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RESUMO'!X11</f>
        <v/>
      </c>
      <c r="N25" s="139">
        <f>MAX(0,M25-M24)</f>
        <v/>
      </c>
      <c r="O25" s="138">
        <f>IF(B25&lt;='VALOR POR PL'!$P$5,'CP RESUMO'!X53,"")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2494.36</v>
      </c>
      <c r="L26" s="49">
        <f>C26/IF(B26&lt;='VALOR POR PL'!$P$5,IFERROR(INDEX('"INCC-FGV"'!$B$2:$B$800,MATCH(B26,'"INCC-FGV"'!$A$2:$A$800,0)),$K$2),$K$2)</f>
        <v/>
      </c>
      <c r="M26" s="138">
        <f>'CP RESUMO'!Y11</f>
        <v/>
      </c>
      <c r="N26" s="139">
        <f>MAX(0,M26-M25)</f>
        <v/>
      </c>
      <c r="O26" s="138">
        <f>IF(B26&lt;='VALOR POR PL'!$P$5,'CP RESUMO'!Y53,"")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2494.36</v>
      </c>
      <c r="L27" s="49">
        <f>C27/IF(B27&lt;='VALOR POR PL'!$P$5,IFERROR(INDEX('"INCC-FGV"'!$B$2:$B$800,MATCH(B27,'"INCC-FGV"'!$A$2:$A$800,0)),$K$2),$K$2)</f>
        <v/>
      </c>
      <c r="M27" s="138">
        <f>'CP RESUMO'!Z11</f>
        <v/>
      </c>
      <c r="N27" s="139">
        <f>MAX(0,M27-M26)</f>
        <v/>
      </c>
      <c r="O27" s="138">
        <f>IF(B27&lt;='VALOR POR PL'!$P$5,'CP RESUMO'!Z53,"")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2494.36</v>
      </c>
      <c r="L28" s="49">
        <f>C28/IF(B28&lt;='VALOR POR PL'!$P$5,IFERROR(INDEX('"INCC-FGV"'!$B$2:$B$800,MATCH(B28,'"INCC-FGV"'!$A$2:$A$800,0)),$K$2),$K$2)</f>
        <v/>
      </c>
      <c r="M28" s="138">
        <f>'CP RESUMO'!AA11</f>
        <v/>
      </c>
      <c r="N28" s="139">
        <f>MAX(0,M28-M27)</f>
        <v/>
      </c>
      <c r="O28" s="138">
        <f>IF(B28&lt;='VALOR POR PL'!$P$5,'CP RESUMO'!AA53,"")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2494.36</v>
      </c>
      <c r="L29" s="49">
        <f>C29/IF(B29&lt;='VALOR POR PL'!$P$5,IFERROR(INDEX('"INCC-FGV"'!$B$2:$B$800,MATCH(B29,'"INCC-FGV"'!$A$2:$A$800,0)),$K$2),$K$2)</f>
        <v/>
      </c>
      <c r="M29" s="138">
        <f>'CP RESUMO'!AB11</f>
        <v/>
      </c>
      <c r="N29" s="139">
        <f>MAX(0,M29-M28)</f>
        <v/>
      </c>
      <c r="O29" s="138">
        <f>IF(B29&lt;='VALOR POR PL'!$P$5,'CP RESUMO'!AB53,"")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2494.36</v>
      </c>
      <c r="L30" s="49">
        <f>C30/IF(B30&lt;='VALOR POR PL'!$P$5,IFERROR(INDEX('"INCC-FGV"'!$B$2:$B$800,MATCH(B30,'"INCC-FGV"'!$A$2:$A$800,0)),$K$2),$K$2)</f>
        <v/>
      </c>
      <c r="M30" s="138">
        <f>'CP RESUMO'!AC11</f>
        <v/>
      </c>
      <c r="N30" s="139">
        <f>MAX(0,M30-M29)</f>
        <v/>
      </c>
      <c r="O30" s="138">
        <f>IF(B30&lt;='VALOR POR PL'!$P$5,'CP RESUMO'!AC53,"")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2494.36</v>
      </c>
      <c r="L31" s="49">
        <f>C31/IF(B31&lt;='VALOR POR PL'!$P$5,IFERROR(INDEX('"INCC-FGV"'!$B$2:$B$800,MATCH(B31,'"INCC-FGV"'!$A$2:$A$800,0)),$K$2),$K$2)</f>
        <v/>
      </c>
      <c r="M31" s="138">
        <f>'CP RESUMO'!AD11</f>
        <v/>
      </c>
      <c r="N31" s="139">
        <f>MAX(0,M31-M30)</f>
        <v/>
      </c>
      <c r="O31" s="138">
        <f>IF(B31&lt;='VALOR POR PL'!$P$5,'CP RESUMO'!AD53,"")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2494.36</v>
      </c>
      <c r="L32" s="49">
        <f>C32/IF(B32&lt;='VALOR POR PL'!$P$5,IFERROR(INDEX('"INCC-FGV"'!$B$2:$B$800,MATCH(B32,'"INCC-FGV"'!$A$2:$A$800,0)),$K$2),$K$2)</f>
        <v/>
      </c>
      <c r="M32" s="138">
        <f>'CP RESUMO'!AE11</f>
        <v/>
      </c>
      <c r="N32" s="139">
        <f>MAX(0,M32-M31)</f>
        <v/>
      </c>
      <c r="O32" s="138">
        <f>IF(B32&lt;='VALOR POR PL'!$P$5,'CP RESUMO'!AE53,"")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2494.36</v>
      </c>
      <c r="L33" s="49">
        <f>C33/IF(B33&lt;='VALOR POR PL'!$P$5,IFERROR(INDEX('"INCC-FGV"'!$B$2:$B$800,MATCH(B33,'"INCC-FGV"'!$A$2:$A$800,0)),$K$2),$K$2)</f>
        <v/>
      </c>
      <c r="M33" s="138">
        <f>'CP RESUMO'!AF11</f>
        <v/>
      </c>
      <c r="N33" s="139">
        <f>MAX(0,M33-M32)</f>
        <v/>
      </c>
      <c r="O33" s="138">
        <f>IF(B33&lt;='VALOR POR PL'!$P$5,'CP RESUMO'!AF53,"")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2494.36</v>
      </c>
      <c r="L34" s="49">
        <f>C34/IF(B34&lt;='VALOR POR PL'!$P$5,IFERROR(INDEX('"INCC-FGV"'!$B$2:$B$800,MATCH(B34,'"INCC-FGV"'!$A$2:$A$800,0)),$K$2),$K$2)</f>
        <v/>
      </c>
      <c r="M34" s="138">
        <f>'CP RESUMO'!AG11</f>
        <v/>
      </c>
      <c r="N34" s="139">
        <f>MAX(0,M34-M33)</f>
        <v/>
      </c>
      <c r="O34" s="138">
        <f>IF(B34&lt;='VALOR POR PL'!$P$5,'CP RESUMO'!AG53,"")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2494.36</v>
      </c>
      <c r="L35" s="49">
        <f>C35/IF(B35&lt;='VALOR POR PL'!$P$5,IFERROR(INDEX('"INCC-FGV"'!$B$2:$B$800,MATCH(B35,'"INCC-FGV"'!$A$2:$A$800,0)),$K$2),$K$2)</f>
        <v/>
      </c>
      <c r="M35" s="138">
        <f>'CP RESUMO'!AH11</f>
        <v/>
      </c>
      <c r="N35" s="139">
        <f>MAX(0,M35-M34)</f>
        <v/>
      </c>
      <c r="O35" s="138">
        <f>IF(B35&lt;='VALOR POR PL'!$P$5,'CP RESUMO'!AH53,"")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2494.36</v>
      </c>
      <c r="L36" s="49">
        <f>C36/IF(B36&lt;='VALOR POR PL'!$P$5,IFERROR(INDEX('"INCC-FGV"'!$B$2:$B$800,MATCH(B36,'"INCC-FGV"'!$A$2:$A$800,0)),$K$2),$K$2)</f>
        <v/>
      </c>
      <c r="M36" s="138">
        <f>'CP RESUMO'!AI11</f>
        <v/>
      </c>
      <c r="N36" s="139">
        <f>MAX(0,M36-M35)</f>
        <v/>
      </c>
      <c r="O36" s="138">
        <f>IF(B36&lt;='VALOR POR PL'!$P$5,'CP RESUMO'!AI53,"")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2494.36</v>
      </c>
      <c r="L37" s="49">
        <f>C37/IF(B37&lt;='VALOR POR PL'!$P$5,IFERROR(INDEX('"INCC-FGV"'!$B$2:$B$800,MATCH(B37,'"INCC-FGV"'!$A$2:$A$800,0)),$K$2),$K$2)</f>
        <v/>
      </c>
      <c r="M37" s="138">
        <f>'CP RESUMO'!AJ11</f>
        <v/>
      </c>
      <c r="N37" s="139">
        <f>MAX(0,M37-M36)</f>
        <v/>
      </c>
      <c r="O37" s="138">
        <f>IF(B37&lt;='VALOR POR PL'!$P$5,'CP RESUMO'!AJ53,"")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2494.36</v>
      </c>
      <c r="L38" s="49">
        <f>C38/IF(B38&lt;='VALOR POR PL'!$P$5,IFERROR(INDEX('"INCC-FGV"'!$B$2:$B$800,MATCH(B38,'"INCC-FGV"'!$A$2:$A$800,0)),$K$2),$K$2)</f>
        <v/>
      </c>
      <c r="M38" s="138">
        <f>'CP RESUMO'!AK11</f>
        <v/>
      </c>
      <c r="N38" s="139">
        <f>MAX(0,M38-M37)</f>
        <v/>
      </c>
      <c r="O38" s="138">
        <f>IF(B38&lt;='VALOR POR PL'!$P$5,'CP RESUMO'!AK53,"")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2494.36</v>
      </c>
      <c r="L39" s="49">
        <f>C39/IF(B39&lt;='VALOR POR PL'!$P$5,IFERROR(INDEX('"INCC-FGV"'!$B$2:$B$800,MATCH(B39,'"INCC-FGV"'!$A$2:$A$800,0)),$K$2),$K$2)</f>
        <v/>
      </c>
      <c r="M39" s="138">
        <f>'CP RESUMO'!AL11</f>
        <v/>
      </c>
      <c r="N39" s="139">
        <f>MAX(0,M39-M38)</f>
        <v/>
      </c>
      <c r="O39" s="138">
        <f>IF(B39&lt;='VALOR POR PL'!$P$5,'CP RESUMO'!AL53,"")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2494.36</v>
      </c>
      <c r="L40" s="49">
        <f>C40/IF(B40&lt;='VALOR POR PL'!$P$5,IFERROR(INDEX('"INCC-FGV"'!$B$2:$B$800,MATCH(B40,'"INCC-FGV"'!$A$2:$A$800,0)),$K$2),$K$2)</f>
        <v/>
      </c>
      <c r="M40" s="138">
        <f>'CP RESUMO'!AM11</f>
        <v/>
      </c>
      <c r="N40" s="139">
        <f>MAX(0,M40-M39)</f>
        <v/>
      </c>
      <c r="O40" s="138">
        <f>IF(B40&lt;='VALOR POR PL'!$P$5,'CP RESUMO'!AM53,"")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2494.36</v>
      </c>
      <c r="L41" s="49">
        <f>C41/IF(B41&lt;='VALOR POR PL'!$P$5,IFERROR(INDEX('"INCC-FGV"'!$B$2:$B$800,MATCH(B41,'"INCC-FGV"'!$A$2:$A$800,0)),$K$2),$K$2)</f>
        <v/>
      </c>
      <c r="M41" s="138">
        <f>'CP RESUMO'!AN11</f>
        <v/>
      </c>
      <c r="N41" s="139">
        <f>MAX(0,M41-M40)</f>
        <v/>
      </c>
      <c r="O41" s="138">
        <f>IF(B41&lt;='VALOR POR PL'!$P$5,'CP RESUMO'!AN53,"")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2494.36</v>
      </c>
      <c r="L42" s="49">
        <f>C42/IF(B42&lt;='VALOR POR PL'!$P$5,IFERROR(INDEX('"INCC-FGV"'!$B$2:$B$800,MATCH(B42,'"INCC-FGV"'!$A$2:$A$800,0)),$K$2),$K$2)</f>
        <v/>
      </c>
      <c r="M42" s="138">
        <f>'CP RESUMO'!AO11</f>
        <v/>
      </c>
      <c r="N42" s="139">
        <f>MAX(0,M42-M41)</f>
        <v/>
      </c>
      <c r="O42" s="138">
        <f>IF(B42&lt;='VALOR POR PL'!$P$5,'CP RESUMO'!AO53,"")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2494.36</v>
      </c>
      <c r="L43" s="49">
        <f>C43/IF(B43&lt;='VALOR POR PL'!$P$5,IFERROR(INDEX('"INCC-FGV"'!$B$2:$B$800,MATCH(B43,'"INCC-FGV"'!$A$2:$A$800,0)),$K$2),$K$2)</f>
        <v/>
      </c>
      <c r="M43" s="138">
        <f>'CP RESUMO'!AP11</f>
        <v/>
      </c>
      <c r="N43" s="139">
        <f>MAX(0,M43-M42)</f>
        <v/>
      </c>
      <c r="O43" s="138">
        <f>IF(B43&lt;='VALOR POR PL'!$P$5,'CP RESUMO'!AP53,"")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2494.36</v>
      </c>
      <c r="L44" s="49">
        <f>C44/IF(B44&lt;='VALOR POR PL'!$P$5,IFERROR(INDEX('"INCC-FGV"'!$B$2:$B$800,MATCH(B44,'"INCC-FGV"'!$A$2:$A$800,0)),$K$2),$K$2)</f>
        <v/>
      </c>
      <c r="M44" s="138">
        <f>'CP RESUMO'!AQ11</f>
        <v/>
      </c>
      <c r="N44" s="139">
        <f>MAX(0,M44-M43)</f>
        <v/>
      </c>
      <c r="O44" s="138">
        <f>IF(B44&lt;='VALOR POR PL'!$P$5,'CP RESUMO'!AQ53,"")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2494.36</v>
      </c>
      <c r="L45" s="49">
        <f>C45/IF(B45&lt;='VALOR POR PL'!$P$5,IFERROR(INDEX('"INCC-FGV"'!$B$2:$B$800,MATCH(B45,'"INCC-FGV"'!$A$2:$A$800,0)),$K$2),$K$2)</f>
        <v/>
      </c>
      <c r="M45" s="138">
        <f>'CP RESUMO'!AR11</f>
        <v/>
      </c>
      <c r="N45" s="139">
        <f>MAX(0,M45-M44)</f>
        <v/>
      </c>
      <c r="O45" s="138">
        <f>IF(B45&lt;='VALOR POR PL'!$P$5,'CP RESUMO'!AR53,"")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2494.36</v>
      </c>
      <c r="L46" s="49">
        <f>C46/IF(B46&lt;='VALOR POR PL'!$P$5,IFERROR(INDEX('"INCC-FGV"'!$B$2:$B$800,MATCH(B46,'"INCC-FGV"'!$A$2:$A$800,0)),$K$2),$K$2)</f>
        <v/>
      </c>
      <c r="M46" s="138">
        <f>'CP RESUMO'!AS11</f>
        <v/>
      </c>
      <c r="N46" s="139">
        <f>MAX(0,M46-M45)</f>
        <v/>
      </c>
      <c r="O46" s="138">
        <f>IF(B46&lt;='VALOR POR PL'!$P$5,'CP RESUMO'!AS53,"")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2494.36</v>
      </c>
      <c r="L47" s="49">
        <f>C47/IF(B47&lt;='VALOR POR PL'!$P$5,IFERROR(INDEX('"INCC-FGV"'!$B$2:$B$800,MATCH(B47,'"INCC-FGV"'!$A$2:$A$800,0)),$K$2),$K$2)</f>
        <v/>
      </c>
      <c r="M47" s="138">
        <f>'CP RESUMO'!AT11</f>
        <v/>
      </c>
      <c r="N47" s="139">
        <f>MAX(0,M47-M46)</f>
        <v/>
      </c>
      <c r="O47" s="138">
        <f>IF(B47&lt;='VALOR POR PL'!$P$5,'CP RESUMO'!AT53,"")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2494.36</v>
      </c>
      <c r="L48" s="49">
        <f>C48/IF(B48&lt;='VALOR POR PL'!$P$5,IFERROR(INDEX('"INCC-FGV"'!$B$2:$B$800,MATCH(B48,'"INCC-FGV"'!$A$2:$A$800,0)),$K$2),$K$2)</f>
        <v/>
      </c>
      <c r="M48" s="138">
        <f>'CP RESUMO'!AU11</f>
        <v/>
      </c>
      <c r="N48" s="139">
        <f>MAX(0,M48-M47)</f>
        <v/>
      </c>
      <c r="O48" s="138">
        <f>IF(B48&lt;='VALOR POR PL'!$P$5,'CP RESUMO'!AU53,"")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2494.36</v>
      </c>
      <c r="L49" s="49">
        <f>C49/IF(B49&lt;='VALOR POR PL'!$P$5,IFERROR(INDEX('"INCC-FGV"'!$B$2:$B$800,MATCH(B49,'"INCC-FGV"'!$A$2:$A$800,0)),$K$2),$K$2)</f>
        <v/>
      </c>
      <c r="M49" s="138">
        <f>'CP RESUMO'!AV11</f>
        <v/>
      </c>
      <c r="N49" s="139">
        <f>MAX(0,M49-M48)</f>
        <v/>
      </c>
      <c r="O49" s="138">
        <f>IF(B49&lt;='VALOR POR PL'!$P$5,'CP RESUMO'!AV53,"")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2494.36</v>
      </c>
      <c r="L50" s="49">
        <f>C50/IF(B50&lt;='VALOR POR PL'!$P$5,IFERROR(INDEX('"INCC-FGV"'!$B$2:$B$800,MATCH(B50,'"INCC-FGV"'!$A$2:$A$800,0)),$K$2),$K$2)</f>
        <v/>
      </c>
      <c r="M50" s="138">
        <f>'CP RESUMO'!AW11</f>
        <v/>
      </c>
      <c r="N50" s="139">
        <f>MAX(0,M50-M49)</f>
        <v/>
      </c>
      <c r="O50" s="138">
        <f>IF(B50&lt;='VALOR POR PL'!$P$5,'CP RESUMO'!AW53,"")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2494.36</v>
      </c>
      <c r="L51" s="49">
        <f>C51/IF(B51&lt;='VALOR POR PL'!$P$5,IFERROR(INDEX('"INCC-FGV"'!$B$2:$B$800,MATCH(B51,'"INCC-FGV"'!$A$2:$A$800,0)),$K$2),$K$2)</f>
        <v/>
      </c>
      <c r="M51" s="138">
        <f>'CP RESUMO'!AX11</f>
        <v/>
      </c>
      <c r="N51" s="139">
        <f>MAX(0,M51-M50)</f>
        <v/>
      </c>
      <c r="O51" s="138">
        <f>IF(B51&lt;='VALOR POR PL'!$P$5,'CP RESUMO'!AX53,"")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RESUMO'!AY11</f>
        <v/>
      </c>
      <c r="N52" s="139">
        <f>MAX(0,M52-M51)</f>
        <v/>
      </c>
      <c r="O52" s="138">
        <f>IF(B52&lt;='VALOR POR PL'!$P$5,'CP RESUMO'!AY53,"")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RESUMO'!AZ11</f>
        <v/>
      </c>
      <c r="N53" s="139">
        <f>MAX(0,M53-M52)</f>
        <v/>
      </c>
      <c r="O53" s="138">
        <f>IF(B53&lt;='VALOR POR PL'!$P$5,'CP RESUMO'!AZ53,"")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RESUMO'!BA11</f>
        <v/>
      </c>
      <c r="N54" s="139">
        <f>MAX(0,M54-M53)</f>
        <v/>
      </c>
      <c r="O54" s="138">
        <f>IF(B54&lt;='VALOR POR PL'!$P$5,'CP RESUMO'!BA53,"")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RESUMO'!BB11</f>
        <v/>
      </c>
      <c r="N55" s="139">
        <f>MAX(0,M55-M54)</f>
        <v/>
      </c>
      <c r="O55" s="138">
        <f>IF(B55&lt;='VALOR POR PL'!$P$5,'CP RESUMO'!BB53,"")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RESUMO'!BC11</f>
        <v/>
      </c>
      <c r="N56" s="139">
        <f>MAX(0,M56-M55)</f>
        <v/>
      </c>
      <c r="O56" s="138">
        <f>IF(B56&lt;='VALOR POR PL'!$P$5,'CP RESUMO'!BC53,"")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RESUMO'!BD11</f>
        <v/>
      </c>
      <c r="N57" s="139">
        <f>MAX(0,M57-M56)</f>
        <v/>
      </c>
      <c r="O57" s="138">
        <f>IF(B57&lt;='VALOR POR PL'!$P$5,'CP RESUMO'!BD53,"")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RESUMO'!BE11</f>
        <v/>
      </c>
      <c r="N58" s="139">
        <f>MAX(0,M58-M57)</f>
        <v/>
      </c>
      <c r="O58" s="138">
        <f>IF(B58&lt;='VALOR POR PL'!$P$5,'CP RESUMO'!BE53,"")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RESUMO'!BF11</f>
        <v/>
      </c>
      <c r="N59" s="139">
        <f>MAX(0,M59-M58)</f>
        <v/>
      </c>
      <c r="O59" s="138">
        <f>IF(B59&lt;='VALOR POR PL'!$P$5,'CP RESUMO'!BF53,"")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RESUMO'!BG11</f>
        <v/>
      </c>
      <c r="N60" s="139">
        <f>MAX(0,M60-M59)</f>
        <v/>
      </c>
      <c r="O60" s="138">
        <f>IF(B60&lt;='VALOR POR PL'!$P$5,'CP RESUMO'!BG53,"")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RESUMO'!BH11</f>
        <v/>
      </c>
      <c r="N61" s="139">
        <f>MAX(0,M61-M60)</f>
        <v/>
      </c>
      <c r="O61" s="138">
        <f>IF(B61&lt;='VALOR POR PL'!$P$5,'CP RESUMO'!BH53,"")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RESUMO'!BI11</f>
        <v/>
      </c>
      <c r="N62" s="139">
        <f>MAX(0,M62-M61)</f>
        <v/>
      </c>
      <c r="O62" s="138">
        <f>IF(B62&lt;='VALOR POR PL'!$P$5,'CP RESUMO'!BI53,"")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RESUMO'!BJ11</f>
        <v/>
      </c>
      <c r="N63" s="139">
        <f>MAX(0,M63-M62)</f>
        <v/>
      </c>
      <c r="O63" s="138">
        <f>IF(B63&lt;='VALOR POR PL'!$P$5,'CP RESUMO'!BJ53,"")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RESUMO'!BK11</f>
        <v/>
      </c>
      <c r="N64" s="139">
        <f>MAX(0,M64-M63)</f>
        <v/>
      </c>
      <c r="O64" s="138">
        <f>IF(B64&lt;='VALOR POR PL'!$P$5,'CP RESUMO'!BK53,"")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RESUMO'!BL11</f>
        <v/>
      </c>
      <c r="N65" s="139">
        <f>MAX(0,M65-M64)</f>
        <v/>
      </c>
      <c r="O65" s="138">
        <f>IF(B65&lt;='VALOR POR PL'!$P$5,'CP RESUMO'!BL53,"")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RESUMO'!BM11</f>
        <v/>
      </c>
      <c r="N66" s="139">
        <f>MAX(0,M66-M65)</f>
        <v/>
      </c>
      <c r="O66" s="138">
        <f>IF(B66&lt;='VALOR POR PL'!$P$5,'CP RESUMO'!BM53,"")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RESUMO'!BN11</f>
        <v/>
      </c>
      <c r="N67" s="139">
        <f>MAX(0,M67-M66)</f>
        <v/>
      </c>
      <c r="O67" s="138">
        <f>IF(B67&lt;='VALOR POR PL'!$P$5,'CP RESUMO'!BN53,"")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RESUMO'!BO11</f>
        <v/>
      </c>
      <c r="N68" s="139">
        <f>MAX(0,M68-M67)</f>
        <v/>
      </c>
      <c r="O68" s="138">
        <f>IF(B68&lt;='VALOR POR PL'!$P$5,'CP RESUMO'!BO53,"")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RESUMO'!BP11</f>
        <v/>
      </c>
      <c r="N69" s="139">
        <f>MAX(0,M69-M68)</f>
        <v/>
      </c>
      <c r="O69" s="138">
        <f>IF(B69&lt;='VALOR POR PL'!$P$5,'CP RESUMO'!BP53,"")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RESUMO'!BQ11</f>
        <v/>
      </c>
      <c r="N70" s="139">
        <f>MAX(0,M70-M69)</f>
        <v/>
      </c>
      <c r="O70" s="138">
        <f>IF(B70&lt;='VALOR POR PL'!$P$5,'CP RESUMO'!BQ53,"")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RESUMO'!BR11</f>
        <v/>
      </c>
      <c r="N71" s="139">
        <f>MAX(0,M71-M70)</f>
        <v/>
      </c>
      <c r="O71" s="138">
        <f>IF(B71&lt;='VALOR POR PL'!$P$5,'CP RESUMO'!BR53,"")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RESUMO'!BS11</f>
        <v/>
      </c>
      <c r="N72" s="139">
        <f>MAX(0,M72-M71)</f>
        <v/>
      </c>
      <c r="O72" s="138">
        <f>IF(B72&lt;='VALOR POR PL'!$P$5,'CP RESUMO'!BS53,"")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RESUMO'!BT11</f>
        <v/>
      </c>
      <c r="N73" s="139">
        <f>MAX(0,M73-M72)</f>
        <v/>
      </c>
      <c r="O73" s="138">
        <f>IF(B73&lt;='VALOR POR PL'!$P$5,'CP RESUMO'!BT53,"")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RESUMO'!BU11</f>
        <v/>
      </c>
      <c r="N74" s="139">
        <f>MAX(0,M74-M73)</f>
        <v/>
      </c>
      <c r="O74" s="138">
        <f>IF(B74&lt;='VALOR POR PL'!$P$5,'CP RESUMO'!BU53,"")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RESUMO'!BV11</f>
        <v/>
      </c>
      <c r="N75" s="139">
        <f>MAX(0,M75-M74)</f>
        <v/>
      </c>
      <c r="O75" s="138">
        <f>IF(B75&lt;='VALOR POR PL'!$P$5,'CP RESUMO'!BV53,"")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RESUMO'!BW11</f>
        <v/>
      </c>
      <c r="N76" s="139">
        <f>MAX(0,M76-M75)</f>
        <v/>
      </c>
      <c r="O76" s="138">
        <f>IF(B76&lt;='VALOR POR PL'!$P$5,'CP RESUMO'!BW53,"")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PL'!F18</f>
        <v/>
      </c>
      <c r="K5" s="60">
        <f>'VALOR POR PL'!G18</f>
        <v/>
      </c>
      <c r="L5" s="60">
        <f>'DADOS HISTORICOS'!$BZ$12</f>
        <v/>
      </c>
      <c r="M5" s="138">
        <f>'CP RESUMO'!D12</f>
        <v/>
      </c>
      <c r="N5" s="139" t="n">
        <v>0</v>
      </c>
      <c r="O5" s="138">
        <f>IF(B5&lt;='VALOR POR PL'!$P$5,'CP RESUMO'!D54,"")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PL'!H18</f>
        <v/>
      </c>
      <c r="L6" s="49">
        <f>C6/IF(B6&lt;='VALOR POR PL'!$P$5,IFERROR(INDEX('"INCC-FGV"'!$B$2:$B$800,MATCH(B6,'"INCC-FGV"'!$A$2:$A$800,0)),$K$2),$K$2)</f>
        <v/>
      </c>
      <c r="M6" s="138">
        <f>'CP RESUMO'!E12</f>
        <v/>
      </c>
      <c r="N6" s="139">
        <f>MAX(0,M6-M5)</f>
        <v/>
      </c>
      <c r="O6" s="138">
        <f>IF(B6&lt;='VALOR POR PL'!$P$5,'CP RESUMO'!E54,"")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RESUMO'!F12</f>
        <v/>
      </c>
      <c r="N7" s="139">
        <f>MAX(0,M7-M6)</f>
        <v/>
      </c>
      <c r="O7" s="138">
        <f>IF(B7&lt;='VALOR POR PL'!$P$5,'CP RESUMO'!F54,"")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RESUMO'!G12</f>
        <v/>
      </c>
      <c r="N8" s="139">
        <f>MAX(0,M8-M7)</f>
        <v/>
      </c>
      <c r="O8" s="138">
        <f>IF(B8&lt;='VALOR POR PL'!$P$5,'CP RESUMO'!G54,"")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RESUMO'!H12</f>
        <v/>
      </c>
      <c r="N9" s="139">
        <f>MAX(0,M9-M8)</f>
        <v/>
      </c>
      <c r="O9" s="138">
        <f>IF(B9&lt;='VALOR POR PL'!$P$5,'CP RESUMO'!H54,"")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RESUMO'!I12</f>
        <v/>
      </c>
      <c r="N10" s="139">
        <f>MAX(0,M10-M9)</f>
        <v/>
      </c>
      <c r="O10" s="138">
        <f>IF(B10&lt;='VALOR POR PL'!$P$5,'CP RESUMO'!I54,"")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RESUMO'!J12</f>
        <v/>
      </c>
      <c r="N11" s="139">
        <f>MAX(0,M11-M10)</f>
        <v/>
      </c>
      <c r="O11" s="138">
        <f>IF(B11&lt;='VALOR POR PL'!$P$5,'CP RESUMO'!J54,"")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RESUMO'!K12</f>
        <v/>
      </c>
      <c r="N12" s="139">
        <f>MAX(0,M12-M11)</f>
        <v/>
      </c>
      <c r="O12" s="138">
        <f>IF(B12&lt;='VALOR POR PL'!$P$5,'CP RESUMO'!K54,"")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PL'!I18</f>
        <v/>
      </c>
      <c r="L13" s="49">
        <f>C13/IF(B13&lt;='VALOR POR PL'!$P$5,IFERROR(INDEX('"INCC-FGV"'!$B$2:$B$800,MATCH(B13,'"INCC-FGV"'!$A$2:$A$800,0)),$K$2),$K$2)</f>
        <v/>
      </c>
      <c r="M13" s="138">
        <f>'CP RESUMO'!L12</f>
        <v/>
      </c>
      <c r="N13" s="139">
        <f>MAX(0,M13-M12)</f>
        <v/>
      </c>
      <c r="O13" s="138">
        <f>IF(B13&lt;='VALOR POR PL'!$P$5,'CP RESUMO'!L54,"")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RESUMO'!$D$54:$BW$54,MATCH('VALOR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RESUMO'!M12</f>
        <v/>
      </c>
      <c r="N14" s="139">
        <f>MAX(0,M14-M13)</f>
        <v/>
      </c>
      <c r="O14" s="138">
        <f>IF(B14&lt;='VALOR POR PL'!$P$5,'CP RESUMO'!M54,"")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RESUMO'!N12</f>
        <v/>
      </c>
      <c r="N15" s="139">
        <f>MAX(0,M15-M14)</f>
        <v/>
      </c>
      <c r="O15" s="138">
        <f>IF(B15&lt;='VALOR POR PL'!$P$5,'CP RESUMO'!N54,"")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RESUMO'!O12</f>
        <v/>
      </c>
      <c r="N16" s="139">
        <f>MAX(0,M16-M15)</f>
        <v/>
      </c>
      <c r="O16" s="138">
        <f>IF(B16&lt;='VALOR POR PL'!$P$5,'CP RESUMO'!O54,"")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RESUMO'!P12</f>
        <v/>
      </c>
      <c r="N17" s="139">
        <f>MAX(0,M17-M16)</f>
        <v/>
      </c>
      <c r="O17" s="138">
        <f>IF(B17&lt;='VALOR POR PL'!$P$5,'CP RESUMO'!P54,"")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RESUMO'!Q12</f>
        <v/>
      </c>
      <c r="N18" s="139">
        <f>MAX(0,M18-M17)</f>
        <v/>
      </c>
      <c r="O18" s="138">
        <f>IF(B18&lt;='VALOR POR PL'!$P$5,'CP RESUMO'!Q54,"")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RESUMO'!R12</f>
        <v/>
      </c>
      <c r="N19" s="139">
        <f>MAX(0,M19-M18)</f>
        <v/>
      </c>
      <c r="O19" s="138">
        <f>IF(B19&lt;='VALOR POR PL'!$P$5,'CP RESUMO'!R54,"")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RESUMO'!S12</f>
        <v/>
      </c>
      <c r="N20" s="139">
        <f>MAX(0,M20-M19)</f>
        <v/>
      </c>
      <c r="O20" s="138">
        <f>IF(B20&lt;='VALOR POR PL'!$P$5,'CP RESUMO'!S54,"")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RESUMO'!T12</f>
        <v/>
      </c>
      <c r="N21" s="139">
        <f>MAX(0,M21-M20)</f>
        <v/>
      </c>
      <c r="O21" s="138">
        <f>IF(B21&lt;='VALOR POR PL'!$P$5,'CP RESUMO'!T54,"")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RESUMO'!U12</f>
        <v/>
      </c>
      <c r="N22" s="139">
        <f>MAX(0,M22-M21)</f>
        <v/>
      </c>
      <c r="O22" s="138">
        <f>IF(B22&lt;='VALOR POR PL'!$P$5,'CP RESUMO'!U54,"")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RESUMO'!V12</f>
        <v/>
      </c>
      <c r="N23" s="139">
        <f>MAX(0,M23-M22)</f>
        <v/>
      </c>
      <c r="O23" s="138">
        <f>IF(B23&lt;='VALOR POR PL'!$P$5,'CP RESUMO'!V54,"")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RESUMO'!W12</f>
        <v/>
      </c>
      <c r="N24" s="139">
        <f>MAX(0,M24-M23)</f>
        <v/>
      </c>
      <c r="O24" s="138">
        <f>IF(B24&lt;='VALOR POR PL'!$P$5,'CP RESUMO'!W54,"")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RESUMO'!X12</f>
        <v/>
      </c>
      <c r="N25" s="139">
        <f>MAX(0,M25-M24)</f>
        <v/>
      </c>
      <c r="O25" s="138">
        <f>IF(B25&lt;='VALOR POR PL'!$P$5,'CP RESUMO'!X54,"")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9977.450000000001</v>
      </c>
      <c r="L26" s="49">
        <f>C26/IF(B26&lt;='VALOR POR PL'!$P$5,IFERROR(INDEX('"INCC-FGV"'!$B$2:$B$800,MATCH(B26,'"INCC-FGV"'!$A$2:$A$800,0)),$K$2),$K$2)</f>
        <v/>
      </c>
      <c r="M26" s="138">
        <f>'CP RESUMO'!Y12</f>
        <v/>
      </c>
      <c r="N26" s="139">
        <f>MAX(0,M26-M25)</f>
        <v/>
      </c>
      <c r="O26" s="138">
        <f>IF(B26&lt;='VALOR POR PL'!$P$5,'CP RESUMO'!Y54,"")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9977.450000000001</v>
      </c>
      <c r="L27" s="49">
        <f>C27/IF(B27&lt;='VALOR POR PL'!$P$5,IFERROR(INDEX('"INCC-FGV"'!$B$2:$B$800,MATCH(B27,'"INCC-FGV"'!$A$2:$A$800,0)),$K$2),$K$2)</f>
        <v/>
      </c>
      <c r="M27" s="138">
        <f>'CP RESUMO'!Z12</f>
        <v/>
      </c>
      <c r="N27" s="139">
        <f>MAX(0,M27-M26)</f>
        <v/>
      </c>
      <c r="O27" s="138">
        <f>IF(B27&lt;='VALOR POR PL'!$P$5,'CP RESUMO'!Z54,"")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8730.27</v>
      </c>
      <c r="L28" s="49">
        <f>C28/IF(B28&lt;='VALOR POR PL'!$P$5,IFERROR(INDEX('"INCC-FGV"'!$B$2:$B$800,MATCH(B28,'"INCC-FGV"'!$A$2:$A$800,0)),$K$2),$K$2)</f>
        <v/>
      </c>
      <c r="M28" s="138">
        <f>'CP RESUMO'!AA12</f>
        <v/>
      </c>
      <c r="N28" s="139">
        <f>MAX(0,M28-M27)</f>
        <v/>
      </c>
      <c r="O28" s="138">
        <f>IF(B28&lt;='VALOR POR PL'!$P$5,'CP RESUMO'!AA54,"")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12471.81</v>
      </c>
      <c r="L29" s="49">
        <f>C29/IF(B29&lt;='VALOR POR PL'!$P$5,IFERROR(INDEX('"INCC-FGV"'!$B$2:$B$800,MATCH(B29,'"INCC-FGV"'!$A$2:$A$800,0)),$K$2),$K$2)</f>
        <v/>
      </c>
      <c r="M29" s="138">
        <f>'CP RESUMO'!AB12</f>
        <v/>
      </c>
      <c r="N29" s="139">
        <f>MAX(0,M29-M28)</f>
        <v/>
      </c>
      <c r="O29" s="138">
        <f>IF(B29&lt;='VALOR POR PL'!$P$5,'CP RESUMO'!AB54,"")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33723.77</v>
      </c>
      <c r="L30" s="49">
        <f>C30/IF(B30&lt;='VALOR POR PL'!$P$5,IFERROR(INDEX('"INCC-FGV"'!$B$2:$B$800,MATCH(B30,'"INCC-FGV"'!$A$2:$A$800,0)),$K$2),$K$2)</f>
        <v/>
      </c>
      <c r="M30" s="138">
        <f>'CP RESUMO'!AC12</f>
        <v/>
      </c>
      <c r="N30" s="139">
        <f>MAX(0,M30-M29)</f>
        <v/>
      </c>
      <c r="O30" s="138">
        <f>IF(B30&lt;='VALOR POR PL'!$P$5,'CP RESUMO'!AC54,"")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42042.47</v>
      </c>
      <c r="L31" s="49">
        <f>C31/IF(B31&lt;='VALOR POR PL'!$P$5,IFERROR(INDEX('"INCC-FGV"'!$B$2:$B$800,MATCH(B31,'"INCC-FGV"'!$A$2:$A$800,0)),$K$2),$K$2)</f>
        <v/>
      </c>
      <c r="M31" s="138">
        <f>'CP RESUMO'!AD12</f>
        <v/>
      </c>
      <c r="N31" s="139">
        <f>MAX(0,M31-M30)</f>
        <v/>
      </c>
      <c r="O31" s="138">
        <f>IF(B31&lt;='VALOR POR PL'!$P$5,'CP RESUMO'!AD54,"")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47530.07</v>
      </c>
      <c r="L32" s="49">
        <f>C32/IF(B32&lt;='VALOR POR PL'!$P$5,IFERROR(INDEX('"INCC-FGV"'!$B$2:$B$800,MATCH(B32,'"INCC-FGV"'!$A$2:$A$800,0)),$K$2),$K$2)</f>
        <v/>
      </c>
      <c r="M32" s="138">
        <f>'CP RESUMO'!AE12</f>
        <v/>
      </c>
      <c r="N32" s="139">
        <f>MAX(0,M32-M31)</f>
        <v/>
      </c>
      <c r="O32" s="138">
        <f>IF(B32&lt;='VALOR POR PL'!$P$5,'CP RESUMO'!AE54,"")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42117.3</v>
      </c>
      <c r="L33" s="49">
        <f>C33/IF(B33&lt;='VALOR POR PL'!$P$5,IFERROR(INDEX('"INCC-FGV"'!$B$2:$B$800,MATCH(B33,'"INCC-FGV"'!$A$2:$A$800,0)),$K$2),$K$2)</f>
        <v/>
      </c>
      <c r="M33" s="138">
        <f>'CP RESUMO'!AF12</f>
        <v/>
      </c>
      <c r="N33" s="139">
        <f>MAX(0,M33-M32)</f>
        <v/>
      </c>
      <c r="O33" s="138">
        <f>IF(B33&lt;='VALOR POR PL'!$P$5,'CP RESUMO'!AF54,"")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36417.69</v>
      </c>
      <c r="L34" s="49">
        <f>C34/IF(B34&lt;='VALOR POR PL'!$P$5,IFERROR(INDEX('"INCC-FGV"'!$B$2:$B$800,MATCH(B34,'"INCC-FGV"'!$A$2:$A$800,0)),$K$2),$K$2)</f>
        <v/>
      </c>
      <c r="M34" s="138">
        <f>'CP RESUMO'!AG12</f>
        <v/>
      </c>
      <c r="N34" s="139">
        <f>MAX(0,M34-M33)</f>
        <v/>
      </c>
      <c r="O34" s="138">
        <f>IF(B34&lt;='VALOR POR PL'!$P$5,'CP RESUMO'!AG54,"")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43988.07</v>
      </c>
      <c r="L35" s="49">
        <f>C35/IF(B35&lt;='VALOR POR PL'!$P$5,IFERROR(INDEX('"INCC-FGV"'!$B$2:$B$800,MATCH(B35,'"INCC-FGV"'!$A$2:$A$800,0)),$K$2),$K$2)</f>
        <v/>
      </c>
      <c r="M35" s="138">
        <f>'CP RESUMO'!AH12</f>
        <v/>
      </c>
      <c r="N35" s="139">
        <f>MAX(0,M35-M34)</f>
        <v/>
      </c>
      <c r="O35" s="138">
        <f>IF(B35&lt;='VALOR POR PL'!$P$5,'CP RESUMO'!AH54,"")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38625.2</v>
      </c>
      <c r="L36" s="49">
        <f>C36/IF(B36&lt;='VALOR POR PL'!$P$5,IFERROR(INDEX('"INCC-FGV"'!$B$2:$B$800,MATCH(B36,'"INCC-FGV"'!$A$2:$A$800,0)),$K$2),$K$2)</f>
        <v/>
      </c>
      <c r="M36" s="138">
        <f>'CP RESUMO'!AI12</f>
        <v/>
      </c>
      <c r="N36" s="139">
        <f>MAX(0,M36-M35)</f>
        <v/>
      </c>
      <c r="O36" s="138">
        <f>IF(B36&lt;='VALOR POR PL'!$P$5,'CP RESUMO'!AI54,"")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31940.31</v>
      </c>
      <c r="L37" s="49">
        <f>C37/IF(B37&lt;='VALOR POR PL'!$P$5,IFERROR(INDEX('"INCC-FGV"'!$B$2:$B$800,MATCH(B37,'"INCC-FGV"'!$A$2:$A$800,0)),$K$2),$K$2)</f>
        <v/>
      </c>
      <c r="M37" s="138">
        <f>'CP RESUMO'!AJ12</f>
        <v/>
      </c>
      <c r="N37" s="139">
        <f>MAX(0,M37-M36)</f>
        <v/>
      </c>
      <c r="O37" s="138">
        <f>IF(B37&lt;='VALOR POR PL'!$P$5,'CP RESUMO'!AJ54,"")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36405.21</v>
      </c>
      <c r="L38" s="49">
        <f>C38/IF(B38&lt;='VALOR POR PL'!$P$5,IFERROR(INDEX('"INCC-FGV"'!$B$2:$B$800,MATCH(B38,'"INCC-FGV"'!$A$2:$A$800,0)),$K$2),$K$2)</f>
        <v/>
      </c>
      <c r="M38" s="138">
        <f>'CP RESUMO'!AK12</f>
        <v/>
      </c>
      <c r="N38" s="139">
        <f>MAX(0,M38-M37)</f>
        <v/>
      </c>
      <c r="O38" s="138">
        <f>IF(B38&lt;='VALOR POR PL'!$P$5,'CP RESUMO'!AK54,"")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37415.43</v>
      </c>
      <c r="L39" s="49">
        <f>C39/IF(B39&lt;='VALOR POR PL'!$P$5,IFERROR(INDEX('"INCC-FGV"'!$B$2:$B$800,MATCH(B39,'"INCC-FGV"'!$A$2:$A$800,0)),$K$2),$K$2)</f>
        <v/>
      </c>
      <c r="M39" s="138">
        <f>'CP RESUMO'!AL12</f>
        <v/>
      </c>
      <c r="N39" s="139">
        <f>MAX(0,M39-M38)</f>
        <v/>
      </c>
      <c r="O39" s="138">
        <f>IF(B39&lt;='VALOR POR PL'!$P$5,'CP RESUMO'!AL54,"")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37415.43</v>
      </c>
      <c r="L40" s="49">
        <f>C40/IF(B40&lt;='VALOR POR PL'!$P$5,IFERROR(INDEX('"INCC-FGV"'!$B$2:$B$800,MATCH(B40,'"INCC-FGV"'!$A$2:$A$800,0)),$K$2),$K$2)</f>
        <v/>
      </c>
      <c r="M40" s="138">
        <f>'CP RESUMO'!AM12</f>
        <v/>
      </c>
      <c r="N40" s="139">
        <f>MAX(0,M40-M39)</f>
        <v/>
      </c>
      <c r="O40" s="138">
        <f>IF(B40&lt;='VALOR POR PL'!$P$5,'CP RESUMO'!AM54,"")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36130.83</v>
      </c>
      <c r="L41" s="49">
        <f>C41/IF(B41&lt;='VALOR POR PL'!$P$5,IFERROR(INDEX('"INCC-FGV"'!$B$2:$B$800,MATCH(B41,'"INCC-FGV"'!$A$2:$A$800,0)),$K$2),$K$2)</f>
        <v/>
      </c>
      <c r="M41" s="138">
        <f>'CP RESUMO'!AN12</f>
        <v/>
      </c>
      <c r="N41" s="139">
        <f>MAX(0,M41-M40)</f>
        <v/>
      </c>
      <c r="O41" s="138">
        <f>IF(B41&lt;='VALOR POR PL'!$P$5,'CP RESUMO'!AN54,"")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37415.43</v>
      </c>
      <c r="L42" s="49">
        <f>C42/IF(B42&lt;='VALOR POR PL'!$P$5,IFERROR(INDEX('"INCC-FGV"'!$B$2:$B$800,MATCH(B42,'"INCC-FGV"'!$A$2:$A$800,0)),$K$2),$K$2)</f>
        <v/>
      </c>
      <c r="M42" s="138">
        <f>'CP RESUMO'!AO12</f>
        <v/>
      </c>
      <c r="N42" s="139">
        <f>MAX(0,M42-M41)</f>
        <v/>
      </c>
      <c r="O42" s="138">
        <f>IF(B42&lt;='VALOR POR PL'!$P$5,'CP RESUMO'!AO54,"")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37019.48</v>
      </c>
      <c r="L43" s="49">
        <f>C43/IF(B43&lt;='VALOR POR PL'!$P$5,IFERROR(INDEX('"INCC-FGV"'!$B$2:$B$800,MATCH(B43,'"INCC-FGV"'!$A$2:$A$800,0)),$K$2),$K$2)</f>
        <v/>
      </c>
      <c r="M43" s="138">
        <f>'CP RESUMO'!AP12</f>
        <v/>
      </c>
      <c r="N43" s="139">
        <f>MAX(0,M43-M42)</f>
        <v/>
      </c>
      <c r="O43" s="138">
        <f>IF(B43&lt;='VALOR POR PL'!$P$5,'CP RESUMO'!AP54,"")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RESUMO'!AQ12</f>
        <v/>
      </c>
      <c r="N44" s="139">
        <f>MAX(0,M44-M43)</f>
        <v/>
      </c>
      <c r="O44" s="138">
        <f>IF(B44&lt;='VALOR POR PL'!$P$5,'CP RESUMO'!AQ54,"")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RESUMO'!AR12</f>
        <v/>
      </c>
      <c r="N45" s="139">
        <f>MAX(0,M45-M44)</f>
        <v/>
      </c>
      <c r="O45" s="138">
        <f>IF(B45&lt;='VALOR POR PL'!$P$5,'CP RESUMO'!AR54,"")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RESUMO'!AS12</f>
        <v/>
      </c>
      <c r="N46" s="139">
        <f>MAX(0,M46-M45)</f>
        <v/>
      </c>
      <c r="O46" s="138">
        <f>IF(B46&lt;='VALOR POR PL'!$P$5,'CP RESUMO'!AS54,"")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RESUMO'!AT12</f>
        <v/>
      </c>
      <c r="N47" s="139">
        <f>MAX(0,M47-M46)</f>
        <v/>
      </c>
      <c r="O47" s="138">
        <f>IF(B47&lt;='VALOR POR PL'!$P$5,'CP RESUMO'!AT54,"")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RESUMO'!AU12</f>
        <v/>
      </c>
      <c r="N48" s="139">
        <f>MAX(0,M48-M47)</f>
        <v/>
      </c>
      <c r="O48" s="138">
        <f>IF(B48&lt;='VALOR POR PL'!$P$5,'CP RESUMO'!AU54,"")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RESUMO'!AV12</f>
        <v/>
      </c>
      <c r="N49" s="139">
        <f>MAX(0,M49-M48)</f>
        <v/>
      </c>
      <c r="O49" s="138">
        <f>IF(B49&lt;='VALOR POR PL'!$P$5,'CP RESUMO'!AV54,"")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RESUMO'!AW12</f>
        <v/>
      </c>
      <c r="N50" s="139">
        <f>MAX(0,M50-M49)</f>
        <v/>
      </c>
      <c r="O50" s="138">
        <f>IF(B50&lt;='VALOR POR PL'!$P$5,'CP RESUMO'!AW54,"")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RESUMO'!AX12</f>
        <v/>
      </c>
      <c r="N51" s="139">
        <f>MAX(0,M51-M50)</f>
        <v/>
      </c>
      <c r="O51" s="138">
        <f>IF(B51&lt;='VALOR POR PL'!$P$5,'CP RESUMO'!AX54,"")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RESUMO'!AY12</f>
        <v/>
      </c>
      <c r="N52" s="139">
        <f>MAX(0,M52-M51)</f>
        <v/>
      </c>
      <c r="O52" s="138">
        <f>IF(B52&lt;='VALOR POR PL'!$P$5,'CP RESUMO'!AY54,"")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RESUMO'!AZ12</f>
        <v/>
      </c>
      <c r="N53" s="139">
        <f>MAX(0,M53-M52)</f>
        <v/>
      </c>
      <c r="O53" s="138">
        <f>IF(B53&lt;='VALOR POR PL'!$P$5,'CP RESUMO'!AZ54,"")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RESUMO'!BA12</f>
        <v/>
      </c>
      <c r="N54" s="139">
        <f>MAX(0,M54-M53)</f>
        <v/>
      </c>
      <c r="O54" s="138">
        <f>IF(B54&lt;='VALOR POR PL'!$P$5,'CP RESUMO'!BA54,"")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RESUMO'!BB12</f>
        <v/>
      </c>
      <c r="N55" s="139">
        <f>MAX(0,M55-M54)</f>
        <v/>
      </c>
      <c r="O55" s="138">
        <f>IF(B55&lt;='VALOR POR PL'!$P$5,'CP RESUMO'!BB54,"")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RESUMO'!BC12</f>
        <v/>
      </c>
      <c r="N56" s="139">
        <f>MAX(0,M56-M55)</f>
        <v/>
      </c>
      <c r="O56" s="138">
        <f>IF(B56&lt;='VALOR POR PL'!$P$5,'CP RESUMO'!BC54,"")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RESUMO'!BD12</f>
        <v/>
      </c>
      <c r="N57" s="139">
        <f>MAX(0,M57-M56)</f>
        <v/>
      </c>
      <c r="O57" s="138">
        <f>IF(B57&lt;='VALOR POR PL'!$P$5,'CP RESUMO'!BD54,"")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RESUMO'!BE12</f>
        <v/>
      </c>
      <c r="N58" s="139">
        <f>MAX(0,M58-M57)</f>
        <v/>
      </c>
      <c r="O58" s="138">
        <f>IF(B58&lt;='VALOR POR PL'!$P$5,'CP RESUMO'!BE54,"")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RESUMO'!BF12</f>
        <v/>
      </c>
      <c r="N59" s="139">
        <f>MAX(0,M59-M58)</f>
        <v/>
      </c>
      <c r="O59" s="138">
        <f>IF(B59&lt;='VALOR POR PL'!$P$5,'CP RESUMO'!BF54,"")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RESUMO'!BG12</f>
        <v/>
      </c>
      <c r="N60" s="139">
        <f>MAX(0,M60-M59)</f>
        <v/>
      </c>
      <c r="O60" s="138">
        <f>IF(B60&lt;='VALOR POR PL'!$P$5,'CP RESUMO'!BG54,"")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RESUMO'!BH12</f>
        <v/>
      </c>
      <c r="N61" s="139">
        <f>MAX(0,M61-M60)</f>
        <v/>
      </c>
      <c r="O61" s="138">
        <f>IF(B61&lt;='VALOR POR PL'!$P$5,'CP RESUMO'!BH54,"")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RESUMO'!BI12</f>
        <v/>
      </c>
      <c r="N62" s="139">
        <f>MAX(0,M62-M61)</f>
        <v/>
      </c>
      <c r="O62" s="138">
        <f>IF(B62&lt;='VALOR POR PL'!$P$5,'CP RESUMO'!BI54,"")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RESUMO'!BJ12</f>
        <v/>
      </c>
      <c r="N63" s="139">
        <f>MAX(0,M63-M62)</f>
        <v/>
      </c>
      <c r="O63" s="138">
        <f>IF(B63&lt;='VALOR POR PL'!$P$5,'CP RESUMO'!BJ54,"")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RESUMO'!BK12</f>
        <v/>
      </c>
      <c r="N64" s="139">
        <f>MAX(0,M64-M63)</f>
        <v/>
      </c>
      <c r="O64" s="138">
        <f>IF(B64&lt;='VALOR POR PL'!$P$5,'CP RESUMO'!BK54,"")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RESUMO'!BL12</f>
        <v/>
      </c>
      <c r="N65" s="139">
        <f>MAX(0,M65-M64)</f>
        <v/>
      </c>
      <c r="O65" s="138">
        <f>IF(B65&lt;='VALOR POR PL'!$P$5,'CP RESUMO'!BL54,"")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RESUMO'!BM12</f>
        <v/>
      </c>
      <c r="N66" s="139">
        <f>MAX(0,M66-M65)</f>
        <v/>
      </c>
      <c r="O66" s="138">
        <f>IF(B66&lt;='VALOR POR PL'!$P$5,'CP RESUMO'!BM54,"")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RESUMO'!BN12</f>
        <v/>
      </c>
      <c r="N67" s="139">
        <f>MAX(0,M67-M66)</f>
        <v/>
      </c>
      <c r="O67" s="138">
        <f>IF(B67&lt;='VALOR POR PL'!$P$5,'CP RESUMO'!BN54,"")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RESUMO'!BO12</f>
        <v/>
      </c>
      <c r="N68" s="139">
        <f>MAX(0,M68-M67)</f>
        <v/>
      </c>
      <c r="O68" s="138">
        <f>IF(B68&lt;='VALOR POR PL'!$P$5,'CP RESUMO'!BO54,"")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RESUMO'!BP12</f>
        <v/>
      </c>
      <c r="N69" s="139">
        <f>MAX(0,M69-M68)</f>
        <v/>
      </c>
      <c r="O69" s="138">
        <f>IF(B69&lt;='VALOR POR PL'!$P$5,'CP RESUMO'!BP54,"")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RESUMO'!BQ12</f>
        <v/>
      </c>
      <c r="N70" s="139">
        <f>MAX(0,M70-M69)</f>
        <v/>
      </c>
      <c r="O70" s="138">
        <f>IF(B70&lt;='VALOR POR PL'!$P$5,'CP RESUMO'!BQ54,"")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RESUMO'!BR12</f>
        <v/>
      </c>
      <c r="N71" s="139">
        <f>MAX(0,M71-M70)</f>
        <v/>
      </c>
      <c r="O71" s="138">
        <f>IF(B71&lt;='VALOR POR PL'!$P$5,'CP RESUMO'!BR54,"")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RESUMO'!BS12</f>
        <v/>
      </c>
      <c r="N72" s="139">
        <f>MAX(0,M72-M71)</f>
        <v/>
      </c>
      <c r="O72" s="138">
        <f>IF(B72&lt;='VALOR POR PL'!$P$5,'CP RESUMO'!BS54,"")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RESUMO'!BT12</f>
        <v/>
      </c>
      <c r="N73" s="139">
        <f>MAX(0,M73-M72)</f>
        <v/>
      </c>
      <c r="O73" s="138">
        <f>IF(B73&lt;='VALOR POR PL'!$P$5,'CP RESUMO'!BT54,"")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RESUMO'!BU12</f>
        <v/>
      </c>
      <c r="N74" s="139">
        <f>MAX(0,M74-M73)</f>
        <v/>
      </c>
      <c r="O74" s="138">
        <f>IF(B74&lt;='VALOR POR PL'!$P$5,'CP RESUMO'!BU54,"")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RESUMO'!BV12</f>
        <v/>
      </c>
      <c r="N75" s="139">
        <f>MAX(0,M75-M74)</f>
        <v/>
      </c>
      <c r="O75" s="138">
        <f>IF(B75&lt;='VALOR POR PL'!$P$5,'CP RESUMO'!BV54,"")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RESUMO'!BW12</f>
        <v/>
      </c>
      <c r="N76" s="139">
        <f>MAX(0,M76-M75)</f>
        <v/>
      </c>
      <c r="O76" s="138">
        <f>IF(B76&lt;='VALOR POR PL'!$P$5,'CP RESUMO'!BW54,"")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PL'!F19</f>
        <v/>
      </c>
      <c r="K5" s="60">
        <f>'VALOR POR PL'!G19</f>
        <v/>
      </c>
      <c r="L5" s="60">
        <f>'DADOS HISTORICOS'!$BZ$13</f>
        <v/>
      </c>
      <c r="M5" s="138">
        <f>'CP RESUMO'!D13</f>
        <v/>
      </c>
      <c r="N5" s="139" t="n">
        <v>0</v>
      </c>
      <c r="O5" s="138">
        <f>IF(B5&lt;='VALOR POR PL'!$P$5,'CP RESUMO'!D55,"")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PL'!H19</f>
        <v/>
      </c>
      <c r="L6" s="49">
        <f>C6/IF(B6&lt;='VALOR POR PL'!$P$5,IFERROR(INDEX('"INCC-FGV"'!$B$2:$B$800,MATCH(B6,'"INCC-FGV"'!$A$2:$A$800,0)),$K$2),$K$2)</f>
        <v/>
      </c>
      <c r="M6" s="138">
        <f>'CP RESUMO'!E13</f>
        <v/>
      </c>
      <c r="N6" s="139">
        <f>MAX(0,M6-M5)</f>
        <v/>
      </c>
      <c r="O6" s="138">
        <f>IF(B6&lt;='VALOR POR PL'!$P$5,'CP RESUMO'!E55,"")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RESUMO'!F13</f>
        <v/>
      </c>
      <c r="N7" s="139">
        <f>MAX(0,M7-M6)</f>
        <v/>
      </c>
      <c r="O7" s="138">
        <f>IF(B7&lt;='VALOR POR PL'!$P$5,'CP RESUMO'!F55,"")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RESUMO'!G13</f>
        <v/>
      </c>
      <c r="N8" s="139">
        <f>MAX(0,M8-M7)</f>
        <v/>
      </c>
      <c r="O8" s="138">
        <f>IF(B8&lt;='VALOR POR PL'!$P$5,'CP RESUMO'!G55,"")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RESUMO'!H13</f>
        <v/>
      </c>
      <c r="N9" s="139">
        <f>MAX(0,M9-M8)</f>
        <v/>
      </c>
      <c r="O9" s="138">
        <f>IF(B9&lt;='VALOR POR PL'!$P$5,'CP RESUMO'!H55,"")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RESUMO'!I13</f>
        <v/>
      </c>
      <c r="N10" s="139">
        <f>MAX(0,M10-M9)</f>
        <v/>
      </c>
      <c r="O10" s="138">
        <f>IF(B10&lt;='VALOR POR PL'!$P$5,'CP RESUMO'!I55,"")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RESUMO'!J13</f>
        <v/>
      </c>
      <c r="N11" s="139">
        <f>MAX(0,M11-M10)</f>
        <v/>
      </c>
      <c r="O11" s="138">
        <f>IF(B11&lt;='VALOR POR PL'!$P$5,'CP RESUMO'!J55,"")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RESUMO'!K13</f>
        <v/>
      </c>
      <c r="N12" s="139">
        <f>MAX(0,M12-M11)</f>
        <v/>
      </c>
      <c r="O12" s="138">
        <f>IF(B12&lt;='VALOR POR PL'!$P$5,'CP RESUMO'!K55,"")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PL'!I19</f>
        <v/>
      </c>
      <c r="L13" s="49">
        <f>C13/IF(B13&lt;='VALOR POR PL'!$P$5,IFERROR(INDEX('"INCC-FGV"'!$B$2:$B$800,MATCH(B13,'"INCC-FGV"'!$A$2:$A$800,0)),$K$2),$K$2)</f>
        <v/>
      </c>
      <c r="M13" s="138">
        <f>'CP RESUMO'!L13</f>
        <v/>
      </c>
      <c r="N13" s="139">
        <f>MAX(0,M13-M12)</f>
        <v/>
      </c>
      <c r="O13" s="138">
        <f>IF(B13&lt;='VALOR POR PL'!$P$5,'CP RESUMO'!L55,"")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RESUMO'!$D$55:$BW$55,MATCH('VALOR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RESUMO'!M13</f>
        <v/>
      </c>
      <c r="N14" s="139">
        <f>MAX(0,M14-M13)</f>
        <v/>
      </c>
      <c r="O14" s="138">
        <f>IF(B14&lt;='VALOR POR PL'!$P$5,'CP RESUMO'!M55,"")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RESUMO'!N13</f>
        <v/>
      </c>
      <c r="N15" s="139">
        <f>MAX(0,M15-M14)</f>
        <v/>
      </c>
      <c r="O15" s="138">
        <f>IF(B15&lt;='VALOR POR PL'!$P$5,'CP RESUMO'!N55,"")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RESUMO'!O13</f>
        <v/>
      </c>
      <c r="N16" s="139">
        <f>MAX(0,M16-M15)</f>
        <v/>
      </c>
      <c r="O16" s="138">
        <f>IF(B16&lt;='VALOR POR PL'!$P$5,'CP RESUMO'!O55,"")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RESUMO'!P13</f>
        <v/>
      </c>
      <c r="N17" s="139">
        <f>MAX(0,M17-M16)</f>
        <v/>
      </c>
      <c r="O17" s="138">
        <f>IF(B17&lt;='VALOR POR PL'!$P$5,'CP RESUMO'!P55,"")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RESUMO'!Q13</f>
        <v/>
      </c>
      <c r="N18" s="139">
        <f>MAX(0,M18-M17)</f>
        <v/>
      </c>
      <c r="O18" s="138">
        <f>IF(B18&lt;='VALOR POR PL'!$P$5,'CP RESUMO'!Q55,"")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RESUMO'!R13</f>
        <v/>
      </c>
      <c r="N19" s="139">
        <f>MAX(0,M19-M18)</f>
        <v/>
      </c>
      <c r="O19" s="138">
        <f>IF(B19&lt;='VALOR POR PL'!$P$5,'CP RESUMO'!R55,"")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RESUMO'!S13</f>
        <v/>
      </c>
      <c r="N20" s="139">
        <f>MAX(0,M20-M19)</f>
        <v/>
      </c>
      <c r="O20" s="138">
        <f>IF(B20&lt;='VALOR POR PL'!$P$5,'CP RESUMO'!S55,"")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RESUMO'!T13</f>
        <v/>
      </c>
      <c r="N21" s="139">
        <f>MAX(0,M21-M20)</f>
        <v/>
      </c>
      <c r="O21" s="138">
        <f>IF(B21&lt;='VALOR POR PL'!$P$5,'CP RESUMO'!T55,"")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RESUMO'!U13</f>
        <v/>
      </c>
      <c r="N22" s="139">
        <f>MAX(0,M22-M21)</f>
        <v/>
      </c>
      <c r="O22" s="138">
        <f>IF(B22&lt;='VALOR POR PL'!$P$5,'CP RESUMO'!U55,"")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RESUMO'!V13</f>
        <v/>
      </c>
      <c r="N23" s="139">
        <f>MAX(0,M23-M22)</f>
        <v/>
      </c>
      <c r="O23" s="138">
        <f>IF(B23&lt;='VALOR POR PL'!$P$5,'CP RESUMO'!V55,"")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RESUMO'!W13</f>
        <v/>
      </c>
      <c r="N24" s="139">
        <f>MAX(0,M24-M23)</f>
        <v/>
      </c>
      <c r="O24" s="138">
        <f>IF(B24&lt;='VALOR POR PL'!$P$5,'CP RESUMO'!W55,"")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RESUMO'!X13</f>
        <v/>
      </c>
      <c r="N25" s="139">
        <f>MAX(0,M25-M24)</f>
        <v/>
      </c>
      <c r="O25" s="138">
        <f>IF(B25&lt;='VALOR POR PL'!$P$5,'CP RESUMO'!X55,"")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3741.54</v>
      </c>
      <c r="L26" s="49">
        <f>C26/IF(B26&lt;='VALOR POR PL'!$P$5,IFERROR(INDEX('"INCC-FGV"'!$B$2:$B$800,MATCH(B26,'"INCC-FGV"'!$A$2:$A$800,0)),$K$2),$K$2)</f>
        <v/>
      </c>
      <c r="M26" s="138">
        <f>'CP RESUMO'!Y13</f>
        <v/>
      </c>
      <c r="N26" s="139">
        <f>MAX(0,M26-M25)</f>
        <v/>
      </c>
      <c r="O26" s="138">
        <f>IF(B26&lt;='VALOR POR PL'!$P$5,'CP RESUMO'!Y55,"")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3741.54</v>
      </c>
      <c r="L27" s="49">
        <f>C27/IF(B27&lt;='VALOR POR PL'!$P$5,IFERROR(INDEX('"INCC-FGV"'!$B$2:$B$800,MATCH(B27,'"INCC-FGV"'!$A$2:$A$800,0)),$K$2),$K$2)</f>
        <v/>
      </c>
      <c r="M27" s="138">
        <f>'CP RESUMO'!Z13</f>
        <v/>
      </c>
      <c r="N27" s="139">
        <f>MAX(0,M27-M26)</f>
        <v/>
      </c>
      <c r="O27" s="138">
        <f>IF(B27&lt;='VALOR POR PL'!$P$5,'CP RESUMO'!Z55,"")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3741.54</v>
      </c>
      <c r="L28" s="49">
        <f>C28/IF(B28&lt;='VALOR POR PL'!$P$5,IFERROR(INDEX('"INCC-FGV"'!$B$2:$B$800,MATCH(B28,'"INCC-FGV"'!$A$2:$A$800,0)),$K$2),$K$2)</f>
        <v/>
      </c>
      <c r="M28" s="138">
        <f>'CP RESUMO'!AA13</f>
        <v/>
      </c>
      <c r="N28" s="139">
        <f>MAX(0,M28-M27)</f>
        <v/>
      </c>
      <c r="O28" s="138">
        <f>IF(B28&lt;='VALOR POR PL'!$P$5,'CP RESUMO'!AA55,"")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3741.54</v>
      </c>
      <c r="L29" s="49">
        <f>C29/IF(B29&lt;='VALOR POR PL'!$P$5,IFERROR(INDEX('"INCC-FGV"'!$B$2:$B$800,MATCH(B29,'"INCC-FGV"'!$A$2:$A$800,0)),$K$2),$K$2)</f>
        <v/>
      </c>
      <c r="M29" s="138">
        <f>'CP RESUMO'!AB13</f>
        <v/>
      </c>
      <c r="N29" s="139">
        <f>MAX(0,M29-M28)</f>
        <v/>
      </c>
      <c r="O29" s="138">
        <f>IF(B29&lt;='VALOR POR PL'!$P$5,'CP RESUMO'!AB55,"")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3741.54</v>
      </c>
      <c r="L30" s="49">
        <f>C30/IF(B30&lt;='VALOR POR PL'!$P$5,IFERROR(INDEX('"INCC-FGV"'!$B$2:$B$800,MATCH(B30,'"INCC-FGV"'!$A$2:$A$800,0)),$K$2),$K$2)</f>
        <v/>
      </c>
      <c r="M30" s="138">
        <f>'CP RESUMO'!AC13</f>
        <v/>
      </c>
      <c r="N30" s="139">
        <f>MAX(0,M30-M29)</f>
        <v/>
      </c>
      <c r="O30" s="138">
        <f>IF(B30&lt;='VALOR POR PL'!$P$5,'CP RESUMO'!AC55,"")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3741.54</v>
      </c>
      <c r="L31" s="49">
        <f>C31/IF(B31&lt;='VALOR POR PL'!$P$5,IFERROR(INDEX('"INCC-FGV"'!$B$2:$B$800,MATCH(B31,'"INCC-FGV"'!$A$2:$A$800,0)),$K$2),$K$2)</f>
        <v/>
      </c>
      <c r="M31" s="138">
        <f>'CP RESUMO'!AD13</f>
        <v/>
      </c>
      <c r="N31" s="139">
        <f>MAX(0,M31-M30)</f>
        <v/>
      </c>
      <c r="O31" s="138">
        <f>IF(B31&lt;='VALOR POR PL'!$P$5,'CP RESUMO'!AD55,"")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3741.54</v>
      </c>
      <c r="L32" s="49">
        <f>C32/IF(B32&lt;='VALOR POR PL'!$P$5,IFERROR(INDEX('"INCC-FGV"'!$B$2:$B$800,MATCH(B32,'"INCC-FGV"'!$A$2:$A$800,0)),$K$2),$K$2)</f>
        <v/>
      </c>
      <c r="M32" s="138">
        <f>'CP RESUMO'!AE13</f>
        <v/>
      </c>
      <c r="N32" s="139">
        <f>MAX(0,M32-M31)</f>
        <v/>
      </c>
      <c r="O32" s="138">
        <f>IF(B32&lt;='VALOR POR PL'!$P$5,'CP RESUMO'!AE55,"")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3741.54</v>
      </c>
      <c r="L33" s="49">
        <f>C33/IF(B33&lt;='VALOR POR PL'!$P$5,IFERROR(INDEX('"INCC-FGV"'!$B$2:$B$800,MATCH(B33,'"INCC-FGV"'!$A$2:$A$800,0)),$K$2),$K$2)</f>
        <v/>
      </c>
      <c r="M33" s="138">
        <f>'CP RESUMO'!AF13</f>
        <v/>
      </c>
      <c r="N33" s="139">
        <f>MAX(0,M33-M32)</f>
        <v/>
      </c>
      <c r="O33" s="138">
        <f>IF(B33&lt;='VALOR POR PL'!$P$5,'CP RESUMO'!AF55,"")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3741.54</v>
      </c>
      <c r="L34" s="49">
        <f>C34/IF(B34&lt;='VALOR POR PL'!$P$5,IFERROR(INDEX('"INCC-FGV"'!$B$2:$B$800,MATCH(B34,'"INCC-FGV"'!$A$2:$A$800,0)),$K$2),$K$2)</f>
        <v/>
      </c>
      <c r="M34" s="138">
        <f>'CP RESUMO'!AG13</f>
        <v/>
      </c>
      <c r="N34" s="139">
        <f>MAX(0,M34-M33)</f>
        <v/>
      </c>
      <c r="O34" s="138">
        <f>IF(B34&lt;='VALOR POR PL'!$P$5,'CP RESUMO'!AG55,"")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3741.54</v>
      </c>
      <c r="L35" s="49">
        <f>C35/IF(B35&lt;='VALOR POR PL'!$P$5,IFERROR(INDEX('"INCC-FGV"'!$B$2:$B$800,MATCH(B35,'"INCC-FGV"'!$A$2:$A$800,0)),$K$2),$K$2)</f>
        <v/>
      </c>
      <c r="M35" s="138">
        <f>'CP RESUMO'!AH13</f>
        <v/>
      </c>
      <c r="N35" s="139">
        <f>MAX(0,M35-M34)</f>
        <v/>
      </c>
      <c r="O35" s="138">
        <f>IF(B35&lt;='VALOR POR PL'!$P$5,'CP RESUMO'!AH55,"")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3741.54</v>
      </c>
      <c r="L36" s="49">
        <f>C36/IF(B36&lt;='VALOR POR PL'!$P$5,IFERROR(INDEX('"INCC-FGV"'!$B$2:$B$800,MATCH(B36,'"INCC-FGV"'!$A$2:$A$800,0)),$K$2),$K$2)</f>
        <v/>
      </c>
      <c r="M36" s="138">
        <f>'CP RESUMO'!AI13</f>
        <v/>
      </c>
      <c r="N36" s="139">
        <f>MAX(0,M36-M35)</f>
        <v/>
      </c>
      <c r="O36" s="138">
        <f>IF(B36&lt;='VALOR POR PL'!$P$5,'CP RESUMO'!AI55,"")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3741.54</v>
      </c>
      <c r="L37" s="49">
        <f>C37/IF(B37&lt;='VALOR POR PL'!$P$5,IFERROR(INDEX('"INCC-FGV"'!$B$2:$B$800,MATCH(B37,'"INCC-FGV"'!$A$2:$A$800,0)),$K$2),$K$2)</f>
        <v/>
      </c>
      <c r="M37" s="138">
        <f>'CP RESUMO'!AJ13</f>
        <v/>
      </c>
      <c r="N37" s="139">
        <f>MAX(0,M37-M36)</f>
        <v/>
      </c>
      <c r="O37" s="138">
        <f>IF(B37&lt;='VALOR POR PL'!$P$5,'CP RESUMO'!AJ55,"")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3741.54</v>
      </c>
      <c r="L38" s="49">
        <f>C38/IF(B38&lt;='VALOR POR PL'!$P$5,IFERROR(INDEX('"INCC-FGV"'!$B$2:$B$800,MATCH(B38,'"INCC-FGV"'!$A$2:$A$800,0)),$K$2),$K$2)</f>
        <v/>
      </c>
      <c r="M38" s="138">
        <f>'CP RESUMO'!AK13</f>
        <v/>
      </c>
      <c r="N38" s="139">
        <f>MAX(0,M38-M37)</f>
        <v/>
      </c>
      <c r="O38" s="138">
        <f>IF(B38&lt;='VALOR POR PL'!$P$5,'CP RESUMO'!AK55,"")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83249.33</v>
      </c>
      <c r="L39" s="49">
        <f>C39/IF(B39&lt;='VALOR POR PL'!$P$5,IFERROR(INDEX('"INCC-FGV"'!$B$2:$B$800,MATCH(B39,'"INCC-FGV"'!$A$2:$A$800,0)),$K$2),$K$2)</f>
        <v/>
      </c>
      <c r="M39" s="138">
        <f>'CP RESUMO'!AL13</f>
        <v/>
      </c>
      <c r="N39" s="139">
        <f>MAX(0,M39-M38)</f>
        <v/>
      </c>
      <c r="O39" s="138">
        <f>IF(B39&lt;='VALOR POR PL'!$P$5,'CP RESUMO'!AL55,"")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83249.33</v>
      </c>
      <c r="L40" s="49">
        <f>C40/IF(B40&lt;='VALOR POR PL'!$P$5,IFERROR(INDEX('"INCC-FGV"'!$B$2:$B$800,MATCH(B40,'"INCC-FGV"'!$A$2:$A$800,0)),$K$2),$K$2)</f>
        <v/>
      </c>
      <c r="M40" s="138">
        <f>'CP RESUMO'!AM13</f>
        <v/>
      </c>
      <c r="N40" s="139">
        <f>MAX(0,M40-M39)</f>
        <v/>
      </c>
      <c r="O40" s="138">
        <f>IF(B40&lt;='VALOR POR PL'!$P$5,'CP RESUMO'!AM55,"")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83249.33</v>
      </c>
      <c r="L41" s="49">
        <f>C41/IF(B41&lt;='VALOR POR PL'!$P$5,IFERROR(INDEX('"INCC-FGV"'!$B$2:$B$800,MATCH(B41,'"INCC-FGV"'!$A$2:$A$800,0)),$K$2),$K$2)</f>
        <v/>
      </c>
      <c r="M41" s="138">
        <f>'CP RESUMO'!AN13</f>
        <v/>
      </c>
      <c r="N41" s="139">
        <f>MAX(0,M41-M40)</f>
        <v/>
      </c>
      <c r="O41" s="138">
        <f>IF(B41&lt;='VALOR POR PL'!$P$5,'CP RESUMO'!AN55,"")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83249.33</v>
      </c>
      <c r="L42" s="49">
        <f>C42/IF(B42&lt;='VALOR POR PL'!$P$5,IFERROR(INDEX('"INCC-FGV"'!$B$2:$B$800,MATCH(B42,'"INCC-FGV"'!$A$2:$A$800,0)),$K$2),$K$2)</f>
        <v/>
      </c>
      <c r="M42" s="138">
        <f>'CP RESUMO'!AO13</f>
        <v/>
      </c>
      <c r="N42" s="139">
        <f>MAX(0,M42-M41)</f>
        <v/>
      </c>
      <c r="O42" s="138">
        <f>IF(B42&lt;='VALOR POR PL'!$P$5,'CP RESUMO'!AO55,"")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17750.03</v>
      </c>
      <c r="L43" s="49">
        <f>C43/IF(B43&lt;='VALOR POR PL'!$P$5,IFERROR(INDEX('"INCC-FGV"'!$B$2:$B$800,MATCH(B43,'"INCC-FGV"'!$A$2:$A$800,0)),$K$2),$K$2)</f>
        <v/>
      </c>
      <c r="M43" s="138">
        <f>'CP RESUMO'!AP13</f>
        <v/>
      </c>
      <c r="N43" s="139">
        <f>MAX(0,M43-M42)</f>
        <v/>
      </c>
      <c r="O43" s="138">
        <f>IF(B43&lt;='VALOR POR PL'!$P$5,'CP RESUMO'!AP55,"")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RESUMO'!AQ13</f>
        <v/>
      </c>
      <c r="N44" s="139">
        <f>MAX(0,M44-M43)</f>
        <v/>
      </c>
      <c r="O44" s="138">
        <f>IF(B44&lt;='VALOR POR PL'!$P$5,'CP RESUMO'!AQ55,"")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RESUMO'!AR13</f>
        <v/>
      </c>
      <c r="N45" s="139">
        <f>MAX(0,M45-M44)</f>
        <v/>
      </c>
      <c r="O45" s="138">
        <f>IF(B45&lt;='VALOR POR PL'!$P$5,'CP RESUMO'!AR55,"")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RESUMO'!AS13</f>
        <v/>
      </c>
      <c r="N46" s="139">
        <f>MAX(0,M46-M45)</f>
        <v/>
      </c>
      <c r="O46" s="138">
        <f>IF(B46&lt;='VALOR POR PL'!$P$5,'CP RESUMO'!AS55,"")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RESUMO'!AT13</f>
        <v/>
      </c>
      <c r="N47" s="139">
        <f>MAX(0,M47-M46)</f>
        <v/>
      </c>
      <c r="O47" s="138">
        <f>IF(B47&lt;='VALOR POR PL'!$P$5,'CP RESUMO'!AT55,"")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RESUMO'!AU13</f>
        <v/>
      </c>
      <c r="N48" s="139">
        <f>MAX(0,M48-M47)</f>
        <v/>
      </c>
      <c r="O48" s="138">
        <f>IF(B48&lt;='VALOR POR PL'!$P$5,'CP RESUMO'!AU55,"")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RESUMO'!AV13</f>
        <v/>
      </c>
      <c r="N49" s="139">
        <f>MAX(0,M49-M48)</f>
        <v/>
      </c>
      <c r="O49" s="138">
        <f>IF(B49&lt;='VALOR POR PL'!$P$5,'CP RESUMO'!AV55,"")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RESUMO'!AW13</f>
        <v/>
      </c>
      <c r="N50" s="139">
        <f>MAX(0,M50-M49)</f>
        <v/>
      </c>
      <c r="O50" s="138">
        <f>IF(B50&lt;='VALOR POR PL'!$P$5,'CP RESUMO'!AW55,"")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RESUMO'!AX13</f>
        <v/>
      </c>
      <c r="N51" s="139">
        <f>MAX(0,M51-M50)</f>
        <v/>
      </c>
      <c r="O51" s="138">
        <f>IF(B51&lt;='VALOR POR PL'!$P$5,'CP RESUMO'!AX55,"")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RESUMO'!AY13</f>
        <v/>
      </c>
      <c r="N52" s="139">
        <f>MAX(0,M52-M51)</f>
        <v/>
      </c>
      <c r="O52" s="138">
        <f>IF(B52&lt;='VALOR POR PL'!$P$5,'CP RESUMO'!AY55,"")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RESUMO'!AZ13</f>
        <v/>
      </c>
      <c r="N53" s="139">
        <f>MAX(0,M53-M52)</f>
        <v/>
      </c>
      <c r="O53" s="138">
        <f>IF(B53&lt;='VALOR POR PL'!$P$5,'CP RESUMO'!AZ55,"")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RESUMO'!BA13</f>
        <v/>
      </c>
      <c r="N54" s="139">
        <f>MAX(0,M54-M53)</f>
        <v/>
      </c>
      <c r="O54" s="138">
        <f>IF(B54&lt;='VALOR POR PL'!$P$5,'CP RESUMO'!BA55,"")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RESUMO'!BB13</f>
        <v/>
      </c>
      <c r="N55" s="139">
        <f>MAX(0,M55-M54)</f>
        <v/>
      </c>
      <c r="O55" s="138">
        <f>IF(B55&lt;='VALOR POR PL'!$P$5,'CP RESUMO'!BB55,"")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RESUMO'!BC13</f>
        <v/>
      </c>
      <c r="N56" s="139">
        <f>MAX(0,M56-M55)</f>
        <v/>
      </c>
      <c r="O56" s="138">
        <f>IF(B56&lt;='VALOR POR PL'!$P$5,'CP RESUMO'!BC55,"")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RESUMO'!BD13</f>
        <v/>
      </c>
      <c r="N57" s="139">
        <f>MAX(0,M57-M56)</f>
        <v/>
      </c>
      <c r="O57" s="138">
        <f>IF(B57&lt;='VALOR POR PL'!$P$5,'CP RESUMO'!BD55,"")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RESUMO'!BE13</f>
        <v/>
      </c>
      <c r="N58" s="139">
        <f>MAX(0,M58-M57)</f>
        <v/>
      </c>
      <c r="O58" s="138">
        <f>IF(B58&lt;='VALOR POR PL'!$P$5,'CP RESUMO'!BE55,"")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RESUMO'!BF13</f>
        <v/>
      </c>
      <c r="N59" s="139">
        <f>MAX(0,M59-M58)</f>
        <v/>
      </c>
      <c r="O59" s="138">
        <f>IF(B59&lt;='VALOR POR PL'!$P$5,'CP RESUMO'!BF55,"")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RESUMO'!BG13</f>
        <v/>
      </c>
      <c r="N60" s="139">
        <f>MAX(0,M60-M59)</f>
        <v/>
      </c>
      <c r="O60" s="138">
        <f>IF(B60&lt;='VALOR POR PL'!$P$5,'CP RESUMO'!BG55,"")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RESUMO'!BH13</f>
        <v/>
      </c>
      <c r="N61" s="139">
        <f>MAX(0,M61-M60)</f>
        <v/>
      </c>
      <c r="O61" s="138">
        <f>IF(B61&lt;='VALOR POR PL'!$P$5,'CP RESUMO'!BH55,"")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RESUMO'!BI13</f>
        <v/>
      </c>
      <c r="N62" s="139">
        <f>MAX(0,M62-M61)</f>
        <v/>
      </c>
      <c r="O62" s="138">
        <f>IF(B62&lt;='VALOR POR PL'!$P$5,'CP RESUMO'!BI55,"")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RESUMO'!BJ13</f>
        <v/>
      </c>
      <c r="N63" s="139">
        <f>MAX(0,M63-M62)</f>
        <v/>
      </c>
      <c r="O63" s="138">
        <f>IF(B63&lt;='VALOR POR PL'!$P$5,'CP RESUMO'!BJ55,"")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RESUMO'!BK13</f>
        <v/>
      </c>
      <c r="N64" s="139">
        <f>MAX(0,M64-M63)</f>
        <v/>
      </c>
      <c r="O64" s="138">
        <f>IF(B64&lt;='VALOR POR PL'!$P$5,'CP RESUMO'!BK55,"")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RESUMO'!BL13</f>
        <v/>
      </c>
      <c r="N65" s="139">
        <f>MAX(0,M65-M64)</f>
        <v/>
      </c>
      <c r="O65" s="138">
        <f>IF(B65&lt;='VALOR POR PL'!$P$5,'CP RESUMO'!BL55,"")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RESUMO'!BM13</f>
        <v/>
      </c>
      <c r="N66" s="139">
        <f>MAX(0,M66-M65)</f>
        <v/>
      </c>
      <c r="O66" s="138">
        <f>IF(B66&lt;='VALOR POR PL'!$P$5,'CP RESUMO'!BM55,"")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RESUMO'!BN13</f>
        <v/>
      </c>
      <c r="N67" s="139">
        <f>MAX(0,M67-M66)</f>
        <v/>
      </c>
      <c r="O67" s="138">
        <f>IF(B67&lt;='VALOR POR PL'!$P$5,'CP RESUMO'!BN55,"")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RESUMO'!BO13</f>
        <v/>
      </c>
      <c r="N68" s="139">
        <f>MAX(0,M68-M67)</f>
        <v/>
      </c>
      <c r="O68" s="138">
        <f>IF(B68&lt;='VALOR POR PL'!$P$5,'CP RESUMO'!BO55,"")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RESUMO'!BP13</f>
        <v/>
      </c>
      <c r="N69" s="139">
        <f>MAX(0,M69-M68)</f>
        <v/>
      </c>
      <c r="O69" s="138">
        <f>IF(B69&lt;='VALOR POR PL'!$P$5,'CP RESUMO'!BP55,"")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RESUMO'!BQ13</f>
        <v/>
      </c>
      <c r="N70" s="139">
        <f>MAX(0,M70-M69)</f>
        <v/>
      </c>
      <c r="O70" s="138">
        <f>IF(B70&lt;='VALOR POR PL'!$P$5,'CP RESUMO'!BQ55,"")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RESUMO'!BR13</f>
        <v/>
      </c>
      <c r="N71" s="139">
        <f>MAX(0,M71-M70)</f>
        <v/>
      </c>
      <c r="O71" s="138">
        <f>IF(B71&lt;='VALOR POR PL'!$P$5,'CP RESUMO'!BR55,"")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RESUMO'!BS13</f>
        <v/>
      </c>
      <c r="N72" s="139">
        <f>MAX(0,M72-M71)</f>
        <v/>
      </c>
      <c r="O72" s="138">
        <f>IF(B72&lt;='VALOR POR PL'!$P$5,'CP RESUMO'!BS55,"")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RESUMO'!BT13</f>
        <v/>
      </c>
      <c r="N73" s="139">
        <f>MAX(0,M73-M72)</f>
        <v/>
      </c>
      <c r="O73" s="138">
        <f>IF(B73&lt;='VALOR POR PL'!$P$5,'CP RESUMO'!BT55,"")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RESUMO'!BU13</f>
        <v/>
      </c>
      <c r="N74" s="139">
        <f>MAX(0,M74-M73)</f>
        <v/>
      </c>
      <c r="O74" s="138">
        <f>IF(B74&lt;='VALOR POR PL'!$P$5,'CP RESUMO'!BU55,"")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RESUMO'!BV13</f>
        <v/>
      </c>
      <c r="N75" s="139">
        <f>MAX(0,M75-M74)</f>
        <v/>
      </c>
      <c r="O75" s="138">
        <f>IF(B75&lt;='VALOR POR PL'!$P$5,'CP RESUMO'!BV55,"")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RESUMO'!BW13</f>
        <v/>
      </c>
      <c r="N76" s="139">
        <f>MAX(0,M76-M75)</f>
        <v/>
      </c>
      <c r="O76" s="138">
        <f>IF(B76&lt;='VALOR POR PL'!$P$5,'CP RESUMO'!BW55,"")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PL'!F20</f>
        <v/>
      </c>
      <c r="K5" s="60">
        <f>'VALOR POR PL'!G20</f>
        <v/>
      </c>
      <c r="L5" s="60">
        <f>'DADOS HISTORICOS'!$BZ$14</f>
        <v/>
      </c>
      <c r="M5" s="138">
        <f>'CP RESUMO'!D14</f>
        <v/>
      </c>
      <c r="N5" s="139" t="n">
        <v>0</v>
      </c>
      <c r="O5" s="138">
        <f>IF(B5&lt;='VALOR POR PL'!$P$5,'CP RESUMO'!D56,"")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PL'!H20</f>
        <v/>
      </c>
      <c r="L6" s="49">
        <f>C6/IF(B6&lt;='VALOR POR PL'!$P$5,IFERROR(INDEX('"INCC-FGV"'!$B$2:$B$800,MATCH(B6,'"INCC-FGV"'!$A$2:$A$800,0)),$K$2),$K$2)</f>
        <v/>
      </c>
      <c r="M6" s="138">
        <f>'CP RESUMO'!E14</f>
        <v/>
      </c>
      <c r="N6" s="139">
        <f>MAX(0,M6-M5)</f>
        <v/>
      </c>
      <c r="O6" s="138">
        <f>IF(B6&lt;='VALOR POR PL'!$P$5,'CP RESUMO'!E56,"")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RESUMO'!F14</f>
        <v/>
      </c>
      <c r="N7" s="139">
        <f>MAX(0,M7-M6)</f>
        <v/>
      </c>
      <c r="O7" s="138">
        <f>IF(B7&lt;='VALOR POR PL'!$P$5,'CP RESUMO'!F56,"")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RESUMO'!G14</f>
        <v/>
      </c>
      <c r="N8" s="139">
        <f>MAX(0,M8-M7)</f>
        <v/>
      </c>
      <c r="O8" s="138">
        <f>IF(B8&lt;='VALOR POR PL'!$P$5,'CP RESUMO'!G56,"")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RESUMO'!H14</f>
        <v/>
      </c>
      <c r="N9" s="139">
        <f>MAX(0,M9-M8)</f>
        <v/>
      </c>
      <c r="O9" s="138">
        <f>IF(B9&lt;='VALOR POR PL'!$P$5,'CP RESUMO'!H56,"")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RESUMO'!I14</f>
        <v/>
      </c>
      <c r="N10" s="139">
        <f>MAX(0,M10-M9)</f>
        <v/>
      </c>
      <c r="O10" s="138">
        <f>IF(B10&lt;='VALOR POR PL'!$P$5,'CP RESUMO'!I56,"")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RESUMO'!J14</f>
        <v/>
      </c>
      <c r="N11" s="139">
        <f>MAX(0,M11-M10)</f>
        <v/>
      </c>
      <c r="O11" s="138">
        <f>IF(B11&lt;='VALOR POR PL'!$P$5,'CP RESUMO'!J56,"")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RESUMO'!K14</f>
        <v/>
      </c>
      <c r="N12" s="139">
        <f>MAX(0,M12-M11)</f>
        <v/>
      </c>
      <c r="O12" s="138">
        <f>IF(B12&lt;='VALOR POR PL'!$P$5,'CP RESUMO'!K56,"")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PL'!I20</f>
        <v/>
      </c>
      <c r="L13" s="49">
        <f>C13/IF(B13&lt;='VALOR POR PL'!$P$5,IFERROR(INDEX('"INCC-FGV"'!$B$2:$B$800,MATCH(B13,'"INCC-FGV"'!$A$2:$A$800,0)),$K$2),$K$2)</f>
        <v/>
      </c>
      <c r="M13" s="138">
        <f>'CP RESUMO'!L14</f>
        <v/>
      </c>
      <c r="N13" s="139">
        <f>MAX(0,M13-M12)</f>
        <v/>
      </c>
      <c r="O13" s="138">
        <f>IF(B13&lt;='VALOR POR PL'!$P$5,'CP RESUMO'!L56,"")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RESUMO'!$D$56:$BW$56,MATCH('VALOR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RESUMO'!M14</f>
        <v/>
      </c>
      <c r="N14" s="139">
        <f>MAX(0,M14-M13)</f>
        <v/>
      </c>
      <c r="O14" s="138">
        <f>IF(B14&lt;='VALOR POR PL'!$P$5,'CP RESUMO'!M56,"")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RESUMO'!N14</f>
        <v/>
      </c>
      <c r="N15" s="139">
        <f>MAX(0,M15-M14)</f>
        <v/>
      </c>
      <c r="O15" s="138">
        <f>IF(B15&lt;='VALOR POR PL'!$P$5,'CP RESUMO'!N56,"")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RESUMO'!O14</f>
        <v/>
      </c>
      <c r="N16" s="139">
        <f>MAX(0,M16-M15)</f>
        <v/>
      </c>
      <c r="O16" s="138">
        <f>IF(B16&lt;='VALOR POR PL'!$P$5,'CP RESUMO'!O56,"")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RESUMO'!P14</f>
        <v/>
      </c>
      <c r="N17" s="139">
        <f>MAX(0,M17-M16)</f>
        <v/>
      </c>
      <c r="O17" s="138">
        <f>IF(B17&lt;='VALOR POR PL'!$P$5,'CP RESUMO'!P56,"")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RESUMO'!Q14</f>
        <v/>
      </c>
      <c r="N18" s="139">
        <f>MAX(0,M18-M17)</f>
        <v/>
      </c>
      <c r="O18" s="138">
        <f>IF(B18&lt;='VALOR POR PL'!$P$5,'CP RESUMO'!Q56,"")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RESUMO'!R14</f>
        <v/>
      </c>
      <c r="N19" s="139">
        <f>MAX(0,M19-M18)</f>
        <v/>
      </c>
      <c r="O19" s="138">
        <f>IF(B19&lt;='VALOR POR PL'!$P$5,'CP RESUMO'!R56,"")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RESUMO'!S14</f>
        <v/>
      </c>
      <c r="N20" s="139">
        <f>MAX(0,M20-M19)</f>
        <v/>
      </c>
      <c r="O20" s="138">
        <f>IF(B20&lt;='VALOR POR PL'!$P$5,'CP RESUMO'!S56,"")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RESUMO'!T14</f>
        <v/>
      </c>
      <c r="N21" s="139">
        <f>MAX(0,M21-M20)</f>
        <v/>
      </c>
      <c r="O21" s="138">
        <f>IF(B21&lt;='VALOR POR PL'!$P$5,'CP RESUMO'!T56,"")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RESUMO'!U14</f>
        <v/>
      </c>
      <c r="N22" s="139">
        <f>MAX(0,M22-M21)</f>
        <v/>
      </c>
      <c r="O22" s="138">
        <f>IF(B22&lt;='VALOR POR PL'!$P$5,'CP RESUMO'!U56,"")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RESUMO'!V14</f>
        <v/>
      </c>
      <c r="N23" s="139">
        <f>MAX(0,M23-M22)</f>
        <v/>
      </c>
      <c r="O23" s="138">
        <f>IF(B23&lt;='VALOR POR PL'!$P$5,'CP RESUMO'!V56,"")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RESUMO'!W14</f>
        <v/>
      </c>
      <c r="N24" s="139">
        <f>MAX(0,M24-M23)</f>
        <v/>
      </c>
      <c r="O24" s="138">
        <f>IF(B24&lt;='VALOR POR PL'!$P$5,'CP RESUMO'!W56,"")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RESUMO'!X14</f>
        <v/>
      </c>
      <c r="N25" s="139">
        <f>MAX(0,M25-M24)</f>
        <v/>
      </c>
      <c r="O25" s="138">
        <f>IF(B25&lt;='VALOR POR PL'!$P$5,'CP RESUMO'!X56,"")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207683.15</v>
      </c>
      <c r="L26" s="49">
        <f>C26/IF(B26&lt;='VALOR POR PL'!$P$5,IFERROR(INDEX('"INCC-FGV"'!$B$2:$B$800,MATCH(B26,'"INCC-FGV"'!$A$2:$A$800,0)),$K$2),$K$2)</f>
        <v/>
      </c>
      <c r="M26" s="138">
        <f>'CP RESUMO'!Y14</f>
        <v/>
      </c>
      <c r="N26" s="139">
        <f>MAX(0,M26-M25)</f>
        <v/>
      </c>
      <c r="O26" s="138">
        <f>IF(B26&lt;='VALOR POR PL'!$P$5,'CP RESUMO'!Y56,"")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325487.04</v>
      </c>
      <c r="L27" s="49">
        <f>C27/IF(B27&lt;='VALOR POR PL'!$P$5,IFERROR(INDEX('"INCC-FGV"'!$B$2:$B$800,MATCH(B27,'"INCC-FGV"'!$A$2:$A$800,0)),$K$2),$K$2)</f>
        <v/>
      </c>
      <c r="M27" s="138">
        <f>'CP RESUMO'!Z14</f>
        <v/>
      </c>
      <c r="N27" s="139">
        <f>MAX(0,M27-M26)</f>
        <v/>
      </c>
      <c r="O27" s="138">
        <f>IF(B27&lt;='VALOR POR PL'!$P$5,'CP RESUMO'!Z56,"")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379407.27</v>
      </c>
      <c r="L28" s="49">
        <f>C28/IF(B28&lt;='VALOR POR PL'!$P$5,IFERROR(INDEX('"INCC-FGV"'!$B$2:$B$800,MATCH(B28,'"INCC-FGV"'!$A$2:$A$800,0)),$K$2),$K$2)</f>
        <v/>
      </c>
      <c r="M28" s="138">
        <f>'CP RESUMO'!AA14</f>
        <v/>
      </c>
      <c r="N28" s="139">
        <f>MAX(0,M28-M27)</f>
        <v/>
      </c>
      <c r="O28" s="138">
        <f>IF(B28&lt;='VALOR POR PL'!$P$5,'CP RESUMO'!AA56,"")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445503.27</v>
      </c>
      <c r="L29" s="49">
        <f>C29/IF(B29&lt;='VALOR POR PL'!$P$5,IFERROR(INDEX('"INCC-FGV"'!$B$2:$B$800,MATCH(B29,'"INCC-FGV"'!$A$2:$A$800,0)),$K$2),$K$2)</f>
        <v/>
      </c>
      <c r="M29" s="138">
        <f>'CP RESUMO'!AB14</f>
        <v/>
      </c>
      <c r="N29" s="139">
        <f>MAX(0,M29-M28)</f>
        <v/>
      </c>
      <c r="O29" s="138">
        <f>IF(B29&lt;='VALOR POR PL'!$P$5,'CP RESUMO'!AB56,"")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525612.3</v>
      </c>
      <c r="L30" s="49">
        <f>C30/IF(B30&lt;='VALOR POR PL'!$P$5,IFERROR(INDEX('"INCC-FGV"'!$B$2:$B$800,MATCH(B30,'"INCC-FGV"'!$A$2:$A$800,0)),$K$2),$K$2)</f>
        <v/>
      </c>
      <c r="M30" s="138">
        <f>'CP RESUMO'!AC14</f>
        <v/>
      </c>
      <c r="N30" s="139">
        <f>MAX(0,M30-M29)</f>
        <v/>
      </c>
      <c r="O30" s="138">
        <f>IF(B30&lt;='VALOR POR PL'!$P$5,'CP RESUMO'!AC56,"")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450481.95</v>
      </c>
      <c r="L31" s="49">
        <f>C31/IF(B31&lt;='VALOR POR PL'!$P$5,IFERROR(INDEX('"INCC-FGV"'!$B$2:$B$800,MATCH(B31,'"INCC-FGV"'!$A$2:$A$800,0)),$K$2),$K$2)</f>
        <v/>
      </c>
      <c r="M31" s="138">
        <f>'CP RESUMO'!AD14</f>
        <v/>
      </c>
      <c r="N31" s="139">
        <f>MAX(0,M31-M30)</f>
        <v/>
      </c>
      <c r="O31" s="138">
        <f>IF(B31&lt;='VALOR POR PL'!$P$5,'CP RESUMO'!AD56,"")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428640.02</v>
      </c>
      <c r="L32" s="49">
        <f>C32/IF(B32&lt;='VALOR POR PL'!$P$5,IFERROR(INDEX('"INCC-FGV"'!$B$2:$B$800,MATCH(B32,'"INCC-FGV"'!$A$2:$A$800,0)),$K$2),$K$2)</f>
        <v/>
      </c>
      <c r="M32" s="138">
        <f>'CP RESUMO'!AE14</f>
        <v/>
      </c>
      <c r="N32" s="139">
        <f>MAX(0,M32-M31)</f>
        <v/>
      </c>
      <c r="O32" s="138">
        <f>IF(B32&lt;='VALOR POR PL'!$P$5,'CP RESUMO'!AE56,"")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420064.43</v>
      </c>
      <c r="L33" s="49">
        <f>C33/IF(B33&lt;='VALOR POR PL'!$P$5,IFERROR(INDEX('"INCC-FGV"'!$B$2:$B$800,MATCH(B33,'"INCC-FGV"'!$A$2:$A$800,0)),$K$2),$K$2)</f>
        <v/>
      </c>
      <c r="M33" s="138">
        <f>'CP RESUMO'!AF14</f>
        <v/>
      </c>
      <c r="N33" s="139">
        <f>MAX(0,M33-M32)</f>
        <v/>
      </c>
      <c r="O33" s="138">
        <f>IF(B33&lt;='VALOR POR PL'!$P$5,'CP RESUMO'!AF56,"")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406487.28</v>
      </c>
      <c r="L34" s="49">
        <f>C34/IF(B34&lt;='VALOR POR PL'!$P$5,IFERROR(INDEX('"INCC-FGV"'!$B$2:$B$800,MATCH(B34,'"INCC-FGV"'!$A$2:$A$800,0)),$K$2),$K$2)</f>
        <v/>
      </c>
      <c r="M34" s="138">
        <f>'CP RESUMO'!AG14</f>
        <v/>
      </c>
      <c r="N34" s="139">
        <f>MAX(0,M34-M33)</f>
        <v/>
      </c>
      <c r="O34" s="138">
        <f>IF(B34&lt;='VALOR POR PL'!$P$5,'CP RESUMO'!AG56,"")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406487.28</v>
      </c>
      <c r="L35" s="49">
        <f>C35/IF(B35&lt;='VALOR POR PL'!$P$5,IFERROR(INDEX('"INCC-FGV"'!$B$2:$B$800,MATCH(B35,'"INCC-FGV"'!$A$2:$A$800,0)),$K$2),$K$2)</f>
        <v/>
      </c>
      <c r="M35" s="138">
        <f>'CP RESUMO'!AH14</f>
        <v/>
      </c>
      <c r="N35" s="139">
        <f>MAX(0,M35-M34)</f>
        <v/>
      </c>
      <c r="O35" s="138">
        <f>IF(B35&lt;='VALOR POR PL'!$P$5,'CP RESUMO'!AH56,"")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404236.86</v>
      </c>
      <c r="L36" s="49">
        <f>C36/IF(B36&lt;='VALOR POR PL'!$P$5,IFERROR(INDEX('"INCC-FGV"'!$B$2:$B$800,MATCH(B36,'"INCC-FGV"'!$A$2:$A$800,0)),$K$2),$K$2)</f>
        <v/>
      </c>
      <c r="M36" s="138">
        <f>'CP RESUMO'!AI14</f>
        <v/>
      </c>
      <c r="N36" s="139">
        <f>MAX(0,M36-M35)</f>
        <v/>
      </c>
      <c r="O36" s="138">
        <f>IF(B36&lt;='VALOR POR PL'!$P$5,'CP RESUMO'!AI56,"")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400568.99</v>
      </c>
      <c r="L37" s="49">
        <f>C37/IF(B37&lt;='VALOR POR PL'!$P$5,IFERROR(INDEX('"INCC-FGV"'!$B$2:$B$800,MATCH(B37,'"INCC-FGV"'!$A$2:$A$800,0)),$K$2),$K$2)</f>
        <v/>
      </c>
      <c r="M37" s="138">
        <f>'CP RESUMO'!AJ14</f>
        <v/>
      </c>
      <c r="N37" s="139">
        <f>MAX(0,M37-M36)</f>
        <v/>
      </c>
      <c r="O37" s="138">
        <f>IF(B37&lt;='VALOR POR PL'!$P$5,'CP RESUMO'!AJ56,"")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400568.99</v>
      </c>
      <c r="L38" s="49">
        <f>C38/IF(B38&lt;='VALOR POR PL'!$P$5,IFERROR(INDEX('"INCC-FGV"'!$B$2:$B$800,MATCH(B38,'"INCC-FGV"'!$A$2:$A$800,0)),$K$2),$K$2)</f>
        <v/>
      </c>
      <c r="M38" s="138">
        <f>'CP RESUMO'!AK14</f>
        <v/>
      </c>
      <c r="N38" s="139">
        <f>MAX(0,M38-M37)</f>
        <v/>
      </c>
      <c r="O38" s="138">
        <f>IF(B38&lt;='VALOR POR PL'!$P$5,'CP RESUMO'!AK56,"")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381985.91</v>
      </c>
      <c r="L39" s="49">
        <f>C39/IF(B39&lt;='VALOR POR PL'!$P$5,IFERROR(INDEX('"INCC-FGV"'!$B$2:$B$800,MATCH(B39,'"INCC-FGV"'!$A$2:$A$800,0)),$K$2),$K$2)</f>
        <v/>
      </c>
      <c r="M39" s="138">
        <f>'CP RESUMO'!AL14</f>
        <v/>
      </c>
      <c r="N39" s="139">
        <f>MAX(0,M39-M38)</f>
        <v/>
      </c>
      <c r="O39" s="138">
        <f>IF(B39&lt;='VALOR POR PL'!$P$5,'CP RESUMO'!AL56,"")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490172.39</v>
      </c>
      <c r="L40" s="49">
        <f>C40/IF(B40&lt;='VALOR POR PL'!$P$5,IFERROR(INDEX('"INCC-FGV"'!$B$2:$B$800,MATCH(B40,'"INCC-FGV"'!$A$2:$A$800,0)),$K$2),$K$2)</f>
        <v/>
      </c>
      <c r="M40" s="138">
        <f>'CP RESUMO'!AM14</f>
        <v/>
      </c>
      <c r="N40" s="139">
        <f>MAX(0,M40-M39)</f>
        <v/>
      </c>
      <c r="O40" s="138">
        <f>IF(B40&lt;='VALOR POR PL'!$P$5,'CP RESUMO'!AM56,"")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488292.66</v>
      </c>
      <c r="L41" s="49">
        <f>C41/IF(B41&lt;='VALOR POR PL'!$P$5,IFERROR(INDEX('"INCC-FGV"'!$B$2:$B$800,MATCH(B41,'"INCC-FGV"'!$A$2:$A$800,0)),$K$2),$K$2)</f>
        <v/>
      </c>
      <c r="M41" s="138">
        <f>'CP RESUMO'!AN14</f>
        <v/>
      </c>
      <c r="N41" s="139">
        <f>MAX(0,M41-M40)</f>
        <v/>
      </c>
      <c r="O41" s="138">
        <f>IF(B41&lt;='VALOR POR PL'!$P$5,'CP RESUMO'!AN56,"")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353850.8</v>
      </c>
      <c r="L42" s="49">
        <f>C42/IF(B42&lt;='VALOR POR PL'!$P$5,IFERROR(INDEX('"INCC-FGV"'!$B$2:$B$800,MATCH(B42,'"INCC-FGV"'!$A$2:$A$800,0)),$K$2),$K$2)</f>
        <v/>
      </c>
      <c r="M42" s="138">
        <f>'CP RESUMO'!AO14</f>
        <v/>
      </c>
      <c r="N42" s="139">
        <f>MAX(0,M42-M41)</f>
        <v/>
      </c>
      <c r="O42" s="138">
        <f>IF(B42&lt;='VALOR POR PL'!$P$5,'CP RESUMO'!AO56,"")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337380.21</v>
      </c>
      <c r="L43" s="49">
        <f>C43/IF(B43&lt;='VALOR POR PL'!$P$5,IFERROR(INDEX('"INCC-FGV"'!$B$2:$B$800,MATCH(B43,'"INCC-FGV"'!$A$2:$A$800,0)),$K$2),$K$2)</f>
        <v/>
      </c>
      <c r="M43" s="138">
        <f>'CP RESUMO'!AP14</f>
        <v/>
      </c>
      <c r="N43" s="139">
        <f>MAX(0,M43-M42)</f>
        <v/>
      </c>
      <c r="O43" s="138">
        <f>IF(B43&lt;='VALOR POR PL'!$P$5,'CP RESUMO'!AP56,"")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337380.21</v>
      </c>
      <c r="L44" s="49">
        <f>C44/IF(B44&lt;='VALOR POR PL'!$P$5,IFERROR(INDEX('"INCC-FGV"'!$B$2:$B$800,MATCH(B44,'"INCC-FGV"'!$A$2:$A$800,0)),$K$2),$K$2)</f>
        <v/>
      </c>
      <c r="M44" s="138">
        <f>'CP RESUMO'!AQ14</f>
        <v/>
      </c>
      <c r="N44" s="139">
        <f>MAX(0,M44-M43)</f>
        <v/>
      </c>
      <c r="O44" s="138">
        <f>IF(B44&lt;='VALOR POR PL'!$P$5,'CP RESUMO'!AQ56,"")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145360.31</v>
      </c>
      <c r="L45" s="49">
        <f>C45/IF(B45&lt;='VALOR POR PL'!$P$5,IFERROR(INDEX('"INCC-FGV"'!$B$2:$B$800,MATCH(B45,'"INCC-FGV"'!$A$2:$A$800,0)),$K$2),$K$2)</f>
        <v/>
      </c>
      <c r="M45" s="138">
        <f>'CP RESUMO'!AR14</f>
        <v/>
      </c>
      <c r="N45" s="139">
        <f>MAX(0,M45-M44)</f>
        <v/>
      </c>
      <c r="O45" s="138">
        <f>IF(B45&lt;='VALOR POR PL'!$P$5,'CP RESUMO'!AR56,"")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145360.31</v>
      </c>
      <c r="L46" s="49">
        <f>C46/IF(B46&lt;='VALOR POR PL'!$P$5,IFERROR(INDEX('"INCC-FGV"'!$B$2:$B$800,MATCH(B46,'"INCC-FGV"'!$A$2:$A$800,0)),$K$2),$K$2)</f>
        <v/>
      </c>
      <c r="M46" s="138">
        <f>'CP RESUMO'!AS14</f>
        <v/>
      </c>
      <c r="N46" s="139">
        <f>MAX(0,M46-M45)</f>
        <v/>
      </c>
      <c r="O46" s="138">
        <f>IF(B46&lt;='VALOR POR PL'!$P$5,'CP RESUMO'!AS56,"")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107199.49</v>
      </c>
      <c r="L47" s="49">
        <f>C47/IF(B47&lt;='VALOR POR PL'!$P$5,IFERROR(INDEX('"INCC-FGV"'!$B$2:$B$800,MATCH(B47,'"INCC-FGV"'!$A$2:$A$800,0)),$K$2),$K$2)</f>
        <v/>
      </c>
      <c r="M47" s="138">
        <f>'CP RESUMO'!AT14</f>
        <v/>
      </c>
      <c r="N47" s="139">
        <f>MAX(0,M47-M46)</f>
        <v/>
      </c>
      <c r="O47" s="138">
        <f>IF(B47&lt;='VALOR POR PL'!$P$5,'CP RESUMO'!AT56,"")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107199.49</v>
      </c>
      <c r="L48" s="49">
        <f>C48/IF(B48&lt;='VALOR POR PL'!$P$5,IFERROR(INDEX('"INCC-FGV"'!$B$2:$B$800,MATCH(B48,'"INCC-FGV"'!$A$2:$A$800,0)),$K$2),$K$2)</f>
        <v/>
      </c>
      <c r="M48" s="138">
        <f>'CP RESUMO'!AU14</f>
        <v/>
      </c>
      <c r="N48" s="139">
        <f>MAX(0,M48-M47)</f>
        <v/>
      </c>
      <c r="O48" s="138">
        <f>IF(B48&lt;='VALOR POR PL'!$P$5,'CP RESUMO'!AU56,"")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107199.49</v>
      </c>
      <c r="L49" s="49">
        <f>C49/IF(B49&lt;='VALOR POR PL'!$P$5,IFERROR(INDEX('"INCC-FGV"'!$B$2:$B$800,MATCH(B49,'"INCC-FGV"'!$A$2:$A$800,0)),$K$2),$K$2)</f>
        <v/>
      </c>
      <c r="M49" s="138">
        <f>'CP RESUMO'!AV14</f>
        <v/>
      </c>
      <c r="N49" s="139">
        <f>MAX(0,M49-M48)</f>
        <v/>
      </c>
      <c r="O49" s="138">
        <f>IF(B49&lt;='VALOR POR PL'!$P$5,'CP RESUMO'!AV56,"")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107199.49</v>
      </c>
      <c r="L50" s="49">
        <f>C50/IF(B50&lt;='VALOR POR PL'!$P$5,IFERROR(INDEX('"INCC-FGV"'!$B$2:$B$800,MATCH(B50,'"INCC-FGV"'!$A$2:$A$800,0)),$K$2),$K$2)</f>
        <v/>
      </c>
      <c r="M50" s="138">
        <f>'CP RESUMO'!AW14</f>
        <v/>
      </c>
      <c r="N50" s="139">
        <f>MAX(0,M50-M49)</f>
        <v/>
      </c>
      <c r="O50" s="138">
        <f>IF(B50&lt;='VALOR POR PL'!$P$5,'CP RESUMO'!AW56,"")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107199.49</v>
      </c>
      <c r="L51" s="49">
        <f>C51/IF(B51&lt;='VALOR POR PL'!$P$5,IFERROR(INDEX('"INCC-FGV"'!$B$2:$B$800,MATCH(B51,'"INCC-FGV"'!$A$2:$A$800,0)),$K$2),$K$2)</f>
        <v/>
      </c>
      <c r="M51" s="138">
        <f>'CP RESUMO'!AX14</f>
        <v/>
      </c>
      <c r="N51" s="139">
        <f>MAX(0,M51-M50)</f>
        <v/>
      </c>
      <c r="O51" s="138">
        <f>IF(B51&lt;='VALOR POR PL'!$P$5,'CP RESUMO'!AX56,"")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146942.06</v>
      </c>
      <c r="L52" s="49">
        <f>C52/IF(B52&lt;='VALOR POR PL'!$P$5,IFERROR(INDEX('"INCC-FGV"'!$B$2:$B$800,MATCH(B52,'"INCC-FGV"'!$A$2:$A$800,0)),$K$2),$K$2)</f>
        <v/>
      </c>
      <c r="M52" s="138">
        <f>'CP RESUMO'!AY14</f>
        <v/>
      </c>
      <c r="N52" s="139">
        <f>MAX(0,M52-M51)</f>
        <v/>
      </c>
      <c r="O52" s="138">
        <f>IF(B52&lt;='VALOR POR PL'!$P$5,'CP RESUMO'!AY56,"")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146942.06</v>
      </c>
      <c r="L53" s="49">
        <f>C53/IF(B53&lt;='VALOR POR PL'!$P$5,IFERROR(INDEX('"INCC-FGV"'!$B$2:$B$800,MATCH(B53,'"INCC-FGV"'!$A$2:$A$800,0)),$K$2),$K$2)</f>
        <v/>
      </c>
      <c r="M53" s="138">
        <f>'CP RESUMO'!AZ14</f>
        <v/>
      </c>
      <c r="N53" s="139">
        <f>MAX(0,M53-M52)</f>
        <v/>
      </c>
      <c r="O53" s="138">
        <f>IF(B53&lt;='VALOR POR PL'!$P$5,'CP RESUMO'!AZ56,"")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RESUMO'!BA14</f>
        <v/>
      </c>
      <c r="N54" s="139">
        <f>MAX(0,M54-M53)</f>
        <v/>
      </c>
      <c r="O54" s="138">
        <f>IF(B54&lt;='VALOR POR PL'!$P$5,'CP RESUMO'!BA56,"")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RESUMO'!BB14</f>
        <v/>
      </c>
      <c r="N55" s="139">
        <f>MAX(0,M55-M54)</f>
        <v/>
      </c>
      <c r="O55" s="138">
        <f>IF(B55&lt;='VALOR POR PL'!$P$5,'CP RESUMO'!BB56,"")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949652.6899999999</v>
      </c>
      <c r="L56" s="49">
        <f>C56/IF(B56&lt;='VALOR POR PL'!$P$5,IFERROR(INDEX('"INCC-FGV"'!$B$2:$B$800,MATCH(B56,'"INCC-FGV"'!$A$2:$A$800,0)),$K$2),$K$2)</f>
        <v/>
      </c>
      <c r="M56" s="138">
        <f>'CP RESUMO'!BC14</f>
        <v/>
      </c>
      <c r="N56" s="139">
        <f>MAX(0,M56-M55)</f>
        <v/>
      </c>
      <c r="O56" s="138">
        <f>IF(B56&lt;='VALOR POR PL'!$P$5,'CP RESUMO'!BC56,"")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RESUMO'!BD14</f>
        <v/>
      </c>
      <c r="N57" s="139">
        <f>MAX(0,M57-M56)</f>
        <v/>
      </c>
      <c r="O57" s="138">
        <f>IF(B57&lt;='VALOR POR PL'!$P$5,'CP RESUMO'!BD56,"")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RESUMO'!BE14</f>
        <v/>
      </c>
      <c r="N58" s="139">
        <f>MAX(0,M58-M57)</f>
        <v/>
      </c>
      <c r="O58" s="138">
        <f>IF(B58&lt;='VALOR POR PL'!$P$5,'CP RESUMO'!BE56,"")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RESUMO'!BF14</f>
        <v/>
      </c>
      <c r="N59" s="139">
        <f>MAX(0,M59-M58)</f>
        <v/>
      </c>
      <c r="O59" s="138">
        <f>IF(B59&lt;='VALOR POR PL'!$P$5,'CP RESUMO'!BF56,"")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RESUMO'!BG14</f>
        <v/>
      </c>
      <c r="N60" s="139">
        <f>MAX(0,M60-M59)</f>
        <v/>
      </c>
      <c r="O60" s="138">
        <f>IF(B60&lt;='VALOR POR PL'!$P$5,'CP RESUMO'!BG56,"")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RESUMO'!BH14</f>
        <v/>
      </c>
      <c r="N61" s="139">
        <f>MAX(0,M61-M60)</f>
        <v/>
      </c>
      <c r="O61" s="138">
        <f>IF(B61&lt;='VALOR POR PL'!$P$5,'CP RESUMO'!BH56,"")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RESUMO'!BI14</f>
        <v/>
      </c>
      <c r="N62" s="139">
        <f>MAX(0,M62-M61)</f>
        <v/>
      </c>
      <c r="O62" s="138">
        <f>IF(B62&lt;='VALOR POR PL'!$P$5,'CP RESUMO'!BI56,"")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RESUMO'!BJ14</f>
        <v/>
      </c>
      <c r="N63" s="139">
        <f>MAX(0,M63-M62)</f>
        <v/>
      </c>
      <c r="O63" s="138">
        <f>IF(B63&lt;='VALOR POR PL'!$P$5,'CP RESUMO'!BJ56,"")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RESUMO'!BK14</f>
        <v/>
      </c>
      <c r="N64" s="139">
        <f>MAX(0,M64-M63)</f>
        <v/>
      </c>
      <c r="O64" s="138">
        <f>IF(B64&lt;='VALOR POR PL'!$P$5,'CP RESUMO'!BK56,"")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RESUMO'!BL14</f>
        <v/>
      </c>
      <c r="N65" s="139">
        <f>MAX(0,M65-M64)</f>
        <v/>
      </c>
      <c r="O65" s="138">
        <f>IF(B65&lt;='VALOR POR PL'!$P$5,'CP RESUMO'!BL56,"")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RESUMO'!BM14</f>
        <v/>
      </c>
      <c r="N66" s="139">
        <f>MAX(0,M66-M65)</f>
        <v/>
      </c>
      <c r="O66" s="138">
        <f>IF(B66&lt;='VALOR POR PL'!$P$5,'CP RESUMO'!BM56,"")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RESUMO'!BN14</f>
        <v/>
      </c>
      <c r="N67" s="139">
        <f>MAX(0,M67-M66)</f>
        <v/>
      </c>
      <c r="O67" s="138">
        <f>IF(B67&lt;='VALOR POR PL'!$P$5,'CP RESUMO'!BN56,"")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RESUMO'!BO14</f>
        <v/>
      </c>
      <c r="N68" s="139">
        <f>MAX(0,M68-M67)</f>
        <v/>
      </c>
      <c r="O68" s="138">
        <f>IF(B68&lt;='VALOR POR PL'!$P$5,'CP RESUMO'!BO56,"")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RESUMO'!BP14</f>
        <v/>
      </c>
      <c r="N69" s="139">
        <f>MAX(0,M69-M68)</f>
        <v/>
      </c>
      <c r="O69" s="138">
        <f>IF(B69&lt;='VALOR POR PL'!$P$5,'CP RESUMO'!BP56,"")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RESUMO'!BQ14</f>
        <v/>
      </c>
      <c r="N70" s="139">
        <f>MAX(0,M70-M69)</f>
        <v/>
      </c>
      <c r="O70" s="138">
        <f>IF(B70&lt;='VALOR POR PL'!$P$5,'CP RESUMO'!BQ56,"")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RESUMO'!BR14</f>
        <v/>
      </c>
      <c r="N71" s="139">
        <f>MAX(0,M71-M70)</f>
        <v/>
      </c>
      <c r="O71" s="138">
        <f>IF(B71&lt;='VALOR POR PL'!$P$5,'CP RESUMO'!BR56,"")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RESUMO'!BS14</f>
        <v/>
      </c>
      <c r="N72" s="139">
        <f>MAX(0,M72-M71)</f>
        <v/>
      </c>
      <c r="O72" s="138">
        <f>IF(B72&lt;='VALOR POR PL'!$P$5,'CP RESUMO'!BS56,"")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RESUMO'!BT14</f>
        <v/>
      </c>
      <c r="N73" s="139">
        <f>MAX(0,M73-M72)</f>
        <v/>
      </c>
      <c r="O73" s="138">
        <f>IF(B73&lt;='VALOR POR PL'!$P$5,'CP RESUMO'!BT56,"")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RESUMO'!BU14</f>
        <v/>
      </c>
      <c r="N74" s="139">
        <f>MAX(0,M74-M73)</f>
        <v/>
      </c>
      <c r="O74" s="138">
        <f>IF(B74&lt;='VALOR POR PL'!$P$5,'CP RESUMO'!BU56,"")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RESUMO'!BV14</f>
        <v/>
      </c>
      <c r="N75" s="139">
        <f>MAX(0,M75-M74)</f>
        <v/>
      </c>
      <c r="O75" s="138">
        <f>IF(B75&lt;='VALOR POR PL'!$P$5,'CP RESUMO'!BV56,"")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RESUMO'!BW14</f>
        <v/>
      </c>
      <c r="N76" s="139">
        <f>MAX(0,M76-M75)</f>
        <v/>
      </c>
      <c r="O76" s="138">
        <f>IF(B76&lt;='VALOR POR PL'!$P$5,'CP RESUMO'!BW56,"")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PL'!F21</f>
        <v/>
      </c>
      <c r="K5" s="60">
        <f>'VALOR POR PL'!G21</f>
        <v/>
      </c>
      <c r="L5" s="60">
        <f>'DADOS HISTORICOS'!$BZ$15</f>
        <v/>
      </c>
      <c r="M5" s="138">
        <f>'CP RESUMO'!D15</f>
        <v/>
      </c>
      <c r="N5" s="139" t="n">
        <v>0</v>
      </c>
      <c r="O5" s="138">
        <f>IF(B5&lt;='VALOR POR PL'!$P$5,'CP RESUMO'!D57,"")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PL'!H21</f>
        <v/>
      </c>
      <c r="L6" s="49">
        <f>C6/IF(B6&lt;='VALOR POR PL'!$P$5,IFERROR(INDEX('"INCC-FGV"'!$B$2:$B$800,MATCH(B6,'"INCC-FGV"'!$A$2:$A$800,0)),$K$2),$K$2)</f>
        <v/>
      </c>
      <c r="M6" s="138">
        <f>'CP RESUMO'!E15</f>
        <v/>
      </c>
      <c r="N6" s="139">
        <f>MAX(0,M6-M5)</f>
        <v/>
      </c>
      <c r="O6" s="138">
        <f>IF(B6&lt;='VALOR POR PL'!$P$5,'CP RESUMO'!E57,"")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RESUMO'!F15</f>
        <v/>
      </c>
      <c r="N7" s="139">
        <f>MAX(0,M7-M6)</f>
        <v/>
      </c>
      <c r="O7" s="138">
        <f>IF(B7&lt;='VALOR POR PL'!$P$5,'CP RESUMO'!F57,"")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RESUMO'!G15</f>
        <v/>
      </c>
      <c r="N8" s="139">
        <f>MAX(0,M8-M7)</f>
        <v/>
      </c>
      <c r="O8" s="138">
        <f>IF(B8&lt;='VALOR POR PL'!$P$5,'CP RESUMO'!G57,"")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RESUMO'!H15</f>
        <v/>
      </c>
      <c r="N9" s="139">
        <f>MAX(0,M9-M8)</f>
        <v/>
      </c>
      <c r="O9" s="138">
        <f>IF(B9&lt;='VALOR POR PL'!$P$5,'CP RESUMO'!H57,"")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RESUMO'!I15</f>
        <v/>
      </c>
      <c r="N10" s="139">
        <f>MAX(0,M10-M9)</f>
        <v/>
      </c>
      <c r="O10" s="138">
        <f>IF(B10&lt;='VALOR POR PL'!$P$5,'CP RESUMO'!I57,"")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RESUMO'!J15</f>
        <v/>
      </c>
      <c r="N11" s="139">
        <f>MAX(0,M11-M10)</f>
        <v/>
      </c>
      <c r="O11" s="138">
        <f>IF(B11&lt;='VALOR POR PL'!$P$5,'CP RESUMO'!J57,"")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RESUMO'!K15</f>
        <v/>
      </c>
      <c r="N12" s="139">
        <f>MAX(0,M12-M11)</f>
        <v/>
      </c>
      <c r="O12" s="138">
        <f>IF(B12&lt;='VALOR POR PL'!$P$5,'CP RESUMO'!K57,"")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PL'!I21</f>
        <v/>
      </c>
      <c r="L13" s="49">
        <f>C13/IF(B13&lt;='VALOR POR PL'!$P$5,IFERROR(INDEX('"INCC-FGV"'!$B$2:$B$800,MATCH(B13,'"INCC-FGV"'!$A$2:$A$800,0)),$K$2),$K$2)</f>
        <v/>
      </c>
      <c r="M13" s="138">
        <f>'CP RESUMO'!L15</f>
        <v/>
      </c>
      <c r="N13" s="139">
        <f>MAX(0,M13-M12)</f>
        <v/>
      </c>
      <c r="O13" s="138">
        <f>IF(B13&lt;='VALOR POR PL'!$P$5,'CP RESUMO'!L57,"")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RESUMO'!$D$57:$BW$57,MATCH('VALOR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RESUMO'!M15</f>
        <v/>
      </c>
      <c r="N14" s="139">
        <f>MAX(0,M14-M13)</f>
        <v/>
      </c>
      <c r="O14" s="138">
        <f>IF(B14&lt;='VALOR POR PL'!$P$5,'CP RESUMO'!M57,"")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RESUMO'!N15</f>
        <v/>
      </c>
      <c r="N15" s="139">
        <f>MAX(0,M15-M14)</f>
        <v/>
      </c>
      <c r="O15" s="138">
        <f>IF(B15&lt;='VALOR POR PL'!$P$5,'CP RESUMO'!N57,"")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RESUMO'!O15</f>
        <v/>
      </c>
      <c r="N16" s="139">
        <f>MAX(0,M16-M15)</f>
        <v/>
      </c>
      <c r="O16" s="138">
        <f>IF(B16&lt;='VALOR POR PL'!$P$5,'CP RESUMO'!O57,"")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RESUMO'!P15</f>
        <v/>
      </c>
      <c r="N17" s="139">
        <f>MAX(0,M17-M16)</f>
        <v/>
      </c>
      <c r="O17" s="138">
        <f>IF(B17&lt;='VALOR POR PL'!$P$5,'CP RESUMO'!P57,"")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RESUMO'!Q15</f>
        <v/>
      </c>
      <c r="N18" s="139">
        <f>MAX(0,M18-M17)</f>
        <v/>
      </c>
      <c r="O18" s="138">
        <f>IF(B18&lt;='VALOR POR PL'!$P$5,'CP RESUMO'!Q57,"")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RESUMO'!R15</f>
        <v/>
      </c>
      <c r="N19" s="139">
        <f>MAX(0,M19-M18)</f>
        <v/>
      </c>
      <c r="O19" s="138">
        <f>IF(B19&lt;='VALOR POR PL'!$P$5,'CP RESUMO'!R57,"")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RESUMO'!S15</f>
        <v/>
      </c>
      <c r="N20" s="139">
        <f>MAX(0,M20-M19)</f>
        <v/>
      </c>
      <c r="O20" s="138">
        <f>IF(B20&lt;='VALOR POR PL'!$P$5,'CP RESUMO'!S57,"")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RESUMO'!T15</f>
        <v/>
      </c>
      <c r="N21" s="139">
        <f>MAX(0,M21-M20)</f>
        <v/>
      </c>
      <c r="O21" s="138">
        <f>IF(B21&lt;='VALOR POR PL'!$P$5,'CP RESUMO'!T57,"")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RESUMO'!U15</f>
        <v/>
      </c>
      <c r="N22" s="139">
        <f>MAX(0,M22-M21)</f>
        <v/>
      </c>
      <c r="O22" s="138">
        <f>IF(B22&lt;='VALOR POR PL'!$P$5,'CP RESUMO'!U57,"")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RESUMO'!V15</f>
        <v/>
      </c>
      <c r="N23" s="139">
        <f>MAX(0,M23-M22)</f>
        <v/>
      </c>
      <c r="O23" s="138">
        <f>IF(B23&lt;='VALOR POR PL'!$P$5,'CP RESUMO'!V57,"")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Reorçamento: fator 1 (a projeção da ANÁLISE IEC tinha erro de fórmula; confirmado pelo usuário).</t>
        </is>
      </c>
      <c r="L24" s="49">
        <f>C24/IF(B24&lt;='VALOR POR PL'!$P$5,IFERROR(INDEX('"INCC-FGV"'!$B$2:$B$800,MATCH(B24,'"INCC-FGV"'!$A$2:$A$800,0)),$K$2),$K$2)</f>
        <v/>
      </c>
      <c r="M24" s="138">
        <f>'CP RESUMO'!W15</f>
        <v/>
      </c>
      <c r="N24" s="139">
        <f>MAX(0,M24-M23)</f>
        <v/>
      </c>
      <c r="O24" s="138">
        <f>IF(B24&lt;='VALOR POR PL'!$P$5,'CP RESUMO'!W57,"")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RESUMO'!X15</f>
        <v/>
      </c>
      <c r="N25" s="139">
        <f>MAX(0,M25-M24)</f>
        <v/>
      </c>
      <c r="O25" s="138">
        <f>IF(B25&lt;='VALOR POR PL'!$P$5,'CP RESUMO'!X57,"")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73971.77</v>
      </c>
      <c r="L26" s="49">
        <f>C26/IF(B26&lt;='VALOR POR PL'!$P$5,IFERROR(INDEX('"INCC-FGV"'!$B$2:$B$800,MATCH(B26,'"INCC-FGV"'!$A$2:$A$800,0)),$K$2),$K$2)</f>
        <v/>
      </c>
      <c r="M26" s="138">
        <f>'CP RESUMO'!Y15</f>
        <v/>
      </c>
      <c r="N26" s="139">
        <f>MAX(0,M26-M25)</f>
        <v/>
      </c>
      <c r="O26" s="138">
        <f>IF(B26&lt;='VALOR POR PL'!$P$5,'CP RESUMO'!Y57,"")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169587.83</v>
      </c>
      <c r="L27" s="49">
        <f>C27/IF(B27&lt;='VALOR POR PL'!$P$5,IFERROR(INDEX('"INCC-FGV"'!$B$2:$B$800,MATCH(B27,'"INCC-FGV"'!$A$2:$A$800,0)),$K$2),$K$2)</f>
        <v/>
      </c>
      <c r="M27" s="138">
        <f>'CP RESUMO'!Z15</f>
        <v/>
      </c>
      <c r="N27" s="139">
        <f>MAX(0,M27-M26)</f>
        <v/>
      </c>
      <c r="O27" s="138">
        <f>IF(B27&lt;='VALOR POR PL'!$P$5,'CP RESUMO'!Z57,"")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138370.85</v>
      </c>
      <c r="L28" s="49">
        <f>C28/IF(B28&lt;='VALOR POR PL'!$P$5,IFERROR(INDEX('"INCC-FGV"'!$B$2:$B$800,MATCH(B28,'"INCC-FGV"'!$A$2:$A$800,0)),$K$2),$K$2)</f>
        <v/>
      </c>
      <c r="M28" s="138">
        <f>'CP RESUMO'!AA15</f>
        <v/>
      </c>
      <c r="N28" s="139">
        <f>MAX(0,M28-M27)</f>
        <v/>
      </c>
      <c r="O28" s="138">
        <f>IF(B28&lt;='VALOR POR PL'!$P$5,'CP RESUMO'!AA57,"")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167442.39</v>
      </c>
      <c r="L29" s="49">
        <f>C29/IF(B29&lt;='VALOR POR PL'!$P$5,IFERROR(INDEX('"INCC-FGV"'!$B$2:$B$800,MATCH(B29,'"INCC-FGV"'!$A$2:$A$800,0)),$K$2),$K$2)</f>
        <v/>
      </c>
      <c r="M29" s="138">
        <f>'CP RESUMO'!AB15</f>
        <v/>
      </c>
      <c r="N29" s="139">
        <f>MAX(0,M29-M28)</f>
        <v/>
      </c>
      <c r="O29" s="138">
        <f>IF(B29&lt;='VALOR POR PL'!$P$5,'CP RESUMO'!AB57,"")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145942.51</v>
      </c>
      <c r="L30" s="49">
        <f>C30/IF(B30&lt;='VALOR POR PL'!$P$5,IFERROR(INDEX('"INCC-FGV"'!$B$2:$B$800,MATCH(B30,'"INCC-FGV"'!$A$2:$A$800,0)),$K$2),$K$2)</f>
        <v/>
      </c>
      <c r="M30" s="138">
        <f>'CP RESUMO'!AC15</f>
        <v/>
      </c>
      <c r="N30" s="139">
        <f>MAX(0,M30-M29)</f>
        <v/>
      </c>
      <c r="O30" s="138">
        <f>IF(B30&lt;='VALOR POR PL'!$P$5,'CP RESUMO'!AC57,"")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126915.85</v>
      </c>
      <c r="L31" s="49">
        <f>C31/IF(B31&lt;='VALOR POR PL'!$P$5,IFERROR(INDEX('"INCC-FGV"'!$B$2:$B$800,MATCH(B31,'"INCC-FGV"'!$A$2:$A$800,0)),$K$2),$K$2)</f>
        <v/>
      </c>
      <c r="M31" s="138">
        <f>'CP RESUMO'!AD15</f>
        <v/>
      </c>
      <c r="N31" s="139">
        <f>MAX(0,M31-M30)</f>
        <v/>
      </c>
      <c r="O31" s="138">
        <f>IF(B31&lt;='VALOR POR PL'!$P$5,'CP RESUMO'!AD57,"")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146949.18</v>
      </c>
      <c r="L32" s="49">
        <f>C32/IF(B32&lt;='VALOR POR PL'!$P$5,IFERROR(INDEX('"INCC-FGV"'!$B$2:$B$800,MATCH(B32,'"INCC-FGV"'!$A$2:$A$800,0)),$K$2),$K$2)</f>
        <v/>
      </c>
      <c r="M32" s="138">
        <f>'CP RESUMO'!AE15</f>
        <v/>
      </c>
      <c r="N32" s="139">
        <f>MAX(0,M32-M31)</f>
        <v/>
      </c>
      <c r="O32" s="138">
        <f>IF(B32&lt;='VALOR POR PL'!$P$5,'CP RESUMO'!AE57,"")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125682.51</v>
      </c>
      <c r="L33" s="49">
        <f>C33/IF(B33&lt;='VALOR POR PL'!$P$5,IFERROR(INDEX('"INCC-FGV"'!$B$2:$B$800,MATCH(B33,'"INCC-FGV"'!$A$2:$A$800,0)),$K$2),$K$2)</f>
        <v/>
      </c>
      <c r="M33" s="138">
        <f>'CP RESUMO'!AF15</f>
        <v/>
      </c>
      <c r="N33" s="139">
        <f>MAX(0,M33-M32)</f>
        <v/>
      </c>
      <c r="O33" s="138">
        <f>IF(B33&lt;='VALOR POR PL'!$P$5,'CP RESUMO'!AF57,"")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118188.71</v>
      </c>
      <c r="L34" s="49">
        <f>C34/IF(B34&lt;='VALOR POR PL'!$P$5,IFERROR(INDEX('"INCC-FGV"'!$B$2:$B$800,MATCH(B34,'"INCC-FGV"'!$A$2:$A$800,0)),$K$2),$K$2)</f>
        <v/>
      </c>
      <c r="M34" s="138">
        <f>'CP RESUMO'!AG15</f>
        <v/>
      </c>
      <c r="N34" s="139">
        <f>MAX(0,M34-M33)</f>
        <v/>
      </c>
      <c r="O34" s="138">
        <f>IF(B34&lt;='VALOR POR PL'!$P$5,'CP RESUMO'!AG57,"")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98015.37</v>
      </c>
      <c r="L35" s="49">
        <f>C35/IF(B35&lt;='VALOR POR PL'!$P$5,IFERROR(INDEX('"INCC-FGV"'!$B$2:$B$800,MATCH(B35,'"INCC-FGV"'!$A$2:$A$800,0)),$K$2),$K$2)</f>
        <v/>
      </c>
      <c r="M35" s="138">
        <f>'CP RESUMO'!AH15</f>
        <v/>
      </c>
      <c r="N35" s="139">
        <f>MAX(0,M35-M34)</f>
        <v/>
      </c>
      <c r="O35" s="138">
        <f>IF(B35&lt;='VALOR POR PL'!$P$5,'CP RESUMO'!AH57,"")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80835.37</v>
      </c>
      <c r="L36" s="49">
        <f>C36/IF(B36&lt;='VALOR POR PL'!$P$5,IFERROR(INDEX('"INCC-FGV"'!$B$2:$B$800,MATCH(B36,'"INCC-FGV"'!$A$2:$A$800,0)),$K$2),$K$2)</f>
        <v/>
      </c>
      <c r="M36" s="138">
        <f>'CP RESUMO'!AI15</f>
        <v/>
      </c>
      <c r="N36" s="139">
        <f>MAX(0,M36-M35)</f>
        <v/>
      </c>
      <c r="O36" s="138">
        <f>IF(B36&lt;='VALOR POR PL'!$P$5,'CP RESUMO'!AI57,"")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92468.71000000001</v>
      </c>
      <c r="L37" s="49">
        <f>C37/IF(B37&lt;='VALOR POR PL'!$P$5,IFERROR(INDEX('"INCC-FGV"'!$B$2:$B$800,MATCH(B37,'"INCC-FGV"'!$A$2:$A$800,0)),$K$2),$K$2)</f>
        <v/>
      </c>
      <c r="M37" s="138">
        <f>'CP RESUMO'!AJ15</f>
        <v/>
      </c>
      <c r="N37" s="139">
        <f>MAX(0,M37-M36)</f>
        <v/>
      </c>
      <c r="O37" s="138">
        <f>IF(B37&lt;='VALOR POR PL'!$P$5,'CP RESUMO'!AJ57,"")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112148.57</v>
      </c>
      <c r="L38" s="49">
        <f>C38/IF(B38&lt;='VALOR POR PL'!$P$5,IFERROR(INDEX('"INCC-FGV"'!$B$2:$B$800,MATCH(B38,'"INCC-FGV"'!$A$2:$A$800,0)),$K$2),$K$2)</f>
        <v/>
      </c>
      <c r="M38" s="138">
        <f>'CP RESUMO'!AK15</f>
        <v/>
      </c>
      <c r="N38" s="139">
        <f>MAX(0,M38-M37)</f>
        <v/>
      </c>
      <c r="O38" s="138">
        <f>IF(B38&lt;='VALOR POR PL'!$P$5,'CP RESUMO'!AK57,"")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51688.71</v>
      </c>
      <c r="L39" s="49">
        <f>C39/IF(B39&lt;='VALOR POR PL'!$P$5,IFERROR(INDEX('"INCC-FGV"'!$B$2:$B$800,MATCH(B39,'"INCC-FGV"'!$A$2:$A$800,0)),$K$2),$K$2)</f>
        <v/>
      </c>
      <c r="M39" s="138">
        <f>'CP RESUMO'!AL15</f>
        <v/>
      </c>
      <c r="N39" s="139">
        <f>MAX(0,M39-M38)</f>
        <v/>
      </c>
      <c r="O39" s="138">
        <f>IF(B39&lt;='VALOR POR PL'!$P$5,'CP RESUMO'!AL57,"")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58408.71</v>
      </c>
      <c r="L40" s="49">
        <f>C40/IF(B40&lt;='VALOR POR PL'!$P$5,IFERROR(INDEX('"INCC-FGV"'!$B$2:$B$800,MATCH(B40,'"INCC-FGV"'!$A$2:$A$800,0)),$K$2),$K$2)</f>
        <v/>
      </c>
      <c r="M40" s="138">
        <f>'CP RESUMO'!AM15</f>
        <v/>
      </c>
      <c r="N40" s="139">
        <f>MAX(0,M40-M39)</f>
        <v/>
      </c>
      <c r="O40" s="138">
        <f>IF(B40&lt;='VALOR POR PL'!$P$5,'CP RESUMO'!AM57,"")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46408.71</v>
      </c>
      <c r="L41" s="49">
        <f>C41/IF(B41&lt;='VALOR POR PL'!$P$5,IFERROR(INDEX('"INCC-FGV"'!$B$2:$B$800,MATCH(B41,'"INCC-FGV"'!$A$2:$A$800,0)),$K$2),$K$2)</f>
        <v/>
      </c>
      <c r="M41" s="138">
        <f>'CP RESUMO'!AN15</f>
        <v/>
      </c>
      <c r="N41" s="139">
        <f>MAX(0,M41-M40)</f>
        <v/>
      </c>
      <c r="O41" s="138">
        <f>IF(B41&lt;='VALOR POR PL'!$P$5,'CP RESUMO'!AN57,"")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48975.37</v>
      </c>
      <c r="L42" s="49">
        <f>C42/IF(B42&lt;='VALOR POR PL'!$P$5,IFERROR(INDEX('"INCC-FGV"'!$B$2:$B$800,MATCH(B42,'"INCC-FGV"'!$A$2:$A$800,0)),$K$2),$K$2)</f>
        <v/>
      </c>
      <c r="M42" s="138">
        <f>'CP RESUMO'!AO15</f>
        <v/>
      </c>
      <c r="N42" s="139">
        <f>MAX(0,M42-M41)</f>
        <v/>
      </c>
      <c r="O42" s="138">
        <f>IF(B42&lt;='VALOR POR PL'!$P$5,'CP RESUMO'!AO57,"")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49031.4</v>
      </c>
      <c r="L43" s="49">
        <f>C43/IF(B43&lt;='VALOR POR PL'!$P$5,IFERROR(INDEX('"INCC-FGV"'!$B$2:$B$800,MATCH(B43,'"INCC-FGV"'!$A$2:$A$800,0)),$K$2),$K$2)</f>
        <v/>
      </c>
      <c r="M43" s="138">
        <f>'CP RESUMO'!AP15</f>
        <v/>
      </c>
      <c r="N43" s="139">
        <f>MAX(0,M43-M42)</f>
        <v/>
      </c>
      <c r="O43" s="138">
        <f>IF(B43&lt;='VALOR POR PL'!$P$5,'CP RESUMO'!AP57,"")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37552.81</v>
      </c>
      <c r="L44" s="49">
        <f>C44/IF(B44&lt;='VALOR POR PL'!$P$5,IFERROR(INDEX('"INCC-FGV"'!$B$2:$B$800,MATCH(B44,'"INCC-FGV"'!$A$2:$A$800,0)),$K$2),$K$2)</f>
        <v/>
      </c>
      <c r="M44" s="138">
        <f>'CP RESUMO'!AQ15</f>
        <v/>
      </c>
      <c r="N44" s="139">
        <f>MAX(0,M44-M43)</f>
        <v/>
      </c>
      <c r="O44" s="138">
        <f>IF(B44&lt;='VALOR POR PL'!$P$5,'CP RESUMO'!AQ57,"")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37552.81</v>
      </c>
      <c r="L45" s="49">
        <f>C45/IF(B45&lt;='VALOR POR PL'!$P$5,IFERROR(INDEX('"INCC-FGV"'!$B$2:$B$800,MATCH(B45,'"INCC-FGV"'!$A$2:$A$800,0)),$K$2),$K$2)</f>
        <v/>
      </c>
      <c r="M45" s="138">
        <f>'CP RESUMO'!AR15</f>
        <v/>
      </c>
      <c r="N45" s="139">
        <f>MAX(0,M45-M44)</f>
        <v/>
      </c>
      <c r="O45" s="138">
        <f>IF(B45&lt;='VALOR POR PL'!$P$5,'CP RESUMO'!AR57,"")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15902.81</v>
      </c>
      <c r="L46" s="49">
        <f>C46/IF(B46&lt;='VALOR POR PL'!$P$5,IFERROR(INDEX('"INCC-FGV"'!$B$2:$B$800,MATCH(B46,'"INCC-FGV"'!$A$2:$A$800,0)),$K$2),$K$2)</f>
        <v/>
      </c>
      <c r="M46" s="138">
        <f>'CP RESUMO'!AS15</f>
        <v/>
      </c>
      <c r="N46" s="139">
        <f>MAX(0,M46-M45)</f>
        <v/>
      </c>
      <c r="O46" s="138">
        <f>IF(B46&lt;='VALOR POR PL'!$P$5,'CP RESUMO'!AS57,"")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15552.81</v>
      </c>
      <c r="L47" s="49">
        <f>C47/IF(B47&lt;='VALOR POR PL'!$P$5,IFERROR(INDEX('"INCC-FGV"'!$B$2:$B$800,MATCH(B47,'"INCC-FGV"'!$A$2:$A$800,0)),$K$2),$K$2)</f>
        <v/>
      </c>
      <c r="M47" s="138">
        <f>'CP RESUMO'!AT15</f>
        <v/>
      </c>
      <c r="N47" s="139">
        <f>MAX(0,M47-M46)</f>
        <v/>
      </c>
      <c r="O47" s="138">
        <f>IF(B47&lt;='VALOR POR PL'!$P$5,'CP RESUMO'!AT57,"")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6499.89</v>
      </c>
      <c r="L48" s="49">
        <f>C48/IF(B48&lt;='VALOR POR PL'!$P$5,IFERROR(INDEX('"INCC-FGV"'!$B$2:$B$800,MATCH(B48,'"INCC-FGV"'!$A$2:$A$800,0)),$K$2),$K$2)</f>
        <v/>
      </c>
      <c r="M48" s="138">
        <f>'CP RESUMO'!AU15</f>
        <v/>
      </c>
      <c r="N48" s="139">
        <f>MAX(0,M48-M47)</f>
        <v/>
      </c>
      <c r="O48" s="138">
        <f>IF(B48&lt;='VALOR POR PL'!$P$5,'CP RESUMO'!AU57,"")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6499.89</v>
      </c>
      <c r="L49" s="49">
        <f>C49/IF(B49&lt;='VALOR POR PL'!$P$5,IFERROR(INDEX('"INCC-FGV"'!$B$2:$B$800,MATCH(B49,'"INCC-FGV"'!$A$2:$A$800,0)),$K$2),$K$2)</f>
        <v/>
      </c>
      <c r="M49" s="138">
        <f>'CP RESUMO'!AV15</f>
        <v/>
      </c>
      <c r="N49" s="139">
        <f>MAX(0,M49-M48)</f>
        <v/>
      </c>
      <c r="O49" s="138">
        <f>IF(B49&lt;='VALOR POR PL'!$P$5,'CP RESUMO'!AV57,"")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4499.89</v>
      </c>
      <c r="L50" s="49">
        <f>C50/IF(B50&lt;='VALOR POR PL'!$P$5,IFERROR(INDEX('"INCC-FGV"'!$B$2:$B$800,MATCH(B50,'"INCC-FGV"'!$A$2:$A$800,0)),$K$2),$K$2)</f>
        <v/>
      </c>
      <c r="M50" s="138">
        <f>'CP RESUMO'!AW15</f>
        <v/>
      </c>
      <c r="N50" s="139">
        <f>MAX(0,M50-M49)</f>
        <v/>
      </c>
      <c r="O50" s="138">
        <f>IF(B50&lt;='VALOR POR PL'!$P$5,'CP RESUMO'!AW57,"")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RESUMO'!AX15</f>
        <v/>
      </c>
      <c r="N51" s="139">
        <f>MAX(0,M51-M50)</f>
        <v/>
      </c>
      <c r="O51" s="138">
        <f>IF(B51&lt;='VALOR POR PL'!$P$5,'CP RESUMO'!AX57,"")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746804.61</v>
      </c>
      <c r="L52" s="49">
        <f>C52/IF(B52&lt;='VALOR POR PL'!$P$5,IFERROR(INDEX('"INCC-FGV"'!$B$2:$B$800,MATCH(B52,'"INCC-FGV"'!$A$2:$A$800,0)),$K$2),$K$2)</f>
        <v/>
      </c>
      <c r="M52" s="138">
        <f>'CP RESUMO'!AY15</f>
        <v/>
      </c>
      <c r="N52" s="139">
        <f>MAX(0,M52-M51)</f>
        <v/>
      </c>
      <c r="O52" s="138">
        <f>IF(B52&lt;='VALOR POR PL'!$P$5,'CP RESUMO'!AY57,"")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RESUMO'!AZ15</f>
        <v/>
      </c>
      <c r="N53" s="139">
        <f>MAX(0,M53-M52)</f>
        <v/>
      </c>
      <c r="O53" s="138">
        <f>IF(B53&lt;='VALOR POR PL'!$P$5,'CP RESUMO'!AZ57,"")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RESUMO'!BA15</f>
        <v/>
      </c>
      <c r="N54" s="139">
        <f>MAX(0,M54-M53)</f>
        <v/>
      </c>
      <c r="O54" s="138">
        <f>IF(B54&lt;='VALOR POR PL'!$P$5,'CP RESUMO'!BA57,"")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RESUMO'!BB15</f>
        <v/>
      </c>
      <c r="N55" s="139">
        <f>MAX(0,M55-M54)</f>
        <v/>
      </c>
      <c r="O55" s="138">
        <f>IF(B55&lt;='VALOR POR PL'!$P$5,'CP RESUMO'!BB57,"")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RESUMO'!BC15</f>
        <v/>
      </c>
      <c r="N56" s="139">
        <f>MAX(0,M56-M55)</f>
        <v/>
      </c>
      <c r="O56" s="138">
        <f>IF(B56&lt;='VALOR POR PL'!$P$5,'CP RESUMO'!BC57,"")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RESUMO'!BD15</f>
        <v/>
      </c>
      <c r="N57" s="139">
        <f>MAX(0,M57-M56)</f>
        <v/>
      </c>
      <c r="O57" s="138">
        <f>IF(B57&lt;='VALOR POR PL'!$P$5,'CP RESUMO'!BD57,"")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RESUMO'!BE15</f>
        <v/>
      </c>
      <c r="N58" s="139">
        <f>MAX(0,M58-M57)</f>
        <v/>
      </c>
      <c r="O58" s="138">
        <f>IF(B58&lt;='VALOR POR PL'!$P$5,'CP RESUMO'!BE57,"")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RESUMO'!BF15</f>
        <v/>
      </c>
      <c r="N59" s="139">
        <f>MAX(0,M59-M58)</f>
        <v/>
      </c>
      <c r="O59" s="138">
        <f>IF(B59&lt;='VALOR POR PL'!$P$5,'CP RESUMO'!BF57,"")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RESUMO'!BG15</f>
        <v/>
      </c>
      <c r="N60" s="139">
        <f>MAX(0,M60-M59)</f>
        <v/>
      </c>
      <c r="O60" s="138">
        <f>IF(B60&lt;='VALOR POR PL'!$P$5,'CP RESUMO'!BG57,"")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RESUMO'!BH15</f>
        <v/>
      </c>
      <c r="N61" s="139">
        <f>MAX(0,M61-M60)</f>
        <v/>
      </c>
      <c r="O61" s="138">
        <f>IF(B61&lt;='VALOR POR PL'!$P$5,'CP RESUMO'!BH57,"")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RESUMO'!BI15</f>
        <v/>
      </c>
      <c r="N62" s="139">
        <f>MAX(0,M62-M61)</f>
        <v/>
      </c>
      <c r="O62" s="138">
        <f>IF(B62&lt;='VALOR POR PL'!$P$5,'CP RESUMO'!BI57,"")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RESUMO'!BJ15</f>
        <v/>
      </c>
      <c r="N63" s="139">
        <f>MAX(0,M63-M62)</f>
        <v/>
      </c>
      <c r="O63" s="138">
        <f>IF(B63&lt;='VALOR POR PL'!$P$5,'CP RESUMO'!BJ57,"")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RESUMO'!BK15</f>
        <v/>
      </c>
      <c r="N64" s="139">
        <f>MAX(0,M64-M63)</f>
        <v/>
      </c>
      <c r="O64" s="138">
        <f>IF(B64&lt;='VALOR POR PL'!$P$5,'CP RESUMO'!BK57,"")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RESUMO'!BL15</f>
        <v/>
      </c>
      <c r="N65" s="139">
        <f>MAX(0,M65-M64)</f>
        <v/>
      </c>
      <c r="O65" s="138">
        <f>IF(B65&lt;='VALOR POR PL'!$P$5,'CP RESUMO'!BL57,"")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RESUMO'!BM15</f>
        <v/>
      </c>
      <c r="N66" s="139">
        <f>MAX(0,M66-M65)</f>
        <v/>
      </c>
      <c r="O66" s="138">
        <f>IF(B66&lt;='VALOR POR PL'!$P$5,'CP RESUMO'!BM57,"")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RESUMO'!BN15</f>
        <v/>
      </c>
      <c r="N67" s="139">
        <f>MAX(0,M67-M66)</f>
        <v/>
      </c>
      <c r="O67" s="138">
        <f>IF(B67&lt;='VALOR POR PL'!$P$5,'CP RESUMO'!BN57,"")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RESUMO'!BO15</f>
        <v/>
      </c>
      <c r="N68" s="139">
        <f>MAX(0,M68-M67)</f>
        <v/>
      </c>
      <c r="O68" s="138">
        <f>IF(B68&lt;='VALOR POR PL'!$P$5,'CP RESUMO'!BO57,"")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RESUMO'!BP15</f>
        <v/>
      </c>
      <c r="N69" s="139">
        <f>MAX(0,M69-M68)</f>
        <v/>
      </c>
      <c r="O69" s="138">
        <f>IF(B69&lt;='VALOR POR PL'!$P$5,'CP RESUMO'!BP57,"")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RESUMO'!BQ15</f>
        <v/>
      </c>
      <c r="N70" s="139">
        <f>MAX(0,M70-M69)</f>
        <v/>
      </c>
      <c r="O70" s="138">
        <f>IF(B70&lt;='VALOR POR PL'!$P$5,'CP RESUMO'!BQ57,"")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RESUMO'!BR15</f>
        <v/>
      </c>
      <c r="N71" s="139">
        <f>MAX(0,M71-M70)</f>
        <v/>
      </c>
      <c r="O71" s="138">
        <f>IF(B71&lt;='VALOR POR PL'!$P$5,'CP RESUMO'!BR57,"")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RESUMO'!BS15</f>
        <v/>
      </c>
      <c r="N72" s="139">
        <f>MAX(0,M72-M71)</f>
        <v/>
      </c>
      <c r="O72" s="138">
        <f>IF(B72&lt;='VALOR POR PL'!$P$5,'CP RESUMO'!BS57,"")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RESUMO'!BT15</f>
        <v/>
      </c>
      <c r="N73" s="139">
        <f>MAX(0,M73-M72)</f>
        <v/>
      </c>
      <c r="O73" s="138">
        <f>IF(B73&lt;='VALOR POR PL'!$P$5,'CP RESUMO'!BT57,"")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RESUMO'!BU15</f>
        <v/>
      </c>
      <c r="N74" s="139">
        <f>MAX(0,M74-M73)</f>
        <v/>
      </c>
      <c r="O74" s="138">
        <f>IF(B74&lt;='VALOR POR PL'!$P$5,'CP RESUMO'!BU57,"")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RESUMO'!BV15</f>
        <v/>
      </c>
      <c r="N75" s="139">
        <f>MAX(0,M75-M74)</f>
        <v/>
      </c>
      <c r="O75" s="138">
        <f>IF(B75&lt;='VALOR POR PL'!$P$5,'CP RESUMO'!BV57,"")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RESUMO'!BW15</f>
        <v/>
      </c>
      <c r="N76" s="139">
        <f>MAX(0,M76-M75)</f>
        <v/>
      </c>
      <c r="O76" s="138">
        <f>IF(B76&lt;='VALOR POR PL'!$P$5,'CP RESUMO'!BW57,"")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PL'!F22</f>
        <v/>
      </c>
      <c r="K5" s="60">
        <f>'VALOR POR PL'!G22</f>
        <v/>
      </c>
      <c r="L5" s="60">
        <f>'DADOS HISTORICOS'!$BZ$16</f>
        <v/>
      </c>
      <c r="M5" s="138">
        <f>'CP RESUMO'!D16</f>
        <v/>
      </c>
      <c r="N5" s="139" t="n">
        <v>0</v>
      </c>
      <c r="O5" s="138">
        <f>IF(B5&lt;='VALOR POR PL'!$P$5,'CP RESUMO'!D58,"")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PL'!H22</f>
        <v/>
      </c>
      <c r="L6" s="49">
        <f>C6/IF(B6&lt;='VALOR POR PL'!$P$5,IFERROR(INDEX('"INCC-FGV"'!$B$2:$B$800,MATCH(B6,'"INCC-FGV"'!$A$2:$A$800,0)),$K$2),$K$2)</f>
        <v/>
      </c>
      <c r="M6" s="138">
        <f>'CP RESUMO'!E16</f>
        <v/>
      </c>
      <c r="N6" s="139">
        <f>MAX(0,M6-M5)</f>
        <v/>
      </c>
      <c r="O6" s="138">
        <f>IF(B6&lt;='VALOR POR PL'!$P$5,'CP RESUMO'!E58,"")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RESUMO'!F16</f>
        <v/>
      </c>
      <c r="N7" s="139">
        <f>MAX(0,M7-M6)</f>
        <v/>
      </c>
      <c r="O7" s="138">
        <f>IF(B7&lt;='VALOR POR PL'!$P$5,'CP RESUMO'!F58,"")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RESUMO'!G16</f>
        <v/>
      </c>
      <c r="N8" s="139">
        <f>MAX(0,M8-M7)</f>
        <v/>
      </c>
      <c r="O8" s="138">
        <f>IF(B8&lt;='VALOR POR PL'!$P$5,'CP RESUMO'!G58,"")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RESUMO'!H16</f>
        <v/>
      </c>
      <c r="N9" s="139">
        <f>MAX(0,M9-M8)</f>
        <v/>
      </c>
      <c r="O9" s="138">
        <f>IF(B9&lt;='VALOR POR PL'!$P$5,'CP RESUMO'!H58,"")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RESUMO'!I16</f>
        <v/>
      </c>
      <c r="N10" s="139">
        <f>MAX(0,M10-M9)</f>
        <v/>
      </c>
      <c r="O10" s="138">
        <f>IF(B10&lt;='VALOR POR PL'!$P$5,'CP RESUMO'!I58,"")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RESUMO'!J16</f>
        <v/>
      </c>
      <c r="N11" s="139">
        <f>MAX(0,M11-M10)</f>
        <v/>
      </c>
      <c r="O11" s="138">
        <f>IF(B11&lt;='VALOR POR PL'!$P$5,'CP RESUMO'!J58,"")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RESUMO'!K16</f>
        <v/>
      </c>
      <c r="N12" s="139">
        <f>MAX(0,M12-M11)</f>
        <v/>
      </c>
      <c r="O12" s="138">
        <f>IF(B12&lt;='VALOR POR PL'!$P$5,'CP RESUMO'!K58,"")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PL'!I22</f>
        <v/>
      </c>
      <c r="L13" s="49">
        <f>C13/IF(B13&lt;='VALOR POR PL'!$P$5,IFERROR(INDEX('"INCC-FGV"'!$B$2:$B$800,MATCH(B13,'"INCC-FGV"'!$A$2:$A$800,0)),$K$2),$K$2)</f>
        <v/>
      </c>
      <c r="M13" s="138">
        <f>'CP RESUMO'!L16</f>
        <v/>
      </c>
      <c r="N13" s="139">
        <f>MAX(0,M13-M12)</f>
        <v/>
      </c>
      <c r="O13" s="138">
        <f>IF(B13&lt;='VALOR POR PL'!$P$5,'CP RESUMO'!L58,"")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RESUMO'!$D$58:$BW$58,MATCH('VALOR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RESUMO'!M16</f>
        <v/>
      </c>
      <c r="N14" s="139">
        <f>MAX(0,M14-M13)</f>
        <v/>
      </c>
      <c r="O14" s="138">
        <f>IF(B14&lt;='VALOR POR PL'!$P$5,'CP RESUMO'!M58,"")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RESUMO'!N16</f>
        <v/>
      </c>
      <c r="N15" s="139">
        <f>MAX(0,M15-M14)</f>
        <v/>
      </c>
      <c r="O15" s="138">
        <f>IF(B15&lt;='VALOR POR PL'!$P$5,'CP RESUMO'!N58,"")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RESUMO'!O16</f>
        <v/>
      </c>
      <c r="N16" s="139">
        <f>MAX(0,M16-M15)</f>
        <v/>
      </c>
      <c r="O16" s="138">
        <f>IF(B16&lt;='VALOR POR PL'!$P$5,'CP RESUMO'!O58,"")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RESUMO'!P16</f>
        <v/>
      </c>
      <c r="N17" s="139">
        <f>MAX(0,M17-M16)</f>
        <v/>
      </c>
      <c r="O17" s="138">
        <f>IF(B17&lt;='VALOR POR PL'!$P$5,'CP RESUMO'!P58,"")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RESUMO'!Q16</f>
        <v/>
      </c>
      <c r="N18" s="139">
        <f>MAX(0,M18-M17)</f>
        <v/>
      </c>
      <c r="O18" s="138">
        <f>IF(B18&lt;='VALOR POR PL'!$P$5,'CP RESUMO'!Q58,"")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RESUMO'!R16</f>
        <v/>
      </c>
      <c r="N19" s="139">
        <f>MAX(0,M19-M18)</f>
        <v/>
      </c>
      <c r="O19" s="138">
        <f>IF(B19&lt;='VALOR POR PL'!$P$5,'CP RESUMO'!R58,"")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RESUMO'!S16</f>
        <v/>
      </c>
      <c r="N20" s="139">
        <f>MAX(0,M20-M19)</f>
        <v/>
      </c>
      <c r="O20" s="138">
        <f>IF(B20&lt;='VALOR POR PL'!$P$5,'CP RESUMO'!S58,"")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RESUMO'!T16</f>
        <v/>
      </c>
      <c r="N21" s="139">
        <f>MAX(0,M21-M20)</f>
        <v/>
      </c>
      <c r="O21" s="138">
        <f>IF(B21&lt;='VALOR POR PL'!$P$5,'CP RESUMO'!T58,"")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RESUMO'!U16</f>
        <v/>
      </c>
      <c r="N22" s="139">
        <f>MAX(0,M22-M21)</f>
        <v/>
      </c>
      <c r="O22" s="138">
        <f>IF(B22&lt;='VALOR POR PL'!$P$5,'CP RESUMO'!U58,"")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RESUMO'!V16</f>
        <v/>
      </c>
      <c r="N23" s="139">
        <f>MAX(0,M23-M22)</f>
        <v/>
      </c>
      <c r="O23" s="138">
        <f>IF(B23&lt;='VALOR POR PL'!$P$5,'CP RESUMO'!V58,"")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RESUMO'!W16</f>
        <v/>
      </c>
      <c r="N24" s="139">
        <f>MAX(0,M24-M23)</f>
        <v/>
      </c>
      <c r="O24" s="138">
        <f>IF(B24&lt;='VALOR POR PL'!$P$5,'CP RESUMO'!W58,"")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RESUMO'!X16</f>
        <v/>
      </c>
      <c r="N25" s="139">
        <f>MAX(0,M25-M24)</f>
        <v/>
      </c>
      <c r="O25" s="138">
        <f>IF(B25&lt;='VALOR POR PL'!$P$5,'CP RESUMO'!X58,"")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RESUMO'!Y16</f>
        <v/>
      </c>
      <c r="N26" s="139">
        <f>MAX(0,M26-M25)</f>
        <v/>
      </c>
      <c r="O26" s="138">
        <f>IF(B26&lt;='VALOR POR PL'!$P$5,'CP RESUMO'!Y58,"")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RESUMO'!Z16</f>
        <v/>
      </c>
      <c r="N27" s="139">
        <f>MAX(0,M27-M26)</f>
        <v/>
      </c>
      <c r="O27" s="138">
        <f>IF(B27&lt;='VALOR POR PL'!$P$5,'CP RESUMO'!Z58,"")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RESUMO'!AA16</f>
        <v/>
      </c>
      <c r="N28" s="139">
        <f>MAX(0,M28-M27)</f>
        <v/>
      </c>
      <c r="O28" s="138">
        <f>IF(B28&lt;='VALOR POR PL'!$P$5,'CP RESUMO'!AA58,"")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RESUMO'!AB16</f>
        <v/>
      </c>
      <c r="N29" s="139">
        <f>MAX(0,M29-M28)</f>
        <v/>
      </c>
      <c r="O29" s="138">
        <f>IF(B29&lt;='VALOR POR PL'!$P$5,'CP RESUMO'!AB58,"")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RESUMO'!AC16</f>
        <v/>
      </c>
      <c r="N30" s="139">
        <f>MAX(0,M30-M29)</f>
        <v/>
      </c>
      <c r="O30" s="138">
        <f>IF(B30&lt;='VALOR POR PL'!$P$5,'CP RESUMO'!AC58,"")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RESUMO'!AD16</f>
        <v/>
      </c>
      <c r="N31" s="139">
        <f>MAX(0,M31-M30)</f>
        <v/>
      </c>
      <c r="O31" s="138">
        <f>IF(B31&lt;='VALOR POR PL'!$P$5,'CP RESUMO'!AD58,"")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RESUMO'!AE16</f>
        <v/>
      </c>
      <c r="N32" s="139">
        <f>MAX(0,M32-M31)</f>
        <v/>
      </c>
      <c r="O32" s="138">
        <f>IF(B32&lt;='VALOR POR PL'!$P$5,'CP RESUMO'!AE58,"")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RESUMO'!AF16</f>
        <v/>
      </c>
      <c r="N33" s="139">
        <f>MAX(0,M33-M32)</f>
        <v/>
      </c>
      <c r="O33" s="138">
        <f>IF(B33&lt;='VALOR POR PL'!$P$5,'CP RESUMO'!AF58,"")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RESUMO'!AG16</f>
        <v/>
      </c>
      <c r="N34" s="139">
        <f>MAX(0,M34-M33)</f>
        <v/>
      </c>
      <c r="O34" s="138">
        <f>IF(B34&lt;='VALOR POR PL'!$P$5,'CP RESUMO'!AG58,"")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RESUMO'!AH16</f>
        <v/>
      </c>
      <c r="N35" s="139">
        <f>MAX(0,M35-M34)</f>
        <v/>
      </c>
      <c r="O35" s="138">
        <f>IF(B35&lt;='VALOR POR PL'!$P$5,'CP RESUMO'!AH58,"")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RESUMO'!AI16</f>
        <v/>
      </c>
      <c r="N36" s="139">
        <f>MAX(0,M36-M35)</f>
        <v/>
      </c>
      <c r="O36" s="138">
        <f>IF(B36&lt;='VALOR POR PL'!$P$5,'CP RESUMO'!AI58,"")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RESUMO'!AJ16</f>
        <v/>
      </c>
      <c r="N37" s="139">
        <f>MAX(0,M37-M36)</f>
        <v/>
      </c>
      <c r="O37" s="138">
        <f>IF(B37&lt;='VALOR POR PL'!$P$5,'CP RESUMO'!AJ58,"")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RESUMO'!AK16</f>
        <v/>
      </c>
      <c r="N38" s="139">
        <f>MAX(0,M38-M37)</f>
        <v/>
      </c>
      <c r="O38" s="138">
        <f>IF(B38&lt;='VALOR POR PL'!$P$5,'CP RESUMO'!AK58,"")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RESUMO'!AL16</f>
        <v/>
      </c>
      <c r="N39" s="139">
        <f>MAX(0,M39-M38)</f>
        <v/>
      </c>
      <c r="O39" s="138">
        <f>IF(B39&lt;='VALOR POR PL'!$P$5,'CP RESUMO'!AL58,"")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RESUMO'!AM16</f>
        <v/>
      </c>
      <c r="N40" s="139">
        <f>MAX(0,M40-M39)</f>
        <v/>
      </c>
      <c r="O40" s="138">
        <f>IF(B40&lt;='VALOR POR PL'!$P$5,'CP RESUMO'!AM58,"")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54839.8</v>
      </c>
      <c r="L41" s="49">
        <f>C41/IF(B41&lt;='VALOR POR PL'!$P$5,IFERROR(INDEX('"INCC-FGV"'!$B$2:$B$800,MATCH(B41,'"INCC-FGV"'!$A$2:$A$800,0)),$K$2),$K$2)</f>
        <v/>
      </c>
      <c r="M41" s="138">
        <f>'CP RESUMO'!AN16</f>
        <v/>
      </c>
      <c r="N41" s="139">
        <f>MAX(0,M41-M40)</f>
        <v/>
      </c>
      <c r="O41" s="138">
        <f>IF(B41&lt;='VALOR POR PL'!$P$5,'CP RESUMO'!AN58,"")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RESUMO'!AO16</f>
        <v/>
      </c>
      <c r="N42" s="139">
        <f>MAX(0,M42-M41)</f>
        <v/>
      </c>
      <c r="O42" s="138">
        <f>IF(B42&lt;='VALOR POR PL'!$P$5,'CP RESUMO'!AO58,"")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RESUMO'!AP16</f>
        <v/>
      </c>
      <c r="N43" s="139">
        <f>MAX(0,M43-M42)</f>
        <v/>
      </c>
      <c r="O43" s="138">
        <f>IF(B43&lt;='VALOR POR PL'!$P$5,'CP RESUMO'!AP58,"")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RESUMO'!AQ16</f>
        <v/>
      </c>
      <c r="N44" s="139">
        <f>MAX(0,M44-M43)</f>
        <v/>
      </c>
      <c r="O44" s="138">
        <f>IF(B44&lt;='VALOR POR PL'!$P$5,'CP RESUMO'!AQ58,"")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RESUMO'!AR16</f>
        <v/>
      </c>
      <c r="N45" s="139">
        <f>MAX(0,M45-M44)</f>
        <v/>
      </c>
      <c r="O45" s="138">
        <f>IF(B45&lt;='VALOR POR PL'!$P$5,'CP RESUMO'!AR58,"")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RESUMO'!AS16</f>
        <v/>
      </c>
      <c r="N46" s="139">
        <f>MAX(0,M46-M45)</f>
        <v/>
      </c>
      <c r="O46" s="138">
        <f>IF(B46&lt;='VALOR POR PL'!$P$5,'CP RESUMO'!AS58,"")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RESUMO'!AT16</f>
        <v/>
      </c>
      <c r="N47" s="139">
        <f>MAX(0,M47-M46)</f>
        <v/>
      </c>
      <c r="O47" s="138">
        <f>IF(B47&lt;='VALOR POR PL'!$P$5,'CP RESUMO'!AT58,"")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RESUMO'!AU16</f>
        <v/>
      </c>
      <c r="N48" s="139">
        <f>MAX(0,M48-M47)</f>
        <v/>
      </c>
      <c r="O48" s="138">
        <f>IF(B48&lt;='VALOR POR PL'!$P$5,'CP RESUMO'!AU58,"")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RESUMO'!AV16</f>
        <v/>
      </c>
      <c r="N49" s="139">
        <f>MAX(0,M49-M48)</f>
        <v/>
      </c>
      <c r="O49" s="138">
        <f>IF(B49&lt;='VALOR POR PL'!$P$5,'CP RESUMO'!AV58,"")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RESUMO'!AW16</f>
        <v/>
      </c>
      <c r="N50" s="139">
        <f>MAX(0,M50-M49)</f>
        <v/>
      </c>
      <c r="O50" s="138">
        <f>IF(B50&lt;='VALOR POR PL'!$P$5,'CP RESUMO'!AW58,"")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RESUMO'!AX16</f>
        <v/>
      </c>
      <c r="N51" s="139">
        <f>MAX(0,M51-M50)</f>
        <v/>
      </c>
      <c r="O51" s="138">
        <f>IF(B51&lt;='VALOR POR PL'!$P$5,'CP RESUMO'!AX58,"")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RESUMO'!AY16</f>
        <v/>
      </c>
      <c r="N52" s="139">
        <f>MAX(0,M52-M51)</f>
        <v/>
      </c>
      <c r="O52" s="138">
        <f>IF(B52&lt;='VALOR POR PL'!$P$5,'CP RESUMO'!AY58,"")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RESUMO'!AZ16</f>
        <v/>
      </c>
      <c r="N53" s="139">
        <f>MAX(0,M53-M52)</f>
        <v/>
      </c>
      <c r="O53" s="138">
        <f>IF(B53&lt;='VALOR POR PL'!$P$5,'CP RESUMO'!AZ58,"")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RESUMO'!BA16</f>
        <v/>
      </c>
      <c r="N54" s="139">
        <f>MAX(0,M54-M53)</f>
        <v/>
      </c>
      <c r="O54" s="138">
        <f>IF(B54&lt;='VALOR POR PL'!$P$5,'CP RESUMO'!BA58,"")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RESUMO'!BB16</f>
        <v/>
      </c>
      <c r="N55" s="139">
        <f>MAX(0,M55-M54)</f>
        <v/>
      </c>
      <c r="O55" s="138">
        <f>IF(B55&lt;='VALOR POR PL'!$P$5,'CP RESUMO'!BB58,"")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RESUMO'!BC16</f>
        <v/>
      </c>
      <c r="N56" s="139">
        <f>MAX(0,M56-M55)</f>
        <v/>
      </c>
      <c r="O56" s="138">
        <f>IF(B56&lt;='VALOR POR PL'!$P$5,'CP RESUMO'!BC58,"")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RESUMO'!BD16</f>
        <v/>
      </c>
      <c r="N57" s="139">
        <f>MAX(0,M57-M56)</f>
        <v/>
      </c>
      <c r="O57" s="138">
        <f>IF(B57&lt;='VALOR POR PL'!$P$5,'CP RESUMO'!BD58,"")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RESUMO'!BE16</f>
        <v/>
      </c>
      <c r="N58" s="139">
        <f>MAX(0,M58-M57)</f>
        <v/>
      </c>
      <c r="O58" s="138">
        <f>IF(B58&lt;='VALOR POR PL'!$P$5,'CP RESUMO'!BE58,"")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RESUMO'!BF16</f>
        <v/>
      </c>
      <c r="N59" s="139">
        <f>MAX(0,M59-M58)</f>
        <v/>
      </c>
      <c r="O59" s="138">
        <f>IF(B59&lt;='VALOR POR PL'!$P$5,'CP RESUMO'!BF58,"")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RESUMO'!BG16</f>
        <v/>
      </c>
      <c r="N60" s="139">
        <f>MAX(0,M60-M59)</f>
        <v/>
      </c>
      <c r="O60" s="138">
        <f>IF(B60&lt;='VALOR POR PL'!$P$5,'CP RESUMO'!BG58,"")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RESUMO'!BH16</f>
        <v/>
      </c>
      <c r="N61" s="139">
        <f>MAX(0,M61-M60)</f>
        <v/>
      </c>
      <c r="O61" s="138">
        <f>IF(B61&lt;='VALOR POR PL'!$P$5,'CP RESUMO'!BH58,"")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RESUMO'!BI16</f>
        <v/>
      </c>
      <c r="N62" s="139">
        <f>MAX(0,M62-M61)</f>
        <v/>
      </c>
      <c r="O62" s="138">
        <f>IF(B62&lt;='VALOR POR PL'!$P$5,'CP RESUMO'!BI58,"")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RESUMO'!BJ16</f>
        <v/>
      </c>
      <c r="N63" s="139">
        <f>MAX(0,M63-M62)</f>
        <v/>
      </c>
      <c r="O63" s="138">
        <f>IF(B63&lt;='VALOR POR PL'!$P$5,'CP RESUMO'!BJ58,"")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RESUMO'!BK16</f>
        <v/>
      </c>
      <c r="N64" s="139">
        <f>MAX(0,M64-M63)</f>
        <v/>
      </c>
      <c r="O64" s="138">
        <f>IF(B64&lt;='VALOR POR PL'!$P$5,'CP RESUMO'!BK58,"")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RESUMO'!BL16</f>
        <v/>
      </c>
      <c r="N65" s="139">
        <f>MAX(0,M65-M64)</f>
        <v/>
      </c>
      <c r="O65" s="138">
        <f>IF(B65&lt;='VALOR POR PL'!$P$5,'CP RESUMO'!BL58,"")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RESUMO'!BM16</f>
        <v/>
      </c>
      <c r="N66" s="139">
        <f>MAX(0,M66-M65)</f>
        <v/>
      </c>
      <c r="O66" s="138">
        <f>IF(B66&lt;='VALOR POR PL'!$P$5,'CP RESUMO'!BM58,"")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RESUMO'!BN16</f>
        <v/>
      </c>
      <c r="N67" s="139">
        <f>MAX(0,M67-M66)</f>
        <v/>
      </c>
      <c r="O67" s="138">
        <f>IF(B67&lt;='VALOR POR PL'!$P$5,'CP RESUMO'!BN58,"")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RESUMO'!BO16</f>
        <v/>
      </c>
      <c r="N68" s="139">
        <f>MAX(0,M68-M67)</f>
        <v/>
      </c>
      <c r="O68" s="138">
        <f>IF(B68&lt;='VALOR POR PL'!$P$5,'CP RESUMO'!BO58,"")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RESUMO'!BP16</f>
        <v/>
      </c>
      <c r="N69" s="139">
        <f>MAX(0,M69-M68)</f>
        <v/>
      </c>
      <c r="O69" s="138">
        <f>IF(B69&lt;='VALOR POR PL'!$P$5,'CP RESUMO'!BP58,"")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RESUMO'!BQ16</f>
        <v/>
      </c>
      <c r="N70" s="139">
        <f>MAX(0,M70-M69)</f>
        <v/>
      </c>
      <c r="O70" s="138">
        <f>IF(B70&lt;='VALOR POR PL'!$P$5,'CP RESUMO'!BQ58,"")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RESUMO'!BR16</f>
        <v/>
      </c>
      <c r="N71" s="139">
        <f>MAX(0,M71-M70)</f>
        <v/>
      </c>
      <c r="O71" s="138">
        <f>IF(B71&lt;='VALOR POR PL'!$P$5,'CP RESUMO'!BR58,"")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RESUMO'!BS16</f>
        <v/>
      </c>
      <c r="N72" s="139">
        <f>MAX(0,M72-M71)</f>
        <v/>
      </c>
      <c r="O72" s="138">
        <f>IF(B72&lt;='VALOR POR PL'!$P$5,'CP RESUMO'!BS58,"")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RESUMO'!BT16</f>
        <v/>
      </c>
      <c r="N73" s="139">
        <f>MAX(0,M73-M72)</f>
        <v/>
      </c>
      <c r="O73" s="138">
        <f>IF(B73&lt;='VALOR POR PL'!$P$5,'CP RESUMO'!BT58,"")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RESUMO'!BU16</f>
        <v/>
      </c>
      <c r="N74" s="139">
        <f>MAX(0,M74-M73)</f>
        <v/>
      </c>
      <c r="O74" s="138">
        <f>IF(B74&lt;='VALOR POR PL'!$P$5,'CP RESUMO'!BU58,"")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RESUMO'!BV16</f>
        <v/>
      </c>
      <c r="N75" s="139">
        <f>MAX(0,M75-M74)</f>
        <v/>
      </c>
      <c r="O75" s="138">
        <f>IF(B75&lt;='VALOR POR PL'!$P$5,'CP RESUMO'!BV58,"")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RESUMO'!BW16</f>
        <v/>
      </c>
      <c r="N76" s="139">
        <f>MAX(0,M76-M75)</f>
        <v/>
      </c>
      <c r="O76" s="138">
        <f>IF(B76&lt;='VALOR POR PL'!$P$5,'CP RESUMO'!BW58,"")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PL'!F23</f>
        <v/>
      </c>
      <c r="K5" s="60">
        <f>'VALOR POR PL'!G23</f>
        <v/>
      </c>
      <c r="L5" s="60">
        <f>'DADOS HISTORICOS'!$BZ$17</f>
        <v/>
      </c>
      <c r="M5" s="138">
        <f>'CP RESUMO'!D17</f>
        <v/>
      </c>
      <c r="N5" s="139" t="n">
        <v>0</v>
      </c>
      <c r="O5" s="138">
        <f>IF(B5&lt;='VALOR POR PL'!$P$5,'CP RESUMO'!D59,"")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PL'!H23</f>
        <v/>
      </c>
      <c r="L6" s="49">
        <f>C6/IF(B6&lt;='VALOR POR PL'!$P$5,IFERROR(INDEX('"INCC-FGV"'!$B$2:$B$800,MATCH(B6,'"INCC-FGV"'!$A$2:$A$800,0)),$K$2),$K$2)</f>
        <v/>
      </c>
      <c r="M6" s="138">
        <f>'CP RESUMO'!E17</f>
        <v/>
      </c>
      <c r="N6" s="139">
        <f>MAX(0,M6-M5)</f>
        <v/>
      </c>
      <c r="O6" s="138">
        <f>IF(B6&lt;='VALOR POR PL'!$P$5,'CP RESUMO'!E59,"")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RESUMO'!F17</f>
        <v/>
      </c>
      <c r="N7" s="139">
        <f>MAX(0,M7-M6)</f>
        <v/>
      </c>
      <c r="O7" s="138">
        <f>IF(B7&lt;='VALOR POR PL'!$P$5,'CP RESUMO'!F59,"")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RESUMO'!G17</f>
        <v/>
      </c>
      <c r="N8" s="139">
        <f>MAX(0,M8-M7)</f>
        <v/>
      </c>
      <c r="O8" s="138">
        <f>IF(B8&lt;='VALOR POR PL'!$P$5,'CP RESUMO'!G59,"")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RESUMO'!H17</f>
        <v/>
      </c>
      <c r="N9" s="139">
        <f>MAX(0,M9-M8)</f>
        <v/>
      </c>
      <c r="O9" s="138">
        <f>IF(B9&lt;='VALOR POR PL'!$P$5,'CP RESUMO'!H59,"")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RESUMO'!I17</f>
        <v/>
      </c>
      <c r="N10" s="139">
        <f>MAX(0,M10-M9)</f>
        <v/>
      </c>
      <c r="O10" s="138">
        <f>IF(B10&lt;='VALOR POR PL'!$P$5,'CP RESUMO'!I59,"")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RESUMO'!J17</f>
        <v/>
      </c>
      <c r="N11" s="139">
        <f>MAX(0,M11-M10)</f>
        <v/>
      </c>
      <c r="O11" s="138">
        <f>IF(B11&lt;='VALOR POR PL'!$P$5,'CP RESUMO'!J59,"")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RESUMO'!K17</f>
        <v/>
      </c>
      <c r="N12" s="139">
        <f>MAX(0,M12-M11)</f>
        <v/>
      </c>
      <c r="O12" s="138">
        <f>IF(B12&lt;='VALOR POR PL'!$P$5,'CP RESUMO'!K59,"")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PL'!I23</f>
        <v/>
      </c>
      <c r="L13" s="49">
        <f>C13/IF(B13&lt;='VALOR POR PL'!$P$5,IFERROR(INDEX('"INCC-FGV"'!$B$2:$B$800,MATCH(B13,'"INCC-FGV"'!$A$2:$A$800,0)),$K$2),$K$2)</f>
        <v/>
      </c>
      <c r="M13" s="138">
        <f>'CP RESUMO'!L17</f>
        <v/>
      </c>
      <c r="N13" s="139">
        <f>MAX(0,M13-M12)</f>
        <v/>
      </c>
      <c r="O13" s="138">
        <f>IF(B13&lt;='VALOR POR PL'!$P$5,'CP RESUMO'!L59,"")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RESUMO'!$D$59:$BW$59,MATCH('VALOR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RESUMO'!M17</f>
        <v/>
      </c>
      <c r="N14" s="139">
        <f>MAX(0,M14-M13)</f>
        <v/>
      </c>
      <c r="O14" s="138">
        <f>IF(B14&lt;='VALOR POR PL'!$P$5,'CP RESUMO'!M59,"")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RESUMO'!N17</f>
        <v/>
      </c>
      <c r="N15" s="139">
        <f>MAX(0,M15-M14)</f>
        <v/>
      </c>
      <c r="O15" s="138">
        <f>IF(B15&lt;='VALOR POR PL'!$P$5,'CP RESUMO'!N59,"")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RESUMO'!O17</f>
        <v/>
      </c>
      <c r="N16" s="139">
        <f>MAX(0,M16-M15)</f>
        <v/>
      </c>
      <c r="O16" s="138">
        <f>IF(B16&lt;='VALOR POR PL'!$P$5,'CP RESUMO'!O59,"")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RESUMO'!P17</f>
        <v/>
      </c>
      <c r="N17" s="139">
        <f>MAX(0,M17-M16)</f>
        <v/>
      </c>
      <c r="O17" s="138">
        <f>IF(B17&lt;='VALOR POR PL'!$P$5,'CP RESUMO'!P59,"")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RESUMO'!Q17</f>
        <v/>
      </c>
      <c r="N18" s="139">
        <f>MAX(0,M18-M17)</f>
        <v/>
      </c>
      <c r="O18" s="138">
        <f>IF(B18&lt;='VALOR POR PL'!$P$5,'CP RESUMO'!Q59,"")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RESUMO'!R17</f>
        <v/>
      </c>
      <c r="N19" s="139">
        <f>MAX(0,M19-M18)</f>
        <v/>
      </c>
      <c r="O19" s="138">
        <f>IF(B19&lt;='VALOR POR PL'!$P$5,'CP RESUMO'!R59,"")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RESUMO'!S17</f>
        <v/>
      </c>
      <c r="N20" s="139">
        <f>MAX(0,M20-M19)</f>
        <v/>
      </c>
      <c r="O20" s="138">
        <f>IF(B20&lt;='VALOR POR PL'!$P$5,'CP RESUMO'!S59,"")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RESUMO'!T17</f>
        <v/>
      </c>
      <c r="N21" s="139">
        <f>MAX(0,M21-M20)</f>
        <v/>
      </c>
      <c r="O21" s="138">
        <f>IF(B21&lt;='VALOR POR PL'!$P$5,'CP RESUMO'!T59,"")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RESUMO'!U17</f>
        <v/>
      </c>
      <c r="N22" s="139">
        <f>MAX(0,M22-M21)</f>
        <v/>
      </c>
      <c r="O22" s="138">
        <f>IF(B22&lt;='VALOR POR PL'!$P$5,'CP RESUMO'!U59,"")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RESUMO'!V17</f>
        <v/>
      </c>
      <c r="N23" s="139">
        <f>MAX(0,M23-M22)</f>
        <v/>
      </c>
      <c r="O23" s="138">
        <f>IF(B23&lt;='VALOR POR PL'!$P$5,'CP RESUMO'!V59,"")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RESUMO'!W17</f>
        <v/>
      </c>
      <c r="N24" s="139">
        <f>MAX(0,M24-M23)</f>
        <v/>
      </c>
      <c r="O24" s="138">
        <f>IF(B24&lt;='VALOR POR PL'!$P$5,'CP RESUMO'!W59,"")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RESUMO'!X17</f>
        <v/>
      </c>
      <c r="N25" s="139">
        <f>MAX(0,M25-M24)</f>
        <v/>
      </c>
      <c r="O25" s="138">
        <f>IF(B25&lt;='VALOR POR PL'!$P$5,'CP RESUMO'!X59,"")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RESUMO'!Y17</f>
        <v/>
      </c>
      <c r="N26" s="139">
        <f>MAX(0,M26-M25)</f>
        <v/>
      </c>
      <c r="O26" s="138">
        <f>IF(B26&lt;='VALOR POR PL'!$P$5,'CP RESUMO'!Y59,"")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RESUMO'!Z17</f>
        <v/>
      </c>
      <c r="N27" s="139">
        <f>MAX(0,M27-M26)</f>
        <v/>
      </c>
      <c r="O27" s="138">
        <f>IF(B27&lt;='VALOR POR PL'!$P$5,'CP RESUMO'!Z59,"")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RESUMO'!AA17</f>
        <v/>
      </c>
      <c r="N28" s="139">
        <f>MAX(0,M28-M27)</f>
        <v/>
      </c>
      <c r="O28" s="138">
        <f>IF(B28&lt;='VALOR POR PL'!$P$5,'CP RESUMO'!AA59,"")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35587.31</v>
      </c>
      <c r="L29" s="49">
        <f>C29/IF(B29&lt;='VALOR POR PL'!$P$5,IFERROR(INDEX('"INCC-FGV"'!$B$2:$B$800,MATCH(B29,'"INCC-FGV"'!$A$2:$A$800,0)),$K$2),$K$2)</f>
        <v/>
      </c>
      <c r="M29" s="138">
        <f>'CP RESUMO'!AB17</f>
        <v/>
      </c>
      <c r="N29" s="139">
        <f>MAX(0,M29-M28)</f>
        <v/>
      </c>
      <c r="O29" s="138">
        <f>IF(B29&lt;='VALOR POR PL'!$P$5,'CP RESUMO'!AB59,"")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RESUMO'!AC17</f>
        <v/>
      </c>
      <c r="N30" s="139">
        <f>MAX(0,M30-M29)</f>
        <v/>
      </c>
      <c r="O30" s="138">
        <f>IF(B30&lt;='VALOR POR PL'!$P$5,'CP RESUMO'!AC59,"")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RESUMO'!AD17</f>
        <v/>
      </c>
      <c r="N31" s="139">
        <f>MAX(0,M31-M30)</f>
        <v/>
      </c>
      <c r="O31" s="138">
        <f>IF(B31&lt;='VALOR POR PL'!$P$5,'CP RESUMO'!AD59,"")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RESUMO'!AE17</f>
        <v/>
      </c>
      <c r="N32" s="139">
        <f>MAX(0,M32-M31)</f>
        <v/>
      </c>
      <c r="O32" s="138">
        <f>IF(B32&lt;='VALOR POR PL'!$P$5,'CP RESUMO'!AE59,"")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RESUMO'!AF17</f>
        <v/>
      </c>
      <c r="N33" s="139">
        <f>MAX(0,M33-M32)</f>
        <v/>
      </c>
      <c r="O33" s="138">
        <f>IF(B33&lt;='VALOR POR PL'!$P$5,'CP RESUMO'!AF59,"")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RESUMO'!AG17</f>
        <v/>
      </c>
      <c r="N34" s="139">
        <f>MAX(0,M34-M33)</f>
        <v/>
      </c>
      <c r="O34" s="138">
        <f>IF(B34&lt;='VALOR POR PL'!$P$5,'CP RESUMO'!AG59,"")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RESUMO'!AH17</f>
        <v/>
      </c>
      <c r="N35" s="139">
        <f>MAX(0,M35-M34)</f>
        <v/>
      </c>
      <c r="O35" s="138">
        <f>IF(B35&lt;='VALOR POR PL'!$P$5,'CP RESUMO'!AH59,"")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RESUMO'!AI17</f>
        <v/>
      </c>
      <c r="N36" s="139">
        <f>MAX(0,M36-M35)</f>
        <v/>
      </c>
      <c r="O36" s="138">
        <f>IF(B36&lt;='VALOR POR PL'!$P$5,'CP RESUMO'!AI59,"")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RESUMO'!AJ17</f>
        <v/>
      </c>
      <c r="N37" s="139">
        <f>MAX(0,M37-M36)</f>
        <v/>
      </c>
      <c r="O37" s="138">
        <f>IF(B37&lt;='VALOR POR PL'!$P$5,'CP RESUMO'!AJ59,"")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RESUMO'!AK17</f>
        <v/>
      </c>
      <c r="N38" s="139">
        <f>MAX(0,M38-M37)</f>
        <v/>
      </c>
      <c r="O38" s="138">
        <f>IF(B38&lt;='VALOR POR PL'!$P$5,'CP RESUMO'!AK59,"")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RESUMO'!AL17</f>
        <v/>
      </c>
      <c r="N39" s="139">
        <f>MAX(0,M39-M38)</f>
        <v/>
      </c>
      <c r="O39" s="138">
        <f>IF(B39&lt;='VALOR POR PL'!$P$5,'CP RESUMO'!AL59,"")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RESUMO'!AM17</f>
        <v/>
      </c>
      <c r="N40" s="139">
        <f>MAX(0,M40-M39)</f>
        <v/>
      </c>
      <c r="O40" s="138">
        <f>IF(B40&lt;='VALOR POR PL'!$P$5,'CP RESUMO'!AM59,"")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RESUMO'!AN17</f>
        <v/>
      </c>
      <c r="N41" s="139">
        <f>MAX(0,M41-M40)</f>
        <v/>
      </c>
      <c r="O41" s="138">
        <f>IF(B41&lt;='VALOR POR PL'!$P$5,'CP RESUMO'!AN59,"")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RESUMO'!AO17</f>
        <v/>
      </c>
      <c r="N42" s="139">
        <f>MAX(0,M42-M41)</f>
        <v/>
      </c>
      <c r="O42" s="138">
        <f>IF(B42&lt;='VALOR POR PL'!$P$5,'CP RESUMO'!AO59,"")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RESUMO'!AP17</f>
        <v/>
      </c>
      <c r="N43" s="139">
        <f>MAX(0,M43-M42)</f>
        <v/>
      </c>
      <c r="O43" s="138">
        <f>IF(B43&lt;='VALOR POR PL'!$P$5,'CP RESUMO'!AP59,"")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RESUMO'!AQ17</f>
        <v/>
      </c>
      <c r="N44" s="139">
        <f>MAX(0,M44-M43)</f>
        <v/>
      </c>
      <c r="O44" s="138">
        <f>IF(B44&lt;='VALOR POR PL'!$P$5,'CP RESUMO'!AQ59,"")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RESUMO'!AR17</f>
        <v/>
      </c>
      <c r="N45" s="139">
        <f>MAX(0,M45-M44)</f>
        <v/>
      </c>
      <c r="O45" s="138">
        <f>IF(B45&lt;='VALOR POR PL'!$P$5,'CP RESUMO'!AR59,"")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RESUMO'!AS17</f>
        <v/>
      </c>
      <c r="N46" s="139">
        <f>MAX(0,M46-M45)</f>
        <v/>
      </c>
      <c r="O46" s="138">
        <f>IF(B46&lt;='VALOR POR PL'!$P$5,'CP RESUMO'!AS59,"")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RESUMO'!AT17</f>
        <v/>
      </c>
      <c r="N47" s="139">
        <f>MAX(0,M47-M46)</f>
        <v/>
      </c>
      <c r="O47" s="138">
        <f>IF(B47&lt;='VALOR POR PL'!$P$5,'CP RESUMO'!AT59,"")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RESUMO'!AU17</f>
        <v/>
      </c>
      <c r="N48" s="139">
        <f>MAX(0,M48-M47)</f>
        <v/>
      </c>
      <c r="O48" s="138">
        <f>IF(B48&lt;='VALOR POR PL'!$P$5,'CP RESUMO'!AU59,"")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RESUMO'!AV17</f>
        <v/>
      </c>
      <c r="N49" s="139">
        <f>MAX(0,M49-M48)</f>
        <v/>
      </c>
      <c r="O49" s="138">
        <f>IF(B49&lt;='VALOR POR PL'!$P$5,'CP RESUMO'!AV59,"")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RESUMO'!AW17</f>
        <v/>
      </c>
      <c r="N50" s="139">
        <f>MAX(0,M50-M49)</f>
        <v/>
      </c>
      <c r="O50" s="138">
        <f>IF(B50&lt;='VALOR POR PL'!$P$5,'CP RESUMO'!AW59,"")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RESUMO'!AX17</f>
        <v/>
      </c>
      <c r="N51" s="139">
        <f>MAX(0,M51-M50)</f>
        <v/>
      </c>
      <c r="O51" s="138">
        <f>IF(B51&lt;='VALOR POR PL'!$P$5,'CP RESUMO'!AX59,"")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RESUMO'!AY17</f>
        <v/>
      </c>
      <c r="N52" s="139">
        <f>MAX(0,M52-M51)</f>
        <v/>
      </c>
      <c r="O52" s="138">
        <f>IF(B52&lt;='VALOR POR PL'!$P$5,'CP RESUMO'!AY59,"")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RESUMO'!AZ17</f>
        <v/>
      </c>
      <c r="N53" s="139">
        <f>MAX(0,M53-M52)</f>
        <v/>
      </c>
      <c r="O53" s="138">
        <f>IF(B53&lt;='VALOR POR PL'!$P$5,'CP RESUMO'!AZ59,"")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RESUMO'!BA17</f>
        <v/>
      </c>
      <c r="N54" s="139">
        <f>MAX(0,M54-M53)</f>
        <v/>
      </c>
      <c r="O54" s="138">
        <f>IF(B54&lt;='VALOR POR PL'!$P$5,'CP RESUMO'!BA59,"")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RESUMO'!BB17</f>
        <v/>
      </c>
      <c r="N55" s="139">
        <f>MAX(0,M55-M54)</f>
        <v/>
      </c>
      <c r="O55" s="138">
        <f>IF(B55&lt;='VALOR POR PL'!$P$5,'CP RESUMO'!BB59,"")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RESUMO'!BC17</f>
        <v/>
      </c>
      <c r="N56" s="139">
        <f>MAX(0,M56-M55)</f>
        <v/>
      </c>
      <c r="O56" s="138">
        <f>IF(B56&lt;='VALOR POR PL'!$P$5,'CP RESUMO'!BC59,"")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RESUMO'!BD17</f>
        <v/>
      </c>
      <c r="N57" s="139">
        <f>MAX(0,M57-M56)</f>
        <v/>
      </c>
      <c r="O57" s="138">
        <f>IF(B57&lt;='VALOR POR PL'!$P$5,'CP RESUMO'!BD59,"")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RESUMO'!BE17</f>
        <v/>
      </c>
      <c r="N58" s="139">
        <f>MAX(0,M58-M57)</f>
        <v/>
      </c>
      <c r="O58" s="138">
        <f>IF(B58&lt;='VALOR POR PL'!$P$5,'CP RESUMO'!BE59,"")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RESUMO'!BF17</f>
        <v/>
      </c>
      <c r="N59" s="139">
        <f>MAX(0,M59-M58)</f>
        <v/>
      </c>
      <c r="O59" s="138">
        <f>IF(B59&lt;='VALOR POR PL'!$P$5,'CP RESUMO'!BF59,"")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RESUMO'!BG17</f>
        <v/>
      </c>
      <c r="N60" s="139">
        <f>MAX(0,M60-M59)</f>
        <v/>
      </c>
      <c r="O60" s="138">
        <f>IF(B60&lt;='VALOR POR PL'!$P$5,'CP RESUMO'!BG59,"")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RESUMO'!BH17</f>
        <v/>
      </c>
      <c r="N61" s="139">
        <f>MAX(0,M61-M60)</f>
        <v/>
      </c>
      <c r="O61" s="138">
        <f>IF(B61&lt;='VALOR POR PL'!$P$5,'CP RESUMO'!BH59,"")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RESUMO'!BI17</f>
        <v/>
      </c>
      <c r="N62" s="139">
        <f>MAX(0,M62-M61)</f>
        <v/>
      </c>
      <c r="O62" s="138">
        <f>IF(B62&lt;='VALOR POR PL'!$P$5,'CP RESUMO'!BI59,"")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RESUMO'!BJ17</f>
        <v/>
      </c>
      <c r="N63" s="139">
        <f>MAX(0,M63-M62)</f>
        <v/>
      </c>
      <c r="O63" s="138">
        <f>IF(B63&lt;='VALOR POR PL'!$P$5,'CP RESUMO'!BJ59,"")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RESUMO'!BK17</f>
        <v/>
      </c>
      <c r="N64" s="139">
        <f>MAX(0,M64-M63)</f>
        <v/>
      </c>
      <c r="O64" s="138">
        <f>IF(B64&lt;='VALOR POR PL'!$P$5,'CP RESUMO'!BK59,"")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RESUMO'!BL17</f>
        <v/>
      </c>
      <c r="N65" s="139">
        <f>MAX(0,M65-M64)</f>
        <v/>
      </c>
      <c r="O65" s="138">
        <f>IF(B65&lt;='VALOR POR PL'!$P$5,'CP RESUMO'!BL59,"")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RESUMO'!BM17</f>
        <v/>
      </c>
      <c r="N66" s="139">
        <f>MAX(0,M66-M65)</f>
        <v/>
      </c>
      <c r="O66" s="138">
        <f>IF(B66&lt;='VALOR POR PL'!$P$5,'CP RESUMO'!BM59,"")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RESUMO'!BN17</f>
        <v/>
      </c>
      <c r="N67" s="139">
        <f>MAX(0,M67-M66)</f>
        <v/>
      </c>
      <c r="O67" s="138">
        <f>IF(B67&lt;='VALOR POR PL'!$P$5,'CP RESUMO'!BN59,"")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RESUMO'!BO17</f>
        <v/>
      </c>
      <c r="N68" s="139">
        <f>MAX(0,M68-M67)</f>
        <v/>
      </c>
      <c r="O68" s="138">
        <f>IF(B68&lt;='VALOR POR PL'!$P$5,'CP RESUMO'!BO59,"")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RESUMO'!BP17</f>
        <v/>
      </c>
      <c r="N69" s="139">
        <f>MAX(0,M69-M68)</f>
        <v/>
      </c>
      <c r="O69" s="138">
        <f>IF(B69&lt;='VALOR POR PL'!$P$5,'CP RESUMO'!BP59,"")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RESUMO'!BQ17</f>
        <v/>
      </c>
      <c r="N70" s="139">
        <f>MAX(0,M70-M69)</f>
        <v/>
      </c>
      <c r="O70" s="138">
        <f>IF(B70&lt;='VALOR POR PL'!$P$5,'CP RESUMO'!BQ59,"")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RESUMO'!BR17</f>
        <v/>
      </c>
      <c r="N71" s="139">
        <f>MAX(0,M71-M70)</f>
        <v/>
      </c>
      <c r="O71" s="138">
        <f>IF(B71&lt;='VALOR POR PL'!$P$5,'CP RESUMO'!BR59,"")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RESUMO'!BS17</f>
        <v/>
      </c>
      <c r="N72" s="139">
        <f>MAX(0,M72-M71)</f>
        <v/>
      </c>
      <c r="O72" s="138">
        <f>IF(B72&lt;='VALOR POR PL'!$P$5,'CP RESUMO'!BS59,"")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RESUMO'!BT17</f>
        <v/>
      </c>
      <c r="N73" s="139">
        <f>MAX(0,M73-M72)</f>
        <v/>
      </c>
      <c r="O73" s="138">
        <f>IF(B73&lt;='VALOR POR PL'!$P$5,'CP RESUMO'!BT59,"")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RESUMO'!BU17</f>
        <v/>
      </c>
      <c r="N74" s="139">
        <f>MAX(0,M74-M73)</f>
        <v/>
      </c>
      <c r="O74" s="138">
        <f>IF(B74&lt;='VALOR POR PL'!$P$5,'CP RESUMO'!BU59,"")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RESUMO'!BV17</f>
        <v/>
      </c>
      <c r="N75" s="139">
        <f>MAX(0,M75-M74)</f>
        <v/>
      </c>
      <c r="O75" s="138">
        <f>IF(B75&lt;='VALOR POR PL'!$P$5,'CP RESUMO'!BV59,"")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RESUMO'!BW17</f>
        <v/>
      </c>
      <c r="N76" s="139">
        <f>MAX(0,M76-M75)</f>
        <v/>
      </c>
      <c r="O76" s="138">
        <f>IF(B76&lt;='VALOR POR PL'!$P$5,'CP RESUMO'!BW59,"")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PL'!F24</f>
        <v/>
      </c>
      <c r="K5" s="60">
        <f>'VALOR POR PL'!G24</f>
        <v/>
      </c>
      <c r="L5" s="60">
        <f>'DADOS HISTORICOS'!$BZ$18</f>
        <v/>
      </c>
      <c r="M5" s="138">
        <f>'CP RESUMO'!D18</f>
        <v/>
      </c>
      <c r="N5" s="139" t="n">
        <v>0</v>
      </c>
      <c r="O5" s="138">
        <f>IF(B5&lt;='VALOR POR PL'!$P$5,'CP RESUMO'!D60,"")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PL'!H24</f>
        <v/>
      </c>
      <c r="L6" s="49">
        <f>C6/IF(B6&lt;='VALOR POR PL'!$P$5,IFERROR(INDEX('"INCC-FGV"'!$B$2:$B$800,MATCH(B6,'"INCC-FGV"'!$A$2:$A$800,0)),$K$2),$K$2)</f>
        <v/>
      </c>
      <c r="M6" s="138">
        <f>'CP RESUMO'!E18</f>
        <v/>
      </c>
      <c r="N6" s="139">
        <f>MAX(0,M6-M5)</f>
        <v/>
      </c>
      <c r="O6" s="138">
        <f>IF(B6&lt;='VALOR POR PL'!$P$5,'CP RESUMO'!E60,"")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RESUMO'!F18</f>
        <v/>
      </c>
      <c r="N7" s="139">
        <f>MAX(0,M7-M6)</f>
        <v/>
      </c>
      <c r="O7" s="138">
        <f>IF(B7&lt;='VALOR POR PL'!$P$5,'CP RESUMO'!F60,"")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RESUMO'!G18</f>
        <v/>
      </c>
      <c r="N8" s="139">
        <f>MAX(0,M8-M7)</f>
        <v/>
      </c>
      <c r="O8" s="138">
        <f>IF(B8&lt;='VALOR POR PL'!$P$5,'CP RESUMO'!G60,"")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RESUMO'!H18</f>
        <v/>
      </c>
      <c r="N9" s="139">
        <f>MAX(0,M9-M8)</f>
        <v/>
      </c>
      <c r="O9" s="138">
        <f>IF(B9&lt;='VALOR POR PL'!$P$5,'CP RESUMO'!H60,"")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RESUMO'!I18</f>
        <v/>
      </c>
      <c r="N10" s="139">
        <f>MAX(0,M10-M9)</f>
        <v/>
      </c>
      <c r="O10" s="138">
        <f>IF(B10&lt;='VALOR POR PL'!$P$5,'CP RESUMO'!I60,"")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RESUMO'!J18</f>
        <v/>
      </c>
      <c r="N11" s="139">
        <f>MAX(0,M11-M10)</f>
        <v/>
      </c>
      <c r="O11" s="138">
        <f>IF(B11&lt;='VALOR POR PL'!$P$5,'CP RESUMO'!J60,"")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RESUMO'!K18</f>
        <v/>
      </c>
      <c r="N12" s="139">
        <f>MAX(0,M12-M11)</f>
        <v/>
      </c>
      <c r="O12" s="138">
        <f>IF(B12&lt;='VALOR POR PL'!$P$5,'CP RESUMO'!K60,"")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PL'!I24</f>
        <v/>
      </c>
      <c r="L13" s="49">
        <f>C13/IF(B13&lt;='VALOR POR PL'!$P$5,IFERROR(INDEX('"INCC-FGV"'!$B$2:$B$800,MATCH(B13,'"INCC-FGV"'!$A$2:$A$800,0)),$K$2),$K$2)</f>
        <v/>
      </c>
      <c r="M13" s="138">
        <f>'CP RESUMO'!L18</f>
        <v/>
      </c>
      <c r="N13" s="139">
        <f>MAX(0,M13-M12)</f>
        <v/>
      </c>
      <c r="O13" s="138">
        <f>IF(B13&lt;='VALOR POR PL'!$P$5,'CP RESUMO'!L60,"")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RESUMO'!$D$60:$BW$60,MATCH('VALOR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RESUMO'!M18</f>
        <v/>
      </c>
      <c r="N14" s="139">
        <f>MAX(0,M14-M13)</f>
        <v/>
      </c>
      <c r="O14" s="138">
        <f>IF(B14&lt;='VALOR POR PL'!$P$5,'CP RESUMO'!M60,"")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RESUMO'!N18</f>
        <v/>
      </c>
      <c r="N15" s="139">
        <f>MAX(0,M15-M14)</f>
        <v/>
      </c>
      <c r="O15" s="138">
        <f>IF(B15&lt;='VALOR POR PL'!$P$5,'CP RESUMO'!N60,"")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RESUMO'!O18</f>
        <v/>
      </c>
      <c r="N16" s="139">
        <f>MAX(0,M16-M15)</f>
        <v/>
      </c>
      <c r="O16" s="138">
        <f>IF(B16&lt;='VALOR POR PL'!$P$5,'CP RESUMO'!O60,"")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RESUMO'!P18</f>
        <v/>
      </c>
      <c r="N17" s="139">
        <f>MAX(0,M17-M16)</f>
        <v/>
      </c>
      <c r="O17" s="138">
        <f>IF(B17&lt;='VALOR POR PL'!$P$5,'CP RESUMO'!P60,"")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RESUMO'!Q18</f>
        <v/>
      </c>
      <c r="N18" s="139">
        <f>MAX(0,M18-M17)</f>
        <v/>
      </c>
      <c r="O18" s="138">
        <f>IF(B18&lt;='VALOR POR PL'!$P$5,'CP RESUMO'!Q60,"")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RESUMO'!R18</f>
        <v/>
      </c>
      <c r="N19" s="139">
        <f>MAX(0,M19-M18)</f>
        <v/>
      </c>
      <c r="O19" s="138">
        <f>IF(B19&lt;='VALOR POR PL'!$P$5,'CP RESUMO'!R60,"")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RESUMO'!S18</f>
        <v/>
      </c>
      <c r="N20" s="139">
        <f>MAX(0,M20-M19)</f>
        <v/>
      </c>
      <c r="O20" s="138">
        <f>IF(B20&lt;='VALOR POR PL'!$P$5,'CP RESUMO'!S60,"")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RESUMO'!T18</f>
        <v/>
      </c>
      <c r="N21" s="139">
        <f>MAX(0,M21-M20)</f>
        <v/>
      </c>
      <c r="O21" s="138">
        <f>IF(B21&lt;='VALOR POR PL'!$P$5,'CP RESUMO'!T60,"")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RESUMO'!U18</f>
        <v/>
      </c>
      <c r="N22" s="139">
        <f>MAX(0,M22-M21)</f>
        <v/>
      </c>
      <c r="O22" s="138">
        <f>IF(B22&lt;='VALOR POR PL'!$P$5,'CP RESUMO'!U60,"")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RESUMO'!V18</f>
        <v/>
      </c>
      <c r="N23" s="139">
        <f>MAX(0,M23-M22)</f>
        <v/>
      </c>
      <c r="O23" s="138">
        <f>IF(B23&lt;='VALOR POR PL'!$P$5,'CP RESUMO'!V60,"")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RESUMO'!W18</f>
        <v/>
      </c>
      <c r="N24" s="139">
        <f>MAX(0,M24-M23)</f>
        <v/>
      </c>
      <c r="O24" s="138">
        <f>IF(B24&lt;='VALOR POR PL'!$P$5,'CP RESUMO'!W60,"")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RESUMO'!X18</f>
        <v/>
      </c>
      <c r="N25" s="139">
        <f>MAX(0,M25-M24)</f>
        <v/>
      </c>
      <c r="O25" s="138">
        <f>IF(B25&lt;='VALOR POR PL'!$P$5,'CP RESUMO'!X60,"")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RESUMO'!Y18</f>
        <v/>
      </c>
      <c r="N26" s="139">
        <f>MAX(0,M26-M25)</f>
        <v/>
      </c>
      <c r="O26" s="138">
        <f>IF(B26&lt;='VALOR POR PL'!$P$5,'CP RESUMO'!Y60,"")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RESUMO'!Z18</f>
        <v/>
      </c>
      <c r="N27" s="139">
        <f>MAX(0,M27-M26)</f>
        <v/>
      </c>
      <c r="O27" s="138">
        <f>IF(B27&lt;='VALOR POR PL'!$P$5,'CP RESUMO'!Z60,"")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RESUMO'!AA18</f>
        <v/>
      </c>
      <c r="N28" s="139">
        <f>MAX(0,M28-M27)</f>
        <v/>
      </c>
      <c r="O28" s="138">
        <f>IF(B28&lt;='VALOR POR PL'!$P$5,'CP RESUMO'!AA60,"")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RESUMO'!AB18</f>
        <v/>
      </c>
      <c r="N29" s="139">
        <f>MAX(0,M29-M28)</f>
        <v/>
      </c>
      <c r="O29" s="138">
        <f>IF(B29&lt;='VALOR POR PL'!$P$5,'CP RESUMO'!AB60,"")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118482.2</v>
      </c>
      <c r="L30" s="49">
        <f>C30/IF(B30&lt;='VALOR POR PL'!$P$5,IFERROR(INDEX('"INCC-FGV"'!$B$2:$B$800,MATCH(B30,'"INCC-FGV"'!$A$2:$A$800,0)),$K$2),$K$2)</f>
        <v/>
      </c>
      <c r="M30" s="138">
        <f>'CP RESUMO'!AC18</f>
        <v/>
      </c>
      <c r="N30" s="139">
        <f>MAX(0,M30-M29)</f>
        <v/>
      </c>
      <c r="O30" s="138">
        <f>IF(B30&lt;='VALOR POR PL'!$P$5,'CP RESUMO'!AC60,"")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79190.02</v>
      </c>
      <c r="L31" s="49">
        <f>C31/IF(B31&lt;='VALOR POR PL'!$P$5,IFERROR(INDEX('"INCC-FGV"'!$B$2:$B$800,MATCH(B31,'"INCC-FGV"'!$A$2:$A$800,0)),$K$2),$K$2)</f>
        <v/>
      </c>
      <c r="M31" s="138">
        <f>'CP RESUMO'!AD18</f>
        <v/>
      </c>
      <c r="N31" s="139">
        <f>MAX(0,M31-M30)</f>
        <v/>
      </c>
      <c r="O31" s="138">
        <f>IF(B31&lt;='VALOR POR PL'!$P$5,'CP RESUMO'!AD60,"")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RESUMO'!AE18</f>
        <v/>
      </c>
      <c r="N32" s="139">
        <f>MAX(0,M32-M31)</f>
        <v/>
      </c>
      <c r="O32" s="138">
        <f>IF(B32&lt;='VALOR POR PL'!$P$5,'CP RESUMO'!AE60,"")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RESUMO'!AF18</f>
        <v/>
      </c>
      <c r="N33" s="139">
        <f>MAX(0,M33-M32)</f>
        <v/>
      </c>
      <c r="O33" s="138">
        <f>IF(B33&lt;='VALOR POR PL'!$P$5,'CP RESUMO'!AF60,"")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RESUMO'!AG18</f>
        <v/>
      </c>
      <c r="N34" s="139">
        <f>MAX(0,M34-M33)</f>
        <v/>
      </c>
      <c r="O34" s="138">
        <f>IF(B34&lt;='VALOR POR PL'!$P$5,'CP RESUMO'!AG60,"")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RESUMO'!AH18</f>
        <v/>
      </c>
      <c r="N35" s="139">
        <f>MAX(0,M35-M34)</f>
        <v/>
      </c>
      <c r="O35" s="138">
        <f>IF(B35&lt;='VALOR POR PL'!$P$5,'CP RESUMO'!AH60,"")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RESUMO'!AI18</f>
        <v/>
      </c>
      <c r="N36" s="139">
        <f>MAX(0,M36-M35)</f>
        <v/>
      </c>
      <c r="O36" s="138">
        <f>IF(B36&lt;='VALOR POR PL'!$P$5,'CP RESUMO'!AI60,"")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RESUMO'!AJ18</f>
        <v/>
      </c>
      <c r="N37" s="139">
        <f>MAX(0,M37-M36)</f>
        <v/>
      </c>
      <c r="O37" s="138">
        <f>IF(B37&lt;='VALOR POR PL'!$P$5,'CP RESUMO'!AJ60,"")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RESUMO'!AK18</f>
        <v/>
      </c>
      <c r="N38" s="139">
        <f>MAX(0,M38-M37)</f>
        <v/>
      </c>
      <c r="O38" s="138">
        <f>IF(B38&lt;='VALOR POR PL'!$P$5,'CP RESUMO'!AK60,"")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RESUMO'!AL18</f>
        <v/>
      </c>
      <c r="N39" s="139">
        <f>MAX(0,M39-M38)</f>
        <v/>
      </c>
      <c r="O39" s="138">
        <f>IF(B39&lt;='VALOR POR PL'!$P$5,'CP RESUMO'!AL60,"")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RESUMO'!AM18</f>
        <v/>
      </c>
      <c r="N40" s="139">
        <f>MAX(0,M40-M39)</f>
        <v/>
      </c>
      <c r="O40" s="138">
        <f>IF(B40&lt;='VALOR POR PL'!$P$5,'CP RESUMO'!AM60,"")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RESUMO'!AN18</f>
        <v/>
      </c>
      <c r="N41" s="139">
        <f>MAX(0,M41-M40)</f>
        <v/>
      </c>
      <c r="O41" s="138">
        <f>IF(B41&lt;='VALOR POR PL'!$P$5,'CP RESUMO'!AN60,"")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RESUMO'!AO18</f>
        <v/>
      </c>
      <c r="N42" s="139">
        <f>MAX(0,M42-M41)</f>
        <v/>
      </c>
      <c r="O42" s="138">
        <f>IF(B42&lt;='VALOR POR PL'!$P$5,'CP RESUMO'!AO60,"")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RESUMO'!AP18</f>
        <v/>
      </c>
      <c r="N43" s="139">
        <f>MAX(0,M43-M42)</f>
        <v/>
      </c>
      <c r="O43" s="138">
        <f>IF(B43&lt;='VALOR POR PL'!$P$5,'CP RESUMO'!AP60,"")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RESUMO'!AQ18</f>
        <v/>
      </c>
      <c r="N44" s="139">
        <f>MAX(0,M44-M43)</f>
        <v/>
      </c>
      <c r="O44" s="138">
        <f>IF(B44&lt;='VALOR POR PL'!$P$5,'CP RESUMO'!AQ60,"")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RESUMO'!AR18</f>
        <v/>
      </c>
      <c r="N45" s="139">
        <f>MAX(0,M45-M44)</f>
        <v/>
      </c>
      <c r="O45" s="138">
        <f>IF(B45&lt;='VALOR POR PL'!$P$5,'CP RESUMO'!AR60,"")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RESUMO'!AS18</f>
        <v/>
      </c>
      <c r="N46" s="139">
        <f>MAX(0,M46-M45)</f>
        <v/>
      </c>
      <c r="O46" s="138">
        <f>IF(B46&lt;='VALOR POR PL'!$P$5,'CP RESUMO'!AS60,"")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RESUMO'!AT18</f>
        <v/>
      </c>
      <c r="N47" s="139">
        <f>MAX(0,M47-M46)</f>
        <v/>
      </c>
      <c r="O47" s="138">
        <f>IF(B47&lt;='VALOR POR PL'!$P$5,'CP RESUMO'!AT60,"")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RESUMO'!AU18</f>
        <v/>
      </c>
      <c r="N48" s="139">
        <f>MAX(0,M48-M47)</f>
        <v/>
      </c>
      <c r="O48" s="138">
        <f>IF(B48&lt;='VALOR POR PL'!$P$5,'CP RESUMO'!AU60,"")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RESUMO'!AV18</f>
        <v/>
      </c>
      <c r="N49" s="139">
        <f>MAX(0,M49-M48)</f>
        <v/>
      </c>
      <c r="O49" s="138">
        <f>IF(B49&lt;='VALOR POR PL'!$P$5,'CP RESUMO'!AV60,"")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RESUMO'!AW18</f>
        <v/>
      </c>
      <c r="N50" s="139">
        <f>MAX(0,M50-M49)</f>
        <v/>
      </c>
      <c r="O50" s="138">
        <f>IF(B50&lt;='VALOR POR PL'!$P$5,'CP RESUMO'!AW60,"")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RESUMO'!AX18</f>
        <v/>
      </c>
      <c r="N51" s="139">
        <f>MAX(0,M51-M50)</f>
        <v/>
      </c>
      <c r="O51" s="138">
        <f>IF(B51&lt;='VALOR POR PL'!$P$5,'CP RESUMO'!AX60,"")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RESUMO'!AY18</f>
        <v/>
      </c>
      <c r="N52" s="139">
        <f>MAX(0,M52-M51)</f>
        <v/>
      </c>
      <c r="O52" s="138">
        <f>IF(B52&lt;='VALOR POR PL'!$P$5,'CP RESUMO'!AY60,"")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RESUMO'!AZ18</f>
        <v/>
      </c>
      <c r="N53" s="139">
        <f>MAX(0,M53-M52)</f>
        <v/>
      </c>
      <c r="O53" s="138">
        <f>IF(B53&lt;='VALOR POR PL'!$P$5,'CP RESUMO'!AZ60,"")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RESUMO'!BA18</f>
        <v/>
      </c>
      <c r="N54" s="139">
        <f>MAX(0,M54-M53)</f>
        <v/>
      </c>
      <c r="O54" s="138">
        <f>IF(B54&lt;='VALOR POR PL'!$P$5,'CP RESUMO'!BA60,"")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RESUMO'!BB18</f>
        <v/>
      </c>
      <c r="N55" s="139">
        <f>MAX(0,M55-M54)</f>
        <v/>
      </c>
      <c r="O55" s="138">
        <f>IF(B55&lt;='VALOR POR PL'!$P$5,'CP RESUMO'!BB60,"")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RESUMO'!BC18</f>
        <v/>
      </c>
      <c r="N56" s="139">
        <f>MAX(0,M56-M55)</f>
        <v/>
      </c>
      <c r="O56" s="138">
        <f>IF(B56&lt;='VALOR POR PL'!$P$5,'CP RESUMO'!BC60,"")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RESUMO'!BD18</f>
        <v/>
      </c>
      <c r="N57" s="139">
        <f>MAX(0,M57-M56)</f>
        <v/>
      </c>
      <c r="O57" s="138">
        <f>IF(B57&lt;='VALOR POR PL'!$P$5,'CP RESUMO'!BD60,"")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RESUMO'!BE18</f>
        <v/>
      </c>
      <c r="N58" s="139">
        <f>MAX(0,M58-M57)</f>
        <v/>
      </c>
      <c r="O58" s="138">
        <f>IF(B58&lt;='VALOR POR PL'!$P$5,'CP RESUMO'!BE60,"")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RESUMO'!BF18</f>
        <v/>
      </c>
      <c r="N59" s="139">
        <f>MAX(0,M59-M58)</f>
        <v/>
      </c>
      <c r="O59" s="138">
        <f>IF(B59&lt;='VALOR POR PL'!$P$5,'CP RESUMO'!BF60,"")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RESUMO'!BG18</f>
        <v/>
      </c>
      <c r="N60" s="139">
        <f>MAX(0,M60-M59)</f>
        <v/>
      </c>
      <c r="O60" s="138">
        <f>IF(B60&lt;='VALOR POR PL'!$P$5,'CP RESUMO'!BG60,"")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RESUMO'!BH18</f>
        <v/>
      </c>
      <c r="N61" s="139">
        <f>MAX(0,M61-M60)</f>
        <v/>
      </c>
      <c r="O61" s="138">
        <f>IF(B61&lt;='VALOR POR PL'!$P$5,'CP RESUMO'!BH60,"")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RESUMO'!BI18</f>
        <v/>
      </c>
      <c r="N62" s="139">
        <f>MAX(0,M62-M61)</f>
        <v/>
      </c>
      <c r="O62" s="138">
        <f>IF(B62&lt;='VALOR POR PL'!$P$5,'CP RESUMO'!BI60,"")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RESUMO'!BJ18</f>
        <v/>
      </c>
      <c r="N63" s="139">
        <f>MAX(0,M63-M62)</f>
        <v/>
      </c>
      <c r="O63" s="138">
        <f>IF(B63&lt;='VALOR POR PL'!$P$5,'CP RESUMO'!BJ60,"")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RESUMO'!BK18</f>
        <v/>
      </c>
      <c r="N64" s="139">
        <f>MAX(0,M64-M63)</f>
        <v/>
      </c>
      <c r="O64" s="138">
        <f>IF(B64&lt;='VALOR POR PL'!$P$5,'CP RESUMO'!BK60,"")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RESUMO'!BL18</f>
        <v/>
      </c>
      <c r="N65" s="139">
        <f>MAX(0,M65-M64)</f>
        <v/>
      </c>
      <c r="O65" s="138">
        <f>IF(B65&lt;='VALOR POR PL'!$P$5,'CP RESUMO'!BL60,"")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RESUMO'!BM18</f>
        <v/>
      </c>
      <c r="N66" s="139">
        <f>MAX(0,M66-M65)</f>
        <v/>
      </c>
      <c r="O66" s="138">
        <f>IF(B66&lt;='VALOR POR PL'!$P$5,'CP RESUMO'!BM60,"")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RESUMO'!BN18</f>
        <v/>
      </c>
      <c r="N67" s="139">
        <f>MAX(0,M67-M66)</f>
        <v/>
      </c>
      <c r="O67" s="138">
        <f>IF(B67&lt;='VALOR POR PL'!$P$5,'CP RESUMO'!BN60,"")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RESUMO'!BO18</f>
        <v/>
      </c>
      <c r="N68" s="139">
        <f>MAX(0,M68-M67)</f>
        <v/>
      </c>
      <c r="O68" s="138">
        <f>IF(B68&lt;='VALOR POR PL'!$P$5,'CP RESUMO'!BO60,"")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RESUMO'!BP18</f>
        <v/>
      </c>
      <c r="N69" s="139">
        <f>MAX(0,M69-M68)</f>
        <v/>
      </c>
      <c r="O69" s="138">
        <f>IF(B69&lt;='VALOR POR PL'!$P$5,'CP RESUMO'!BP60,"")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RESUMO'!BQ18</f>
        <v/>
      </c>
      <c r="N70" s="139">
        <f>MAX(0,M70-M69)</f>
        <v/>
      </c>
      <c r="O70" s="138">
        <f>IF(B70&lt;='VALOR POR PL'!$P$5,'CP RESUMO'!BQ60,"")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RESUMO'!BR18</f>
        <v/>
      </c>
      <c r="N71" s="139">
        <f>MAX(0,M71-M70)</f>
        <v/>
      </c>
      <c r="O71" s="138">
        <f>IF(B71&lt;='VALOR POR PL'!$P$5,'CP RESUMO'!BR60,"")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RESUMO'!BS18</f>
        <v/>
      </c>
      <c r="N72" s="139">
        <f>MAX(0,M72-M71)</f>
        <v/>
      </c>
      <c r="O72" s="138">
        <f>IF(B72&lt;='VALOR POR PL'!$P$5,'CP RESUMO'!BS60,"")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RESUMO'!BT18</f>
        <v/>
      </c>
      <c r="N73" s="139">
        <f>MAX(0,M73-M72)</f>
        <v/>
      </c>
      <c r="O73" s="138">
        <f>IF(B73&lt;='VALOR POR PL'!$P$5,'CP RESUMO'!BT60,"")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RESUMO'!BU18</f>
        <v/>
      </c>
      <c r="N74" s="139">
        <f>MAX(0,M74-M73)</f>
        <v/>
      </c>
      <c r="O74" s="138">
        <f>IF(B74&lt;='VALOR POR PL'!$P$5,'CP RESUMO'!BU60,"")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RESUMO'!BV18</f>
        <v/>
      </c>
      <c r="N75" s="139">
        <f>MAX(0,M75-M74)</f>
        <v/>
      </c>
      <c r="O75" s="138">
        <f>IF(B75&lt;='VALOR POR PL'!$P$5,'CP RESUMO'!BV60,"")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RESUMO'!BW18</f>
        <v/>
      </c>
      <c r="N76" s="139">
        <f>MAX(0,M76-M75)</f>
        <v/>
      </c>
      <c r="O76" s="138">
        <f>IF(B76&lt;='VALOR POR PL'!$P$5,'CP RESUMO'!BW60,"")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HISTORICOS'!D19)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PL'!F25</f>
        <v/>
      </c>
      <c r="K5" s="60">
        <f>'VALOR POR PL'!G25</f>
        <v/>
      </c>
      <c r="L5" s="60">
        <f>'DADOS HISTORICOS'!$BZ$19</f>
        <v/>
      </c>
      <c r="M5" s="138">
        <f>'CP RESUMO'!D19</f>
        <v/>
      </c>
      <c r="N5" s="139" t="n">
        <v>0</v>
      </c>
      <c r="O5" s="138">
        <f>IF(B5&lt;='VALOR POR PL'!$P$5,'CP RESUMO'!D61,"")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HISTORICOS'!E19)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PL'!H25</f>
        <v/>
      </c>
      <c r="L6" s="49">
        <f>C6/IF(B6&lt;='VALOR POR PL'!$P$5,IFERROR(INDEX('"INCC-FGV"'!$B$2:$B$800,MATCH(B6,'"INCC-FGV"'!$A$2:$A$800,0)),$K$2),$K$2)</f>
        <v/>
      </c>
      <c r="M6" s="138">
        <f>'CP RESUMO'!E19</f>
        <v/>
      </c>
      <c r="N6" s="139">
        <f>MAX(0,M6-M5)</f>
        <v/>
      </c>
      <c r="O6" s="138">
        <f>IF(B6&lt;='VALOR POR PL'!$P$5,'CP RESUMO'!E61,"")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HISTORICOS'!F19)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RESUMO'!F19</f>
        <v/>
      </c>
      <c r="N7" s="139">
        <f>MAX(0,M7-M6)</f>
        <v/>
      </c>
      <c r="O7" s="138">
        <f>IF(B7&lt;='VALOR POR PL'!$P$5,'CP RESUMO'!F61,"")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HISTORICOS'!G19)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RESUMO'!G19</f>
        <v/>
      </c>
      <c r="N8" s="139">
        <f>MAX(0,M8-M7)</f>
        <v/>
      </c>
      <c r="O8" s="138">
        <f>IF(B8&lt;='VALOR POR PL'!$P$5,'CP RESUMO'!G61,"")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HISTORICOS'!H19)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RESUMO'!H19</f>
        <v/>
      </c>
      <c r="N9" s="139">
        <f>MAX(0,M9-M8)</f>
        <v/>
      </c>
      <c r="O9" s="138">
        <f>IF(B9&lt;='VALOR POR PL'!$P$5,'CP RESUMO'!H61,"")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RESUMO'!I19</f>
        <v/>
      </c>
      <c r="N10" s="139">
        <f>MAX(0,M10-M9)</f>
        <v/>
      </c>
      <c r="O10" s="138">
        <f>IF(B10&lt;='VALOR POR PL'!$P$5,'CP RESUMO'!I61,"")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RESUMO'!J19</f>
        <v/>
      </c>
      <c r="N11" s="139">
        <f>MAX(0,M11-M10)</f>
        <v/>
      </c>
      <c r="O11" s="138">
        <f>IF(B11&lt;='VALOR POR PL'!$P$5,'CP RESUMO'!J61,"")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RESUMO'!K19</f>
        <v/>
      </c>
      <c r="N12" s="139">
        <f>MAX(0,M12-M11)</f>
        <v/>
      </c>
      <c r="O12" s="138">
        <f>IF(B12&lt;='VALOR POR PL'!$P$5,'CP RESUMO'!K61,"")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PL'!I25</f>
        <v/>
      </c>
      <c r="L13" s="49">
        <f>C13/IF(B13&lt;='VALOR POR PL'!$P$5,IFERROR(INDEX('"INCC-FGV"'!$B$2:$B$800,MATCH(B13,'"INCC-FGV"'!$A$2:$A$800,0)),$K$2),$K$2)</f>
        <v/>
      </c>
      <c r="M13" s="138">
        <f>'CP RESUMO'!L19</f>
        <v/>
      </c>
      <c r="N13" s="139">
        <f>MAX(0,M13-M12)</f>
        <v/>
      </c>
      <c r="O13" s="138">
        <f>IF(B13&lt;='VALOR POR PL'!$P$5,'CP RESUMO'!L61,"")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RESUMO'!$D$61:$BW$61,MATCH('VALOR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RESUMO'!M19</f>
        <v/>
      </c>
      <c r="N14" s="139">
        <f>MAX(0,M14-M13)</f>
        <v/>
      </c>
      <c r="O14" s="138">
        <f>IF(B14&lt;='VALOR POR PL'!$P$5,'CP RESUMO'!M61,"")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RESUMO'!N19</f>
        <v/>
      </c>
      <c r="N15" s="139">
        <f>MAX(0,M15-M14)</f>
        <v/>
      </c>
      <c r="O15" s="138">
        <f>IF(B15&lt;='VALOR POR PL'!$P$5,'CP RESUMO'!N61,"")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RESUMO'!O19</f>
        <v/>
      </c>
      <c r="N16" s="139">
        <f>MAX(0,M16-M15)</f>
        <v/>
      </c>
      <c r="O16" s="138">
        <f>IF(B16&lt;='VALOR POR PL'!$P$5,'CP RESUMO'!O61,"")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RESUMO'!P19</f>
        <v/>
      </c>
      <c r="N17" s="139">
        <f>MAX(0,M17-M16)</f>
        <v/>
      </c>
      <c r="O17" s="138">
        <f>IF(B17&lt;='VALOR POR PL'!$P$5,'CP RESUMO'!P61,"")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RESUMO'!Q19</f>
        <v/>
      </c>
      <c r="N18" s="139">
        <f>MAX(0,M18-M17)</f>
        <v/>
      </c>
      <c r="O18" s="138">
        <f>IF(B18&lt;='VALOR POR PL'!$P$5,'CP RESUMO'!Q61,"")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RESUMO'!R19</f>
        <v/>
      </c>
      <c r="N19" s="139">
        <f>MAX(0,M19-M18)</f>
        <v/>
      </c>
      <c r="O19" s="138">
        <f>IF(B19&lt;='VALOR POR PL'!$P$5,'CP RESUMO'!R61,"")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RESUMO'!S19</f>
        <v/>
      </c>
      <c r="N20" s="139">
        <f>MAX(0,M20-M19)</f>
        <v/>
      </c>
      <c r="O20" s="138">
        <f>IF(B20&lt;='VALOR POR PL'!$P$5,'CP RESUMO'!S61,"")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RESUMO'!T19</f>
        <v/>
      </c>
      <c r="N21" s="139">
        <f>MAX(0,M21-M20)</f>
        <v/>
      </c>
      <c r="O21" s="138">
        <f>IF(B21&lt;='VALOR POR PL'!$P$5,'CP RESUMO'!T61,"")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RESUMO'!U19</f>
        <v/>
      </c>
      <c r="N22" s="139">
        <f>MAX(0,M22-M21)</f>
        <v/>
      </c>
      <c r="O22" s="138">
        <f>IF(B22&lt;='VALOR POR PL'!$P$5,'CP RESUMO'!U61,"")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RESUMO'!V19</f>
        <v/>
      </c>
      <c r="N23" s="139">
        <f>MAX(0,M23-M22)</f>
        <v/>
      </c>
      <c r="O23" s="138">
        <f>IF(B23&lt;='VALOR POR PL'!$P$5,'CP RESUMO'!V61,"")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RESUMO'!W19</f>
        <v/>
      </c>
      <c r="N24" s="139">
        <f>MAX(0,M24-M23)</f>
        <v/>
      </c>
      <c r="O24" s="138">
        <f>IF(B24&lt;='VALOR POR PL'!$P$5,'CP RESUMO'!W61,"")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RESUMO'!X19</f>
        <v/>
      </c>
      <c r="N25" s="139">
        <f>MAX(0,M25-M24)</f>
        <v/>
      </c>
      <c r="O25" s="138">
        <f>IF(B25&lt;='VALOR POR PL'!$P$5,'CP RESUMO'!X61,"")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RESUMO'!Y19</f>
        <v/>
      </c>
      <c r="N26" s="139">
        <f>MAX(0,M26-M25)</f>
        <v/>
      </c>
      <c r="O26" s="138">
        <f>IF(B26&lt;='VALOR POR PL'!$P$5,'CP RESUMO'!Y61,"")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RESUMO'!Z19</f>
        <v/>
      </c>
      <c r="N27" s="139">
        <f>MAX(0,M27-M26)</f>
        <v/>
      </c>
      <c r="O27" s="138">
        <f>IF(B27&lt;='VALOR POR PL'!$P$5,'CP RESUMO'!Z61,"")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RESUMO'!AA19</f>
        <v/>
      </c>
      <c r="N28" s="139">
        <f>MAX(0,M28-M27)</f>
        <v/>
      </c>
      <c r="O28" s="138">
        <f>IF(B28&lt;='VALOR POR PL'!$P$5,'CP RESUMO'!AA61,"")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RESUMO'!AB19</f>
        <v/>
      </c>
      <c r="N29" s="139">
        <f>MAX(0,M29-M28)</f>
        <v/>
      </c>
      <c r="O29" s="138">
        <f>IF(B29&lt;='VALOR POR PL'!$P$5,'CP RESUMO'!AB61,"")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RESUMO'!AC19</f>
        <v/>
      </c>
      <c r="N30" s="139">
        <f>MAX(0,M30-M29)</f>
        <v/>
      </c>
      <c r="O30" s="138">
        <f>IF(B30&lt;='VALOR POR PL'!$P$5,'CP RESUMO'!AC61,"")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5194.25</v>
      </c>
      <c r="L31" s="49">
        <f>C31/IF(B31&lt;='VALOR POR PL'!$P$5,IFERROR(INDEX('"INCC-FGV"'!$B$2:$B$800,MATCH(B31,'"INCC-FGV"'!$A$2:$A$800,0)),$K$2),$K$2)</f>
        <v/>
      </c>
      <c r="M31" s="138">
        <f>'CP RESUMO'!AD19</f>
        <v/>
      </c>
      <c r="N31" s="139">
        <f>MAX(0,M31-M30)</f>
        <v/>
      </c>
      <c r="O31" s="138">
        <f>IF(B31&lt;='VALOR POR PL'!$P$5,'CP RESUMO'!AD61,"")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RESUMO'!AE19</f>
        <v/>
      </c>
      <c r="N32" s="139">
        <f>MAX(0,M32-M31)</f>
        <v/>
      </c>
      <c r="O32" s="138">
        <f>IF(B32&lt;='VALOR POR PL'!$P$5,'CP RESUMO'!AE61,"")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RESUMO'!AF19</f>
        <v/>
      </c>
      <c r="N33" s="139">
        <f>MAX(0,M33-M32)</f>
        <v/>
      </c>
      <c r="O33" s="138">
        <f>IF(B33&lt;='VALOR POR PL'!$P$5,'CP RESUMO'!AF61,"")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RESUMO'!AG19</f>
        <v/>
      </c>
      <c r="N34" s="139">
        <f>MAX(0,M34-M33)</f>
        <v/>
      </c>
      <c r="O34" s="138">
        <f>IF(B34&lt;='VALOR POR PL'!$P$5,'CP RESUMO'!AG61,"")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RESUMO'!AH19</f>
        <v/>
      </c>
      <c r="N35" s="139">
        <f>MAX(0,M35-M34)</f>
        <v/>
      </c>
      <c r="O35" s="138">
        <f>IF(B35&lt;='VALOR POR PL'!$P$5,'CP RESUMO'!AH61,"")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RESUMO'!AI19</f>
        <v/>
      </c>
      <c r="N36" s="139">
        <f>MAX(0,M36-M35)</f>
        <v/>
      </c>
      <c r="O36" s="138">
        <f>IF(B36&lt;='VALOR POR PL'!$P$5,'CP RESUMO'!AI61,"")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RESUMO'!AJ19</f>
        <v/>
      </c>
      <c r="N37" s="139">
        <f>MAX(0,M37-M36)</f>
        <v/>
      </c>
      <c r="O37" s="138">
        <f>IF(B37&lt;='VALOR POR PL'!$P$5,'CP RESUMO'!AJ61,"")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RESUMO'!AK19</f>
        <v/>
      </c>
      <c r="N38" s="139">
        <f>MAX(0,M38-M37)</f>
        <v/>
      </c>
      <c r="O38" s="138">
        <f>IF(B38&lt;='VALOR POR PL'!$P$5,'CP RESUMO'!AK61,"")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RESUMO'!AL19</f>
        <v/>
      </c>
      <c r="N39" s="139">
        <f>MAX(0,M39-M38)</f>
        <v/>
      </c>
      <c r="O39" s="138">
        <f>IF(B39&lt;='VALOR POR PL'!$P$5,'CP RESUMO'!AL61,"")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RESUMO'!AM19</f>
        <v/>
      </c>
      <c r="N40" s="139">
        <f>MAX(0,M40-M39)</f>
        <v/>
      </c>
      <c r="O40" s="138">
        <f>IF(B40&lt;='VALOR POR PL'!$P$5,'CP RESUMO'!AM61,"")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RESUMO'!AN19</f>
        <v/>
      </c>
      <c r="N41" s="139">
        <f>MAX(0,M41-M40)</f>
        <v/>
      </c>
      <c r="O41" s="138">
        <f>IF(B41&lt;='VALOR POR PL'!$P$5,'CP RESUMO'!AN61,"")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RESUMO'!AO19</f>
        <v/>
      </c>
      <c r="N42" s="139">
        <f>MAX(0,M42-M41)</f>
        <v/>
      </c>
      <c r="O42" s="138">
        <f>IF(B42&lt;='VALOR POR PL'!$P$5,'CP RESUMO'!AO61,"")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RESUMO'!AP19</f>
        <v/>
      </c>
      <c r="N43" s="139">
        <f>MAX(0,M43-M42)</f>
        <v/>
      </c>
      <c r="O43" s="138">
        <f>IF(B43&lt;='VALOR POR PL'!$P$5,'CP RESUMO'!AP61,"")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RESUMO'!AQ19</f>
        <v/>
      </c>
      <c r="N44" s="139">
        <f>MAX(0,M44-M43)</f>
        <v/>
      </c>
      <c r="O44" s="138">
        <f>IF(B44&lt;='VALOR POR PL'!$P$5,'CP RESUMO'!AQ61,"")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RESUMO'!AR19</f>
        <v/>
      </c>
      <c r="N45" s="139">
        <f>MAX(0,M45-M44)</f>
        <v/>
      </c>
      <c r="O45" s="138">
        <f>IF(B45&lt;='VALOR POR PL'!$P$5,'CP RESUMO'!AR61,"")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RESUMO'!AS19</f>
        <v/>
      </c>
      <c r="N46" s="139">
        <f>MAX(0,M46-M45)</f>
        <v/>
      </c>
      <c r="O46" s="138">
        <f>IF(B46&lt;='VALOR POR PL'!$P$5,'CP RESUMO'!AS61,"")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RESUMO'!AT19</f>
        <v/>
      </c>
      <c r="N47" s="139">
        <f>MAX(0,M47-M46)</f>
        <v/>
      </c>
      <c r="O47" s="138">
        <f>IF(B47&lt;='VALOR POR PL'!$P$5,'CP RESUMO'!AT61,"")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RESUMO'!AU19</f>
        <v/>
      </c>
      <c r="N48" s="139">
        <f>MAX(0,M48-M47)</f>
        <v/>
      </c>
      <c r="O48" s="138">
        <f>IF(B48&lt;='VALOR POR PL'!$P$5,'CP RESUMO'!AU61,"")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RESUMO'!AV19</f>
        <v/>
      </c>
      <c r="N49" s="139">
        <f>MAX(0,M49-M48)</f>
        <v/>
      </c>
      <c r="O49" s="138">
        <f>IF(B49&lt;='VALOR POR PL'!$P$5,'CP RESUMO'!AV61,"")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RESUMO'!AW19</f>
        <v/>
      </c>
      <c r="N50" s="139">
        <f>MAX(0,M50-M49)</f>
        <v/>
      </c>
      <c r="O50" s="138">
        <f>IF(B50&lt;='VALOR POR PL'!$P$5,'CP RESUMO'!AW61,"")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RESUMO'!AX19</f>
        <v/>
      </c>
      <c r="N51" s="139">
        <f>MAX(0,M51-M50)</f>
        <v/>
      </c>
      <c r="O51" s="138">
        <f>IF(B51&lt;='VALOR POR PL'!$P$5,'CP RESUMO'!AX61,"")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RESUMO'!AY19</f>
        <v/>
      </c>
      <c r="N52" s="139">
        <f>MAX(0,M52-M51)</f>
        <v/>
      </c>
      <c r="O52" s="138">
        <f>IF(B52&lt;='VALOR POR PL'!$P$5,'CP RESUMO'!AY61,"")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RESUMO'!AZ19</f>
        <v/>
      </c>
      <c r="N53" s="139">
        <f>MAX(0,M53-M52)</f>
        <v/>
      </c>
      <c r="O53" s="138">
        <f>IF(B53&lt;='VALOR POR PL'!$P$5,'CP RESUMO'!AZ61,"")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RESUMO'!BA19</f>
        <v/>
      </c>
      <c r="N54" s="139">
        <f>MAX(0,M54-M53)</f>
        <v/>
      </c>
      <c r="O54" s="138">
        <f>IF(B54&lt;='VALOR POR PL'!$P$5,'CP RESUMO'!BA61,"")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RESUMO'!BB19</f>
        <v/>
      </c>
      <c r="N55" s="139">
        <f>MAX(0,M55-M54)</f>
        <v/>
      </c>
      <c r="O55" s="138">
        <f>IF(B55&lt;='VALOR POR PL'!$P$5,'CP RESUMO'!BB61,"")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RESUMO'!BC19</f>
        <v/>
      </c>
      <c r="N56" s="139">
        <f>MAX(0,M56-M55)</f>
        <v/>
      </c>
      <c r="O56" s="138">
        <f>IF(B56&lt;='VALOR POR PL'!$P$5,'CP RESUMO'!BC61,"")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RESUMO'!BD19</f>
        <v/>
      </c>
      <c r="N57" s="139">
        <f>MAX(0,M57-M56)</f>
        <v/>
      </c>
      <c r="O57" s="138">
        <f>IF(B57&lt;='VALOR POR PL'!$P$5,'CP RESUMO'!BD61,"")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RESUMO'!BE19</f>
        <v/>
      </c>
      <c r="N58" s="139">
        <f>MAX(0,M58-M57)</f>
        <v/>
      </c>
      <c r="O58" s="138">
        <f>IF(B58&lt;='VALOR POR PL'!$P$5,'CP RESUMO'!BE61,"")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RESUMO'!BF19</f>
        <v/>
      </c>
      <c r="N59" s="139">
        <f>MAX(0,M59-M58)</f>
        <v/>
      </c>
      <c r="O59" s="138">
        <f>IF(B59&lt;='VALOR POR PL'!$P$5,'CP RESUMO'!BF61,"")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RESUMO'!BG19</f>
        <v/>
      </c>
      <c r="N60" s="139">
        <f>MAX(0,M60-M59)</f>
        <v/>
      </c>
      <c r="O60" s="138">
        <f>IF(B60&lt;='VALOR POR PL'!$P$5,'CP RESUMO'!BG61,"")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RESUMO'!BH19</f>
        <v/>
      </c>
      <c r="N61" s="139">
        <f>MAX(0,M61-M60)</f>
        <v/>
      </c>
      <c r="O61" s="138">
        <f>IF(B61&lt;='VALOR POR PL'!$P$5,'CP RESUMO'!BH61,"")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RESUMO'!BI19</f>
        <v/>
      </c>
      <c r="N62" s="139">
        <f>MAX(0,M62-M61)</f>
        <v/>
      </c>
      <c r="O62" s="138">
        <f>IF(B62&lt;='VALOR POR PL'!$P$5,'CP RESUMO'!BI61,"")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RESUMO'!BJ19</f>
        <v/>
      </c>
      <c r="N63" s="139">
        <f>MAX(0,M63-M62)</f>
        <v/>
      </c>
      <c r="O63" s="138">
        <f>IF(B63&lt;='VALOR POR PL'!$P$5,'CP RESUMO'!BJ61,"")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RESUMO'!BK19</f>
        <v/>
      </c>
      <c r="N64" s="139">
        <f>MAX(0,M64-M63)</f>
        <v/>
      </c>
      <c r="O64" s="138">
        <f>IF(B64&lt;='VALOR POR PL'!$P$5,'CP RESUMO'!BK61,"")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RESUMO'!BL19</f>
        <v/>
      </c>
      <c r="N65" s="139">
        <f>MAX(0,M65-M64)</f>
        <v/>
      </c>
      <c r="O65" s="138">
        <f>IF(B65&lt;='VALOR POR PL'!$P$5,'CP RESUMO'!BL61,"")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RESUMO'!BM19</f>
        <v/>
      </c>
      <c r="N66" s="139">
        <f>MAX(0,M66-M65)</f>
        <v/>
      </c>
      <c r="O66" s="138">
        <f>IF(B66&lt;='VALOR POR PL'!$P$5,'CP RESUMO'!BM61,"")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RESUMO'!BN19</f>
        <v/>
      </c>
      <c r="N67" s="139">
        <f>MAX(0,M67-M66)</f>
        <v/>
      </c>
      <c r="O67" s="138">
        <f>IF(B67&lt;='VALOR POR PL'!$P$5,'CP RESUMO'!BN61,"")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RESUMO'!BO19</f>
        <v/>
      </c>
      <c r="N68" s="139">
        <f>MAX(0,M68-M67)</f>
        <v/>
      </c>
      <c r="O68" s="138">
        <f>IF(B68&lt;='VALOR POR PL'!$P$5,'CP RESUMO'!BO61,"")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RESUMO'!BP19</f>
        <v/>
      </c>
      <c r="N69" s="139">
        <f>MAX(0,M69-M68)</f>
        <v/>
      </c>
      <c r="O69" s="138">
        <f>IF(B69&lt;='VALOR POR PL'!$P$5,'CP RESUMO'!BP61,"")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RESUMO'!BQ19</f>
        <v/>
      </c>
      <c r="N70" s="139">
        <f>MAX(0,M70-M69)</f>
        <v/>
      </c>
      <c r="O70" s="138">
        <f>IF(B70&lt;='VALOR POR PL'!$P$5,'CP RESUMO'!BQ61,"")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RESUMO'!BR19</f>
        <v/>
      </c>
      <c r="N71" s="139">
        <f>MAX(0,M71-M70)</f>
        <v/>
      </c>
      <c r="O71" s="138">
        <f>IF(B71&lt;='VALOR POR PL'!$P$5,'CP RESUMO'!BR61,"")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RESUMO'!BS19</f>
        <v/>
      </c>
      <c r="N72" s="139">
        <f>MAX(0,M72-M71)</f>
        <v/>
      </c>
      <c r="O72" s="138">
        <f>IF(B72&lt;='VALOR POR PL'!$P$5,'CP RESUMO'!BS61,"")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RESUMO'!BT19</f>
        <v/>
      </c>
      <c r="N73" s="139">
        <f>MAX(0,M73-M72)</f>
        <v/>
      </c>
      <c r="O73" s="138">
        <f>IF(B73&lt;='VALOR POR PL'!$P$5,'CP RESUMO'!BT61,"")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RESUMO'!BU19</f>
        <v/>
      </c>
      <c r="N74" s="139">
        <f>MAX(0,M74-M73)</f>
        <v/>
      </c>
      <c r="O74" s="138">
        <f>IF(B74&lt;='VALOR POR PL'!$P$5,'CP RESUMO'!BU61,"")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RESUMO'!BV19</f>
        <v/>
      </c>
      <c r="N75" s="139">
        <f>MAX(0,M75-M74)</f>
        <v/>
      </c>
      <c r="O75" s="138">
        <f>IF(B75&lt;='VALOR POR PL'!$P$5,'CP RESUMO'!BV61,"")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RESUMO'!BW19</f>
        <v/>
      </c>
      <c r="N76" s="139">
        <f>MAX(0,M76-M75)</f>
        <v/>
      </c>
      <c r="O76" s="138">
        <f>IF(B76&lt;='VALOR POR PL'!$P$5,'CP RESUMO'!BW61,"")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PL'!F26</f>
        <v/>
      </c>
      <c r="K5" s="60">
        <f>'VALOR POR PL'!G26</f>
        <v/>
      </c>
      <c r="L5" s="60">
        <f>'DADOS HISTORICOS'!$BZ$20</f>
        <v/>
      </c>
      <c r="M5" s="138">
        <f>'CP RESUMO'!D20</f>
        <v/>
      </c>
      <c r="N5" s="139" t="n">
        <v>0</v>
      </c>
      <c r="O5" s="138">
        <f>IF(B5&lt;='VALOR POR PL'!$P$5,'CP RESUMO'!D62,"")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PL'!H26</f>
        <v/>
      </c>
      <c r="L6" s="49">
        <f>C6/IF(B6&lt;='VALOR POR PL'!$P$5,IFERROR(INDEX('"INCC-FGV"'!$B$2:$B$800,MATCH(B6,'"INCC-FGV"'!$A$2:$A$800,0)),$K$2),$K$2)</f>
        <v/>
      </c>
      <c r="M6" s="138">
        <f>'CP RESUMO'!E20</f>
        <v/>
      </c>
      <c r="N6" s="139">
        <f>MAX(0,M6-M5)</f>
        <v/>
      </c>
      <c r="O6" s="138">
        <f>IF(B6&lt;='VALOR POR PL'!$P$5,'CP RESUMO'!E62,"")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RESUMO'!F20</f>
        <v/>
      </c>
      <c r="N7" s="139">
        <f>MAX(0,M7-M6)</f>
        <v/>
      </c>
      <c r="O7" s="138">
        <f>IF(B7&lt;='VALOR POR PL'!$P$5,'CP RESUMO'!F62,"")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RESUMO'!G20</f>
        <v/>
      </c>
      <c r="N8" s="139">
        <f>MAX(0,M8-M7)</f>
        <v/>
      </c>
      <c r="O8" s="138">
        <f>IF(B8&lt;='VALOR POR PL'!$P$5,'CP RESUMO'!G62,"")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RESUMO'!H20</f>
        <v/>
      </c>
      <c r="N9" s="139">
        <f>MAX(0,M9-M8)</f>
        <v/>
      </c>
      <c r="O9" s="138">
        <f>IF(B9&lt;='VALOR POR PL'!$P$5,'CP RESUMO'!H62,"")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RESUMO'!I20</f>
        <v/>
      </c>
      <c r="N10" s="139">
        <f>MAX(0,M10-M9)</f>
        <v/>
      </c>
      <c r="O10" s="138">
        <f>IF(B10&lt;='VALOR POR PL'!$P$5,'CP RESUMO'!I62,"")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RESUMO'!J20</f>
        <v/>
      </c>
      <c r="N11" s="139">
        <f>MAX(0,M11-M10)</f>
        <v/>
      </c>
      <c r="O11" s="138">
        <f>IF(B11&lt;='VALOR POR PL'!$P$5,'CP RESUMO'!J62,"")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RESUMO'!K20</f>
        <v/>
      </c>
      <c r="N12" s="139">
        <f>MAX(0,M12-M11)</f>
        <v/>
      </c>
      <c r="O12" s="138">
        <f>IF(B12&lt;='VALOR POR PL'!$P$5,'CP RESUMO'!K62,"")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PL'!I26</f>
        <v/>
      </c>
      <c r="L13" s="49">
        <f>C13/IF(B13&lt;='VALOR POR PL'!$P$5,IFERROR(INDEX('"INCC-FGV"'!$B$2:$B$800,MATCH(B13,'"INCC-FGV"'!$A$2:$A$800,0)),$K$2),$K$2)</f>
        <v/>
      </c>
      <c r="M13" s="138">
        <f>'CP RESUMO'!L20</f>
        <v/>
      </c>
      <c r="N13" s="139">
        <f>MAX(0,M13-M12)</f>
        <v/>
      </c>
      <c r="O13" s="138">
        <f>IF(B13&lt;='VALOR POR PL'!$P$5,'CP RESUMO'!L62,"")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RESUMO'!$D$62:$BW$62,MATCH('VALOR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RESUMO'!M20</f>
        <v/>
      </c>
      <c r="N14" s="139">
        <f>MAX(0,M14-M13)</f>
        <v/>
      </c>
      <c r="O14" s="138">
        <f>IF(B14&lt;='VALOR POR PL'!$P$5,'CP RESUMO'!M62,"")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RESUMO'!N20</f>
        <v/>
      </c>
      <c r="N15" s="139">
        <f>MAX(0,M15-M14)</f>
        <v/>
      </c>
      <c r="O15" s="138">
        <f>IF(B15&lt;='VALOR POR PL'!$P$5,'CP RESUMO'!N62,"")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RESUMO'!O20</f>
        <v/>
      </c>
      <c r="N16" s="139">
        <f>MAX(0,M16-M15)</f>
        <v/>
      </c>
      <c r="O16" s="138">
        <f>IF(B16&lt;='VALOR POR PL'!$P$5,'CP RESUMO'!O62,"")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RESUMO'!P20</f>
        <v/>
      </c>
      <c r="N17" s="139">
        <f>MAX(0,M17-M16)</f>
        <v/>
      </c>
      <c r="O17" s="138">
        <f>IF(B17&lt;='VALOR POR PL'!$P$5,'CP RESUMO'!P62,"")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RESUMO'!Q20</f>
        <v/>
      </c>
      <c r="N18" s="139">
        <f>MAX(0,M18-M17)</f>
        <v/>
      </c>
      <c r="O18" s="138">
        <f>IF(B18&lt;='VALOR POR PL'!$P$5,'CP RESUMO'!Q62,"")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RESUMO'!R20</f>
        <v/>
      </c>
      <c r="N19" s="139">
        <f>MAX(0,M19-M18)</f>
        <v/>
      </c>
      <c r="O19" s="138">
        <f>IF(B19&lt;='VALOR POR PL'!$P$5,'CP RESUMO'!R62,"")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RESUMO'!S20</f>
        <v/>
      </c>
      <c r="N20" s="139">
        <f>MAX(0,M20-M19)</f>
        <v/>
      </c>
      <c r="O20" s="138">
        <f>IF(B20&lt;='VALOR POR PL'!$P$5,'CP RESUMO'!S62,"")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RESUMO'!T20</f>
        <v/>
      </c>
      <c r="N21" s="139">
        <f>MAX(0,M21-M20)</f>
        <v/>
      </c>
      <c r="O21" s="138">
        <f>IF(B21&lt;='VALOR POR PL'!$P$5,'CP RESUMO'!T62,"")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RESUMO'!U20</f>
        <v/>
      </c>
      <c r="N22" s="139">
        <f>MAX(0,M22-M21)</f>
        <v/>
      </c>
      <c r="O22" s="138">
        <f>IF(B22&lt;='VALOR POR PL'!$P$5,'CP RESUMO'!U62,"")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RESUMO'!V20</f>
        <v/>
      </c>
      <c r="N23" s="139">
        <f>MAX(0,M23-M22)</f>
        <v/>
      </c>
      <c r="O23" s="138">
        <f>IF(B23&lt;='VALOR POR PL'!$P$5,'CP RESUMO'!V62,"")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RESUMO'!W20</f>
        <v/>
      </c>
      <c r="N24" s="139">
        <f>MAX(0,M24-M23)</f>
        <v/>
      </c>
      <c r="O24" s="138">
        <f>IF(B24&lt;='VALOR POR PL'!$P$5,'CP RESUMO'!W62,"")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RESUMO'!X20</f>
        <v/>
      </c>
      <c r="N25" s="139">
        <f>MAX(0,M25-M24)</f>
        <v/>
      </c>
      <c r="O25" s="138">
        <f>IF(B25&lt;='VALOR POR PL'!$P$5,'CP RESUMO'!X62,"")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246530.27</v>
      </c>
      <c r="L26" s="49">
        <f>C26/IF(B26&lt;='VALOR POR PL'!$P$5,IFERROR(INDEX('"INCC-FGV"'!$B$2:$B$800,MATCH(B26,'"INCC-FGV"'!$A$2:$A$800,0)),$K$2),$K$2)</f>
        <v/>
      </c>
      <c r="M26" s="138">
        <f>'CP RESUMO'!Y20</f>
        <v/>
      </c>
      <c r="N26" s="139">
        <f>MAX(0,M26-M25)</f>
        <v/>
      </c>
      <c r="O26" s="138">
        <f>IF(B26&lt;='VALOR POR PL'!$P$5,'CP RESUMO'!Y62,"")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312244.24</v>
      </c>
      <c r="L27" s="49">
        <f>C27/IF(B27&lt;='VALOR POR PL'!$P$5,IFERROR(INDEX('"INCC-FGV"'!$B$2:$B$800,MATCH(B27,'"INCC-FGV"'!$A$2:$A$800,0)),$K$2),$K$2)</f>
        <v/>
      </c>
      <c r="M27" s="138">
        <f>'CP RESUMO'!Z20</f>
        <v/>
      </c>
      <c r="N27" s="139">
        <f>MAX(0,M27-M26)</f>
        <v/>
      </c>
      <c r="O27" s="138">
        <f>IF(B27&lt;='VALOR POR PL'!$P$5,'CP RESUMO'!Z62,"")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153041.58</v>
      </c>
      <c r="L28" s="49">
        <f>C28/IF(B28&lt;='VALOR POR PL'!$P$5,IFERROR(INDEX('"INCC-FGV"'!$B$2:$B$800,MATCH(B28,'"INCC-FGV"'!$A$2:$A$800,0)),$K$2),$K$2)</f>
        <v/>
      </c>
      <c r="M28" s="138">
        <f>'CP RESUMO'!AA20</f>
        <v/>
      </c>
      <c r="N28" s="139">
        <f>MAX(0,M28-M27)</f>
        <v/>
      </c>
      <c r="O28" s="138">
        <f>IF(B28&lt;='VALOR POR PL'!$P$5,'CP RESUMO'!AA62,"")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RESUMO'!AB20</f>
        <v/>
      </c>
      <c r="N29" s="139">
        <f>MAX(0,M29-M28)</f>
        <v/>
      </c>
      <c r="O29" s="138">
        <f>IF(B29&lt;='VALOR POR PL'!$P$5,'CP RESUMO'!AB62,"")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RESUMO'!AC20</f>
        <v/>
      </c>
      <c r="N30" s="139">
        <f>MAX(0,M30-M29)</f>
        <v/>
      </c>
      <c r="O30" s="138">
        <f>IF(B30&lt;='VALOR POR PL'!$P$5,'CP RESUMO'!AC62,"")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124718.1</v>
      </c>
      <c r="L31" s="49">
        <f>C31/IF(B31&lt;='VALOR POR PL'!$P$5,IFERROR(INDEX('"INCC-FGV"'!$B$2:$B$800,MATCH(B31,'"INCC-FGV"'!$A$2:$A$800,0)),$K$2),$K$2)</f>
        <v/>
      </c>
      <c r="M31" s="138">
        <f>'CP RESUMO'!AD20</f>
        <v/>
      </c>
      <c r="N31" s="139">
        <f>MAX(0,M31-M30)</f>
        <v/>
      </c>
      <c r="O31" s="138">
        <f>IF(B31&lt;='VALOR POR PL'!$P$5,'CP RESUMO'!AD62,"")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124718.1</v>
      </c>
      <c r="L32" s="49">
        <f>C32/IF(B32&lt;='VALOR POR PL'!$P$5,IFERROR(INDEX('"INCC-FGV"'!$B$2:$B$800,MATCH(B32,'"INCC-FGV"'!$A$2:$A$800,0)),$K$2),$K$2)</f>
        <v/>
      </c>
      <c r="M32" s="138">
        <f>'CP RESUMO'!AE20</f>
        <v/>
      </c>
      <c r="N32" s="139">
        <f>MAX(0,M32-M31)</f>
        <v/>
      </c>
      <c r="O32" s="138">
        <f>IF(B32&lt;='VALOR POR PL'!$P$5,'CP RESUMO'!AE62,"")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RESUMO'!AF20</f>
        <v/>
      </c>
      <c r="N33" s="139">
        <f>MAX(0,M33-M32)</f>
        <v/>
      </c>
      <c r="O33" s="138">
        <f>IF(B33&lt;='VALOR POR PL'!$P$5,'CP RESUMO'!AF62,"")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RESUMO'!AG20</f>
        <v/>
      </c>
      <c r="N34" s="139">
        <f>MAX(0,M34-M33)</f>
        <v/>
      </c>
      <c r="O34" s="138">
        <f>IF(B34&lt;='VALOR POR PL'!$P$5,'CP RESUMO'!AG62,"")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RESUMO'!AH20</f>
        <v/>
      </c>
      <c r="N35" s="139">
        <f>MAX(0,M35-M34)</f>
        <v/>
      </c>
      <c r="O35" s="138">
        <f>IF(B35&lt;='VALOR POR PL'!$P$5,'CP RESUMO'!AH62,"")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RESUMO'!AI20</f>
        <v/>
      </c>
      <c r="N36" s="139">
        <f>MAX(0,M36-M35)</f>
        <v/>
      </c>
      <c r="O36" s="138">
        <f>IF(B36&lt;='VALOR POR PL'!$P$5,'CP RESUMO'!AI62,"")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RESUMO'!AJ20</f>
        <v/>
      </c>
      <c r="N37" s="139">
        <f>MAX(0,M37-M36)</f>
        <v/>
      </c>
      <c r="O37" s="138">
        <f>IF(B37&lt;='VALOR POR PL'!$P$5,'CP RESUMO'!AJ62,"")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RESUMO'!AK20</f>
        <v/>
      </c>
      <c r="N38" s="139">
        <f>MAX(0,M38-M37)</f>
        <v/>
      </c>
      <c r="O38" s="138">
        <f>IF(B38&lt;='VALOR POR PL'!$P$5,'CP RESUMO'!AK62,"")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RESUMO'!AL20</f>
        <v/>
      </c>
      <c r="N39" s="139">
        <f>MAX(0,M39-M38)</f>
        <v/>
      </c>
      <c r="O39" s="138">
        <f>IF(B39&lt;='VALOR POR PL'!$P$5,'CP RESUMO'!AL62,"")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RESUMO'!AM20</f>
        <v/>
      </c>
      <c r="N40" s="139">
        <f>MAX(0,M40-M39)</f>
        <v/>
      </c>
      <c r="O40" s="138">
        <f>IF(B40&lt;='VALOR POR PL'!$P$5,'CP RESUMO'!AM62,"")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RESUMO'!AN20</f>
        <v/>
      </c>
      <c r="N41" s="139">
        <f>MAX(0,M41-M40)</f>
        <v/>
      </c>
      <c r="O41" s="138">
        <f>IF(B41&lt;='VALOR POR PL'!$P$5,'CP RESUMO'!AN62,"")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13473.45</v>
      </c>
      <c r="L42" s="49">
        <f>C42/IF(B42&lt;='VALOR POR PL'!$P$5,IFERROR(INDEX('"INCC-FGV"'!$B$2:$B$800,MATCH(B42,'"INCC-FGV"'!$A$2:$A$800,0)),$K$2),$K$2)</f>
        <v/>
      </c>
      <c r="M42" s="138">
        <f>'CP RESUMO'!AO20</f>
        <v/>
      </c>
      <c r="N42" s="139">
        <f>MAX(0,M42-M41)</f>
        <v/>
      </c>
      <c r="O42" s="138">
        <f>IF(B42&lt;='VALOR POR PL'!$P$5,'CP RESUMO'!AO62,"")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RESUMO'!AP20</f>
        <v/>
      </c>
      <c r="N43" s="139">
        <f>MAX(0,M43-M42)</f>
        <v/>
      </c>
      <c r="O43" s="138">
        <f>IF(B43&lt;='VALOR POR PL'!$P$5,'CP RESUMO'!AP62,"")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RESUMO'!AQ20</f>
        <v/>
      </c>
      <c r="N44" s="139">
        <f>MAX(0,M44-M43)</f>
        <v/>
      </c>
      <c r="O44" s="138">
        <f>IF(B44&lt;='VALOR POR PL'!$P$5,'CP RESUMO'!AQ62,"")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RESUMO'!AR20</f>
        <v/>
      </c>
      <c r="N45" s="139">
        <f>MAX(0,M45-M44)</f>
        <v/>
      </c>
      <c r="O45" s="138">
        <f>IF(B45&lt;='VALOR POR PL'!$P$5,'CP RESUMO'!AR62,"")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RESUMO'!AS20</f>
        <v/>
      </c>
      <c r="N46" s="139">
        <f>MAX(0,M46-M45)</f>
        <v/>
      </c>
      <c r="O46" s="138">
        <f>IF(B46&lt;='VALOR POR PL'!$P$5,'CP RESUMO'!AS62,"")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RESUMO'!AT20</f>
        <v/>
      </c>
      <c r="N47" s="139">
        <f>MAX(0,M47-M46)</f>
        <v/>
      </c>
      <c r="O47" s="138">
        <f>IF(B47&lt;='VALOR POR PL'!$P$5,'CP RESUMO'!AT62,"")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RESUMO'!AU20</f>
        <v/>
      </c>
      <c r="N48" s="139">
        <f>MAX(0,M48-M47)</f>
        <v/>
      </c>
      <c r="O48" s="138">
        <f>IF(B48&lt;='VALOR POR PL'!$P$5,'CP RESUMO'!AU62,"")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RESUMO'!AV20</f>
        <v/>
      </c>
      <c r="N49" s="139">
        <f>MAX(0,M49-M48)</f>
        <v/>
      </c>
      <c r="O49" s="138">
        <f>IF(B49&lt;='VALOR POR PL'!$P$5,'CP RESUMO'!AV62,"")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RESUMO'!AW20</f>
        <v/>
      </c>
      <c r="N50" s="139">
        <f>MAX(0,M50-M49)</f>
        <v/>
      </c>
      <c r="O50" s="138">
        <f>IF(B50&lt;='VALOR POR PL'!$P$5,'CP RESUMO'!AW62,"")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RESUMO'!AX20</f>
        <v/>
      </c>
      <c r="N51" s="139">
        <f>MAX(0,M51-M50)</f>
        <v/>
      </c>
      <c r="O51" s="138">
        <f>IF(B51&lt;='VALOR POR PL'!$P$5,'CP RESUMO'!AX62,"")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RESUMO'!AY20</f>
        <v/>
      </c>
      <c r="N52" s="139">
        <f>MAX(0,M52-M51)</f>
        <v/>
      </c>
      <c r="O52" s="138">
        <f>IF(B52&lt;='VALOR POR PL'!$P$5,'CP RESUMO'!AY62,"")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RESUMO'!AZ20</f>
        <v/>
      </c>
      <c r="N53" s="139">
        <f>MAX(0,M53-M52)</f>
        <v/>
      </c>
      <c r="O53" s="138">
        <f>IF(B53&lt;='VALOR POR PL'!$P$5,'CP RESUMO'!AZ62,"")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RESUMO'!BA20</f>
        <v/>
      </c>
      <c r="N54" s="139">
        <f>MAX(0,M54-M53)</f>
        <v/>
      </c>
      <c r="O54" s="138">
        <f>IF(B54&lt;='VALOR POR PL'!$P$5,'CP RESUMO'!BA62,"")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RESUMO'!BB20</f>
        <v/>
      </c>
      <c r="N55" s="139">
        <f>MAX(0,M55-M54)</f>
        <v/>
      </c>
      <c r="O55" s="138">
        <f>IF(B55&lt;='VALOR POR PL'!$P$5,'CP RESUMO'!BB62,"")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RESUMO'!BC20</f>
        <v/>
      </c>
      <c r="N56" s="139">
        <f>MAX(0,M56-M55)</f>
        <v/>
      </c>
      <c r="O56" s="138">
        <f>IF(B56&lt;='VALOR POR PL'!$P$5,'CP RESUMO'!BC62,"")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RESUMO'!BD20</f>
        <v/>
      </c>
      <c r="N57" s="139">
        <f>MAX(0,M57-M56)</f>
        <v/>
      </c>
      <c r="O57" s="138">
        <f>IF(B57&lt;='VALOR POR PL'!$P$5,'CP RESUMO'!BD62,"")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RESUMO'!BE20</f>
        <v/>
      </c>
      <c r="N58" s="139">
        <f>MAX(0,M58-M57)</f>
        <v/>
      </c>
      <c r="O58" s="138">
        <f>IF(B58&lt;='VALOR POR PL'!$P$5,'CP RESUMO'!BE62,"")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RESUMO'!BF20</f>
        <v/>
      </c>
      <c r="N59" s="139">
        <f>MAX(0,M59-M58)</f>
        <v/>
      </c>
      <c r="O59" s="138">
        <f>IF(B59&lt;='VALOR POR PL'!$P$5,'CP RESUMO'!BF62,"")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RESUMO'!BG20</f>
        <v/>
      </c>
      <c r="N60" s="139">
        <f>MAX(0,M60-M59)</f>
        <v/>
      </c>
      <c r="O60" s="138">
        <f>IF(B60&lt;='VALOR POR PL'!$P$5,'CP RESUMO'!BG62,"")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RESUMO'!BH20</f>
        <v/>
      </c>
      <c r="N61" s="139">
        <f>MAX(0,M61-M60)</f>
        <v/>
      </c>
      <c r="O61" s="138">
        <f>IF(B61&lt;='VALOR POR PL'!$P$5,'CP RESUMO'!BH62,"")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RESUMO'!BI20</f>
        <v/>
      </c>
      <c r="N62" s="139">
        <f>MAX(0,M62-M61)</f>
        <v/>
      </c>
      <c r="O62" s="138">
        <f>IF(B62&lt;='VALOR POR PL'!$P$5,'CP RESUMO'!BI62,"")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RESUMO'!BJ20</f>
        <v/>
      </c>
      <c r="N63" s="139">
        <f>MAX(0,M63-M62)</f>
        <v/>
      </c>
      <c r="O63" s="138">
        <f>IF(B63&lt;='VALOR POR PL'!$P$5,'CP RESUMO'!BJ62,"")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RESUMO'!BK20</f>
        <v/>
      </c>
      <c r="N64" s="139">
        <f>MAX(0,M64-M63)</f>
        <v/>
      </c>
      <c r="O64" s="138">
        <f>IF(B64&lt;='VALOR POR PL'!$P$5,'CP RESUMO'!BK62,"")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RESUMO'!BL20</f>
        <v/>
      </c>
      <c r="N65" s="139">
        <f>MAX(0,M65-M64)</f>
        <v/>
      </c>
      <c r="O65" s="138">
        <f>IF(B65&lt;='VALOR POR PL'!$P$5,'CP RESUMO'!BL62,"")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RESUMO'!BM20</f>
        <v/>
      </c>
      <c r="N66" s="139">
        <f>MAX(0,M66-M65)</f>
        <v/>
      </c>
      <c r="O66" s="138">
        <f>IF(B66&lt;='VALOR POR PL'!$P$5,'CP RESUMO'!BM62,"")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RESUMO'!BN20</f>
        <v/>
      </c>
      <c r="N67" s="139">
        <f>MAX(0,M67-M66)</f>
        <v/>
      </c>
      <c r="O67" s="138">
        <f>IF(B67&lt;='VALOR POR PL'!$P$5,'CP RESUMO'!BN62,"")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RESUMO'!BO20</f>
        <v/>
      </c>
      <c r="N68" s="139">
        <f>MAX(0,M68-M67)</f>
        <v/>
      </c>
      <c r="O68" s="138">
        <f>IF(B68&lt;='VALOR POR PL'!$P$5,'CP RESUMO'!BO62,"")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RESUMO'!BP20</f>
        <v/>
      </c>
      <c r="N69" s="139">
        <f>MAX(0,M69-M68)</f>
        <v/>
      </c>
      <c r="O69" s="138">
        <f>IF(B69&lt;='VALOR POR PL'!$P$5,'CP RESUMO'!BP62,"")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RESUMO'!BQ20</f>
        <v/>
      </c>
      <c r="N70" s="139">
        <f>MAX(0,M70-M69)</f>
        <v/>
      </c>
      <c r="O70" s="138">
        <f>IF(B70&lt;='VALOR POR PL'!$P$5,'CP RESUMO'!BQ62,"")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RESUMO'!BR20</f>
        <v/>
      </c>
      <c r="N71" s="139">
        <f>MAX(0,M71-M70)</f>
        <v/>
      </c>
      <c r="O71" s="138">
        <f>IF(B71&lt;='VALOR POR PL'!$P$5,'CP RESUMO'!BR62,"")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RESUMO'!BS20</f>
        <v/>
      </c>
      <c r="N72" s="139">
        <f>MAX(0,M72-M71)</f>
        <v/>
      </c>
      <c r="O72" s="138">
        <f>IF(B72&lt;='VALOR POR PL'!$P$5,'CP RESUMO'!BS62,"")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RESUMO'!BT20</f>
        <v/>
      </c>
      <c r="N73" s="139">
        <f>MAX(0,M73-M72)</f>
        <v/>
      </c>
      <c r="O73" s="138">
        <f>IF(B73&lt;='VALOR POR PL'!$P$5,'CP RESUMO'!BT62,"")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RESUMO'!BU20</f>
        <v/>
      </c>
      <c r="N74" s="139">
        <f>MAX(0,M74-M73)</f>
        <v/>
      </c>
      <c r="O74" s="138">
        <f>IF(B74&lt;='VALOR POR PL'!$P$5,'CP RESUMO'!BU62,"")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RESUMO'!BV20</f>
        <v/>
      </c>
      <c r="N75" s="139">
        <f>MAX(0,M75-M74)</f>
        <v/>
      </c>
      <c r="O75" s="138">
        <f>IF(B75&lt;='VALOR POR PL'!$P$5,'CP RESUMO'!BV62,"")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RESUMO'!BW20</f>
        <v/>
      </c>
      <c r="N76" s="139">
        <f>MAX(0,M76-M75)</f>
        <v/>
      </c>
      <c r="O76" s="138">
        <f>IF(B76&lt;='VALOR POR PL'!$P$5,'CP RESUMO'!BW62,"")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PL'!F27</f>
        <v/>
      </c>
      <c r="K5" s="60">
        <f>'VALOR POR PL'!G27</f>
        <v/>
      </c>
      <c r="L5" s="60">
        <f>'DADOS HISTORICOS'!$BZ$21</f>
        <v/>
      </c>
      <c r="M5" s="138">
        <f>'CP RESUMO'!D21</f>
        <v/>
      </c>
      <c r="N5" s="139" t="n">
        <v>0</v>
      </c>
      <c r="O5" s="138">
        <f>IF(B5&lt;='VALOR POR PL'!$P$5,'CP RESUMO'!D63,"")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PL'!H27</f>
        <v/>
      </c>
      <c r="L6" s="49">
        <f>C6/IF(B6&lt;='VALOR POR PL'!$P$5,IFERROR(INDEX('"INCC-FGV"'!$B$2:$B$800,MATCH(B6,'"INCC-FGV"'!$A$2:$A$800,0)),$K$2),$K$2)</f>
        <v/>
      </c>
      <c r="M6" s="138">
        <f>'CP RESUMO'!E21</f>
        <v/>
      </c>
      <c r="N6" s="139">
        <f>MAX(0,M6-M5)</f>
        <v/>
      </c>
      <c r="O6" s="138">
        <f>IF(B6&lt;='VALOR POR PL'!$P$5,'CP RESUMO'!E63,"")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RESUMO'!F21</f>
        <v/>
      </c>
      <c r="N7" s="139">
        <f>MAX(0,M7-M6)</f>
        <v/>
      </c>
      <c r="O7" s="138">
        <f>IF(B7&lt;='VALOR POR PL'!$P$5,'CP RESUMO'!F63,"")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RESUMO'!G21</f>
        <v/>
      </c>
      <c r="N8" s="139">
        <f>MAX(0,M8-M7)</f>
        <v/>
      </c>
      <c r="O8" s="138">
        <f>IF(B8&lt;='VALOR POR PL'!$P$5,'CP RESUMO'!G63,"")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RESUMO'!H21</f>
        <v/>
      </c>
      <c r="N9" s="139">
        <f>MAX(0,M9-M8)</f>
        <v/>
      </c>
      <c r="O9" s="138">
        <f>IF(B9&lt;='VALOR POR PL'!$P$5,'CP RESUMO'!H63,"")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RESUMO'!I21</f>
        <v/>
      </c>
      <c r="N10" s="139">
        <f>MAX(0,M10-M9)</f>
        <v/>
      </c>
      <c r="O10" s="138">
        <f>IF(B10&lt;='VALOR POR PL'!$P$5,'CP RESUMO'!I63,"")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RESUMO'!J21</f>
        <v/>
      </c>
      <c r="N11" s="139">
        <f>MAX(0,M11-M10)</f>
        <v/>
      </c>
      <c r="O11" s="138">
        <f>IF(B11&lt;='VALOR POR PL'!$P$5,'CP RESUMO'!J63,"")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RESUMO'!K21</f>
        <v/>
      </c>
      <c r="N12" s="139">
        <f>MAX(0,M12-M11)</f>
        <v/>
      </c>
      <c r="O12" s="138">
        <f>IF(B12&lt;='VALOR POR PL'!$P$5,'CP RESUMO'!K63,"")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PL'!I27</f>
        <v/>
      </c>
      <c r="L13" s="49">
        <f>C13/IF(B13&lt;='VALOR POR PL'!$P$5,IFERROR(INDEX('"INCC-FGV"'!$B$2:$B$800,MATCH(B13,'"INCC-FGV"'!$A$2:$A$800,0)),$K$2),$K$2)</f>
        <v/>
      </c>
      <c r="M13" s="138">
        <f>'CP RESUMO'!L21</f>
        <v/>
      </c>
      <c r="N13" s="139">
        <f>MAX(0,M13-M12)</f>
        <v/>
      </c>
      <c r="O13" s="138">
        <f>IF(B13&lt;='VALOR POR PL'!$P$5,'CP RESUMO'!L63,"")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RESUMO'!$D$63:$BW$63,MATCH('VALOR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RESUMO'!M21</f>
        <v/>
      </c>
      <c r="N14" s="139">
        <f>MAX(0,M14-M13)</f>
        <v/>
      </c>
      <c r="O14" s="138">
        <f>IF(B14&lt;='VALOR POR PL'!$P$5,'CP RESUMO'!M63,"")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RESUMO'!N21</f>
        <v/>
      </c>
      <c r="N15" s="139">
        <f>MAX(0,M15-M14)</f>
        <v/>
      </c>
      <c r="O15" s="138">
        <f>IF(B15&lt;='VALOR POR PL'!$P$5,'CP RESUMO'!N63,"")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RESUMO'!O21</f>
        <v/>
      </c>
      <c r="N16" s="139">
        <f>MAX(0,M16-M15)</f>
        <v/>
      </c>
      <c r="O16" s="138">
        <f>IF(B16&lt;='VALOR POR PL'!$P$5,'CP RESUMO'!O63,"")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RESUMO'!P21</f>
        <v/>
      </c>
      <c r="N17" s="139">
        <f>MAX(0,M17-M16)</f>
        <v/>
      </c>
      <c r="O17" s="138">
        <f>IF(B17&lt;='VALOR POR PL'!$P$5,'CP RESUMO'!P63,"")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RESUMO'!Q21</f>
        <v/>
      </c>
      <c r="N18" s="139">
        <f>MAX(0,M18-M17)</f>
        <v/>
      </c>
      <c r="O18" s="138">
        <f>IF(B18&lt;='VALOR POR PL'!$P$5,'CP RESUMO'!Q63,"")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RESUMO'!R21</f>
        <v/>
      </c>
      <c r="N19" s="139">
        <f>MAX(0,M19-M18)</f>
        <v/>
      </c>
      <c r="O19" s="138">
        <f>IF(B19&lt;='VALOR POR PL'!$P$5,'CP RESUMO'!R63,"")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RESUMO'!S21</f>
        <v/>
      </c>
      <c r="N20" s="139">
        <f>MAX(0,M20-M19)</f>
        <v/>
      </c>
      <c r="O20" s="138">
        <f>IF(B20&lt;='VALOR POR PL'!$P$5,'CP RESUMO'!S63,"")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RESUMO'!T21</f>
        <v/>
      </c>
      <c r="N21" s="139">
        <f>MAX(0,M21-M20)</f>
        <v/>
      </c>
      <c r="O21" s="138">
        <f>IF(B21&lt;='VALOR POR PL'!$P$5,'CP RESUMO'!T63,"")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RESUMO'!U21</f>
        <v/>
      </c>
      <c r="N22" s="139">
        <f>MAX(0,M22-M21)</f>
        <v/>
      </c>
      <c r="O22" s="138">
        <f>IF(B22&lt;='VALOR POR PL'!$P$5,'CP RESUMO'!U63,"")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RESUMO'!V21</f>
        <v/>
      </c>
      <c r="N23" s="139">
        <f>MAX(0,M23-M22)</f>
        <v/>
      </c>
      <c r="O23" s="138">
        <f>IF(B23&lt;='VALOR POR PL'!$P$5,'CP RESUMO'!V63,"")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Curva digitada mantida no cenário Prevision (decisão do usuário: estrutura, elevadores, esquadrias e indiretos não seguem o Prevision).</t>
        </is>
      </c>
      <c r="L24" s="49">
        <f>C24/IF(B24&lt;='VALOR POR PL'!$P$5,IFERROR(INDEX('"INCC-FGV"'!$B$2:$B$800,MATCH(B24,'"INCC-FGV"'!$A$2:$A$800,0)),$K$2),$K$2)</f>
        <v/>
      </c>
      <c r="M24" s="138">
        <f>'CP RESUMO'!W21</f>
        <v/>
      </c>
      <c r="N24" s="139">
        <f>MAX(0,M24-M23)</f>
        <v/>
      </c>
      <c r="O24" s="138">
        <f>IF(B24&lt;='VALOR POR PL'!$P$5,'CP RESUMO'!W63,"")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RESUMO'!X21</f>
        <v/>
      </c>
      <c r="N25" s="139">
        <f>MAX(0,M25-M24)</f>
        <v/>
      </c>
      <c r="O25" s="138">
        <f>IF(B25&lt;='VALOR POR PL'!$P$5,'CP RESUMO'!X63,"")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-109519.22</v>
      </c>
      <c r="L26" s="49">
        <f>C26/IF(B26&lt;='VALOR POR PL'!$P$5,IFERROR(INDEX('"INCC-FGV"'!$B$2:$B$800,MATCH(B26,'"INCC-FGV"'!$A$2:$A$800,0)),$K$2),$K$2)</f>
        <v/>
      </c>
      <c r="M26" s="138">
        <f>'CP RESUMO'!Y21</f>
        <v/>
      </c>
      <c r="N26" s="139">
        <f>MAX(0,M26-M25)</f>
        <v/>
      </c>
      <c r="O26" s="138">
        <f>IF(B26&lt;='VALOR POR PL'!$P$5,'CP RESUMO'!Y63,"")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673750.35</v>
      </c>
      <c r="L27" s="49">
        <f>C27/IF(B27&lt;='VALOR POR PL'!$P$5,IFERROR(INDEX('"INCC-FGV"'!$B$2:$B$800,MATCH(B27,'"INCC-FGV"'!$A$2:$A$800,0)),$K$2),$K$2)</f>
        <v/>
      </c>
      <c r="M27" s="138">
        <f>'CP RESUMO'!Z21</f>
        <v/>
      </c>
      <c r="N27" s="139">
        <f>MAX(0,M27-M26)</f>
        <v/>
      </c>
      <c r="O27" s="138">
        <f>IF(B27&lt;='VALOR POR PL'!$P$5,'CP RESUMO'!Z63,"")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1092763.63</v>
      </c>
      <c r="L28" s="49">
        <f>C28/IF(B28&lt;='VALOR POR PL'!$P$5,IFERROR(INDEX('"INCC-FGV"'!$B$2:$B$800,MATCH(B28,'"INCC-FGV"'!$A$2:$A$800,0)),$K$2),$K$2)</f>
        <v/>
      </c>
      <c r="M28" s="138">
        <f>'CP RESUMO'!AA21</f>
        <v/>
      </c>
      <c r="N28" s="139">
        <f>MAX(0,M28-M27)</f>
        <v/>
      </c>
      <c r="O28" s="138">
        <f>IF(B28&lt;='VALOR POR PL'!$P$5,'CP RESUMO'!AA63,"")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884564.27</v>
      </c>
      <c r="L29" s="49">
        <f>C29/IF(B29&lt;='VALOR POR PL'!$P$5,IFERROR(INDEX('"INCC-FGV"'!$B$2:$B$800,MATCH(B29,'"INCC-FGV"'!$A$2:$A$800,0)),$K$2),$K$2)</f>
        <v/>
      </c>
      <c r="M29" s="138">
        <f>'CP RESUMO'!AB21</f>
        <v/>
      </c>
      <c r="N29" s="139">
        <f>MAX(0,M29-M28)</f>
        <v/>
      </c>
      <c r="O29" s="138">
        <f>IF(B29&lt;='VALOR POR PL'!$P$5,'CP RESUMO'!AB63,"")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962505.12</v>
      </c>
      <c r="L30" s="49">
        <f>C30/IF(B30&lt;='VALOR POR PL'!$P$5,IFERROR(INDEX('"INCC-FGV"'!$B$2:$B$800,MATCH(B30,'"INCC-FGV"'!$A$2:$A$800,0)),$K$2),$K$2)</f>
        <v/>
      </c>
      <c r="M30" s="138">
        <f>'CP RESUMO'!AC21</f>
        <v/>
      </c>
      <c r="N30" s="139">
        <f>MAX(0,M30-M29)</f>
        <v/>
      </c>
      <c r="O30" s="138">
        <f>IF(B30&lt;='VALOR POR PL'!$P$5,'CP RESUMO'!AC63,"")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1069741.3</v>
      </c>
      <c r="L31" s="49">
        <f>C31/IF(B31&lt;='VALOR POR PL'!$P$5,IFERROR(INDEX('"INCC-FGV"'!$B$2:$B$800,MATCH(B31,'"INCC-FGV"'!$A$2:$A$800,0)),$K$2),$K$2)</f>
        <v/>
      </c>
      <c r="M31" s="138">
        <f>'CP RESUMO'!AD21</f>
        <v/>
      </c>
      <c r="N31" s="139">
        <f>MAX(0,M31-M30)</f>
        <v/>
      </c>
      <c r="O31" s="138">
        <f>IF(B31&lt;='VALOR POR PL'!$P$5,'CP RESUMO'!AD63,"")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899697.9300000001</v>
      </c>
      <c r="L32" s="49">
        <f>C32/IF(B32&lt;='VALOR POR PL'!$P$5,IFERROR(INDEX('"INCC-FGV"'!$B$2:$B$800,MATCH(B32,'"INCC-FGV"'!$A$2:$A$800,0)),$K$2),$K$2)</f>
        <v/>
      </c>
      <c r="M32" s="138">
        <f>'CP RESUMO'!AE21</f>
        <v/>
      </c>
      <c r="N32" s="139">
        <f>MAX(0,M32-M31)</f>
        <v/>
      </c>
      <c r="O32" s="138">
        <f>IF(B32&lt;='VALOR POR PL'!$P$5,'CP RESUMO'!AE63,"")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643185.16</v>
      </c>
      <c r="L33" s="49">
        <f>C33/IF(B33&lt;='VALOR POR PL'!$P$5,IFERROR(INDEX('"INCC-FGV"'!$B$2:$B$800,MATCH(B33,'"INCC-FGV"'!$A$2:$A$800,0)),$K$2),$K$2)</f>
        <v/>
      </c>
      <c r="M33" s="138">
        <f>'CP RESUMO'!AF21</f>
        <v/>
      </c>
      <c r="N33" s="139">
        <f>MAX(0,M33-M32)</f>
        <v/>
      </c>
      <c r="O33" s="138">
        <f>IF(B33&lt;='VALOR POR PL'!$P$5,'CP RESUMO'!AF63,"")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404556.53</v>
      </c>
      <c r="L34" s="49">
        <f>C34/IF(B34&lt;='VALOR POR PL'!$P$5,IFERROR(INDEX('"INCC-FGV"'!$B$2:$B$800,MATCH(B34,'"INCC-FGV"'!$A$2:$A$800,0)),$K$2),$K$2)</f>
        <v/>
      </c>
      <c r="M34" s="138">
        <f>'CP RESUMO'!AG21</f>
        <v/>
      </c>
      <c r="N34" s="139">
        <f>MAX(0,M34-M33)</f>
        <v/>
      </c>
      <c r="O34" s="138">
        <f>IF(B34&lt;='VALOR POR PL'!$P$5,'CP RESUMO'!AG63,"")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RESUMO'!AH21</f>
        <v/>
      </c>
      <c r="N35" s="139">
        <f>MAX(0,M35-M34)</f>
        <v/>
      </c>
      <c r="O35" s="138">
        <f>IF(B35&lt;='VALOR POR PL'!$P$5,'CP RESUMO'!AH63,"")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RESUMO'!AI21</f>
        <v/>
      </c>
      <c r="N36" s="139">
        <f>MAX(0,M36-M35)</f>
        <v/>
      </c>
      <c r="O36" s="138">
        <f>IF(B36&lt;='VALOR POR PL'!$P$5,'CP RESUMO'!AI63,"")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389772.32</v>
      </c>
      <c r="L37" s="49">
        <f>C37/IF(B37&lt;='VALOR POR PL'!$P$5,IFERROR(INDEX('"INCC-FGV"'!$B$2:$B$800,MATCH(B37,'"INCC-FGV"'!$A$2:$A$800,0)),$K$2),$K$2)</f>
        <v/>
      </c>
      <c r="M37" s="138">
        <f>'CP RESUMO'!AJ21</f>
        <v/>
      </c>
      <c r="N37" s="139">
        <f>MAX(0,M37-M36)</f>
        <v/>
      </c>
      <c r="O37" s="138">
        <f>IF(B37&lt;='VALOR POR PL'!$P$5,'CP RESUMO'!AJ63,"")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RESUMO'!AK21</f>
        <v/>
      </c>
      <c r="N38" s="139">
        <f>MAX(0,M38-M37)</f>
        <v/>
      </c>
      <c r="O38" s="138">
        <f>IF(B38&lt;='VALOR POR PL'!$P$5,'CP RESUMO'!AK63,"")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RESUMO'!AL21</f>
        <v/>
      </c>
      <c r="N39" s="139">
        <f>MAX(0,M39-M38)</f>
        <v/>
      </c>
      <c r="O39" s="138">
        <f>IF(B39&lt;='VALOR POR PL'!$P$5,'CP RESUMO'!AL63,"")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RESUMO'!AM21</f>
        <v/>
      </c>
      <c r="N40" s="139">
        <f>MAX(0,M40-M39)</f>
        <v/>
      </c>
      <c r="O40" s="138">
        <f>IF(B40&lt;='VALOR POR PL'!$P$5,'CP RESUMO'!AM63,"")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RESUMO'!AN21</f>
        <v/>
      </c>
      <c r="N41" s="139">
        <f>MAX(0,M41-M40)</f>
        <v/>
      </c>
      <c r="O41" s="138">
        <f>IF(B41&lt;='VALOR POR PL'!$P$5,'CP RESUMO'!AN63,"")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RESUMO'!AO21</f>
        <v/>
      </c>
      <c r="N42" s="139">
        <f>MAX(0,M42-M41)</f>
        <v/>
      </c>
      <c r="O42" s="138">
        <f>IF(B42&lt;='VALOR POR PL'!$P$5,'CP RESUMO'!AO63,"")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RESUMO'!AP21</f>
        <v/>
      </c>
      <c r="N43" s="139">
        <f>MAX(0,M43-M42)</f>
        <v/>
      </c>
      <c r="O43" s="138">
        <f>IF(B43&lt;='VALOR POR PL'!$P$5,'CP RESUMO'!AP63,"")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236029.76</v>
      </c>
      <c r="L44" s="49">
        <f>C44/IF(B44&lt;='VALOR POR PL'!$P$5,IFERROR(INDEX('"INCC-FGV"'!$B$2:$B$800,MATCH(B44,'"INCC-FGV"'!$A$2:$A$800,0)),$K$2),$K$2)</f>
        <v/>
      </c>
      <c r="M44" s="138">
        <f>'CP RESUMO'!AQ21</f>
        <v/>
      </c>
      <c r="N44" s="139">
        <f>MAX(0,M44-M43)</f>
        <v/>
      </c>
      <c r="O44" s="138">
        <f>IF(B44&lt;='VALOR POR PL'!$P$5,'CP RESUMO'!AQ63,"")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RESUMO'!AR21</f>
        <v/>
      </c>
      <c r="N45" s="139">
        <f>MAX(0,M45-M44)</f>
        <v/>
      </c>
      <c r="O45" s="138">
        <f>IF(B45&lt;='VALOR POR PL'!$P$5,'CP RESUMO'!AR63,"")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RESUMO'!AS21</f>
        <v/>
      </c>
      <c r="N46" s="139">
        <f>MAX(0,M46-M45)</f>
        <v/>
      </c>
      <c r="O46" s="138">
        <f>IF(B46&lt;='VALOR POR PL'!$P$5,'CP RESUMO'!AS63,"")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RESUMO'!AT21</f>
        <v/>
      </c>
      <c r="N47" s="139">
        <f>MAX(0,M47-M46)</f>
        <v/>
      </c>
      <c r="O47" s="138">
        <f>IF(B47&lt;='VALOR POR PL'!$P$5,'CP RESUMO'!AT63,"")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RESUMO'!AU21</f>
        <v/>
      </c>
      <c r="N48" s="139">
        <f>MAX(0,M48-M47)</f>
        <v/>
      </c>
      <c r="O48" s="138">
        <f>IF(B48&lt;='VALOR POR PL'!$P$5,'CP RESUMO'!AU63,"")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RESUMO'!AV21</f>
        <v/>
      </c>
      <c r="N49" s="139">
        <f>MAX(0,M49-M48)</f>
        <v/>
      </c>
      <c r="O49" s="138">
        <f>IF(B49&lt;='VALOR POR PL'!$P$5,'CP RESUMO'!AV63,"")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RESUMO'!AW21</f>
        <v/>
      </c>
      <c r="N50" s="139">
        <f>MAX(0,M50-M49)</f>
        <v/>
      </c>
      <c r="O50" s="138">
        <f>IF(B50&lt;='VALOR POR PL'!$P$5,'CP RESUMO'!AW63,"")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RESUMO'!AX21</f>
        <v/>
      </c>
      <c r="N51" s="139">
        <f>MAX(0,M51-M50)</f>
        <v/>
      </c>
      <c r="O51" s="138">
        <f>IF(B51&lt;='VALOR POR PL'!$P$5,'CP RESUMO'!AX63,"")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RESUMO'!AY21</f>
        <v/>
      </c>
      <c r="N52" s="139">
        <f>MAX(0,M52-M51)</f>
        <v/>
      </c>
      <c r="O52" s="138">
        <f>IF(B52&lt;='VALOR POR PL'!$P$5,'CP RESUMO'!AY63,"")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RESUMO'!AZ21</f>
        <v/>
      </c>
      <c r="N53" s="139">
        <f>MAX(0,M53-M52)</f>
        <v/>
      </c>
      <c r="O53" s="138">
        <f>IF(B53&lt;='VALOR POR PL'!$P$5,'CP RESUMO'!AZ63,"")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RESUMO'!BA21</f>
        <v/>
      </c>
      <c r="N54" s="139">
        <f>MAX(0,M54-M53)</f>
        <v/>
      </c>
      <c r="O54" s="138">
        <f>IF(B54&lt;='VALOR POR PL'!$P$5,'CP RESUMO'!BA63,"")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RESUMO'!BB21</f>
        <v/>
      </c>
      <c r="N55" s="139">
        <f>MAX(0,M55-M54)</f>
        <v/>
      </c>
      <c r="O55" s="138">
        <f>IF(B55&lt;='VALOR POR PL'!$P$5,'CP RESUMO'!BB63,"")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RESUMO'!BC21</f>
        <v/>
      </c>
      <c r="N56" s="139">
        <f>MAX(0,M56-M55)</f>
        <v/>
      </c>
      <c r="O56" s="138">
        <f>IF(B56&lt;='VALOR POR PL'!$P$5,'CP RESUMO'!BC63,"")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RESUMO'!BD21</f>
        <v/>
      </c>
      <c r="N57" s="139">
        <f>MAX(0,M57-M56)</f>
        <v/>
      </c>
      <c r="O57" s="138">
        <f>IF(B57&lt;='VALOR POR PL'!$P$5,'CP RESUMO'!BD63,"")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RESUMO'!BE21</f>
        <v/>
      </c>
      <c r="N58" s="139">
        <f>MAX(0,M58-M57)</f>
        <v/>
      </c>
      <c r="O58" s="138">
        <f>IF(B58&lt;='VALOR POR PL'!$P$5,'CP RESUMO'!BE63,"")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RESUMO'!BF21</f>
        <v/>
      </c>
      <c r="N59" s="139">
        <f>MAX(0,M59-M58)</f>
        <v/>
      </c>
      <c r="O59" s="138">
        <f>IF(B59&lt;='VALOR POR PL'!$P$5,'CP RESUMO'!BF63,"")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RESUMO'!BG21</f>
        <v/>
      </c>
      <c r="N60" s="139">
        <f>MAX(0,M60-M59)</f>
        <v/>
      </c>
      <c r="O60" s="138">
        <f>IF(B60&lt;='VALOR POR PL'!$P$5,'CP RESUMO'!BG63,"")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RESUMO'!BH21</f>
        <v/>
      </c>
      <c r="N61" s="139">
        <f>MAX(0,M61-M60)</f>
        <v/>
      </c>
      <c r="O61" s="138">
        <f>IF(B61&lt;='VALOR POR PL'!$P$5,'CP RESUMO'!BH63,"")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RESUMO'!BI21</f>
        <v/>
      </c>
      <c r="N62" s="139">
        <f>MAX(0,M62-M61)</f>
        <v/>
      </c>
      <c r="O62" s="138">
        <f>IF(B62&lt;='VALOR POR PL'!$P$5,'CP RESUMO'!BI63,"")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RESUMO'!BJ21</f>
        <v/>
      </c>
      <c r="N63" s="139">
        <f>MAX(0,M63-M62)</f>
        <v/>
      </c>
      <c r="O63" s="138">
        <f>IF(B63&lt;='VALOR POR PL'!$P$5,'CP RESUMO'!BJ63,"")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RESUMO'!BK21</f>
        <v/>
      </c>
      <c r="N64" s="139">
        <f>MAX(0,M64-M63)</f>
        <v/>
      </c>
      <c r="O64" s="138">
        <f>IF(B64&lt;='VALOR POR PL'!$P$5,'CP RESUMO'!BK63,"")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RESUMO'!BL21</f>
        <v/>
      </c>
      <c r="N65" s="139">
        <f>MAX(0,M65-M64)</f>
        <v/>
      </c>
      <c r="O65" s="138">
        <f>IF(B65&lt;='VALOR POR PL'!$P$5,'CP RESUMO'!BL63,"")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RESUMO'!BM21</f>
        <v/>
      </c>
      <c r="N66" s="139">
        <f>MAX(0,M66-M65)</f>
        <v/>
      </c>
      <c r="O66" s="138">
        <f>IF(B66&lt;='VALOR POR PL'!$P$5,'CP RESUMO'!BM63,"")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RESUMO'!BN21</f>
        <v/>
      </c>
      <c r="N67" s="139">
        <f>MAX(0,M67-M66)</f>
        <v/>
      </c>
      <c r="O67" s="138">
        <f>IF(B67&lt;='VALOR POR PL'!$P$5,'CP RESUMO'!BN63,"")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RESUMO'!BO21</f>
        <v/>
      </c>
      <c r="N68" s="139">
        <f>MAX(0,M68-M67)</f>
        <v/>
      </c>
      <c r="O68" s="138">
        <f>IF(B68&lt;='VALOR POR PL'!$P$5,'CP RESUMO'!BO63,"")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RESUMO'!BP21</f>
        <v/>
      </c>
      <c r="N69" s="139">
        <f>MAX(0,M69-M68)</f>
        <v/>
      </c>
      <c r="O69" s="138">
        <f>IF(B69&lt;='VALOR POR PL'!$P$5,'CP RESUMO'!BP63,"")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RESUMO'!BQ21</f>
        <v/>
      </c>
      <c r="N70" s="139">
        <f>MAX(0,M70-M69)</f>
        <v/>
      </c>
      <c r="O70" s="138">
        <f>IF(B70&lt;='VALOR POR PL'!$P$5,'CP RESUMO'!BQ63,"")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RESUMO'!BR21</f>
        <v/>
      </c>
      <c r="N71" s="139">
        <f>MAX(0,M71-M70)</f>
        <v/>
      </c>
      <c r="O71" s="138">
        <f>IF(B71&lt;='VALOR POR PL'!$P$5,'CP RESUMO'!BR63,"")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RESUMO'!BS21</f>
        <v/>
      </c>
      <c r="N72" s="139">
        <f>MAX(0,M72-M71)</f>
        <v/>
      </c>
      <c r="O72" s="138">
        <f>IF(B72&lt;='VALOR POR PL'!$P$5,'CP RESUMO'!BS63,"")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RESUMO'!BT21</f>
        <v/>
      </c>
      <c r="N73" s="139">
        <f>MAX(0,M73-M72)</f>
        <v/>
      </c>
      <c r="O73" s="138">
        <f>IF(B73&lt;='VALOR POR PL'!$P$5,'CP RESUMO'!BT63,"")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RESUMO'!BU21</f>
        <v/>
      </c>
      <c r="N74" s="139">
        <f>MAX(0,M74-M73)</f>
        <v/>
      </c>
      <c r="O74" s="138">
        <f>IF(B74&lt;='VALOR POR PL'!$P$5,'CP RESUMO'!BU63,"")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RESUMO'!BV21</f>
        <v/>
      </c>
      <c r="N75" s="139">
        <f>MAX(0,M75-M74)</f>
        <v/>
      </c>
      <c r="O75" s="138">
        <f>IF(B75&lt;='VALOR POR PL'!$P$5,'CP RESUMO'!BV63,"")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RESUMO'!BW21</f>
        <v/>
      </c>
      <c r="N76" s="139">
        <f>MAX(0,M76-M75)</f>
        <v/>
      </c>
      <c r="O76" s="138">
        <f>IF(B76&lt;='VALOR POR PL'!$P$5,'CP RESUMO'!BW63,"")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PL'!F28</f>
        <v/>
      </c>
      <c r="K5" s="60">
        <f>'VALOR POR PL'!G28</f>
        <v/>
      </c>
      <c r="L5" s="60">
        <f>'DADOS HISTORICOS'!$BZ$22</f>
        <v/>
      </c>
      <c r="M5" s="138">
        <f>'CP RESUMO'!D22</f>
        <v/>
      </c>
      <c r="N5" s="139" t="n">
        <v>0</v>
      </c>
      <c r="O5" s="138">
        <f>IF(B5&lt;='VALOR POR PL'!$P$5,'CP RESUMO'!D64,"")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PL'!H28</f>
        <v/>
      </c>
      <c r="L6" s="49">
        <f>C6/IF(B6&lt;='VALOR POR PL'!$P$5,IFERROR(INDEX('"INCC-FGV"'!$B$2:$B$800,MATCH(B6,'"INCC-FGV"'!$A$2:$A$800,0)),$K$2),$K$2)</f>
        <v/>
      </c>
      <c r="M6" s="138">
        <f>'CP RESUMO'!E22</f>
        <v/>
      </c>
      <c r="N6" s="139">
        <f>MAX(0,M6-M5)</f>
        <v/>
      </c>
      <c r="O6" s="138">
        <f>IF(B6&lt;='VALOR POR PL'!$P$5,'CP RESUMO'!E64,"")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RESUMO'!F22</f>
        <v/>
      </c>
      <c r="N7" s="139">
        <f>MAX(0,M7-M6)</f>
        <v/>
      </c>
      <c r="O7" s="138">
        <f>IF(B7&lt;='VALOR POR PL'!$P$5,'CP RESUMO'!F64,"")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RESUMO'!G22</f>
        <v/>
      </c>
      <c r="N8" s="139">
        <f>MAX(0,M8-M7)</f>
        <v/>
      </c>
      <c r="O8" s="138">
        <f>IF(B8&lt;='VALOR POR PL'!$P$5,'CP RESUMO'!G64,"")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RESUMO'!H22</f>
        <v/>
      </c>
      <c r="N9" s="139">
        <f>MAX(0,M9-M8)</f>
        <v/>
      </c>
      <c r="O9" s="138">
        <f>IF(B9&lt;='VALOR POR PL'!$P$5,'CP RESUMO'!H64,"")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RESUMO'!I22</f>
        <v/>
      </c>
      <c r="N10" s="139">
        <f>MAX(0,M10-M9)</f>
        <v/>
      </c>
      <c r="O10" s="138">
        <f>IF(B10&lt;='VALOR POR PL'!$P$5,'CP RESUMO'!I64,"")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RESUMO'!J22</f>
        <v/>
      </c>
      <c r="N11" s="139">
        <f>MAX(0,M11-M10)</f>
        <v/>
      </c>
      <c r="O11" s="138">
        <f>IF(B11&lt;='VALOR POR PL'!$P$5,'CP RESUMO'!J64,"")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RESUMO'!K22</f>
        <v/>
      </c>
      <c r="N12" s="139">
        <f>MAX(0,M12-M11)</f>
        <v/>
      </c>
      <c r="O12" s="138">
        <f>IF(B12&lt;='VALOR POR PL'!$P$5,'CP RESUMO'!K64,"")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PL'!I28</f>
        <v/>
      </c>
      <c r="L13" s="49">
        <f>C13/IF(B13&lt;='VALOR POR PL'!$P$5,IFERROR(INDEX('"INCC-FGV"'!$B$2:$B$800,MATCH(B13,'"INCC-FGV"'!$A$2:$A$800,0)),$K$2),$K$2)</f>
        <v/>
      </c>
      <c r="M13" s="138">
        <f>'CP RESUMO'!L22</f>
        <v/>
      </c>
      <c r="N13" s="139">
        <f>MAX(0,M13-M12)</f>
        <v/>
      </c>
      <c r="O13" s="138">
        <f>IF(B13&lt;='VALOR POR PL'!$P$5,'CP RESUMO'!L64,"")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RESUMO'!$D$64:$BW$64,MATCH('VALOR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RESUMO'!M22</f>
        <v/>
      </c>
      <c r="N14" s="139">
        <f>MAX(0,M14-M13)</f>
        <v/>
      </c>
      <c r="O14" s="138">
        <f>IF(B14&lt;='VALOR POR PL'!$P$5,'CP RESUMO'!M64,"")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RESUMO'!N22</f>
        <v/>
      </c>
      <c r="N15" s="139">
        <f>MAX(0,M15-M14)</f>
        <v/>
      </c>
      <c r="O15" s="138">
        <f>IF(B15&lt;='VALOR POR PL'!$P$5,'CP RESUMO'!N64,"")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RESUMO'!O22</f>
        <v/>
      </c>
      <c r="N16" s="139">
        <f>MAX(0,M16-M15)</f>
        <v/>
      </c>
      <c r="O16" s="138">
        <f>IF(B16&lt;='VALOR POR PL'!$P$5,'CP RESUMO'!O64,"")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RESUMO'!P22</f>
        <v/>
      </c>
      <c r="N17" s="139">
        <f>MAX(0,M17-M16)</f>
        <v/>
      </c>
      <c r="O17" s="138">
        <f>IF(B17&lt;='VALOR POR PL'!$P$5,'CP RESUMO'!P64,"")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RESUMO'!Q22</f>
        <v/>
      </c>
      <c r="N18" s="139">
        <f>MAX(0,M18-M17)</f>
        <v/>
      </c>
      <c r="O18" s="138">
        <f>IF(B18&lt;='VALOR POR PL'!$P$5,'CP RESUMO'!Q64,"")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RESUMO'!R22</f>
        <v/>
      </c>
      <c r="N19" s="139">
        <f>MAX(0,M19-M18)</f>
        <v/>
      </c>
      <c r="O19" s="138">
        <f>IF(B19&lt;='VALOR POR PL'!$P$5,'CP RESUMO'!R64,"")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RESUMO'!S22</f>
        <v/>
      </c>
      <c r="N20" s="139">
        <f>MAX(0,M20-M19)</f>
        <v/>
      </c>
      <c r="O20" s="138">
        <f>IF(B20&lt;='VALOR POR PL'!$P$5,'CP RESUMO'!S64,"")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RESUMO'!T22</f>
        <v/>
      </c>
      <c r="N21" s="139">
        <f>MAX(0,M21-M20)</f>
        <v/>
      </c>
      <c r="O21" s="138">
        <f>IF(B21&lt;='VALOR POR PL'!$P$5,'CP RESUMO'!T64,"")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RESUMO'!U22</f>
        <v/>
      </c>
      <c r="N22" s="139">
        <f>MAX(0,M22-M21)</f>
        <v/>
      </c>
      <c r="O22" s="138">
        <f>IF(B22&lt;='VALOR POR PL'!$P$5,'CP RESUMO'!U64,"")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RESUMO'!V22</f>
        <v/>
      </c>
      <c r="N23" s="139">
        <f>MAX(0,M23-M22)</f>
        <v/>
      </c>
      <c r="O23" s="138">
        <f>IF(B23&lt;='VALOR POR PL'!$P$5,'CP RESUMO'!V64,"")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RESUMO'!W22</f>
        <v/>
      </c>
      <c r="N24" s="139">
        <f>MAX(0,M24-M23)</f>
        <v/>
      </c>
      <c r="O24" s="138">
        <f>IF(B24&lt;='VALOR POR PL'!$P$5,'CP RESUMO'!W64,"")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RESUMO'!X22</f>
        <v/>
      </c>
      <c r="N25" s="139">
        <f>MAX(0,M25-M24)</f>
        <v/>
      </c>
      <c r="O25" s="138">
        <f>IF(B25&lt;='VALOR POR PL'!$P$5,'CP RESUMO'!X64,"")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121053.01</v>
      </c>
      <c r="L26" s="49">
        <f>C26/IF(B26&lt;='VALOR POR PL'!$P$5,IFERROR(INDEX('"INCC-FGV"'!$B$2:$B$800,MATCH(B26,'"INCC-FGV"'!$A$2:$A$800,0)),$K$2),$K$2)</f>
        <v/>
      </c>
      <c r="M26" s="138">
        <f>'CP RESUMO'!Y22</f>
        <v/>
      </c>
      <c r="N26" s="139">
        <f>MAX(0,M26-M25)</f>
        <v/>
      </c>
      <c r="O26" s="138">
        <f>IF(B26&lt;='VALOR POR PL'!$P$5,'CP RESUMO'!Y64,"")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43464.14</v>
      </c>
      <c r="L27" s="49">
        <f>C27/IF(B27&lt;='VALOR POR PL'!$P$5,IFERROR(INDEX('"INCC-FGV"'!$B$2:$B$800,MATCH(B27,'"INCC-FGV"'!$A$2:$A$800,0)),$K$2),$K$2)</f>
        <v/>
      </c>
      <c r="M27" s="138">
        <f>'CP RESUMO'!Z22</f>
        <v/>
      </c>
      <c r="N27" s="139">
        <f>MAX(0,M27-M26)</f>
        <v/>
      </c>
      <c r="O27" s="138">
        <f>IF(B27&lt;='VALOR POR PL'!$P$5,'CP RESUMO'!Z64,"")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126800.33</v>
      </c>
      <c r="L28" s="49">
        <f>C28/IF(B28&lt;='VALOR POR PL'!$P$5,IFERROR(INDEX('"INCC-FGV"'!$B$2:$B$800,MATCH(B28,'"INCC-FGV"'!$A$2:$A$800,0)),$K$2),$K$2)</f>
        <v/>
      </c>
      <c r="M28" s="138">
        <f>'CP RESUMO'!AA22</f>
        <v/>
      </c>
      <c r="N28" s="139">
        <f>MAX(0,M28-M27)</f>
        <v/>
      </c>
      <c r="O28" s="138">
        <f>IF(B28&lt;='VALOR POR PL'!$P$5,'CP RESUMO'!AA64,"")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102733.42</v>
      </c>
      <c r="L29" s="49">
        <f>C29/IF(B29&lt;='VALOR POR PL'!$P$5,IFERROR(INDEX('"INCC-FGV"'!$B$2:$B$800,MATCH(B29,'"INCC-FGV"'!$A$2:$A$800,0)),$K$2),$K$2)</f>
        <v/>
      </c>
      <c r="M29" s="138">
        <f>'CP RESUMO'!AB22</f>
        <v/>
      </c>
      <c r="N29" s="139">
        <f>MAX(0,M29-M28)</f>
        <v/>
      </c>
      <c r="O29" s="138">
        <f>IF(B29&lt;='VALOR POR PL'!$P$5,'CP RESUMO'!AB64,"")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229174.54</v>
      </c>
      <c r="L30" s="49">
        <f>C30/IF(B30&lt;='VALOR POR PL'!$P$5,IFERROR(INDEX('"INCC-FGV"'!$B$2:$B$800,MATCH(B30,'"INCC-FGV"'!$A$2:$A$800,0)),$K$2),$K$2)</f>
        <v/>
      </c>
      <c r="M30" s="138">
        <f>'CP RESUMO'!AC22</f>
        <v/>
      </c>
      <c r="N30" s="139">
        <f>MAX(0,M30-M29)</f>
        <v/>
      </c>
      <c r="O30" s="138">
        <f>IF(B30&lt;='VALOR POR PL'!$P$5,'CP RESUMO'!AC64,"")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228096.92</v>
      </c>
      <c r="L31" s="49">
        <f>C31/IF(B31&lt;='VALOR POR PL'!$P$5,IFERROR(INDEX('"INCC-FGV"'!$B$2:$B$800,MATCH(B31,'"INCC-FGV"'!$A$2:$A$800,0)),$K$2),$K$2)</f>
        <v/>
      </c>
      <c r="M31" s="138">
        <f>'CP RESUMO'!AD22</f>
        <v/>
      </c>
      <c r="N31" s="139">
        <f>MAX(0,M31-M30)</f>
        <v/>
      </c>
      <c r="O31" s="138">
        <f>IF(B31&lt;='VALOR POR PL'!$P$5,'CP RESUMO'!AD64,"")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313229.16</v>
      </c>
      <c r="L32" s="49">
        <f>C32/IF(B32&lt;='VALOR POR PL'!$P$5,IFERROR(INDEX('"INCC-FGV"'!$B$2:$B$800,MATCH(B32,'"INCC-FGV"'!$A$2:$A$800,0)),$K$2),$K$2)</f>
        <v/>
      </c>
      <c r="M32" s="138">
        <f>'CP RESUMO'!AE22</f>
        <v/>
      </c>
      <c r="N32" s="139">
        <f>MAX(0,M32-M31)</f>
        <v/>
      </c>
      <c r="O32" s="138">
        <f>IF(B32&lt;='VALOR POR PL'!$P$5,'CP RESUMO'!AE64,"")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369983.98</v>
      </c>
      <c r="L33" s="49">
        <f>C33/IF(B33&lt;='VALOR POR PL'!$P$5,IFERROR(INDEX('"INCC-FGV"'!$B$2:$B$800,MATCH(B33,'"INCC-FGV"'!$A$2:$A$800,0)),$K$2),$K$2)</f>
        <v/>
      </c>
      <c r="M33" s="138">
        <f>'CP RESUMO'!AF22</f>
        <v/>
      </c>
      <c r="N33" s="139">
        <f>MAX(0,M33-M32)</f>
        <v/>
      </c>
      <c r="O33" s="138">
        <f>IF(B33&lt;='VALOR POR PL'!$P$5,'CP RESUMO'!AF64,"")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251804.63</v>
      </c>
      <c r="L34" s="49">
        <f>C34/IF(B34&lt;='VALOR POR PL'!$P$5,IFERROR(INDEX('"INCC-FGV"'!$B$2:$B$800,MATCH(B34,'"INCC-FGV"'!$A$2:$A$800,0)),$K$2),$K$2)</f>
        <v/>
      </c>
      <c r="M34" s="138">
        <f>'CP RESUMO'!AG22</f>
        <v/>
      </c>
      <c r="N34" s="139">
        <f>MAX(0,M34-M33)</f>
        <v/>
      </c>
      <c r="O34" s="138">
        <f>IF(B34&lt;='VALOR POR PL'!$P$5,'CP RESUMO'!AG64,"")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261144.03</v>
      </c>
      <c r="L35" s="49">
        <f>C35/IF(B35&lt;='VALOR POR PL'!$P$5,IFERROR(INDEX('"INCC-FGV"'!$B$2:$B$800,MATCH(B35,'"INCC-FGV"'!$A$2:$A$800,0)),$K$2),$K$2)</f>
        <v/>
      </c>
      <c r="M35" s="138">
        <f>'CP RESUMO'!AH22</f>
        <v/>
      </c>
      <c r="N35" s="139">
        <f>MAX(0,M35-M34)</f>
        <v/>
      </c>
      <c r="O35" s="138">
        <f>IF(B35&lt;='VALOR POR PL'!$P$5,'CP RESUMO'!AH64,"")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157332.99</v>
      </c>
      <c r="L36" s="49">
        <f>C36/IF(B36&lt;='VALOR POR PL'!$P$5,IFERROR(INDEX('"INCC-FGV"'!$B$2:$B$800,MATCH(B36,'"INCC-FGV"'!$A$2:$A$800,0)),$K$2),$K$2)</f>
        <v/>
      </c>
      <c r="M36" s="138">
        <f>'CP RESUMO'!AI22</f>
        <v/>
      </c>
      <c r="N36" s="139">
        <f>MAX(0,M36-M35)</f>
        <v/>
      </c>
      <c r="O36" s="138">
        <f>IF(B36&lt;='VALOR POR PL'!$P$5,'CP RESUMO'!AI64,"")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56395.62</v>
      </c>
      <c r="L37" s="49">
        <f>C37/IF(B37&lt;='VALOR POR PL'!$P$5,IFERROR(INDEX('"INCC-FGV"'!$B$2:$B$800,MATCH(B37,'"INCC-FGV"'!$A$2:$A$800,0)),$K$2),$K$2)</f>
        <v/>
      </c>
      <c r="M37" s="138">
        <f>'CP RESUMO'!AJ22</f>
        <v/>
      </c>
      <c r="N37" s="139">
        <f>MAX(0,M37-M36)</f>
        <v/>
      </c>
      <c r="O37" s="138">
        <f>IF(B37&lt;='VALOR POR PL'!$P$5,'CP RESUMO'!AJ64,"")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20834.05</v>
      </c>
      <c r="L38" s="49">
        <f>C38/IF(B38&lt;='VALOR POR PL'!$P$5,IFERROR(INDEX('"INCC-FGV"'!$B$2:$B$800,MATCH(B38,'"INCC-FGV"'!$A$2:$A$800,0)),$K$2),$K$2)</f>
        <v/>
      </c>
      <c r="M38" s="138">
        <f>'CP RESUMO'!AK22</f>
        <v/>
      </c>
      <c r="N38" s="139">
        <f>MAX(0,M38-M37)</f>
        <v/>
      </c>
      <c r="O38" s="138">
        <f>IF(B38&lt;='VALOR POR PL'!$P$5,'CP RESUMO'!AK64,"")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11494.65</v>
      </c>
      <c r="L39" s="49">
        <f>C39/IF(B39&lt;='VALOR POR PL'!$P$5,IFERROR(INDEX('"INCC-FGV"'!$B$2:$B$800,MATCH(B39,'"INCC-FGV"'!$A$2:$A$800,0)),$K$2),$K$2)</f>
        <v/>
      </c>
      <c r="M39" s="138">
        <f>'CP RESUMO'!AL22</f>
        <v/>
      </c>
      <c r="N39" s="139">
        <f>MAX(0,M39-M38)</f>
        <v/>
      </c>
      <c r="O39" s="138">
        <f>IF(B39&lt;='VALOR POR PL'!$P$5,'CP RESUMO'!AL64,"")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8261.780000000001</v>
      </c>
      <c r="L40" s="49">
        <f>C40/IF(B40&lt;='VALOR POR PL'!$P$5,IFERROR(INDEX('"INCC-FGV"'!$B$2:$B$800,MATCH(B40,'"INCC-FGV"'!$A$2:$A$800,0)),$K$2),$K$2)</f>
        <v/>
      </c>
      <c r="M40" s="138">
        <f>'CP RESUMO'!AM22</f>
        <v/>
      </c>
      <c r="N40" s="139">
        <f>MAX(0,M40-M39)</f>
        <v/>
      </c>
      <c r="O40" s="138">
        <f>IF(B40&lt;='VALOR POR PL'!$P$5,'CP RESUMO'!AM64,"")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RESUMO'!AN22</f>
        <v/>
      </c>
      <c r="N41" s="139">
        <f>MAX(0,M41-M40)</f>
        <v/>
      </c>
      <c r="O41" s="138">
        <f>IF(B41&lt;='VALOR POR PL'!$P$5,'CP RESUMO'!AN64,"")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RESUMO'!AO22</f>
        <v/>
      </c>
      <c r="N42" s="139">
        <f>MAX(0,M42-M41)</f>
        <v/>
      </c>
      <c r="O42" s="138">
        <f>IF(B42&lt;='VALOR POR PL'!$P$5,'CP RESUMO'!AO64,"")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10000</v>
      </c>
      <c r="L43" s="49">
        <f>C43/IF(B43&lt;='VALOR POR PL'!$P$5,IFERROR(INDEX('"INCC-FGV"'!$B$2:$B$800,MATCH(B43,'"INCC-FGV"'!$A$2:$A$800,0)),$K$2),$K$2)</f>
        <v/>
      </c>
      <c r="M43" s="138">
        <f>'CP RESUMO'!AP22</f>
        <v/>
      </c>
      <c r="N43" s="139">
        <f>MAX(0,M43-M42)</f>
        <v/>
      </c>
      <c r="O43" s="138">
        <f>IF(B43&lt;='VALOR POR PL'!$P$5,'CP RESUMO'!AP64,"")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RESUMO'!AQ22</f>
        <v/>
      </c>
      <c r="N44" s="139">
        <f>MAX(0,M44-M43)</f>
        <v/>
      </c>
      <c r="O44" s="138">
        <f>IF(B44&lt;='VALOR POR PL'!$P$5,'CP RESUMO'!AQ64,"")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RESUMO'!AR22</f>
        <v/>
      </c>
      <c r="N45" s="139">
        <f>MAX(0,M45-M44)</f>
        <v/>
      </c>
      <c r="O45" s="138">
        <f>IF(B45&lt;='VALOR POR PL'!$P$5,'CP RESUMO'!AR64,"")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RESUMO'!AS22</f>
        <v/>
      </c>
      <c r="N46" s="139">
        <f>MAX(0,M46-M45)</f>
        <v/>
      </c>
      <c r="O46" s="138">
        <f>IF(B46&lt;='VALOR POR PL'!$P$5,'CP RESUMO'!AS64,"")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27108.27</v>
      </c>
      <c r="L47" s="49">
        <f>C47/IF(B47&lt;='VALOR POR PL'!$P$5,IFERROR(INDEX('"INCC-FGV"'!$B$2:$B$800,MATCH(B47,'"INCC-FGV"'!$A$2:$A$800,0)),$K$2),$K$2)</f>
        <v/>
      </c>
      <c r="M47" s="138">
        <f>'CP RESUMO'!AT22</f>
        <v/>
      </c>
      <c r="N47" s="139">
        <f>MAX(0,M47-M46)</f>
        <v/>
      </c>
      <c r="O47" s="138">
        <f>IF(B47&lt;='VALOR POR PL'!$P$5,'CP RESUMO'!AT64,"")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RESUMO'!AU22</f>
        <v/>
      </c>
      <c r="N48" s="139">
        <f>MAX(0,M48-M47)</f>
        <v/>
      </c>
      <c r="O48" s="138">
        <f>IF(B48&lt;='VALOR POR PL'!$P$5,'CP RESUMO'!AU64,"")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RESUMO'!AV22</f>
        <v/>
      </c>
      <c r="N49" s="139">
        <f>MAX(0,M49-M48)</f>
        <v/>
      </c>
      <c r="O49" s="138">
        <f>IF(B49&lt;='VALOR POR PL'!$P$5,'CP RESUMO'!AV64,"")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RESUMO'!AW22</f>
        <v/>
      </c>
      <c r="N50" s="139">
        <f>MAX(0,M50-M49)</f>
        <v/>
      </c>
      <c r="O50" s="138">
        <f>IF(B50&lt;='VALOR POR PL'!$P$5,'CP RESUMO'!AW64,"")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RESUMO'!AX22</f>
        <v/>
      </c>
      <c r="N51" s="139">
        <f>MAX(0,M51-M50)</f>
        <v/>
      </c>
      <c r="O51" s="138">
        <f>IF(B51&lt;='VALOR POR PL'!$P$5,'CP RESUMO'!AX64,"")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RESUMO'!AY22</f>
        <v/>
      </c>
      <c r="N52" s="139">
        <f>MAX(0,M52-M51)</f>
        <v/>
      </c>
      <c r="O52" s="138">
        <f>IF(B52&lt;='VALOR POR PL'!$P$5,'CP RESUMO'!AY64,"")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RESUMO'!AZ22</f>
        <v/>
      </c>
      <c r="N53" s="139">
        <f>MAX(0,M53-M52)</f>
        <v/>
      </c>
      <c r="O53" s="138">
        <f>IF(B53&lt;='VALOR POR PL'!$P$5,'CP RESUMO'!AZ64,"")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RESUMO'!BA22</f>
        <v/>
      </c>
      <c r="N54" s="139">
        <f>MAX(0,M54-M53)</f>
        <v/>
      </c>
      <c r="O54" s="138">
        <f>IF(B54&lt;='VALOR POR PL'!$P$5,'CP RESUMO'!BA64,"")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RESUMO'!BB22</f>
        <v/>
      </c>
      <c r="N55" s="139">
        <f>MAX(0,M55-M54)</f>
        <v/>
      </c>
      <c r="O55" s="138">
        <f>IF(B55&lt;='VALOR POR PL'!$P$5,'CP RESUMO'!BB64,"")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RESUMO'!BC22</f>
        <v/>
      </c>
      <c r="N56" s="139">
        <f>MAX(0,M56-M55)</f>
        <v/>
      </c>
      <c r="O56" s="138">
        <f>IF(B56&lt;='VALOR POR PL'!$P$5,'CP RESUMO'!BC64,"")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RESUMO'!BD22</f>
        <v/>
      </c>
      <c r="N57" s="139">
        <f>MAX(0,M57-M56)</f>
        <v/>
      </c>
      <c r="O57" s="138">
        <f>IF(B57&lt;='VALOR POR PL'!$P$5,'CP RESUMO'!BD64,"")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RESUMO'!BE22</f>
        <v/>
      </c>
      <c r="N58" s="139">
        <f>MAX(0,M58-M57)</f>
        <v/>
      </c>
      <c r="O58" s="138">
        <f>IF(B58&lt;='VALOR POR PL'!$P$5,'CP RESUMO'!BE64,"")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RESUMO'!BF22</f>
        <v/>
      </c>
      <c r="N59" s="139">
        <f>MAX(0,M59-M58)</f>
        <v/>
      </c>
      <c r="O59" s="138">
        <f>IF(B59&lt;='VALOR POR PL'!$P$5,'CP RESUMO'!BF64,"")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RESUMO'!BG22</f>
        <v/>
      </c>
      <c r="N60" s="139">
        <f>MAX(0,M60-M59)</f>
        <v/>
      </c>
      <c r="O60" s="138">
        <f>IF(B60&lt;='VALOR POR PL'!$P$5,'CP RESUMO'!BG64,"")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RESUMO'!BH22</f>
        <v/>
      </c>
      <c r="N61" s="139">
        <f>MAX(0,M61-M60)</f>
        <v/>
      </c>
      <c r="O61" s="138">
        <f>IF(B61&lt;='VALOR POR PL'!$P$5,'CP RESUMO'!BH64,"")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RESUMO'!BI22</f>
        <v/>
      </c>
      <c r="N62" s="139">
        <f>MAX(0,M62-M61)</f>
        <v/>
      </c>
      <c r="O62" s="138">
        <f>IF(B62&lt;='VALOR POR PL'!$P$5,'CP RESUMO'!BI64,"")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RESUMO'!BJ22</f>
        <v/>
      </c>
      <c r="N63" s="139">
        <f>MAX(0,M63-M62)</f>
        <v/>
      </c>
      <c r="O63" s="138">
        <f>IF(B63&lt;='VALOR POR PL'!$P$5,'CP RESUMO'!BJ64,"")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RESUMO'!BK22</f>
        <v/>
      </c>
      <c r="N64" s="139">
        <f>MAX(0,M64-M63)</f>
        <v/>
      </c>
      <c r="O64" s="138">
        <f>IF(B64&lt;='VALOR POR PL'!$P$5,'CP RESUMO'!BK64,"")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RESUMO'!BL22</f>
        <v/>
      </c>
      <c r="N65" s="139">
        <f>MAX(0,M65-M64)</f>
        <v/>
      </c>
      <c r="O65" s="138">
        <f>IF(B65&lt;='VALOR POR PL'!$P$5,'CP RESUMO'!BL64,"")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RESUMO'!BM22</f>
        <v/>
      </c>
      <c r="N66" s="139">
        <f>MAX(0,M66-M65)</f>
        <v/>
      </c>
      <c r="O66" s="138">
        <f>IF(B66&lt;='VALOR POR PL'!$P$5,'CP RESUMO'!BM64,"")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RESUMO'!BN22</f>
        <v/>
      </c>
      <c r="N67" s="139">
        <f>MAX(0,M67-M66)</f>
        <v/>
      </c>
      <c r="O67" s="138">
        <f>IF(B67&lt;='VALOR POR PL'!$P$5,'CP RESUMO'!BN64,"")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RESUMO'!BO22</f>
        <v/>
      </c>
      <c r="N68" s="139">
        <f>MAX(0,M68-M67)</f>
        <v/>
      </c>
      <c r="O68" s="138">
        <f>IF(B68&lt;='VALOR POR PL'!$P$5,'CP RESUMO'!BO64,"")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RESUMO'!BP22</f>
        <v/>
      </c>
      <c r="N69" s="139">
        <f>MAX(0,M69-M68)</f>
        <v/>
      </c>
      <c r="O69" s="138">
        <f>IF(B69&lt;='VALOR POR PL'!$P$5,'CP RESUMO'!BP64,"")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RESUMO'!BQ22</f>
        <v/>
      </c>
      <c r="N70" s="139">
        <f>MAX(0,M70-M69)</f>
        <v/>
      </c>
      <c r="O70" s="138">
        <f>IF(B70&lt;='VALOR POR PL'!$P$5,'CP RESUMO'!BQ64,"")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RESUMO'!BR22</f>
        <v/>
      </c>
      <c r="N71" s="139">
        <f>MAX(0,M71-M70)</f>
        <v/>
      </c>
      <c r="O71" s="138">
        <f>IF(B71&lt;='VALOR POR PL'!$P$5,'CP RESUMO'!BR64,"")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RESUMO'!BS22</f>
        <v/>
      </c>
      <c r="N72" s="139">
        <f>MAX(0,M72-M71)</f>
        <v/>
      </c>
      <c r="O72" s="138">
        <f>IF(B72&lt;='VALOR POR PL'!$P$5,'CP RESUMO'!BS64,"")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RESUMO'!BT22</f>
        <v/>
      </c>
      <c r="N73" s="139">
        <f>MAX(0,M73-M72)</f>
        <v/>
      </c>
      <c r="O73" s="138">
        <f>IF(B73&lt;='VALOR POR PL'!$P$5,'CP RESUMO'!BT64,"")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RESUMO'!BU22</f>
        <v/>
      </c>
      <c r="N74" s="139">
        <f>MAX(0,M74-M73)</f>
        <v/>
      </c>
      <c r="O74" s="138">
        <f>IF(B74&lt;='VALOR POR PL'!$P$5,'CP RESUMO'!BU64,"")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RESUMO'!BV22</f>
        <v/>
      </c>
      <c r="N75" s="139">
        <f>MAX(0,M75-M74)</f>
        <v/>
      </c>
      <c r="O75" s="138">
        <f>IF(B75&lt;='VALOR POR PL'!$P$5,'CP RESUMO'!BV64,"")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RESUMO'!BW22</f>
        <v/>
      </c>
      <c r="N76" s="139">
        <f>MAX(0,M76-M75)</f>
        <v/>
      </c>
      <c r="O76" s="138">
        <f>IF(B76&lt;='VALOR POR PL'!$P$5,'CP RESUMO'!BW64,"")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PL'!F29</f>
        <v/>
      </c>
      <c r="K5" s="60">
        <f>'VALOR POR PL'!G29</f>
        <v/>
      </c>
      <c r="L5" s="60">
        <f>'DADOS HISTORICOS'!$BZ$23</f>
        <v/>
      </c>
      <c r="M5" s="138">
        <f>'CP RESUMO'!D23</f>
        <v/>
      </c>
      <c r="N5" s="139" t="n">
        <v>0</v>
      </c>
      <c r="O5" s="138">
        <f>IF(B5&lt;='VALOR POR PL'!$P$5,'CP RESUMO'!D65,"")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PL'!H29</f>
        <v/>
      </c>
      <c r="L6" s="49">
        <f>C6/IF(B6&lt;='VALOR POR PL'!$P$5,IFERROR(INDEX('"INCC-FGV"'!$B$2:$B$800,MATCH(B6,'"INCC-FGV"'!$A$2:$A$800,0)),$K$2),$K$2)</f>
        <v/>
      </c>
      <c r="M6" s="138">
        <f>'CP RESUMO'!E23</f>
        <v/>
      </c>
      <c r="N6" s="139">
        <f>MAX(0,M6-M5)</f>
        <v/>
      </c>
      <c r="O6" s="138">
        <f>IF(B6&lt;='VALOR POR PL'!$P$5,'CP RESUMO'!E65,"")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RESUMO'!F23</f>
        <v/>
      </c>
      <c r="N7" s="139">
        <f>MAX(0,M7-M6)</f>
        <v/>
      </c>
      <c r="O7" s="138">
        <f>IF(B7&lt;='VALOR POR PL'!$P$5,'CP RESUMO'!F65,"")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RESUMO'!G23</f>
        <v/>
      </c>
      <c r="N8" s="139">
        <f>MAX(0,M8-M7)</f>
        <v/>
      </c>
      <c r="O8" s="138">
        <f>IF(B8&lt;='VALOR POR PL'!$P$5,'CP RESUMO'!G65,"")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RESUMO'!H23</f>
        <v/>
      </c>
      <c r="N9" s="139">
        <f>MAX(0,M9-M8)</f>
        <v/>
      </c>
      <c r="O9" s="138">
        <f>IF(B9&lt;='VALOR POR PL'!$P$5,'CP RESUMO'!H65,"")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RESUMO'!I23</f>
        <v/>
      </c>
      <c r="N10" s="139">
        <f>MAX(0,M10-M9)</f>
        <v/>
      </c>
      <c r="O10" s="138">
        <f>IF(B10&lt;='VALOR POR PL'!$P$5,'CP RESUMO'!I65,"")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RESUMO'!J23</f>
        <v/>
      </c>
      <c r="N11" s="139">
        <f>MAX(0,M11-M10)</f>
        <v/>
      </c>
      <c r="O11" s="138">
        <f>IF(B11&lt;='VALOR POR PL'!$P$5,'CP RESUMO'!J65,"")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RESUMO'!K23</f>
        <v/>
      </c>
      <c r="N12" s="139">
        <f>MAX(0,M12-M11)</f>
        <v/>
      </c>
      <c r="O12" s="138">
        <f>IF(B12&lt;='VALOR POR PL'!$P$5,'CP RESUMO'!K65,"")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PL'!I29</f>
        <v/>
      </c>
      <c r="L13" s="49">
        <f>C13/IF(B13&lt;='VALOR POR PL'!$P$5,IFERROR(INDEX('"INCC-FGV"'!$B$2:$B$800,MATCH(B13,'"INCC-FGV"'!$A$2:$A$800,0)),$K$2),$K$2)</f>
        <v/>
      </c>
      <c r="M13" s="138">
        <f>'CP RESUMO'!L23</f>
        <v/>
      </c>
      <c r="N13" s="139">
        <f>MAX(0,M13-M12)</f>
        <v/>
      </c>
      <c r="O13" s="138">
        <f>IF(B13&lt;='VALOR POR PL'!$P$5,'CP RESUMO'!L65,"")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RESUMO'!$D$65:$BW$65,MATCH('VALOR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RESUMO'!M23</f>
        <v/>
      </c>
      <c r="N14" s="139">
        <f>MAX(0,M14-M13)</f>
        <v/>
      </c>
      <c r="O14" s="138">
        <f>IF(B14&lt;='VALOR POR PL'!$P$5,'CP RESUMO'!M65,"")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RESUMO'!N23</f>
        <v/>
      </c>
      <c r="N15" s="139">
        <f>MAX(0,M15-M14)</f>
        <v/>
      </c>
      <c r="O15" s="138">
        <f>IF(B15&lt;='VALOR POR PL'!$P$5,'CP RESUMO'!N65,"")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RESUMO'!O23</f>
        <v/>
      </c>
      <c r="N16" s="139">
        <f>MAX(0,M16-M15)</f>
        <v/>
      </c>
      <c r="O16" s="138">
        <f>IF(B16&lt;='VALOR POR PL'!$P$5,'CP RESUMO'!O65,"")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RESUMO'!P23</f>
        <v/>
      </c>
      <c r="N17" s="139">
        <f>MAX(0,M17-M16)</f>
        <v/>
      </c>
      <c r="O17" s="138">
        <f>IF(B17&lt;='VALOR POR PL'!$P$5,'CP RESUMO'!P65,"")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RESUMO'!Q23</f>
        <v/>
      </c>
      <c r="N18" s="139">
        <f>MAX(0,M18-M17)</f>
        <v/>
      </c>
      <c r="O18" s="138">
        <f>IF(B18&lt;='VALOR POR PL'!$P$5,'CP RESUMO'!Q65,"")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RESUMO'!R23</f>
        <v/>
      </c>
      <c r="N19" s="139">
        <f>MAX(0,M19-M18)</f>
        <v/>
      </c>
      <c r="O19" s="138">
        <f>IF(B19&lt;='VALOR POR PL'!$P$5,'CP RESUMO'!R65,"")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RESUMO'!S23</f>
        <v/>
      </c>
      <c r="N20" s="139">
        <f>MAX(0,M20-M19)</f>
        <v/>
      </c>
      <c r="O20" s="138">
        <f>IF(B20&lt;='VALOR POR PL'!$P$5,'CP RESUMO'!S65,"")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RESUMO'!T23</f>
        <v/>
      </c>
      <c r="N21" s="139">
        <f>MAX(0,M21-M20)</f>
        <v/>
      </c>
      <c r="O21" s="138">
        <f>IF(B21&lt;='VALOR POR PL'!$P$5,'CP RESUMO'!T65,"")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RESUMO'!U23</f>
        <v/>
      </c>
      <c r="N22" s="139">
        <f>MAX(0,M22-M21)</f>
        <v/>
      </c>
      <c r="O22" s="138">
        <f>IF(B22&lt;='VALOR POR PL'!$P$5,'CP RESUMO'!U65,"")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RESUMO'!V23</f>
        <v/>
      </c>
      <c r="N23" s="139">
        <f>MAX(0,M23-M22)</f>
        <v/>
      </c>
      <c r="O23" s="138">
        <f>IF(B23&lt;='VALOR POR PL'!$P$5,'CP RESUMO'!V65,"")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RESUMO'!W23</f>
        <v/>
      </c>
      <c r="N24" s="139">
        <f>MAX(0,M24-M23)</f>
        <v/>
      </c>
      <c r="O24" s="138">
        <f>IF(B24&lt;='VALOR POR PL'!$P$5,'CP RESUMO'!W65,"")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RESUMO'!X23</f>
        <v/>
      </c>
      <c r="N25" s="139">
        <f>MAX(0,M25-M24)</f>
        <v/>
      </c>
      <c r="O25" s="138">
        <f>IF(B25&lt;='VALOR POR PL'!$P$5,'CP RESUMO'!X65,"")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47730</v>
      </c>
      <c r="L26" s="49">
        <f>C26/IF(B26&lt;='VALOR POR PL'!$P$5,IFERROR(INDEX('"INCC-FGV"'!$B$2:$B$800,MATCH(B26,'"INCC-FGV"'!$A$2:$A$800,0)),$K$2),$K$2)</f>
        <v/>
      </c>
      <c r="M26" s="138">
        <f>'CP RESUMO'!Y23</f>
        <v/>
      </c>
      <c r="N26" s="139">
        <f>MAX(0,M26-M25)</f>
        <v/>
      </c>
      <c r="O26" s="138">
        <f>IF(B26&lt;='VALOR POR PL'!$P$5,'CP RESUMO'!Y65,"")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126000</v>
      </c>
      <c r="L27" s="49">
        <f>C27/IF(B27&lt;='VALOR POR PL'!$P$5,IFERROR(INDEX('"INCC-FGV"'!$B$2:$B$800,MATCH(B27,'"INCC-FGV"'!$A$2:$A$800,0)),$K$2),$K$2)</f>
        <v/>
      </c>
      <c r="M27" s="138">
        <f>'CP RESUMO'!Z23</f>
        <v/>
      </c>
      <c r="N27" s="139">
        <f>MAX(0,M27-M26)</f>
        <v/>
      </c>
      <c r="O27" s="138">
        <f>IF(B27&lt;='VALOR POR PL'!$P$5,'CP RESUMO'!Z65,"")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194009.08</v>
      </c>
      <c r="L28" s="49">
        <f>C28/IF(B28&lt;='VALOR POR PL'!$P$5,IFERROR(INDEX('"INCC-FGV"'!$B$2:$B$800,MATCH(B28,'"INCC-FGV"'!$A$2:$A$800,0)),$K$2),$K$2)</f>
        <v/>
      </c>
      <c r="M28" s="138">
        <f>'CP RESUMO'!AA23</f>
        <v/>
      </c>
      <c r="N28" s="139">
        <f>MAX(0,M28-M27)</f>
        <v/>
      </c>
      <c r="O28" s="138">
        <f>IF(B28&lt;='VALOR POR PL'!$P$5,'CP RESUMO'!AA65,"")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170582.96</v>
      </c>
      <c r="L29" s="49">
        <f>C29/IF(B29&lt;='VALOR POR PL'!$P$5,IFERROR(INDEX('"INCC-FGV"'!$B$2:$B$800,MATCH(B29,'"INCC-FGV"'!$A$2:$A$800,0)),$K$2),$K$2)</f>
        <v/>
      </c>
      <c r="M29" s="138">
        <f>'CP RESUMO'!AB23</f>
        <v/>
      </c>
      <c r="N29" s="139">
        <f>MAX(0,M29-M28)</f>
        <v/>
      </c>
      <c r="O29" s="138">
        <f>IF(B29&lt;='VALOR POR PL'!$P$5,'CP RESUMO'!AB65,"")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223719.45</v>
      </c>
      <c r="L30" s="49">
        <f>C30/IF(B30&lt;='VALOR POR PL'!$P$5,IFERROR(INDEX('"INCC-FGV"'!$B$2:$B$800,MATCH(B30,'"INCC-FGV"'!$A$2:$A$800,0)),$K$2),$K$2)</f>
        <v/>
      </c>
      <c r="M30" s="138">
        <f>'CP RESUMO'!AC23</f>
        <v/>
      </c>
      <c r="N30" s="139">
        <f>MAX(0,M30-M29)</f>
        <v/>
      </c>
      <c r="O30" s="138">
        <f>IF(B30&lt;='VALOR POR PL'!$P$5,'CP RESUMO'!AC65,"")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50366.16</v>
      </c>
      <c r="L31" s="49">
        <f>C31/IF(B31&lt;='VALOR POR PL'!$P$5,IFERROR(INDEX('"INCC-FGV"'!$B$2:$B$800,MATCH(B31,'"INCC-FGV"'!$A$2:$A$800,0)),$K$2),$K$2)</f>
        <v/>
      </c>
      <c r="M31" s="138">
        <f>'CP RESUMO'!AD23</f>
        <v/>
      </c>
      <c r="N31" s="139">
        <f>MAX(0,M31-M30)</f>
        <v/>
      </c>
      <c r="O31" s="138">
        <f>IF(B31&lt;='VALOR POR PL'!$P$5,'CP RESUMO'!AD65,"")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144656.29</v>
      </c>
      <c r="L32" s="49">
        <f>C32/IF(B32&lt;='VALOR POR PL'!$P$5,IFERROR(INDEX('"INCC-FGV"'!$B$2:$B$800,MATCH(B32,'"INCC-FGV"'!$A$2:$A$800,0)),$K$2),$K$2)</f>
        <v/>
      </c>
      <c r="M32" s="138">
        <f>'CP RESUMO'!AE23</f>
        <v/>
      </c>
      <c r="N32" s="139">
        <f>MAX(0,M32-M31)</f>
        <v/>
      </c>
      <c r="O32" s="138">
        <f>IF(B32&lt;='VALOR POR PL'!$P$5,'CP RESUMO'!AE65,"")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232797.07</v>
      </c>
      <c r="L33" s="49">
        <f>C33/IF(B33&lt;='VALOR POR PL'!$P$5,IFERROR(INDEX('"INCC-FGV"'!$B$2:$B$800,MATCH(B33,'"INCC-FGV"'!$A$2:$A$800,0)),$K$2),$K$2)</f>
        <v/>
      </c>
      <c r="M33" s="138">
        <f>'CP RESUMO'!AF23</f>
        <v/>
      </c>
      <c r="N33" s="139">
        <f>MAX(0,M33-M32)</f>
        <v/>
      </c>
      <c r="O33" s="138">
        <f>IF(B33&lt;='VALOR POR PL'!$P$5,'CP RESUMO'!AF65,"")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263836.68</v>
      </c>
      <c r="L34" s="49">
        <f>C34/IF(B34&lt;='VALOR POR PL'!$P$5,IFERROR(INDEX('"INCC-FGV"'!$B$2:$B$800,MATCH(B34,'"INCC-FGV"'!$A$2:$A$800,0)),$K$2),$K$2)</f>
        <v/>
      </c>
      <c r="M34" s="138">
        <f>'CP RESUMO'!AG23</f>
        <v/>
      </c>
      <c r="N34" s="139">
        <f>MAX(0,M34-M33)</f>
        <v/>
      </c>
      <c r="O34" s="138">
        <f>IF(B34&lt;='VALOR POR PL'!$P$5,'CP RESUMO'!AG65,"")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412592.54</v>
      </c>
      <c r="L35" s="49">
        <f>C35/IF(B35&lt;='VALOR POR PL'!$P$5,IFERROR(INDEX('"INCC-FGV"'!$B$2:$B$800,MATCH(B35,'"INCC-FGV"'!$A$2:$A$800,0)),$K$2),$K$2)</f>
        <v/>
      </c>
      <c r="M35" s="138">
        <f>'CP RESUMO'!AH23</f>
        <v/>
      </c>
      <c r="N35" s="139">
        <f>MAX(0,M35-M34)</f>
        <v/>
      </c>
      <c r="O35" s="138">
        <f>IF(B35&lt;='VALOR POR PL'!$P$5,'CP RESUMO'!AH65,"")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232797.07</v>
      </c>
      <c r="L36" s="49">
        <f>C36/IF(B36&lt;='VALOR POR PL'!$P$5,IFERROR(INDEX('"INCC-FGV"'!$B$2:$B$800,MATCH(B36,'"INCC-FGV"'!$A$2:$A$800,0)),$K$2),$K$2)</f>
        <v/>
      </c>
      <c r="M36" s="138">
        <f>'CP RESUMO'!AI23</f>
        <v/>
      </c>
      <c r="N36" s="139">
        <f>MAX(0,M36-M35)</f>
        <v/>
      </c>
      <c r="O36" s="138">
        <f>IF(B36&lt;='VALOR POR PL'!$P$5,'CP RESUMO'!AI65,"")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216398.78</v>
      </c>
      <c r="L37" s="49">
        <f>C37/IF(B37&lt;='VALOR POR PL'!$P$5,IFERROR(INDEX('"INCC-FGV"'!$B$2:$B$800,MATCH(B37,'"INCC-FGV"'!$A$2:$A$800,0)),$K$2),$K$2)</f>
        <v/>
      </c>
      <c r="M37" s="138">
        <f>'CP RESUMO'!AJ23</f>
        <v/>
      </c>
      <c r="N37" s="139">
        <f>MAX(0,M37-M36)</f>
        <v/>
      </c>
      <c r="O37" s="138">
        <f>IF(B37&lt;='VALOR POR PL'!$P$5,'CP RESUMO'!AJ65,"")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363397.69</v>
      </c>
      <c r="L38" s="49">
        <f>C38/IF(B38&lt;='VALOR POR PL'!$P$5,IFERROR(INDEX('"INCC-FGV"'!$B$2:$B$800,MATCH(B38,'"INCC-FGV"'!$A$2:$A$800,0)),$K$2),$K$2)</f>
        <v/>
      </c>
      <c r="M38" s="138">
        <f>'CP RESUMO'!AK23</f>
        <v/>
      </c>
      <c r="N38" s="139">
        <f>MAX(0,M38-M37)</f>
        <v/>
      </c>
      <c r="O38" s="138">
        <f>IF(B38&lt;='VALOR POR PL'!$P$5,'CP RESUMO'!AK65,"")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326794.37</v>
      </c>
      <c r="L39" s="49">
        <f>C39/IF(B39&lt;='VALOR POR PL'!$P$5,IFERROR(INDEX('"INCC-FGV"'!$B$2:$B$800,MATCH(B39,'"INCC-FGV"'!$A$2:$A$800,0)),$K$2),$K$2)</f>
        <v/>
      </c>
      <c r="M39" s="138">
        <f>'CP RESUMO'!AL23</f>
        <v/>
      </c>
      <c r="N39" s="139">
        <f>MAX(0,M39-M38)</f>
        <v/>
      </c>
      <c r="O39" s="138">
        <f>IF(B39&lt;='VALOR POR PL'!$P$5,'CP RESUMO'!AL65,"")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137042.8</v>
      </c>
      <c r="L40" s="49">
        <f>C40/IF(B40&lt;='VALOR POR PL'!$P$5,IFERROR(INDEX('"INCC-FGV"'!$B$2:$B$800,MATCH(B40,'"INCC-FGV"'!$A$2:$A$800,0)),$K$2),$K$2)</f>
        <v/>
      </c>
      <c r="M40" s="138">
        <f>'CP RESUMO'!AM23</f>
        <v/>
      </c>
      <c r="N40" s="139">
        <f>MAX(0,M40-M39)</f>
        <v/>
      </c>
      <c r="O40" s="138">
        <f>IF(B40&lt;='VALOR POR PL'!$P$5,'CP RESUMO'!AM65,"")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81698.59</v>
      </c>
      <c r="L41" s="49">
        <f>C41/IF(B41&lt;='VALOR POR PL'!$P$5,IFERROR(INDEX('"INCC-FGV"'!$B$2:$B$800,MATCH(B41,'"INCC-FGV"'!$A$2:$A$800,0)),$K$2),$K$2)</f>
        <v/>
      </c>
      <c r="M41" s="138">
        <f>'CP RESUMO'!AN23</f>
        <v/>
      </c>
      <c r="N41" s="139">
        <f>MAX(0,M41-M40)</f>
        <v/>
      </c>
      <c r="O41" s="138">
        <f>IF(B41&lt;='VALOR POR PL'!$P$5,'CP RESUMO'!AN65,"")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29575.48</v>
      </c>
      <c r="L42" s="49">
        <f>C42/IF(B42&lt;='VALOR POR PL'!$P$5,IFERROR(INDEX('"INCC-FGV"'!$B$2:$B$800,MATCH(B42,'"INCC-FGV"'!$A$2:$A$800,0)),$K$2),$K$2)</f>
        <v/>
      </c>
      <c r="M42" s="138">
        <f>'CP RESUMO'!AO23</f>
        <v/>
      </c>
      <c r="N42" s="139">
        <f>MAX(0,M42-M41)</f>
        <v/>
      </c>
      <c r="O42" s="138">
        <f>IF(B42&lt;='VALOR POR PL'!$P$5,'CP RESUMO'!AO65,"")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RESUMO'!AP23</f>
        <v/>
      </c>
      <c r="N43" s="139">
        <f>MAX(0,M43-M42)</f>
        <v/>
      </c>
      <c r="O43" s="138">
        <f>IF(B43&lt;='VALOR POR PL'!$P$5,'CP RESUMO'!AP65,"")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RESUMO'!AQ23</f>
        <v/>
      </c>
      <c r="N44" s="139">
        <f>MAX(0,M44-M43)</f>
        <v/>
      </c>
      <c r="O44" s="138">
        <f>IF(B44&lt;='VALOR POR PL'!$P$5,'CP RESUMO'!AQ65,"")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RESUMO'!AR23</f>
        <v/>
      </c>
      <c r="N45" s="139">
        <f>MAX(0,M45-M44)</f>
        <v/>
      </c>
      <c r="O45" s="138">
        <f>IF(B45&lt;='VALOR POR PL'!$P$5,'CP RESUMO'!AR65,"")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RESUMO'!AS23</f>
        <v/>
      </c>
      <c r="N46" s="139">
        <f>MAX(0,M46-M45)</f>
        <v/>
      </c>
      <c r="O46" s="138">
        <f>IF(B46&lt;='VALOR POR PL'!$P$5,'CP RESUMO'!AS65,"")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RESUMO'!AT23</f>
        <v/>
      </c>
      <c r="N47" s="139">
        <f>MAX(0,M47-M46)</f>
        <v/>
      </c>
      <c r="O47" s="138">
        <f>IF(B47&lt;='VALOR POR PL'!$P$5,'CP RESUMO'!AT65,"")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RESUMO'!AU23</f>
        <v/>
      </c>
      <c r="N48" s="139">
        <f>MAX(0,M48-M47)</f>
        <v/>
      </c>
      <c r="O48" s="138">
        <f>IF(B48&lt;='VALOR POR PL'!$P$5,'CP RESUMO'!AU65,"")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RESUMO'!AV23</f>
        <v/>
      </c>
      <c r="N49" s="139">
        <f>MAX(0,M49-M48)</f>
        <v/>
      </c>
      <c r="O49" s="138">
        <f>IF(B49&lt;='VALOR POR PL'!$P$5,'CP RESUMO'!AV65,"")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RESUMO'!AW23</f>
        <v/>
      </c>
      <c r="N50" s="139">
        <f>MAX(0,M50-M49)</f>
        <v/>
      </c>
      <c r="O50" s="138">
        <f>IF(B50&lt;='VALOR POR PL'!$P$5,'CP RESUMO'!AW65,"")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RESUMO'!AX23</f>
        <v/>
      </c>
      <c r="N51" s="139">
        <f>MAX(0,M51-M50)</f>
        <v/>
      </c>
      <c r="O51" s="138">
        <f>IF(B51&lt;='VALOR POR PL'!$P$5,'CP RESUMO'!AX65,"")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RESUMO'!AY23</f>
        <v/>
      </c>
      <c r="N52" s="139">
        <f>MAX(0,M52-M51)</f>
        <v/>
      </c>
      <c r="O52" s="138">
        <f>IF(B52&lt;='VALOR POR PL'!$P$5,'CP RESUMO'!AY65,"")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RESUMO'!AZ23</f>
        <v/>
      </c>
      <c r="N53" s="139">
        <f>MAX(0,M53-M52)</f>
        <v/>
      </c>
      <c r="O53" s="138">
        <f>IF(B53&lt;='VALOR POR PL'!$P$5,'CP RESUMO'!AZ65,"")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RESUMO'!BA23</f>
        <v/>
      </c>
      <c r="N54" s="139">
        <f>MAX(0,M54-M53)</f>
        <v/>
      </c>
      <c r="O54" s="138">
        <f>IF(B54&lt;='VALOR POR PL'!$P$5,'CP RESUMO'!BA65,"")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RESUMO'!BB23</f>
        <v/>
      </c>
      <c r="N55" s="139">
        <f>MAX(0,M55-M54)</f>
        <v/>
      </c>
      <c r="O55" s="138">
        <f>IF(B55&lt;='VALOR POR PL'!$P$5,'CP RESUMO'!BB65,"")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RESUMO'!BC23</f>
        <v/>
      </c>
      <c r="N56" s="139">
        <f>MAX(0,M56-M55)</f>
        <v/>
      </c>
      <c r="O56" s="138">
        <f>IF(B56&lt;='VALOR POR PL'!$P$5,'CP RESUMO'!BC65,"")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RESUMO'!BD23</f>
        <v/>
      </c>
      <c r="N57" s="139">
        <f>MAX(0,M57-M56)</f>
        <v/>
      </c>
      <c r="O57" s="138">
        <f>IF(B57&lt;='VALOR POR PL'!$P$5,'CP RESUMO'!BD65,"")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RESUMO'!BE23</f>
        <v/>
      </c>
      <c r="N58" s="139">
        <f>MAX(0,M58-M57)</f>
        <v/>
      </c>
      <c r="O58" s="138">
        <f>IF(B58&lt;='VALOR POR PL'!$P$5,'CP RESUMO'!BE65,"")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RESUMO'!BF23</f>
        <v/>
      </c>
      <c r="N59" s="139">
        <f>MAX(0,M59-M58)</f>
        <v/>
      </c>
      <c r="O59" s="138">
        <f>IF(B59&lt;='VALOR POR PL'!$P$5,'CP RESUMO'!BF65,"")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RESUMO'!BG23</f>
        <v/>
      </c>
      <c r="N60" s="139">
        <f>MAX(0,M60-M59)</f>
        <v/>
      </c>
      <c r="O60" s="138">
        <f>IF(B60&lt;='VALOR POR PL'!$P$5,'CP RESUMO'!BG65,"")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RESUMO'!BH23</f>
        <v/>
      </c>
      <c r="N61" s="139">
        <f>MAX(0,M61-M60)</f>
        <v/>
      </c>
      <c r="O61" s="138">
        <f>IF(B61&lt;='VALOR POR PL'!$P$5,'CP RESUMO'!BH65,"")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RESUMO'!BI23</f>
        <v/>
      </c>
      <c r="N62" s="139">
        <f>MAX(0,M62-M61)</f>
        <v/>
      </c>
      <c r="O62" s="138">
        <f>IF(B62&lt;='VALOR POR PL'!$P$5,'CP RESUMO'!BI65,"")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RESUMO'!BJ23</f>
        <v/>
      </c>
      <c r="N63" s="139">
        <f>MAX(0,M63-M62)</f>
        <v/>
      </c>
      <c r="O63" s="138">
        <f>IF(B63&lt;='VALOR POR PL'!$P$5,'CP RESUMO'!BJ65,"")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RESUMO'!BK23</f>
        <v/>
      </c>
      <c r="N64" s="139">
        <f>MAX(0,M64-M63)</f>
        <v/>
      </c>
      <c r="O64" s="138">
        <f>IF(B64&lt;='VALOR POR PL'!$P$5,'CP RESUMO'!BK65,"")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RESUMO'!BL23</f>
        <v/>
      </c>
      <c r="N65" s="139">
        <f>MAX(0,M65-M64)</f>
        <v/>
      </c>
      <c r="O65" s="138">
        <f>IF(B65&lt;='VALOR POR PL'!$P$5,'CP RESUMO'!BL65,"")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RESUMO'!BM23</f>
        <v/>
      </c>
      <c r="N66" s="139">
        <f>MAX(0,M66-M65)</f>
        <v/>
      </c>
      <c r="O66" s="138">
        <f>IF(B66&lt;='VALOR POR PL'!$P$5,'CP RESUMO'!BM65,"")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RESUMO'!BN23</f>
        <v/>
      </c>
      <c r="N67" s="139">
        <f>MAX(0,M67-M66)</f>
        <v/>
      </c>
      <c r="O67" s="138">
        <f>IF(B67&lt;='VALOR POR PL'!$P$5,'CP RESUMO'!BN65,"")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RESUMO'!BO23</f>
        <v/>
      </c>
      <c r="N68" s="139">
        <f>MAX(0,M68-M67)</f>
        <v/>
      </c>
      <c r="O68" s="138">
        <f>IF(B68&lt;='VALOR POR PL'!$P$5,'CP RESUMO'!BO65,"")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RESUMO'!BP23</f>
        <v/>
      </c>
      <c r="N69" s="139">
        <f>MAX(0,M69-M68)</f>
        <v/>
      </c>
      <c r="O69" s="138">
        <f>IF(B69&lt;='VALOR POR PL'!$P$5,'CP RESUMO'!BP65,"")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RESUMO'!BQ23</f>
        <v/>
      </c>
      <c r="N70" s="139">
        <f>MAX(0,M70-M69)</f>
        <v/>
      </c>
      <c r="O70" s="138">
        <f>IF(B70&lt;='VALOR POR PL'!$P$5,'CP RESUMO'!BQ65,"")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RESUMO'!BR23</f>
        <v/>
      </c>
      <c r="N71" s="139">
        <f>MAX(0,M71-M70)</f>
        <v/>
      </c>
      <c r="O71" s="138">
        <f>IF(B71&lt;='VALOR POR PL'!$P$5,'CP RESUMO'!BR65,"")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RESUMO'!BS23</f>
        <v/>
      </c>
      <c r="N72" s="139">
        <f>MAX(0,M72-M71)</f>
        <v/>
      </c>
      <c r="O72" s="138">
        <f>IF(B72&lt;='VALOR POR PL'!$P$5,'CP RESUMO'!BS65,"")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RESUMO'!BT23</f>
        <v/>
      </c>
      <c r="N73" s="139">
        <f>MAX(0,M73-M72)</f>
        <v/>
      </c>
      <c r="O73" s="138">
        <f>IF(B73&lt;='VALOR POR PL'!$P$5,'CP RESUMO'!BT65,"")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RESUMO'!BU23</f>
        <v/>
      </c>
      <c r="N74" s="139">
        <f>MAX(0,M74-M73)</f>
        <v/>
      </c>
      <c r="O74" s="138">
        <f>IF(B74&lt;='VALOR POR PL'!$P$5,'CP RESUMO'!BU65,"")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RESUMO'!BV23</f>
        <v/>
      </c>
      <c r="N75" s="139">
        <f>MAX(0,M75-M74)</f>
        <v/>
      </c>
      <c r="O75" s="138">
        <f>IF(B75&lt;='VALOR POR PL'!$P$5,'CP RESUMO'!BV65,"")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RESUMO'!BW23</f>
        <v/>
      </c>
      <c r="N76" s="139">
        <f>MAX(0,M76-M75)</f>
        <v/>
      </c>
      <c r="O76" s="138">
        <f>IF(B76&lt;='VALOR POR PL'!$P$5,'CP RESUMO'!BW65,"")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PL'!F30</f>
        <v/>
      </c>
      <c r="K5" s="60">
        <f>'VALOR POR PL'!G30</f>
        <v/>
      </c>
      <c r="L5" s="60">
        <f>'DADOS HISTORICOS'!$BZ$24</f>
        <v/>
      </c>
      <c r="M5" s="138">
        <f>'CP RESUMO'!D24</f>
        <v/>
      </c>
      <c r="N5" s="139" t="n">
        <v>0</v>
      </c>
      <c r="O5" s="138">
        <f>IF(B5&lt;='VALOR POR PL'!$P$5,'CP RESUMO'!D66,"")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PL'!H30</f>
        <v/>
      </c>
      <c r="L6" s="49">
        <f>C6/IF(B6&lt;='VALOR POR PL'!$P$5,IFERROR(INDEX('"INCC-FGV"'!$B$2:$B$800,MATCH(B6,'"INCC-FGV"'!$A$2:$A$800,0)),$K$2),$K$2)</f>
        <v/>
      </c>
      <c r="M6" s="138">
        <f>'CP RESUMO'!E24</f>
        <v/>
      </c>
      <c r="N6" s="139">
        <f>MAX(0,M6-M5)</f>
        <v/>
      </c>
      <c r="O6" s="138">
        <f>IF(B6&lt;='VALOR POR PL'!$P$5,'CP RESUMO'!E66,"")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RESUMO'!F24</f>
        <v/>
      </c>
      <c r="N7" s="139">
        <f>MAX(0,M7-M6)</f>
        <v/>
      </c>
      <c r="O7" s="138">
        <f>IF(B7&lt;='VALOR POR PL'!$P$5,'CP RESUMO'!F66,"")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RESUMO'!G24</f>
        <v/>
      </c>
      <c r="N8" s="139">
        <f>MAX(0,M8-M7)</f>
        <v/>
      </c>
      <c r="O8" s="138">
        <f>IF(B8&lt;='VALOR POR PL'!$P$5,'CP RESUMO'!G66,"")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RESUMO'!H24</f>
        <v/>
      </c>
      <c r="N9" s="139">
        <f>MAX(0,M9-M8)</f>
        <v/>
      </c>
      <c r="O9" s="138">
        <f>IF(B9&lt;='VALOR POR PL'!$P$5,'CP RESUMO'!H66,"")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RESUMO'!I24</f>
        <v/>
      </c>
      <c r="N10" s="139">
        <f>MAX(0,M10-M9)</f>
        <v/>
      </c>
      <c r="O10" s="138">
        <f>IF(B10&lt;='VALOR POR PL'!$P$5,'CP RESUMO'!I66,"")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RESUMO'!J24</f>
        <v/>
      </c>
      <c r="N11" s="139">
        <f>MAX(0,M11-M10)</f>
        <v/>
      </c>
      <c r="O11" s="138">
        <f>IF(B11&lt;='VALOR POR PL'!$P$5,'CP RESUMO'!J66,"")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RESUMO'!K24</f>
        <v/>
      </c>
      <c r="N12" s="139">
        <f>MAX(0,M12-M11)</f>
        <v/>
      </c>
      <c r="O12" s="138">
        <f>IF(B12&lt;='VALOR POR PL'!$P$5,'CP RESUMO'!K66,"")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PL'!I30</f>
        <v/>
      </c>
      <c r="L13" s="49">
        <f>C13/IF(B13&lt;='VALOR POR PL'!$P$5,IFERROR(INDEX('"INCC-FGV"'!$B$2:$B$800,MATCH(B13,'"INCC-FGV"'!$A$2:$A$800,0)),$K$2),$K$2)</f>
        <v/>
      </c>
      <c r="M13" s="138">
        <f>'CP RESUMO'!L24</f>
        <v/>
      </c>
      <c r="N13" s="139">
        <f>MAX(0,M13-M12)</f>
        <v/>
      </c>
      <c r="O13" s="138">
        <f>IF(B13&lt;='VALOR POR PL'!$P$5,'CP RESUMO'!L66,"")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RESUMO'!$D$66:$BW$66,MATCH('VALOR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RESUMO'!M24</f>
        <v/>
      </c>
      <c r="N14" s="139">
        <f>MAX(0,M14-M13)</f>
        <v/>
      </c>
      <c r="O14" s="138">
        <f>IF(B14&lt;='VALOR POR PL'!$P$5,'CP RESUMO'!M66,"")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RESUMO'!N24</f>
        <v/>
      </c>
      <c r="N15" s="139">
        <f>MAX(0,M15-M14)</f>
        <v/>
      </c>
      <c r="O15" s="138">
        <f>IF(B15&lt;='VALOR POR PL'!$P$5,'CP RESUMO'!N66,"")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RESUMO'!O24</f>
        <v/>
      </c>
      <c r="N16" s="139">
        <f>MAX(0,M16-M15)</f>
        <v/>
      </c>
      <c r="O16" s="138">
        <f>IF(B16&lt;='VALOR POR PL'!$P$5,'CP RESUMO'!O66,"")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RESUMO'!P24</f>
        <v/>
      </c>
      <c r="N17" s="139">
        <f>MAX(0,M17-M16)</f>
        <v/>
      </c>
      <c r="O17" s="138">
        <f>IF(B17&lt;='VALOR POR PL'!$P$5,'CP RESUMO'!P66,"")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RESUMO'!Q24</f>
        <v/>
      </c>
      <c r="N18" s="139">
        <f>MAX(0,M18-M17)</f>
        <v/>
      </c>
      <c r="O18" s="138">
        <f>IF(B18&lt;='VALOR POR PL'!$P$5,'CP RESUMO'!Q66,"")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RESUMO'!R24</f>
        <v/>
      </c>
      <c r="N19" s="139">
        <f>MAX(0,M19-M18)</f>
        <v/>
      </c>
      <c r="O19" s="138">
        <f>IF(B19&lt;='VALOR POR PL'!$P$5,'CP RESUMO'!R66,"")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RESUMO'!S24</f>
        <v/>
      </c>
      <c r="N20" s="139">
        <f>MAX(0,M20-M19)</f>
        <v/>
      </c>
      <c r="O20" s="138">
        <f>IF(B20&lt;='VALOR POR PL'!$P$5,'CP RESUMO'!S66,"")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RESUMO'!T24</f>
        <v/>
      </c>
      <c r="N21" s="139">
        <f>MAX(0,M21-M20)</f>
        <v/>
      </c>
      <c r="O21" s="138">
        <f>IF(B21&lt;='VALOR POR PL'!$P$5,'CP RESUMO'!T66,"")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RESUMO'!U24</f>
        <v/>
      </c>
      <c r="N22" s="139">
        <f>MAX(0,M22-M21)</f>
        <v/>
      </c>
      <c r="O22" s="138">
        <f>IF(B22&lt;='VALOR POR PL'!$P$5,'CP RESUMO'!U66,"")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RESUMO'!V24</f>
        <v/>
      </c>
      <c r="N23" s="139">
        <f>MAX(0,M23-M22)</f>
        <v/>
      </c>
      <c r="O23" s="138">
        <f>IF(B23&lt;='VALOR POR PL'!$P$5,'CP RESUMO'!V66,"")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RESUMO'!W24</f>
        <v/>
      </c>
      <c r="N24" s="139">
        <f>MAX(0,M24-M23)</f>
        <v/>
      </c>
      <c r="O24" s="138">
        <f>IF(B24&lt;='VALOR POR PL'!$P$5,'CP RESUMO'!W66,"")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RESUMO'!X24</f>
        <v/>
      </c>
      <c r="N25" s="139">
        <f>MAX(0,M25-M24)</f>
        <v/>
      </c>
      <c r="O25" s="138">
        <f>IF(B25&lt;='VALOR POR PL'!$P$5,'CP RESUMO'!X66,"")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61700.27</v>
      </c>
      <c r="L26" s="49">
        <f>C26/IF(B26&lt;='VALOR POR PL'!$P$5,IFERROR(INDEX('"INCC-FGV"'!$B$2:$B$800,MATCH(B26,'"INCC-FGV"'!$A$2:$A$800,0)),$K$2),$K$2)</f>
        <v/>
      </c>
      <c r="M26" s="138">
        <f>'CP RESUMO'!Y24</f>
        <v/>
      </c>
      <c r="N26" s="139">
        <f>MAX(0,M26-M25)</f>
        <v/>
      </c>
      <c r="O26" s="138">
        <f>IF(B26&lt;='VALOR POR PL'!$P$5,'CP RESUMO'!Y66,"")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111856.75</v>
      </c>
      <c r="L27" s="49">
        <f>C27/IF(B27&lt;='VALOR POR PL'!$P$5,IFERROR(INDEX('"INCC-FGV"'!$B$2:$B$800,MATCH(B27,'"INCC-FGV"'!$A$2:$A$800,0)),$K$2),$K$2)</f>
        <v/>
      </c>
      <c r="M27" s="138">
        <f>'CP RESUMO'!Z24</f>
        <v/>
      </c>
      <c r="N27" s="139">
        <f>MAX(0,M27-M26)</f>
        <v/>
      </c>
      <c r="O27" s="138">
        <f>IF(B27&lt;='VALOR POR PL'!$P$5,'CP RESUMO'!Z66,"")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165179.61</v>
      </c>
      <c r="L28" s="49">
        <f>C28/IF(B28&lt;='VALOR POR PL'!$P$5,IFERROR(INDEX('"INCC-FGV"'!$B$2:$B$800,MATCH(B28,'"INCC-FGV"'!$A$2:$A$800,0)),$K$2),$K$2)</f>
        <v/>
      </c>
      <c r="M28" s="138">
        <f>'CP RESUMO'!AA24</f>
        <v/>
      </c>
      <c r="N28" s="139">
        <f>MAX(0,M28-M27)</f>
        <v/>
      </c>
      <c r="O28" s="138">
        <f>IF(B28&lt;='VALOR POR PL'!$P$5,'CP RESUMO'!AA66,"")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131060.6</v>
      </c>
      <c r="L29" s="49">
        <f>C29/IF(B29&lt;='VALOR POR PL'!$P$5,IFERROR(INDEX('"INCC-FGV"'!$B$2:$B$800,MATCH(B29,'"INCC-FGV"'!$A$2:$A$800,0)),$K$2),$K$2)</f>
        <v/>
      </c>
      <c r="M29" s="138">
        <f>'CP RESUMO'!AB24</f>
        <v/>
      </c>
      <c r="N29" s="139">
        <f>MAX(0,M29-M28)</f>
        <v/>
      </c>
      <c r="O29" s="138">
        <f>IF(B29&lt;='VALOR POR PL'!$P$5,'CP RESUMO'!AB66,"")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149288.74</v>
      </c>
      <c r="L30" s="49">
        <f>C30/IF(B30&lt;='VALOR POR PL'!$P$5,IFERROR(INDEX('"INCC-FGV"'!$B$2:$B$800,MATCH(B30,'"INCC-FGV"'!$A$2:$A$800,0)),$K$2),$K$2)</f>
        <v/>
      </c>
      <c r="M30" s="138">
        <f>'CP RESUMO'!AC24</f>
        <v/>
      </c>
      <c r="N30" s="139">
        <f>MAX(0,M30-M29)</f>
        <v/>
      </c>
      <c r="O30" s="138">
        <f>IF(B30&lt;='VALOR POR PL'!$P$5,'CP RESUMO'!AC66,"")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188806.34</v>
      </c>
      <c r="L31" s="49">
        <f>C31/IF(B31&lt;='VALOR POR PL'!$P$5,IFERROR(INDEX('"INCC-FGV"'!$B$2:$B$800,MATCH(B31,'"INCC-FGV"'!$A$2:$A$800,0)),$K$2),$K$2)</f>
        <v/>
      </c>
      <c r="M31" s="138">
        <f>'CP RESUMO'!AD24</f>
        <v/>
      </c>
      <c r="N31" s="139">
        <f>MAX(0,M31-M30)</f>
        <v/>
      </c>
      <c r="O31" s="138">
        <f>IF(B31&lt;='VALOR POR PL'!$P$5,'CP RESUMO'!AD66,"")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246307.64</v>
      </c>
      <c r="L32" s="49">
        <f>C32/IF(B32&lt;='VALOR POR PL'!$P$5,IFERROR(INDEX('"INCC-FGV"'!$B$2:$B$800,MATCH(B32,'"INCC-FGV"'!$A$2:$A$800,0)),$K$2),$K$2)</f>
        <v/>
      </c>
      <c r="M32" s="138">
        <f>'CP RESUMO'!AE24</f>
        <v/>
      </c>
      <c r="N32" s="139">
        <f>MAX(0,M32-M31)</f>
        <v/>
      </c>
      <c r="O32" s="138">
        <f>IF(B32&lt;='VALOR POR PL'!$P$5,'CP RESUMO'!AE66,"")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225553.41</v>
      </c>
      <c r="L33" s="49">
        <f>C33/IF(B33&lt;='VALOR POR PL'!$P$5,IFERROR(INDEX('"INCC-FGV"'!$B$2:$B$800,MATCH(B33,'"INCC-FGV"'!$A$2:$A$800,0)),$K$2),$K$2)</f>
        <v/>
      </c>
      <c r="M33" s="138">
        <f>'CP RESUMO'!AF24</f>
        <v/>
      </c>
      <c r="N33" s="139">
        <f>MAX(0,M33-M32)</f>
        <v/>
      </c>
      <c r="O33" s="138">
        <f>IF(B33&lt;='VALOR POR PL'!$P$5,'CP RESUMO'!AF66,"")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224144.24</v>
      </c>
      <c r="L34" s="49">
        <f>C34/IF(B34&lt;='VALOR POR PL'!$P$5,IFERROR(INDEX('"INCC-FGV"'!$B$2:$B$800,MATCH(B34,'"INCC-FGV"'!$A$2:$A$800,0)),$K$2),$K$2)</f>
        <v/>
      </c>
      <c r="M34" s="138">
        <f>'CP RESUMO'!AG24</f>
        <v/>
      </c>
      <c r="N34" s="139">
        <f>MAX(0,M34-M33)</f>
        <v/>
      </c>
      <c r="O34" s="138">
        <f>IF(B34&lt;='VALOR POR PL'!$P$5,'CP RESUMO'!AG66,"")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222955.82</v>
      </c>
      <c r="L35" s="49">
        <f>C35/IF(B35&lt;='VALOR POR PL'!$P$5,IFERROR(INDEX('"INCC-FGV"'!$B$2:$B$800,MATCH(B35,'"INCC-FGV"'!$A$2:$A$800,0)),$K$2),$K$2)</f>
        <v/>
      </c>
      <c r="M35" s="138">
        <f>'CP RESUMO'!AH24</f>
        <v/>
      </c>
      <c r="N35" s="139">
        <f>MAX(0,M35-M34)</f>
        <v/>
      </c>
      <c r="O35" s="138">
        <f>IF(B35&lt;='VALOR POR PL'!$P$5,'CP RESUMO'!AH66,"")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435582.23</v>
      </c>
      <c r="L36" s="49">
        <f>C36/IF(B36&lt;='VALOR POR PL'!$P$5,IFERROR(INDEX('"INCC-FGV"'!$B$2:$B$800,MATCH(B36,'"INCC-FGV"'!$A$2:$A$800,0)),$K$2),$K$2)</f>
        <v/>
      </c>
      <c r="M36" s="138">
        <f>'CP RESUMO'!AI24</f>
        <v/>
      </c>
      <c r="N36" s="139">
        <f>MAX(0,M36-M35)</f>
        <v/>
      </c>
      <c r="O36" s="138">
        <f>IF(B36&lt;='VALOR POR PL'!$P$5,'CP RESUMO'!AI66,"")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397162.69</v>
      </c>
      <c r="L37" s="49">
        <f>C37/IF(B37&lt;='VALOR POR PL'!$P$5,IFERROR(INDEX('"INCC-FGV"'!$B$2:$B$800,MATCH(B37,'"INCC-FGV"'!$A$2:$A$800,0)),$K$2),$K$2)</f>
        <v/>
      </c>
      <c r="M37" s="138">
        <f>'CP RESUMO'!AJ24</f>
        <v/>
      </c>
      <c r="N37" s="139">
        <f>MAX(0,M37-M36)</f>
        <v/>
      </c>
      <c r="O37" s="138">
        <f>IF(B37&lt;='VALOR POR PL'!$P$5,'CP RESUMO'!AJ66,"")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390671.44</v>
      </c>
      <c r="L38" s="49">
        <f>C38/IF(B38&lt;='VALOR POR PL'!$P$5,IFERROR(INDEX('"INCC-FGV"'!$B$2:$B$800,MATCH(B38,'"INCC-FGV"'!$A$2:$A$800,0)),$K$2),$K$2)</f>
        <v/>
      </c>
      <c r="M38" s="138">
        <f>'CP RESUMO'!AK24</f>
        <v/>
      </c>
      <c r="N38" s="139">
        <f>MAX(0,M38-M37)</f>
        <v/>
      </c>
      <c r="O38" s="138">
        <f>IF(B38&lt;='VALOR POR PL'!$P$5,'CP RESUMO'!AK66,"")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393220.84</v>
      </c>
      <c r="L39" s="49">
        <f>C39/IF(B39&lt;='VALOR POR PL'!$P$5,IFERROR(INDEX('"INCC-FGV"'!$B$2:$B$800,MATCH(B39,'"INCC-FGV"'!$A$2:$A$800,0)),$K$2),$K$2)</f>
        <v/>
      </c>
      <c r="M39" s="138">
        <f>'CP RESUMO'!AL24</f>
        <v/>
      </c>
      <c r="N39" s="139">
        <f>MAX(0,M39-M38)</f>
        <v/>
      </c>
      <c r="O39" s="138">
        <f>IF(B39&lt;='VALOR POR PL'!$P$5,'CP RESUMO'!AL66,"")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467610.51</v>
      </c>
      <c r="L40" s="49">
        <f>C40/IF(B40&lt;='VALOR POR PL'!$P$5,IFERROR(INDEX('"INCC-FGV"'!$B$2:$B$800,MATCH(B40,'"INCC-FGV"'!$A$2:$A$800,0)),$K$2),$K$2)</f>
        <v/>
      </c>
      <c r="M40" s="138">
        <f>'CP RESUMO'!AM24</f>
        <v/>
      </c>
      <c r="N40" s="139">
        <f>MAX(0,M40-M39)</f>
        <v/>
      </c>
      <c r="O40" s="138">
        <f>IF(B40&lt;='VALOR POR PL'!$P$5,'CP RESUMO'!AM66,"")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441433.45</v>
      </c>
      <c r="L41" s="49">
        <f>C41/IF(B41&lt;='VALOR POR PL'!$P$5,IFERROR(INDEX('"INCC-FGV"'!$B$2:$B$800,MATCH(B41,'"INCC-FGV"'!$A$2:$A$800,0)),$K$2),$K$2)</f>
        <v/>
      </c>
      <c r="M41" s="138">
        <f>'CP RESUMO'!AN24</f>
        <v/>
      </c>
      <c r="N41" s="139">
        <f>MAX(0,M41-M40)</f>
        <v/>
      </c>
      <c r="O41" s="138">
        <f>IF(B41&lt;='VALOR POR PL'!$P$5,'CP RESUMO'!AN66,"")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934984.97</v>
      </c>
      <c r="L42" s="49">
        <f>C42/IF(B42&lt;='VALOR POR PL'!$P$5,IFERROR(INDEX('"INCC-FGV"'!$B$2:$B$800,MATCH(B42,'"INCC-FGV"'!$A$2:$A$800,0)),$K$2),$K$2)</f>
        <v/>
      </c>
      <c r="M42" s="138">
        <f>'CP RESUMO'!AO24</f>
        <v/>
      </c>
      <c r="N42" s="139">
        <f>MAX(0,M42-M41)</f>
        <v/>
      </c>
      <c r="O42" s="138">
        <f>IF(B42&lt;='VALOR POR PL'!$P$5,'CP RESUMO'!AO66,"")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767664.4</v>
      </c>
      <c r="L43" s="49">
        <f>C43/IF(B43&lt;='VALOR POR PL'!$P$5,IFERROR(INDEX('"INCC-FGV"'!$B$2:$B$800,MATCH(B43,'"INCC-FGV"'!$A$2:$A$800,0)),$K$2),$K$2)</f>
        <v/>
      </c>
      <c r="M43" s="138">
        <f>'CP RESUMO'!AP24</f>
        <v/>
      </c>
      <c r="N43" s="139">
        <f>MAX(0,M43-M42)</f>
        <v/>
      </c>
      <c r="O43" s="138">
        <f>IF(B43&lt;='VALOR POR PL'!$P$5,'CP RESUMO'!AP66,"")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784149.83</v>
      </c>
      <c r="L44" s="49">
        <f>C44/IF(B44&lt;='VALOR POR PL'!$P$5,IFERROR(INDEX('"INCC-FGV"'!$B$2:$B$800,MATCH(B44,'"INCC-FGV"'!$A$2:$A$800,0)),$K$2),$K$2)</f>
        <v/>
      </c>
      <c r="M44" s="138">
        <f>'CP RESUMO'!AQ24</f>
        <v/>
      </c>
      <c r="N44" s="139">
        <f>MAX(0,M44-M43)</f>
        <v/>
      </c>
      <c r="O44" s="138">
        <f>IF(B44&lt;='VALOR POR PL'!$P$5,'CP RESUMO'!AQ66,"")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337037.34</v>
      </c>
      <c r="L45" s="49">
        <f>C45/IF(B45&lt;='VALOR POR PL'!$P$5,IFERROR(INDEX('"INCC-FGV"'!$B$2:$B$800,MATCH(B45,'"INCC-FGV"'!$A$2:$A$800,0)),$K$2),$K$2)</f>
        <v/>
      </c>
      <c r="M45" s="138">
        <f>'CP RESUMO'!AR24</f>
        <v/>
      </c>
      <c r="N45" s="139">
        <f>MAX(0,M45-M44)</f>
        <v/>
      </c>
      <c r="O45" s="138">
        <f>IF(B45&lt;='VALOR POR PL'!$P$5,'CP RESUMO'!AR66,"")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207812.12</v>
      </c>
      <c r="L46" s="49">
        <f>C46/IF(B46&lt;='VALOR POR PL'!$P$5,IFERROR(INDEX('"INCC-FGV"'!$B$2:$B$800,MATCH(B46,'"INCC-FGV"'!$A$2:$A$800,0)),$K$2),$K$2)</f>
        <v/>
      </c>
      <c r="M46" s="138">
        <f>'CP RESUMO'!AS24</f>
        <v/>
      </c>
      <c r="N46" s="139">
        <f>MAX(0,M46-M45)</f>
        <v/>
      </c>
      <c r="O46" s="138">
        <f>IF(B46&lt;='VALOR POR PL'!$P$5,'CP RESUMO'!AS66,"")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144172.44</v>
      </c>
      <c r="L47" s="49">
        <f>C47/IF(B47&lt;='VALOR POR PL'!$P$5,IFERROR(INDEX('"INCC-FGV"'!$B$2:$B$800,MATCH(B47,'"INCC-FGV"'!$A$2:$A$800,0)),$K$2),$K$2)</f>
        <v/>
      </c>
      <c r="M47" s="138">
        <f>'CP RESUMO'!AT24</f>
        <v/>
      </c>
      <c r="N47" s="139">
        <f>MAX(0,M47-M46)</f>
        <v/>
      </c>
      <c r="O47" s="138">
        <f>IF(B47&lt;='VALOR POR PL'!$P$5,'CP RESUMO'!AT66,"")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105324.5</v>
      </c>
      <c r="L48" s="49">
        <f>C48/IF(B48&lt;='VALOR POR PL'!$P$5,IFERROR(INDEX('"INCC-FGV"'!$B$2:$B$800,MATCH(B48,'"INCC-FGV"'!$A$2:$A$800,0)),$K$2),$K$2)</f>
        <v/>
      </c>
      <c r="M48" s="138">
        <f>'CP RESUMO'!AU24</f>
        <v/>
      </c>
      <c r="N48" s="139">
        <f>MAX(0,M48-M47)</f>
        <v/>
      </c>
      <c r="O48" s="138">
        <f>IF(B48&lt;='VALOR POR PL'!$P$5,'CP RESUMO'!AU66,"")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48359.25</v>
      </c>
      <c r="L49" s="49">
        <f>C49/IF(B49&lt;='VALOR POR PL'!$P$5,IFERROR(INDEX('"INCC-FGV"'!$B$2:$B$800,MATCH(B49,'"INCC-FGV"'!$A$2:$A$800,0)),$K$2),$K$2)</f>
        <v/>
      </c>
      <c r="M49" s="138">
        <f>'CP RESUMO'!AV24</f>
        <v/>
      </c>
      <c r="N49" s="139">
        <f>MAX(0,M49-M48)</f>
        <v/>
      </c>
      <c r="O49" s="138">
        <f>IF(B49&lt;='VALOR POR PL'!$P$5,'CP RESUMO'!AV66,"")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RESUMO'!AW24</f>
        <v/>
      </c>
      <c r="N50" s="139">
        <f>MAX(0,M50-M49)</f>
        <v/>
      </c>
      <c r="O50" s="138">
        <f>IF(B50&lt;='VALOR POR PL'!$P$5,'CP RESUMO'!AW66,"")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RESUMO'!AX24</f>
        <v/>
      </c>
      <c r="N51" s="139">
        <f>MAX(0,M51-M50)</f>
        <v/>
      </c>
      <c r="O51" s="138">
        <f>IF(B51&lt;='VALOR POR PL'!$P$5,'CP RESUMO'!AX66,"")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RESUMO'!AY24</f>
        <v/>
      </c>
      <c r="N52" s="139">
        <f>MAX(0,M52-M51)</f>
        <v/>
      </c>
      <c r="O52" s="138">
        <f>IF(B52&lt;='VALOR POR PL'!$P$5,'CP RESUMO'!AY66,"")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RESUMO'!AZ24</f>
        <v/>
      </c>
      <c r="N53" s="139">
        <f>MAX(0,M53-M52)</f>
        <v/>
      </c>
      <c r="O53" s="138">
        <f>IF(B53&lt;='VALOR POR PL'!$P$5,'CP RESUMO'!AZ66,"")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RESUMO'!BA24</f>
        <v/>
      </c>
      <c r="N54" s="139">
        <f>MAX(0,M54-M53)</f>
        <v/>
      </c>
      <c r="O54" s="138">
        <f>IF(B54&lt;='VALOR POR PL'!$P$5,'CP RESUMO'!BA66,"")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RESUMO'!BB24</f>
        <v/>
      </c>
      <c r="N55" s="139">
        <f>MAX(0,M55-M54)</f>
        <v/>
      </c>
      <c r="O55" s="138">
        <f>IF(B55&lt;='VALOR POR PL'!$P$5,'CP RESUMO'!BB66,"")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>
        <v>517382.46</v>
      </c>
      <c r="L56" s="49">
        <f>C56/IF(B56&lt;='VALOR POR PL'!$P$5,IFERROR(INDEX('"INCC-FGV"'!$B$2:$B$800,MATCH(B56,'"INCC-FGV"'!$A$2:$A$800,0)),$K$2),$K$2)</f>
        <v/>
      </c>
      <c r="M56" s="138">
        <f>'CP RESUMO'!BC24</f>
        <v/>
      </c>
      <c r="N56" s="139">
        <f>MAX(0,M56-M55)</f>
        <v/>
      </c>
      <c r="O56" s="138">
        <f>IF(B56&lt;='VALOR POR PL'!$P$5,'CP RESUMO'!BC66,"")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RESUMO'!BD24</f>
        <v/>
      </c>
      <c r="N57" s="139">
        <f>MAX(0,M57-M56)</f>
        <v/>
      </c>
      <c r="O57" s="138">
        <f>IF(B57&lt;='VALOR POR PL'!$P$5,'CP RESUMO'!BD66,"")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RESUMO'!BE24</f>
        <v/>
      </c>
      <c r="N58" s="139">
        <f>MAX(0,M58-M57)</f>
        <v/>
      </c>
      <c r="O58" s="138">
        <f>IF(B58&lt;='VALOR POR PL'!$P$5,'CP RESUMO'!BE66,"")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RESUMO'!BF24</f>
        <v/>
      </c>
      <c r="N59" s="139">
        <f>MAX(0,M59-M58)</f>
        <v/>
      </c>
      <c r="O59" s="138">
        <f>IF(B59&lt;='VALOR POR PL'!$P$5,'CP RESUMO'!BF66,"")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RESUMO'!BG24</f>
        <v/>
      </c>
      <c r="N60" s="139">
        <f>MAX(0,M60-M59)</f>
        <v/>
      </c>
      <c r="O60" s="138">
        <f>IF(B60&lt;='VALOR POR PL'!$P$5,'CP RESUMO'!BG66,"")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RESUMO'!BH24</f>
        <v/>
      </c>
      <c r="N61" s="139">
        <f>MAX(0,M61-M60)</f>
        <v/>
      </c>
      <c r="O61" s="138">
        <f>IF(B61&lt;='VALOR POR PL'!$P$5,'CP RESUMO'!BH66,"")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RESUMO'!BI24</f>
        <v/>
      </c>
      <c r="N62" s="139">
        <f>MAX(0,M62-M61)</f>
        <v/>
      </c>
      <c r="O62" s="138">
        <f>IF(B62&lt;='VALOR POR PL'!$P$5,'CP RESUMO'!BI66,"")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RESUMO'!BJ24</f>
        <v/>
      </c>
      <c r="N63" s="139">
        <f>MAX(0,M63-M62)</f>
        <v/>
      </c>
      <c r="O63" s="138">
        <f>IF(B63&lt;='VALOR POR PL'!$P$5,'CP RESUMO'!BJ66,"")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RESUMO'!BK24</f>
        <v/>
      </c>
      <c r="N64" s="139">
        <f>MAX(0,M64-M63)</f>
        <v/>
      </c>
      <c r="O64" s="138">
        <f>IF(B64&lt;='VALOR POR PL'!$P$5,'CP RESUMO'!BK66,"")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RESUMO'!BL24</f>
        <v/>
      </c>
      <c r="N65" s="139">
        <f>MAX(0,M65-M64)</f>
        <v/>
      </c>
      <c r="O65" s="138">
        <f>IF(B65&lt;='VALOR POR PL'!$P$5,'CP RESUMO'!BL66,"")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RESUMO'!BM24</f>
        <v/>
      </c>
      <c r="N66" s="139">
        <f>MAX(0,M66-M65)</f>
        <v/>
      </c>
      <c r="O66" s="138">
        <f>IF(B66&lt;='VALOR POR PL'!$P$5,'CP RESUMO'!BM66,"")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RESUMO'!BN24</f>
        <v/>
      </c>
      <c r="N67" s="139">
        <f>MAX(0,M67-M66)</f>
        <v/>
      </c>
      <c r="O67" s="138">
        <f>IF(B67&lt;='VALOR POR PL'!$P$5,'CP RESUMO'!BN66,"")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RESUMO'!BO24</f>
        <v/>
      </c>
      <c r="N68" s="139">
        <f>MAX(0,M68-M67)</f>
        <v/>
      </c>
      <c r="O68" s="138">
        <f>IF(B68&lt;='VALOR POR PL'!$P$5,'CP RESUMO'!BO66,"")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RESUMO'!BP24</f>
        <v/>
      </c>
      <c r="N69" s="139">
        <f>MAX(0,M69-M68)</f>
        <v/>
      </c>
      <c r="O69" s="138">
        <f>IF(B69&lt;='VALOR POR PL'!$P$5,'CP RESUMO'!BP66,"")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RESUMO'!BQ24</f>
        <v/>
      </c>
      <c r="N70" s="139">
        <f>MAX(0,M70-M69)</f>
        <v/>
      </c>
      <c r="O70" s="138">
        <f>IF(B70&lt;='VALOR POR PL'!$P$5,'CP RESUMO'!BQ66,"")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RESUMO'!BR24</f>
        <v/>
      </c>
      <c r="N71" s="139">
        <f>MAX(0,M71-M70)</f>
        <v/>
      </c>
      <c r="O71" s="138">
        <f>IF(B71&lt;='VALOR POR PL'!$P$5,'CP RESUMO'!BR66,"")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RESUMO'!BS24</f>
        <v/>
      </c>
      <c r="N72" s="139">
        <f>MAX(0,M72-M71)</f>
        <v/>
      </c>
      <c r="O72" s="138">
        <f>IF(B72&lt;='VALOR POR PL'!$P$5,'CP RESUMO'!BS66,"")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RESUMO'!BT24</f>
        <v/>
      </c>
      <c r="N73" s="139">
        <f>MAX(0,M73-M72)</f>
        <v/>
      </c>
      <c r="O73" s="138">
        <f>IF(B73&lt;='VALOR POR PL'!$P$5,'CP RESUMO'!BT66,"")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RESUMO'!BU24</f>
        <v/>
      </c>
      <c r="N74" s="139">
        <f>MAX(0,M74-M73)</f>
        <v/>
      </c>
      <c r="O74" s="138">
        <f>IF(B74&lt;='VALOR POR PL'!$P$5,'CP RESUMO'!BU66,"")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RESUMO'!BV24</f>
        <v/>
      </c>
      <c r="N75" s="139">
        <f>MAX(0,M75-M74)</f>
        <v/>
      </c>
      <c r="O75" s="138">
        <f>IF(B75&lt;='VALOR POR PL'!$P$5,'CP RESUMO'!BV66,"")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RESUMO'!BW24</f>
        <v/>
      </c>
      <c r="N76" s="139">
        <f>MAX(0,M76-M75)</f>
        <v/>
      </c>
      <c r="O76" s="138">
        <f>IF(B76&lt;='VALOR POR PL'!$P$5,'CP RESUMO'!BW66,"")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PL'!F31</f>
        <v/>
      </c>
      <c r="K5" s="60">
        <f>'VALOR POR PL'!G31</f>
        <v/>
      </c>
      <c r="L5" s="60">
        <f>'DADOS HISTORICOS'!$BZ$25</f>
        <v/>
      </c>
      <c r="M5" s="138">
        <f>'CP RESUMO'!D25</f>
        <v/>
      </c>
      <c r="N5" s="139" t="n">
        <v>0</v>
      </c>
      <c r="O5" s="138">
        <f>IF(B5&lt;='VALOR POR PL'!$P$5,'CP RESUMO'!D67,"")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PL'!H31</f>
        <v/>
      </c>
      <c r="L6" s="49">
        <f>C6/IF(B6&lt;='VALOR POR PL'!$P$5,IFERROR(INDEX('"INCC-FGV"'!$B$2:$B$800,MATCH(B6,'"INCC-FGV"'!$A$2:$A$800,0)),$K$2),$K$2)</f>
        <v/>
      </c>
      <c r="M6" s="138">
        <f>'CP RESUMO'!E25</f>
        <v/>
      </c>
      <c r="N6" s="139">
        <f>MAX(0,M6-M5)</f>
        <v/>
      </c>
      <c r="O6" s="138">
        <f>IF(B6&lt;='VALOR POR PL'!$P$5,'CP RESUMO'!E67,"")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RESUMO'!F25</f>
        <v/>
      </c>
      <c r="N7" s="139">
        <f>MAX(0,M7-M6)</f>
        <v/>
      </c>
      <c r="O7" s="138">
        <f>IF(B7&lt;='VALOR POR PL'!$P$5,'CP RESUMO'!F67,"")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RESUMO'!G25</f>
        <v/>
      </c>
      <c r="N8" s="139">
        <f>MAX(0,M8-M7)</f>
        <v/>
      </c>
      <c r="O8" s="138">
        <f>IF(B8&lt;='VALOR POR PL'!$P$5,'CP RESUMO'!G67,"")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RESUMO'!H25</f>
        <v/>
      </c>
      <c r="N9" s="139">
        <f>MAX(0,M9-M8)</f>
        <v/>
      </c>
      <c r="O9" s="138">
        <f>IF(B9&lt;='VALOR POR PL'!$P$5,'CP RESUMO'!H67,"")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RESUMO'!I25</f>
        <v/>
      </c>
      <c r="N10" s="139">
        <f>MAX(0,M10-M9)</f>
        <v/>
      </c>
      <c r="O10" s="138">
        <f>IF(B10&lt;='VALOR POR PL'!$P$5,'CP RESUMO'!I67,"")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RESUMO'!J25</f>
        <v/>
      </c>
      <c r="N11" s="139">
        <f>MAX(0,M11-M10)</f>
        <v/>
      </c>
      <c r="O11" s="138">
        <f>IF(B11&lt;='VALOR POR PL'!$P$5,'CP RESUMO'!J67,"")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RESUMO'!K25</f>
        <v/>
      </c>
      <c r="N12" s="139">
        <f>MAX(0,M12-M11)</f>
        <v/>
      </c>
      <c r="O12" s="138">
        <f>IF(B12&lt;='VALOR POR PL'!$P$5,'CP RESUMO'!K67,"")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PL'!I31</f>
        <v/>
      </c>
      <c r="L13" s="49">
        <f>C13/IF(B13&lt;='VALOR POR PL'!$P$5,IFERROR(INDEX('"INCC-FGV"'!$B$2:$B$800,MATCH(B13,'"INCC-FGV"'!$A$2:$A$800,0)),$K$2),$K$2)</f>
        <v/>
      </c>
      <c r="M13" s="138">
        <f>'CP RESUMO'!L25</f>
        <v/>
      </c>
      <c r="N13" s="139">
        <f>MAX(0,M13-M12)</f>
        <v/>
      </c>
      <c r="O13" s="138">
        <f>IF(B13&lt;='VALOR POR PL'!$P$5,'CP RESUMO'!L67,"")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RESUMO'!$D$67:$BW$67,MATCH('VALOR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RESUMO'!M25</f>
        <v/>
      </c>
      <c r="N14" s="139">
        <f>MAX(0,M14-M13)</f>
        <v/>
      </c>
      <c r="O14" s="138">
        <f>IF(B14&lt;='VALOR POR PL'!$P$5,'CP RESUMO'!M67,"")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RESUMO'!N25</f>
        <v/>
      </c>
      <c r="N15" s="139">
        <f>MAX(0,M15-M14)</f>
        <v/>
      </c>
      <c r="O15" s="138">
        <f>IF(B15&lt;='VALOR POR PL'!$P$5,'CP RESUMO'!N67,"")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RESUMO'!O25</f>
        <v/>
      </c>
      <c r="N16" s="139">
        <f>MAX(0,M16-M15)</f>
        <v/>
      </c>
      <c r="O16" s="138">
        <f>IF(B16&lt;='VALOR POR PL'!$P$5,'CP RESUMO'!O67,"")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RESUMO'!P25</f>
        <v/>
      </c>
      <c r="N17" s="139">
        <f>MAX(0,M17-M16)</f>
        <v/>
      </c>
      <c r="O17" s="138">
        <f>IF(B17&lt;='VALOR POR PL'!$P$5,'CP RESUMO'!P67,"")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RESUMO'!Q25</f>
        <v/>
      </c>
      <c r="N18" s="139">
        <f>MAX(0,M18-M17)</f>
        <v/>
      </c>
      <c r="O18" s="138">
        <f>IF(B18&lt;='VALOR POR PL'!$P$5,'CP RESUMO'!Q67,"")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RESUMO'!R25</f>
        <v/>
      </c>
      <c r="N19" s="139">
        <f>MAX(0,M19-M18)</f>
        <v/>
      </c>
      <c r="O19" s="138">
        <f>IF(B19&lt;='VALOR POR PL'!$P$5,'CP RESUMO'!R67,"")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RESUMO'!S25</f>
        <v/>
      </c>
      <c r="N20" s="139">
        <f>MAX(0,M20-M19)</f>
        <v/>
      </c>
      <c r="O20" s="138">
        <f>IF(B20&lt;='VALOR POR PL'!$P$5,'CP RESUMO'!S67,"")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RESUMO'!T25</f>
        <v/>
      </c>
      <c r="N21" s="139">
        <f>MAX(0,M21-M20)</f>
        <v/>
      </c>
      <c r="O21" s="138">
        <f>IF(B21&lt;='VALOR POR PL'!$P$5,'CP RESUMO'!T67,"")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RESUMO'!U25</f>
        <v/>
      </c>
      <c r="N22" s="139">
        <f>MAX(0,M22-M21)</f>
        <v/>
      </c>
      <c r="O22" s="138">
        <f>IF(B22&lt;='VALOR POR PL'!$P$5,'CP RESUMO'!U67,"")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RESUMO'!V25</f>
        <v/>
      </c>
      <c r="N23" s="139">
        <f>MAX(0,M23-M22)</f>
        <v/>
      </c>
      <c r="O23" s="138">
        <f>IF(B23&lt;='VALOR POR PL'!$P$5,'CP RESUMO'!V67,"")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RESUMO'!W25</f>
        <v/>
      </c>
      <c r="N24" s="139">
        <f>MAX(0,M24-M23)</f>
        <v/>
      </c>
      <c r="O24" s="138">
        <f>IF(B24&lt;='VALOR POR PL'!$P$5,'CP RESUMO'!W67,"")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RESUMO'!X25</f>
        <v/>
      </c>
      <c r="N25" s="139">
        <f>MAX(0,M25-M24)</f>
        <v/>
      </c>
      <c r="O25" s="138">
        <f>IF(B25&lt;='VALOR POR PL'!$P$5,'CP RESUMO'!X67,"")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129965.83</v>
      </c>
      <c r="L26" s="49">
        <f>C26/IF(B26&lt;='VALOR POR PL'!$P$5,IFERROR(INDEX('"INCC-FGV"'!$B$2:$B$800,MATCH(B26,'"INCC-FGV"'!$A$2:$A$800,0)),$K$2),$K$2)</f>
        <v/>
      </c>
      <c r="M26" s="138">
        <f>'CP RESUMO'!Y25</f>
        <v/>
      </c>
      <c r="N26" s="139">
        <f>MAX(0,M26-M25)</f>
        <v/>
      </c>
      <c r="O26" s="138">
        <f>IF(B26&lt;='VALOR POR PL'!$P$5,'CP RESUMO'!Y67,"")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106514.42</v>
      </c>
      <c r="L27" s="49">
        <f>C27/IF(B27&lt;='VALOR POR PL'!$P$5,IFERROR(INDEX('"INCC-FGV"'!$B$2:$B$800,MATCH(B27,'"INCC-FGV"'!$A$2:$A$800,0)),$K$2),$K$2)</f>
        <v/>
      </c>
      <c r="M27" s="138">
        <f>'CP RESUMO'!Z25</f>
        <v/>
      </c>
      <c r="N27" s="139">
        <f>MAX(0,M27-M26)</f>
        <v/>
      </c>
      <c r="O27" s="138">
        <f>IF(B27&lt;='VALOR POR PL'!$P$5,'CP RESUMO'!Z67,"")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118735.58</v>
      </c>
      <c r="L28" s="49">
        <f>C28/IF(B28&lt;='VALOR POR PL'!$P$5,IFERROR(INDEX('"INCC-FGV"'!$B$2:$B$800,MATCH(B28,'"INCC-FGV"'!$A$2:$A$800,0)),$K$2),$K$2)</f>
        <v/>
      </c>
      <c r="M28" s="138">
        <f>'CP RESUMO'!AA25</f>
        <v/>
      </c>
      <c r="N28" s="139">
        <f>MAX(0,M28-M27)</f>
        <v/>
      </c>
      <c r="O28" s="138">
        <f>IF(B28&lt;='VALOR POR PL'!$P$5,'CP RESUMO'!AA67,"")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60712.61</v>
      </c>
      <c r="L29" s="49">
        <f>C29/IF(B29&lt;='VALOR POR PL'!$P$5,IFERROR(INDEX('"INCC-FGV"'!$B$2:$B$800,MATCH(B29,'"INCC-FGV"'!$A$2:$A$800,0)),$K$2),$K$2)</f>
        <v/>
      </c>
      <c r="M29" s="138">
        <f>'CP RESUMO'!AB25</f>
        <v/>
      </c>
      <c r="N29" s="139">
        <f>MAX(0,M29-M28)</f>
        <v/>
      </c>
      <c r="O29" s="138">
        <f>IF(B29&lt;='VALOR POR PL'!$P$5,'CP RESUMO'!AB67,"")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94293.25999999999</v>
      </c>
      <c r="L30" s="49">
        <f>C30/IF(B30&lt;='VALOR POR PL'!$P$5,IFERROR(INDEX('"INCC-FGV"'!$B$2:$B$800,MATCH(B30,'"INCC-FGV"'!$A$2:$A$800,0)),$K$2),$K$2)</f>
        <v/>
      </c>
      <c r="M30" s="138">
        <f>'CP RESUMO'!AC25</f>
        <v/>
      </c>
      <c r="N30" s="139">
        <f>MAX(0,M30-M29)</f>
        <v/>
      </c>
      <c r="O30" s="138">
        <f>IF(B30&lt;='VALOR POR PL'!$P$5,'CP RESUMO'!AC67,"")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203748.91</v>
      </c>
      <c r="L31" s="49">
        <f>C31/IF(B31&lt;='VALOR POR PL'!$P$5,IFERROR(INDEX('"INCC-FGV"'!$B$2:$B$800,MATCH(B31,'"INCC-FGV"'!$A$2:$A$800,0)),$K$2),$K$2)</f>
        <v/>
      </c>
      <c r="M31" s="138">
        <f>'CP RESUMO'!AD25</f>
        <v/>
      </c>
      <c r="N31" s="139">
        <f>MAX(0,M31-M30)</f>
        <v/>
      </c>
      <c r="O31" s="138">
        <f>IF(B31&lt;='VALOR POR PL'!$P$5,'CP RESUMO'!AD67,"")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243825.49</v>
      </c>
      <c r="L32" s="49">
        <f>C32/IF(B32&lt;='VALOR POR PL'!$P$5,IFERROR(INDEX('"INCC-FGV"'!$B$2:$B$800,MATCH(B32,'"INCC-FGV"'!$A$2:$A$800,0)),$K$2),$K$2)</f>
        <v/>
      </c>
      <c r="M32" s="138">
        <f>'CP RESUMO'!AE25</f>
        <v/>
      </c>
      <c r="N32" s="139">
        <f>MAX(0,M32-M31)</f>
        <v/>
      </c>
      <c r="O32" s="138">
        <f>IF(B32&lt;='VALOR POR PL'!$P$5,'CP RESUMO'!AE67,"")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273332.42</v>
      </c>
      <c r="L33" s="49">
        <f>C33/IF(B33&lt;='VALOR POR PL'!$P$5,IFERROR(INDEX('"INCC-FGV"'!$B$2:$B$800,MATCH(B33,'"INCC-FGV"'!$A$2:$A$800,0)),$K$2),$K$2)</f>
        <v/>
      </c>
      <c r="M33" s="138">
        <f>'CP RESUMO'!AF25</f>
        <v/>
      </c>
      <c r="N33" s="139">
        <f>MAX(0,M33-M32)</f>
        <v/>
      </c>
      <c r="O33" s="138">
        <f>IF(B33&lt;='VALOR POR PL'!$P$5,'CP RESUMO'!AF67,"")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295792.92</v>
      </c>
      <c r="L34" s="49">
        <f>C34/IF(B34&lt;='VALOR POR PL'!$P$5,IFERROR(INDEX('"INCC-FGV"'!$B$2:$B$800,MATCH(B34,'"INCC-FGV"'!$A$2:$A$800,0)),$K$2),$K$2)</f>
        <v/>
      </c>
      <c r="M34" s="138">
        <f>'CP RESUMO'!AG25</f>
        <v/>
      </c>
      <c r="N34" s="139">
        <f>MAX(0,M34-M33)</f>
        <v/>
      </c>
      <c r="O34" s="138">
        <f>IF(B34&lt;='VALOR POR PL'!$P$5,'CP RESUMO'!AG67,"")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375285.48</v>
      </c>
      <c r="L35" s="49">
        <f>C35/IF(B35&lt;='VALOR POR PL'!$P$5,IFERROR(INDEX('"INCC-FGV"'!$B$2:$B$800,MATCH(B35,'"INCC-FGV"'!$A$2:$A$800,0)),$K$2),$K$2)</f>
        <v/>
      </c>
      <c r="M35" s="138">
        <f>'CP RESUMO'!AH25</f>
        <v/>
      </c>
      <c r="N35" s="139">
        <f>MAX(0,M35-M34)</f>
        <v/>
      </c>
      <c r="O35" s="138">
        <f>IF(B35&lt;='VALOR POR PL'!$P$5,'CP RESUMO'!AH67,"")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484851.22</v>
      </c>
      <c r="L36" s="49">
        <f>C36/IF(B36&lt;='VALOR POR PL'!$P$5,IFERROR(INDEX('"INCC-FGV"'!$B$2:$B$800,MATCH(B36,'"INCC-FGV"'!$A$2:$A$800,0)),$K$2),$K$2)</f>
        <v/>
      </c>
      <c r="M36" s="138">
        <f>'CP RESUMO'!AI25</f>
        <v/>
      </c>
      <c r="N36" s="139">
        <f>MAX(0,M36-M35)</f>
        <v/>
      </c>
      <c r="O36" s="138">
        <f>IF(B36&lt;='VALOR POR PL'!$P$5,'CP RESUMO'!AI67,"")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286450.13</v>
      </c>
      <c r="L37" s="49">
        <f>C37/IF(B37&lt;='VALOR POR PL'!$P$5,IFERROR(INDEX('"INCC-FGV"'!$B$2:$B$800,MATCH(B37,'"INCC-FGV"'!$A$2:$A$800,0)),$K$2),$K$2)</f>
        <v/>
      </c>
      <c r="M37" s="138">
        <f>'CP RESUMO'!AJ25</f>
        <v/>
      </c>
      <c r="N37" s="139">
        <f>MAX(0,M37-M36)</f>
        <v/>
      </c>
      <c r="O37" s="138">
        <f>IF(B37&lt;='VALOR POR PL'!$P$5,'CP RESUMO'!AJ67,"")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290633.94</v>
      </c>
      <c r="L38" s="49">
        <f>C38/IF(B38&lt;='VALOR POR PL'!$P$5,IFERROR(INDEX('"INCC-FGV"'!$B$2:$B$800,MATCH(B38,'"INCC-FGV"'!$A$2:$A$800,0)),$K$2),$K$2)</f>
        <v/>
      </c>
      <c r="M38" s="138">
        <f>'CP RESUMO'!AK25</f>
        <v/>
      </c>
      <c r="N38" s="139">
        <f>MAX(0,M38-M37)</f>
        <v/>
      </c>
      <c r="O38" s="138">
        <f>IF(B38&lt;='VALOR POR PL'!$P$5,'CP RESUMO'!AK67,"")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191433.4</v>
      </c>
      <c r="L39" s="49">
        <f>C39/IF(B39&lt;='VALOR POR PL'!$P$5,IFERROR(INDEX('"INCC-FGV"'!$B$2:$B$800,MATCH(B39,'"INCC-FGV"'!$A$2:$A$800,0)),$K$2),$K$2)</f>
        <v/>
      </c>
      <c r="M39" s="138">
        <f>'CP RESUMO'!AL25</f>
        <v/>
      </c>
      <c r="N39" s="139">
        <f>MAX(0,M39-M38)</f>
        <v/>
      </c>
      <c r="O39" s="138">
        <f>IF(B39&lt;='VALOR POR PL'!$P$5,'CP RESUMO'!AL67,"")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158513.35</v>
      </c>
      <c r="L40" s="49">
        <f>C40/IF(B40&lt;='VALOR POR PL'!$P$5,IFERROR(INDEX('"INCC-FGV"'!$B$2:$B$800,MATCH(B40,'"INCC-FGV"'!$A$2:$A$800,0)),$K$2),$K$2)</f>
        <v/>
      </c>
      <c r="M40" s="138">
        <f>'CP RESUMO'!AM25</f>
        <v/>
      </c>
      <c r="N40" s="139">
        <f>MAX(0,M40-M39)</f>
        <v/>
      </c>
      <c r="O40" s="138">
        <f>IF(B40&lt;='VALOR POR PL'!$P$5,'CP RESUMO'!AM67,"")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135722.54</v>
      </c>
      <c r="L41" s="49">
        <f>C41/IF(B41&lt;='VALOR POR PL'!$P$5,IFERROR(INDEX('"INCC-FGV"'!$B$2:$B$800,MATCH(B41,'"INCC-FGV"'!$A$2:$A$800,0)),$K$2),$K$2)</f>
        <v/>
      </c>
      <c r="M41" s="138">
        <f>'CP RESUMO'!AN25</f>
        <v/>
      </c>
      <c r="N41" s="139">
        <f>MAX(0,M41-M40)</f>
        <v/>
      </c>
      <c r="O41" s="138">
        <f>IF(B41&lt;='VALOR POR PL'!$P$5,'CP RESUMO'!AN67,"")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101040.89</v>
      </c>
      <c r="L42" s="49">
        <f>C42/IF(B42&lt;='VALOR POR PL'!$P$5,IFERROR(INDEX('"INCC-FGV"'!$B$2:$B$800,MATCH(B42,'"INCC-FGV"'!$A$2:$A$800,0)),$K$2),$K$2)</f>
        <v/>
      </c>
      <c r="M42" s="138">
        <f>'CP RESUMO'!AO25</f>
        <v/>
      </c>
      <c r="N42" s="139">
        <f>MAX(0,M42-M41)</f>
        <v/>
      </c>
      <c r="O42" s="138">
        <f>IF(B42&lt;='VALOR POR PL'!$P$5,'CP RESUMO'!AO67,"")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97407.57000000001</v>
      </c>
      <c r="L43" s="49">
        <f>C43/IF(B43&lt;='VALOR POR PL'!$P$5,IFERROR(INDEX('"INCC-FGV"'!$B$2:$B$800,MATCH(B43,'"INCC-FGV"'!$A$2:$A$800,0)),$K$2),$K$2)</f>
        <v/>
      </c>
      <c r="M43" s="138">
        <f>'CP RESUMO'!AP25</f>
        <v/>
      </c>
      <c r="N43" s="139">
        <f>MAX(0,M43-M42)</f>
        <v/>
      </c>
      <c r="O43" s="138">
        <f>IF(B43&lt;='VALOR POR PL'!$P$5,'CP RESUMO'!AP67,"")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96416.67</v>
      </c>
      <c r="L44" s="49">
        <f>C44/IF(B44&lt;='VALOR POR PL'!$P$5,IFERROR(INDEX('"INCC-FGV"'!$B$2:$B$800,MATCH(B44,'"INCC-FGV"'!$A$2:$A$800,0)),$K$2),$K$2)</f>
        <v/>
      </c>
      <c r="M44" s="138">
        <f>'CP RESUMO'!AQ25</f>
        <v/>
      </c>
      <c r="N44" s="139">
        <f>MAX(0,M44-M43)</f>
        <v/>
      </c>
      <c r="O44" s="138">
        <f>IF(B44&lt;='VALOR POR PL'!$P$5,'CP RESUMO'!AQ67,"")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77133.33</v>
      </c>
      <c r="L45" s="49">
        <f>C45/IF(B45&lt;='VALOR POR PL'!$P$5,IFERROR(INDEX('"INCC-FGV"'!$B$2:$B$800,MATCH(B45,'"INCC-FGV"'!$A$2:$A$800,0)),$K$2),$K$2)</f>
        <v/>
      </c>
      <c r="M45" s="138">
        <f>'CP RESUMO'!AR25</f>
        <v/>
      </c>
      <c r="N45" s="139">
        <f>MAX(0,M45-M44)</f>
        <v/>
      </c>
      <c r="O45" s="138">
        <f>IF(B45&lt;='VALOR POR PL'!$P$5,'CP RESUMO'!AR67,"")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77133.33</v>
      </c>
      <c r="L46" s="49">
        <f>C46/IF(B46&lt;='VALOR POR PL'!$P$5,IFERROR(INDEX('"INCC-FGV"'!$B$2:$B$800,MATCH(B46,'"INCC-FGV"'!$A$2:$A$800,0)),$K$2),$K$2)</f>
        <v/>
      </c>
      <c r="M46" s="138">
        <f>'CP RESUMO'!AS25</f>
        <v/>
      </c>
      <c r="N46" s="139">
        <f>MAX(0,M46-M45)</f>
        <v/>
      </c>
      <c r="O46" s="138">
        <f>IF(B46&lt;='VALOR POR PL'!$P$5,'CP RESUMO'!AS67,"")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77133.33</v>
      </c>
      <c r="L47" s="49">
        <f>C47/IF(B47&lt;='VALOR POR PL'!$P$5,IFERROR(INDEX('"INCC-FGV"'!$B$2:$B$800,MATCH(B47,'"INCC-FGV"'!$A$2:$A$800,0)),$K$2),$K$2)</f>
        <v/>
      </c>
      <c r="M47" s="138">
        <f>'CP RESUMO'!AT25</f>
        <v/>
      </c>
      <c r="N47" s="139">
        <f>MAX(0,M47-M46)</f>
        <v/>
      </c>
      <c r="O47" s="138">
        <f>IF(B47&lt;='VALOR POR PL'!$P$5,'CP RESUMO'!AT67,"")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40572.76</v>
      </c>
      <c r="L48" s="49">
        <f>C48/IF(B48&lt;='VALOR POR PL'!$P$5,IFERROR(INDEX('"INCC-FGV"'!$B$2:$B$800,MATCH(B48,'"INCC-FGV"'!$A$2:$A$800,0)),$K$2),$K$2)</f>
        <v/>
      </c>
      <c r="M48" s="138">
        <f>'CP RESUMO'!AU25</f>
        <v/>
      </c>
      <c r="N48" s="139">
        <f>MAX(0,M48-M47)</f>
        <v/>
      </c>
      <c r="O48" s="138">
        <f>IF(B48&lt;='VALOR POR PL'!$P$5,'CP RESUMO'!AU67,"")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40572.76</v>
      </c>
      <c r="L49" s="49">
        <f>C49/IF(B49&lt;='VALOR POR PL'!$P$5,IFERROR(INDEX('"INCC-FGV"'!$B$2:$B$800,MATCH(B49,'"INCC-FGV"'!$A$2:$A$800,0)),$K$2),$K$2)</f>
        <v/>
      </c>
      <c r="M49" s="138">
        <f>'CP RESUMO'!AV25</f>
        <v/>
      </c>
      <c r="N49" s="139">
        <f>MAX(0,M49-M48)</f>
        <v/>
      </c>
      <c r="O49" s="138">
        <f>IF(B49&lt;='VALOR POR PL'!$P$5,'CP RESUMO'!AV67,"")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>
        <v>36042.92</v>
      </c>
      <c r="L50" s="49">
        <f>C50/IF(B50&lt;='VALOR POR PL'!$P$5,IFERROR(INDEX('"INCC-FGV"'!$B$2:$B$800,MATCH(B50,'"INCC-FGV"'!$A$2:$A$800,0)),$K$2),$K$2)</f>
        <v/>
      </c>
      <c r="M50" s="138">
        <f>'CP RESUMO'!AW25</f>
        <v/>
      </c>
      <c r="N50" s="139">
        <f>MAX(0,M50-M49)</f>
        <v/>
      </c>
      <c r="O50" s="138">
        <f>IF(B50&lt;='VALOR POR PL'!$P$5,'CP RESUMO'!AW67,"")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>
        <v>36042.92</v>
      </c>
      <c r="L51" s="49">
        <f>C51/IF(B51&lt;='VALOR POR PL'!$P$5,IFERROR(INDEX('"INCC-FGV"'!$B$2:$B$800,MATCH(B51,'"INCC-FGV"'!$A$2:$A$800,0)),$K$2),$K$2)</f>
        <v/>
      </c>
      <c r="M51" s="138">
        <f>'CP RESUMO'!AX25</f>
        <v/>
      </c>
      <c r="N51" s="139">
        <f>MAX(0,M51-M50)</f>
        <v/>
      </c>
      <c r="O51" s="138">
        <f>IF(B51&lt;='VALOR POR PL'!$P$5,'CP RESUMO'!AX67,"")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36042.92</v>
      </c>
      <c r="L52" s="49">
        <f>C52/IF(B52&lt;='VALOR POR PL'!$P$5,IFERROR(INDEX('"INCC-FGV"'!$B$2:$B$800,MATCH(B52,'"INCC-FGV"'!$A$2:$A$800,0)),$K$2),$K$2)</f>
        <v/>
      </c>
      <c r="M52" s="138">
        <f>'CP RESUMO'!AY25</f>
        <v/>
      </c>
      <c r="N52" s="139">
        <f>MAX(0,M52-M51)</f>
        <v/>
      </c>
      <c r="O52" s="138">
        <f>IF(B52&lt;='VALOR POR PL'!$P$5,'CP RESUMO'!AY67,"")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>
        <v>36042.92</v>
      </c>
      <c r="L53" s="49">
        <f>C53/IF(B53&lt;='VALOR POR PL'!$P$5,IFERROR(INDEX('"INCC-FGV"'!$B$2:$B$800,MATCH(B53,'"INCC-FGV"'!$A$2:$A$800,0)),$K$2),$K$2)</f>
        <v/>
      </c>
      <c r="M53" s="138">
        <f>'CP RESUMO'!AZ25</f>
        <v/>
      </c>
      <c r="N53" s="139">
        <f>MAX(0,M53-M52)</f>
        <v/>
      </c>
      <c r="O53" s="138">
        <f>IF(B53&lt;='VALOR POR PL'!$P$5,'CP RESUMO'!AZ67,"")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36042.92</v>
      </c>
      <c r="L54" s="49">
        <f>C54/IF(B54&lt;='VALOR POR PL'!$P$5,IFERROR(INDEX('"INCC-FGV"'!$B$2:$B$800,MATCH(B54,'"INCC-FGV"'!$A$2:$A$800,0)),$K$2),$K$2)</f>
        <v/>
      </c>
      <c r="M54" s="138">
        <f>'CP RESUMO'!BA25</f>
        <v/>
      </c>
      <c r="N54" s="139">
        <f>MAX(0,M54-M53)</f>
        <v/>
      </c>
      <c r="O54" s="138">
        <f>IF(B54&lt;='VALOR POR PL'!$P$5,'CP RESUMO'!BA67,"")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RESUMO'!BB25</f>
        <v/>
      </c>
      <c r="N55" s="139">
        <f>MAX(0,M55-M54)</f>
        <v/>
      </c>
      <c r="O55" s="138">
        <f>IF(B55&lt;='VALOR POR PL'!$P$5,'CP RESUMO'!BB67,"")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RESUMO'!BC25</f>
        <v/>
      </c>
      <c r="N56" s="139">
        <f>MAX(0,M56-M55)</f>
        <v/>
      </c>
      <c r="O56" s="138">
        <f>IF(B56&lt;='VALOR POR PL'!$P$5,'CP RESUMO'!BC67,"")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RESUMO'!BD25</f>
        <v/>
      </c>
      <c r="N57" s="139">
        <f>MAX(0,M57-M56)</f>
        <v/>
      </c>
      <c r="O57" s="138">
        <f>IF(B57&lt;='VALOR POR PL'!$P$5,'CP RESUMO'!BD67,"")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RESUMO'!BE25</f>
        <v/>
      </c>
      <c r="N58" s="139">
        <f>MAX(0,M58-M57)</f>
        <v/>
      </c>
      <c r="O58" s="138">
        <f>IF(B58&lt;='VALOR POR PL'!$P$5,'CP RESUMO'!BE67,"")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RESUMO'!BF25</f>
        <v/>
      </c>
      <c r="N59" s="139">
        <f>MAX(0,M59-M58)</f>
        <v/>
      </c>
      <c r="O59" s="138">
        <f>IF(B59&lt;='VALOR POR PL'!$P$5,'CP RESUMO'!BF67,"")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RESUMO'!BG25</f>
        <v/>
      </c>
      <c r="N60" s="139">
        <f>MAX(0,M60-M59)</f>
        <v/>
      </c>
      <c r="O60" s="138">
        <f>IF(B60&lt;='VALOR POR PL'!$P$5,'CP RESUMO'!BG67,"")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RESUMO'!BH25</f>
        <v/>
      </c>
      <c r="N61" s="139">
        <f>MAX(0,M61-M60)</f>
        <v/>
      </c>
      <c r="O61" s="138">
        <f>IF(B61&lt;='VALOR POR PL'!$P$5,'CP RESUMO'!BH67,"")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RESUMO'!BI25</f>
        <v/>
      </c>
      <c r="N62" s="139">
        <f>MAX(0,M62-M61)</f>
        <v/>
      </c>
      <c r="O62" s="138">
        <f>IF(B62&lt;='VALOR POR PL'!$P$5,'CP RESUMO'!BI67,"")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RESUMO'!BJ25</f>
        <v/>
      </c>
      <c r="N63" s="139">
        <f>MAX(0,M63-M62)</f>
        <v/>
      </c>
      <c r="O63" s="138">
        <f>IF(B63&lt;='VALOR POR PL'!$P$5,'CP RESUMO'!BJ67,"")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RESUMO'!BK25</f>
        <v/>
      </c>
      <c r="N64" s="139">
        <f>MAX(0,M64-M63)</f>
        <v/>
      </c>
      <c r="O64" s="138">
        <f>IF(B64&lt;='VALOR POR PL'!$P$5,'CP RESUMO'!BK67,"")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RESUMO'!BL25</f>
        <v/>
      </c>
      <c r="N65" s="139">
        <f>MAX(0,M65-M64)</f>
        <v/>
      </c>
      <c r="O65" s="138">
        <f>IF(B65&lt;='VALOR POR PL'!$P$5,'CP RESUMO'!BL67,"")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RESUMO'!BM25</f>
        <v/>
      </c>
      <c r="N66" s="139">
        <f>MAX(0,M66-M65)</f>
        <v/>
      </c>
      <c r="O66" s="138">
        <f>IF(B66&lt;='VALOR POR PL'!$P$5,'CP RESUMO'!BM67,"")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RESUMO'!BN25</f>
        <v/>
      </c>
      <c r="N67" s="139">
        <f>MAX(0,M67-M66)</f>
        <v/>
      </c>
      <c r="O67" s="138">
        <f>IF(B67&lt;='VALOR POR PL'!$P$5,'CP RESUMO'!BN67,"")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RESUMO'!BO25</f>
        <v/>
      </c>
      <c r="N68" s="139">
        <f>MAX(0,M68-M67)</f>
        <v/>
      </c>
      <c r="O68" s="138">
        <f>IF(B68&lt;='VALOR POR PL'!$P$5,'CP RESUMO'!BO67,"")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RESUMO'!BP25</f>
        <v/>
      </c>
      <c r="N69" s="139">
        <f>MAX(0,M69-M68)</f>
        <v/>
      </c>
      <c r="O69" s="138">
        <f>IF(B69&lt;='VALOR POR PL'!$P$5,'CP RESUMO'!BP67,"")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RESUMO'!BQ25</f>
        <v/>
      </c>
      <c r="N70" s="139">
        <f>MAX(0,M70-M69)</f>
        <v/>
      </c>
      <c r="O70" s="138">
        <f>IF(B70&lt;='VALOR POR PL'!$P$5,'CP RESUMO'!BQ67,"")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RESUMO'!BR25</f>
        <v/>
      </c>
      <c r="N71" s="139">
        <f>MAX(0,M71-M70)</f>
        <v/>
      </c>
      <c r="O71" s="138">
        <f>IF(B71&lt;='VALOR POR PL'!$P$5,'CP RESUMO'!BR67,"")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RESUMO'!BS25</f>
        <v/>
      </c>
      <c r="N72" s="139">
        <f>MAX(0,M72-M71)</f>
        <v/>
      </c>
      <c r="O72" s="138">
        <f>IF(B72&lt;='VALOR POR PL'!$P$5,'CP RESUMO'!BS67,"")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RESUMO'!BT25</f>
        <v/>
      </c>
      <c r="N73" s="139">
        <f>MAX(0,M73-M72)</f>
        <v/>
      </c>
      <c r="O73" s="138">
        <f>IF(B73&lt;='VALOR POR PL'!$P$5,'CP RESUMO'!BT67,"")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RESUMO'!BU25</f>
        <v/>
      </c>
      <c r="N74" s="139">
        <f>MAX(0,M74-M73)</f>
        <v/>
      </c>
      <c r="O74" s="138">
        <f>IF(B74&lt;='VALOR POR PL'!$P$5,'CP RESUMO'!BU67,"")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RESUMO'!BV25</f>
        <v/>
      </c>
      <c r="N75" s="139">
        <f>MAX(0,M75-M74)</f>
        <v/>
      </c>
      <c r="O75" s="138">
        <f>IF(B75&lt;='VALOR POR PL'!$P$5,'CP RESUMO'!BV67,"")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RESUMO'!BW25</f>
        <v/>
      </c>
      <c r="N76" s="139">
        <f>MAX(0,M76-M75)</f>
        <v/>
      </c>
      <c r="O76" s="138">
        <f>IF(B76&lt;='VALOR POR PL'!$P$5,'CP RESUMO'!BW67,"")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PL'!F32</f>
        <v/>
      </c>
      <c r="K5" s="60">
        <f>'VALOR POR PL'!G32</f>
        <v/>
      </c>
      <c r="L5" s="60">
        <f>'DADOS HISTORICOS'!$BZ$26</f>
        <v/>
      </c>
      <c r="M5" s="138">
        <f>'CP RESUMO'!D26</f>
        <v/>
      </c>
      <c r="N5" s="139" t="n">
        <v>0</v>
      </c>
      <c r="O5" s="138">
        <f>IF(B5&lt;='VALOR POR PL'!$P$5,'CP RESUMO'!D68,"")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PL'!H32</f>
        <v/>
      </c>
      <c r="L6" s="49">
        <f>C6/IF(B6&lt;='VALOR POR PL'!$P$5,IFERROR(INDEX('"INCC-FGV"'!$B$2:$B$800,MATCH(B6,'"INCC-FGV"'!$A$2:$A$800,0)),$K$2),$K$2)</f>
        <v/>
      </c>
      <c r="M6" s="138">
        <f>'CP RESUMO'!E26</f>
        <v/>
      </c>
      <c r="N6" s="139">
        <f>MAX(0,M6-M5)</f>
        <v/>
      </c>
      <c r="O6" s="138">
        <f>IF(B6&lt;='VALOR POR PL'!$P$5,'CP RESUMO'!E68,"")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RESUMO'!F26</f>
        <v/>
      </c>
      <c r="N7" s="139">
        <f>MAX(0,M7-M6)</f>
        <v/>
      </c>
      <c r="O7" s="138">
        <f>IF(B7&lt;='VALOR POR PL'!$P$5,'CP RESUMO'!F68,"")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RESUMO'!G26</f>
        <v/>
      </c>
      <c r="N8" s="139">
        <f>MAX(0,M8-M7)</f>
        <v/>
      </c>
      <c r="O8" s="138">
        <f>IF(B8&lt;='VALOR POR PL'!$P$5,'CP RESUMO'!G68,"")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RESUMO'!H26</f>
        <v/>
      </c>
      <c r="N9" s="139">
        <f>MAX(0,M9-M8)</f>
        <v/>
      </c>
      <c r="O9" s="138">
        <f>IF(B9&lt;='VALOR POR PL'!$P$5,'CP RESUMO'!H68,"")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RESUMO'!I26</f>
        <v/>
      </c>
      <c r="N10" s="139">
        <f>MAX(0,M10-M9)</f>
        <v/>
      </c>
      <c r="O10" s="138">
        <f>IF(B10&lt;='VALOR POR PL'!$P$5,'CP RESUMO'!I68,"")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RESUMO'!J26</f>
        <v/>
      </c>
      <c r="N11" s="139">
        <f>MAX(0,M11-M10)</f>
        <v/>
      </c>
      <c r="O11" s="138">
        <f>IF(B11&lt;='VALOR POR PL'!$P$5,'CP RESUMO'!J68,"")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RESUMO'!K26</f>
        <v/>
      </c>
      <c r="N12" s="139">
        <f>MAX(0,M12-M11)</f>
        <v/>
      </c>
      <c r="O12" s="138">
        <f>IF(B12&lt;='VALOR POR PL'!$P$5,'CP RESUMO'!K68,"")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PL'!I32</f>
        <v/>
      </c>
      <c r="L13" s="49">
        <f>C13/IF(B13&lt;='VALOR POR PL'!$P$5,IFERROR(INDEX('"INCC-FGV"'!$B$2:$B$800,MATCH(B13,'"INCC-FGV"'!$A$2:$A$800,0)),$K$2),$K$2)</f>
        <v/>
      </c>
      <c r="M13" s="138">
        <f>'CP RESUMO'!L26</f>
        <v/>
      </c>
      <c r="N13" s="139">
        <f>MAX(0,M13-M12)</f>
        <v/>
      </c>
      <c r="O13" s="138">
        <f>IF(B13&lt;='VALOR POR PL'!$P$5,'CP RESUMO'!L68,"")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RESUMO'!$D$68:$BW$68,MATCH('VALOR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RESUMO'!M26</f>
        <v/>
      </c>
      <c r="N14" s="139">
        <f>MAX(0,M14-M13)</f>
        <v/>
      </c>
      <c r="O14" s="138">
        <f>IF(B14&lt;='VALOR POR PL'!$P$5,'CP RESUMO'!M68,"")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RESUMO'!N26</f>
        <v/>
      </c>
      <c r="N15" s="139">
        <f>MAX(0,M15-M14)</f>
        <v/>
      </c>
      <c r="O15" s="138">
        <f>IF(B15&lt;='VALOR POR PL'!$P$5,'CP RESUMO'!N68,"")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RESUMO'!O26</f>
        <v/>
      </c>
      <c r="N16" s="139">
        <f>MAX(0,M16-M15)</f>
        <v/>
      </c>
      <c r="O16" s="138">
        <f>IF(B16&lt;='VALOR POR PL'!$P$5,'CP RESUMO'!O68,"")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RESUMO'!P26</f>
        <v/>
      </c>
      <c r="N17" s="139">
        <f>MAX(0,M17-M16)</f>
        <v/>
      </c>
      <c r="O17" s="138">
        <f>IF(B17&lt;='VALOR POR PL'!$P$5,'CP RESUMO'!P68,"")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RESUMO'!Q26</f>
        <v/>
      </c>
      <c r="N18" s="139">
        <f>MAX(0,M18-M17)</f>
        <v/>
      </c>
      <c r="O18" s="138">
        <f>IF(B18&lt;='VALOR POR PL'!$P$5,'CP RESUMO'!Q68,"")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RESUMO'!R26</f>
        <v/>
      </c>
      <c r="N19" s="139">
        <f>MAX(0,M19-M18)</f>
        <v/>
      </c>
      <c r="O19" s="138">
        <f>IF(B19&lt;='VALOR POR PL'!$P$5,'CP RESUMO'!R68,"")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RESUMO'!S26</f>
        <v/>
      </c>
      <c r="N20" s="139">
        <f>MAX(0,M20-M19)</f>
        <v/>
      </c>
      <c r="O20" s="138">
        <f>IF(B20&lt;='VALOR POR PL'!$P$5,'CP RESUMO'!S68,"")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RESUMO'!T26</f>
        <v/>
      </c>
      <c r="N21" s="139">
        <f>MAX(0,M21-M20)</f>
        <v/>
      </c>
      <c r="O21" s="138">
        <f>IF(B21&lt;='VALOR POR PL'!$P$5,'CP RESUMO'!T68,"")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RESUMO'!U26</f>
        <v/>
      </c>
      <c r="N22" s="139">
        <f>MAX(0,M22-M21)</f>
        <v/>
      </c>
      <c r="O22" s="138">
        <f>IF(B22&lt;='VALOR POR PL'!$P$5,'CP RESUMO'!U68,"")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RESUMO'!V26</f>
        <v/>
      </c>
      <c r="N23" s="139">
        <f>MAX(0,M23-M22)</f>
        <v/>
      </c>
      <c r="O23" s="138">
        <f>IF(B23&lt;='VALOR POR PL'!$P$5,'CP RESUMO'!V68,"")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RESUMO'!W26</f>
        <v/>
      </c>
      <c r="N24" s="139">
        <f>MAX(0,M24-M23)</f>
        <v/>
      </c>
      <c r="O24" s="138">
        <f>IF(B24&lt;='VALOR POR PL'!$P$5,'CP RESUMO'!W68,"")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RESUMO'!X26</f>
        <v/>
      </c>
      <c r="N25" s="139">
        <f>MAX(0,M25-M24)</f>
        <v/>
      </c>
      <c r="O25" s="138">
        <f>IF(B25&lt;='VALOR POR PL'!$P$5,'CP RESUMO'!X68,"")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27976.77</v>
      </c>
      <c r="L26" s="49">
        <f>C26/IF(B26&lt;='VALOR POR PL'!$P$5,IFERROR(INDEX('"INCC-FGV"'!$B$2:$B$800,MATCH(B26,'"INCC-FGV"'!$A$2:$A$800,0)),$K$2),$K$2)</f>
        <v/>
      </c>
      <c r="M26" s="138">
        <f>'CP RESUMO'!Y26</f>
        <v/>
      </c>
      <c r="N26" s="139">
        <f>MAX(0,M26-M25)</f>
        <v/>
      </c>
      <c r="O26" s="138">
        <f>IF(B26&lt;='VALOR POR PL'!$P$5,'CP RESUMO'!Y68,"")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32639.57</v>
      </c>
      <c r="L27" s="49">
        <f>C27/IF(B27&lt;='VALOR POR PL'!$P$5,IFERROR(INDEX('"INCC-FGV"'!$B$2:$B$800,MATCH(B27,'"INCC-FGV"'!$A$2:$A$800,0)),$K$2),$K$2)</f>
        <v/>
      </c>
      <c r="M27" s="138">
        <f>'CP RESUMO'!Z26</f>
        <v/>
      </c>
      <c r="N27" s="139">
        <f>MAX(0,M27-M26)</f>
        <v/>
      </c>
      <c r="O27" s="138">
        <f>IF(B27&lt;='VALOR POR PL'!$P$5,'CP RESUMO'!Z68,"")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RESUMO'!AA26</f>
        <v/>
      </c>
      <c r="N28" s="139">
        <f>MAX(0,M28-M27)</f>
        <v/>
      </c>
      <c r="O28" s="138">
        <f>IF(B28&lt;='VALOR POR PL'!$P$5,'CP RESUMO'!AA68,"")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16350.87</v>
      </c>
      <c r="L29" s="49">
        <f>C29/IF(B29&lt;='VALOR POR PL'!$P$5,IFERROR(INDEX('"INCC-FGV"'!$B$2:$B$800,MATCH(B29,'"INCC-FGV"'!$A$2:$A$800,0)),$K$2),$K$2)</f>
        <v/>
      </c>
      <c r="M29" s="138">
        <f>'CP RESUMO'!AB26</f>
        <v/>
      </c>
      <c r="N29" s="139">
        <f>MAX(0,M29-M28)</f>
        <v/>
      </c>
      <c r="O29" s="138">
        <f>IF(B29&lt;='VALOR POR PL'!$P$5,'CP RESUMO'!AB68,"")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23873.51</v>
      </c>
      <c r="L30" s="49">
        <f>C30/IF(B30&lt;='VALOR POR PL'!$P$5,IFERROR(INDEX('"INCC-FGV"'!$B$2:$B$800,MATCH(B30,'"INCC-FGV"'!$A$2:$A$800,0)),$K$2),$K$2)</f>
        <v/>
      </c>
      <c r="M30" s="138">
        <f>'CP RESUMO'!AC26</f>
        <v/>
      </c>
      <c r="N30" s="139">
        <f>MAX(0,M30-M29)</f>
        <v/>
      </c>
      <c r="O30" s="138">
        <f>IF(B30&lt;='VALOR POR PL'!$P$5,'CP RESUMO'!AC68,"")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43581.6</v>
      </c>
      <c r="L31" s="49">
        <f>C31/IF(B31&lt;='VALOR POR PL'!$P$5,IFERROR(INDEX('"INCC-FGV"'!$B$2:$B$800,MATCH(B31,'"INCC-FGV"'!$A$2:$A$800,0)),$K$2),$K$2)</f>
        <v/>
      </c>
      <c r="M31" s="138">
        <f>'CP RESUMO'!AD26</f>
        <v/>
      </c>
      <c r="N31" s="139">
        <f>MAX(0,M31-M30)</f>
        <v/>
      </c>
      <c r="O31" s="138">
        <f>IF(B31&lt;='VALOR POR PL'!$P$5,'CP RESUMO'!AD68,"")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27230.73</v>
      </c>
      <c r="L32" s="49">
        <f>C32/IF(B32&lt;='VALOR POR PL'!$P$5,IFERROR(INDEX('"INCC-FGV"'!$B$2:$B$800,MATCH(B32,'"INCC-FGV"'!$A$2:$A$800,0)),$K$2),$K$2)</f>
        <v/>
      </c>
      <c r="M32" s="138">
        <f>'CP RESUMO'!AE26</f>
        <v/>
      </c>
      <c r="N32" s="139">
        <f>MAX(0,M32-M31)</f>
        <v/>
      </c>
      <c r="O32" s="138">
        <f>IF(B32&lt;='VALOR POR PL'!$P$5,'CP RESUMO'!AE68,"")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45384.54</v>
      </c>
      <c r="L33" s="49">
        <f>C33/IF(B33&lt;='VALOR POR PL'!$P$5,IFERROR(INDEX('"INCC-FGV"'!$B$2:$B$800,MATCH(B33,'"INCC-FGV"'!$A$2:$A$800,0)),$K$2),$K$2)</f>
        <v/>
      </c>
      <c r="M33" s="138">
        <f>'CP RESUMO'!AF26</f>
        <v/>
      </c>
      <c r="N33" s="139">
        <f>MAX(0,M33-M32)</f>
        <v/>
      </c>
      <c r="O33" s="138">
        <f>IF(B33&lt;='VALOR POR PL'!$P$5,'CP RESUMO'!AF68,"")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42649.04</v>
      </c>
      <c r="L34" s="49">
        <f>C34/IF(B34&lt;='VALOR POR PL'!$P$5,IFERROR(INDEX('"INCC-FGV"'!$B$2:$B$800,MATCH(B34,'"INCC-FGV"'!$A$2:$A$800,0)),$K$2),$K$2)</f>
        <v/>
      </c>
      <c r="M34" s="138">
        <f>'CP RESUMO'!AG26</f>
        <v/>
      </c>
      <c r="N34" s="139">
        <f>MAX(0,M34-M33)</f>
        <v/>
      </c>
      <c r="O34" s="138">
        <f>IF(B34&lt;='VALOR POR PL'!$P$5,'CP RESUMO'!AG68,"")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61984.1</v>
      </c>
      <c r="L35" s="49">
        <f>C35/IF(B35&lt;='VALOR POR PL'!$P$5,IFERROR(INDEX('"INCC-FGV"'!$B$2:$B$800,MATCH(B35,'"INCC-FGV"'!$A$2:$A$800,0)),$K$2),$K$2)</f>
        <v/>
      </c>
      <c r="M35" s="138">
        <f>'CP RESUMO'!AH26</f>
        <v/>
      </c>
      <c r="N35" s="139">
        <f>MAX(0,M35-M34)</f>
        <v/>
      </c>
      <c r="O35" s="138">
        <f>IF(B35&lt;='VALOR POR PL'!$P$5,'CP RESUMO'!AH68,"")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51539.43</v>
      </c>
      <c r="L36" s="49">
        <f>C36/IF(B36&lt;='VALOR POR PL'!$P$5,IFERROR(INDEX('"INCC-FGV"'!$B$2:$B$800,MATCH(B36,'"INCC-FGV"'!$A$2:$A$800,0)),$K$2),$K$2)</f>
        <v/>
      </c>
      <c r="M36" s="138">
        <f>'CP RESUMO'!AI26</f>
        <v/>
      </c>
      <c r="N36" s="139">
        <f>MAX(0,M36-M35)</f>
        <v/>
      </c>
      <c r="O36" s="138">
        <f>IF(B36&lt;='VALOR POR PL'!$P$5,'CP RESUMO'!AI68,"")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49114.78</v>
      </c>
      <c r="L37" s="49">
        <f>C37/IF(B37&lt;='VALOR POR PL'!$P$5,IFERROR(INDEX('"INCC-FGV"'!$B$2:$B$800,MATCH(B37,'"INCC-FGV"'!$A$2:$A$800,0)),$K$2),$K$2)</f>
        <v/>
      </c>
      <c r="M37" s="138">
        <f>'CP RESUMO'!AJ26</f>
        <v/>
      </c>
      <c r="N37" s="139">
        <f>MAX(0,M37-M36)</f>
        <v/>
      </c>
      <c r="O37" s="138">
        <f>IF(B37&lt;='VALOR POR PL'!$P$5,'CP RESUMO'!AJ68,"")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16537.38</v>
      </c>
      <c r="L38" s="49">
        <f>C38/IF(B38&lt;='VALOR POR PL'!$P$5,IFERROR(INDEX('"INCC-FGV"'!$B$2:$B$800,MATCH(B38,'"INCC-FGV"'!$A$2:$A$800,0)),$K$2),$K$2)</f>
        <v/>
      </c>
      <c r="M38" s="138">
        <f>'CP RESUMO'!AK26</f>
        <v/>
      </c>
      <c r="N38" s="139">
        <f>MAX(0,M38-M37)</f>
        <v/>
      </c>
      <c r="O38" s="138">
        <f>IF(B38&lt;='VALOR POR PL'!$P$5,'CP RESUMO'!AK68,"")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8330.860000000001</v>
      </c>
      <c r="L39" s="49">
        <f>C39/IF(B39&lt;='VALOR POR PL'!$P$5,IFERROR(INDEX('"INCC-FGV"'!$B$2:$B$800,MATCH(B39,'"INCC-FGV"'!$A$2:$A$800,0)),$K$2),$K$2)</f>
        <v/>
      </c>
      <c r="M39" s="138">
        <f>'CP RESUMO'!AL26</f>
        <v/>
      </c>
      <c r="N39" s="139">
        <f>MAX(0,M39-M38)</f>
        <v/>
      </c>
      <c r="O39" s="138">
        <f>IF(B39&lt;='VALOR POR PL'!$P$5,'CP RESUMO'!AL68,"")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9512.1</v>
      </c>
      <c r="L40" s="49">
        <f>C40/IF(B40&lt;='VALOR POR PL'!$P$5,IFERROR(INDEX('"INCC-FGV"'!$B$2:$B$800,MATCH(B40,'"INCC-FGV"'!$A$2:$A$800,0)),$K$2),$K$2)</f>
        <v/>
      </c>
      <c r="M40" s="138">
        <f>'CP RESUMO'!AM26</f>
        <v/>
      </c>
      <c r="N40" s="139">
        <f>MAX(0,M40-M39)</f>
        <v/>
      </c>
      <c r="O40" s="138">
        <f>IF(B40&lt;='VALOR POR PL'!$P$5,'CP RESUMO'!AM68,"")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7398.3</v>
      </c>
      <c r="L41" s="49">
        <f>C41/IF(B41&lt;='VALOR POR PL'!$P$5,IFERROR(INDEX('"INCC-FGV"'!$B$2:$B$800,MATCH(B41,'"INCC-FGV"'!$A$2:$A$800,0)),$K$2),$K$2)</f>
        <v/>
      </c>
      <c r="M41" s="138">
        <f>'CP RESUMO'!AN26</f>
        <v/>
      </c>
      <c r="N41" s="139">
        <f>MAX(0,M41-M40)</f>
        <v/>
      </c>
      <c r="O41" s="138">
        <f>IF(B41&lt;='VALOR POR PL'!$P$5,'CP RESUMO'!AN68,"")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RESUMO'!AO26</f>
        <v/>
      </c>
      <c r="N42" s="139">
        <f>MAX(0,M42-M41)</f>
        <v/>
      </c>
      <c r="O42" s="138">
        <f>IF(B42&lt;='VALOR POR PL'!$P$5,'CP RESUMO'!AO68,"")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/>
      <c r="L43" s="49">
        <f>C43/IF(B43&lt;='VALOR POR PL'!$P$5,IFERROR(INDEX('"INCC-FGV"'!$B$2:$B$800,MATCH(B43,'"INCC-FGV"'!$A$2:$A$800,0)),$K$2),$K$2)</f>
        <v/>
      </c>
      <c r="M43" s="138">
        <f>'CP RESUMO'!AP26</f>
        <v/>
      </c>
      <c r="N43" s="139">
        <f>MAX(0,M43-M42)</f>
        <v/>
      </c>
      <c r="O43" s="138">
        <f>IF(B43&lt;='VALOR POR PL'!$P$5,'CP RESUMO'!AP68,"")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42283.59</v>
      </c>
      <c r="L44" s="49">
        <f>C44/IF(B44&lt;='VALOR POR PL'!$P$5,IFERROR(INDEX('"INCC-FGV"'!$B$2:$B$800,MATCH(B44,'"INCC-FGV"'!$A$2:$A$800,0)),$K$2),$K$2)</f>
        <v/>
      </c>
      <c r="M44" s="138">
        <f>'CP RESUMO'!AQ26</f>
        <v/>
      </c>
      <c r="N44" s="139">
        <f>MAX(0,M44-M43)</f>
        <v/>
      </c>
      <c r="O44" s="138">
        <f>IF(B44&lt;='VALOR POR PL'!$P$5,'CP RESUMO'!AQ68,"")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RESUMO'!AR26</f>
        <v/>
      </c>
      <c r="N45" s="139">
        <f>MAX(0,M45-M44)</f>
        <v/>
      </c>
      <c r="O45" s="138">
        <f>IF(B45&lt;='VALOR POR PL'!$P$5,'CP RESUMO'!AR68,"")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RESUMO'!AS26</f>
        <v/>
      </c>
      <c r="N46" s="139">
        <f>MAX(0,M46-M45)</f>
        <v/>
      </c>
      <c r="O46" s="138">
        <f>IF(B46&lt;='VALOR POR PL'!$P$5,'CP RESUMO'!AS68,"")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RESUMO'!AT26</f>
        <v/>
      </c>
      <c r="N47" s="139">
        <f>MAX(0,M47-M46)</f>
        <v/>
      </c>
      <c r="O47" s="138">
        <f>IF(B47&lt;='VALOR POR PL'!$P$5,'CP RESUMO'!AT68,"")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RESUMO'!AU26</f>
        <v/>
      </c>
      <c r="N48" s="139">
        <f>MAX(0,M48-M47)</f>
        <v/>
      </c>
      <c r="O48" s="138">
        <f>IF(B48&lt;='VALOR POR PL'!$P$5,'CP RESUMO'!AU68,"")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RESUMO'!AV26</f>
        <v/>
      </c>
      <c r="N49" s="139">
        <f>MAX(0,M49-M48)</f>
        <v/>
      </c>
      <c r="O49" s="138">
        <f>IF(B49&lt;='VALOR POR PL'!$P$5,'CP RESUMO'!AV68,"")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RESUMO'!AW26</f>
        <v/>
      </c>
      <c r="N50" s="139">
        <f>MAX(0,M50-M49)</f>
        <v/>
      </c>
      <c r="O50" s="138">
        <f>IF(B50&lt;='VALOR POR PL'!$P$5,'CP RESUMO'!AW68,"")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RESUMO'!AX26</f>
        <v/>
      </c>
      <c r="N51" s="139">
        <f>MAX(0,M51-M50)</f>
        <v/>
      </c>
      <c r="O51" s="138">
        <f>IF(B51&lt;='VALOR POR PL'!$P$5,'CP RESUMO'!AX68,"")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RESUMO'!AY26</f>
        <v/>
      </c>
      <c r="N52" s="139">
        <f>MAX(0,M52-M51)</f>
        <v/>
      </c>
      <c r="O52" s="138">
        <f>IF(B52&lt;='VALOR POR PL'!$P$5,'CP RESUMO'!AY68,"")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RESUMO'!AZ26</f>
        <v/>
      </c>
      <c r="N53" s="139">
        <f>MAX(0,M53-M52)</f>
        <v/>
      </c>
      <c r="O53" s="138">
        <f>IF(B53&lt;='VALOR POR PL'!$P$5,'CP RESUMO'!AZ68,"")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RESUMO'!BA26</f>
        <v/>
      </c>
      <c r="N54" s="139">
        <f>MAX(0,M54-M53)</f>
        <v/>
      </c>
      <c r="O54" s="138">
        <f>IF(B54&lt;='VALOR POR PL'!$P$5,'CP RESUMO'!BA68,"")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RESUMO'!BB26</f>
        <v/>
      </c>
      <c r="N55" s="139">
        <f>MAX(0,M55-M54)</f>
        <v/>
      </c>
      <c r="O55" s="138">
        <f>IF(B55&lt;='VALOR POR PL'!$P$5,'CP RESUMO'!BB68,"")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RESUMO'!BC26</f>
        <v/>
      </c>
      <c r="N56" s="139">
        <f>MAX(0,M56-M55)</f>
        <v/>
      </c>
      <c r="O56" s="138">
        <f>IF(B56&lt;='VALOR POR PL'!$P$5,'CP RESUMO'!BC68,"")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RESUMO'!BD26</f>
        <v/>
      </c>
      <c r="N57" s="139">
        <f>MAX(0,M57-M56)</f>
        <v/>
      </c>
      <c r="O57" s="138">
        <f>IF(B57&lt;='VALOR POR PL'!$P$5,'CP RESUMO'!BD68,"")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RESUMO'!BE26</f>
        <v/>
      </c>
      <c r="N58" s="139">
        <f>MAX(0,M58-M57)</f>
        <v/>
      </c>
      <c r="O58" s="138">
        <f>IF(B58&lt;='VALOR POR PL'!$P$5,'CP RESUMO'!BE68,"")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RESUMO'!BF26</f>
        <v/>
      </c>
      <c r="N59" s="139">
        <f>MAX(0,M59-M58)</f>
        <v/>
      </c>
      <c r="O59" s="138">
        <f>IF(B59&lt;='VALOR POR PL'!$P$5,'CP RESUMO'!BF68,"")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RESUMO'!BG26</f>
        <v/>
      </c>
      <c r="N60" s="139">
        <f>MAX(0,M60-M59)</f>
        <v/>
      </c>
      <c r="O60" s="138">
        <f>IF(B60&lt;='VALOR POR PL'!$P$5,'CP RESUMO'!BG68,"")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RESUMO'!BH26</f>
        <v/>
      </c>
      <c r="N61" s="139">
        <f>MAX(0,M61-M60)</f>
        <v/>
      </c>
      <c r="O61" s="138">
        <f>IF(B61&lt;='VALOR POR PL'!$P$5,'CP RESUMO'!BH68,"")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RESUMO'!BI26</f>
        <v/>
      </c>
      <c r="N62" s="139">
        <f>MAX(0,M62-M61)</f>
        <v/>
      </c>
      <c r="O62" s="138">
        <f>IF(B62&lt;='VALOR POR PL'!$P$5,'CP RESUMO'!BI68,"")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RESUMO'!BJ26</f>
        <v/>
      </c>
      <c r="N63" s="139">
        <f>MAX(0,M63-M62)</f>
        <v/>
      </c>
      <c r="O63" s="138">
        <f>IF(B63&lt;='VALOR POR PL'!$P$5,'CP RESUMO'!BJ68,"")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RESUMO'!BK26</f>
        <v/>
      </c>
      <c r="N64" s="139">
        <f>MAX(0,M64-M63)</f>
        <v/>
      </c>
      <c r="O64" s="138">
        <f>IF(B64&lt;='VALOR POR PL'!$P$5,'CP RESUMO'!BK68,"")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RESUMO'!BL26</f>
        <v/>
      </c>
      <c r="N65" s="139">
        <f>MAX(0,M65-M64)</f>
        <v/>
      </c>
      <c r="O65" s="138">
        <f>IF(B65&lt;='VALOR POR PL'!$P$5,'CP RESUMO'!BL68,"")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RESUMO'!BM26</f>
        <v/>
      </c>
      <c r="N66" s="139">
        <f>MAX(0,M66-M65)</f>
        <v/>
      </c>
      <c r="O66" s="138">
        <f>IF(B66&lt;='VALOR POR PL'!$P$5,'CP RESUMO'!BM68,"")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RESUMO'!BN26</f>
        <v/>
      </c>
      <c r="N67" s="139">
        <f>MAX(0,M67-M66)</f>
        <v/>
      </c>
      <c r="O67" s="138">
        <f>IF(B67&lt;='VALOR POR PL'!$P$5,'CP RESUMO'!BN68,"")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RESUMO'!BO26</f>
        <v/>
      </c>
      <c r="N68" s="139">
        <f>MAX(0,M68-M67)</f>
        <v/>
      </c>
      <c r="O68" s="138">
        <f>IF(B68&lt;='VALOR POR PL'!$P$5,'CP RESUMO'!BO68,"")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RESUMO'!BP26</f>
        <v/>
      </c>
      <c r="N69" s="139">
        <f>MAX(0,M69-M68)</f>
        <v/>
      </c>
      <c r="O69" s="138">
        <f>IF(B69&lt;='VALOR POR PL'!$P$5,'CP RESUMO'!BP68,"")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RESUMO'!BQ26</f>
        <v/>
      </c>
      <c r="N70" s="139">
        <f>MAX(0,M70-M69)</f>
        <v/>
      </c>
      <c r="O70" s="138">
        <f>IF(B70&lt;='VALOR POR PL'!$P$5,'CP RESUMO'!BQ68,"")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RESUMO'!BR26</f>
        <v/>
      </c>
      <c r="N71" s="139">
        <f>MAX(0,M71-M70)</f>
        <v/>
      </c>
      <c r="O71" s="138">
        <f>IF(B71&lt;='VALOR POR PL'!$P$5,'CP RESUMO'!BR68,"")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RESUMO'!BS26</f>
        <v/>
      </c>
      <c r="N72" s="139">
        <f>MAX(0,M72-M71)</f>
        <v/>
      </c>
      <c r="O72" s="138">
        <f>IF(B72&lt;='VALOR POR PL'!$P$5,'CP RESUMO'!BS68,"")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RESUMO'!BT26</f>
        <v/>
      </c>
      <c r="N73" s="139">
        <f>MAX(0,M73-M72)</f>
        <v/>
      </c>
      <c r="O73" s="138">
        <f>IF(B73&lt;='VALOR POR PL'!$P$5,'CP RESUMO'!BT68,"")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RESUMO'!BU26</f>
        <v/>
      </c>
      <c r="N74" s="139">
        <f>MAX(0,M74-M73)</f>
        <v/>
      </c>
      <c r="O74" s="138">
        <f>IF(B74&lt;='VALOR POR PL'!$P$5,'CP RESUMO'!BU68,"")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RESUMO'!BV26</f>
        <v/>
      </c>
      <c r="N75" s="139">
        <f>MAX(0,M75-M74)</f>
        <v/>
      </c>
      <c r="O75" s="138">
        <f>IF(B75&lt;='VALOR POR PL'!$P$5,'CP RESUMO'!BV68,"")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RESUMO'!BW26</f>
        <v/>
      </c>
      <c r="N76" s="139">
        <f>MAX(0,M76-M75)</f>
        <v/>
      </c>
      <c r="O76" s="138">
        <f>IF(B76&lt;='VALOR POR PL'!$P$5,'CP RESUMO'!BW68,"")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PL'!F33</f>
        <v/>
      </c>
      <c r="K5" s="60">
        <f>'VALOR POR PL'!G33</f>
        <v/>
      </c>
      <c r="L5" s="60">
        <f>'DADOS HISTORICOS'!$BZ$27</f>
        <v/>
      </c>
      <c r="M5" s="138">
        <f>'CP RESUMO'!D27</f>
        <v/>
      </c>
      <c r="N5" s="139" t="n">
        <v>0</v>
      </c>
      <c r="O5" s="138">
        <f>IF(B5&lt;='VALOR POR PL'!$P$5,'CP RESUMO'!D69,"")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PL'!H33</f>
        <v/>
      </c>
      <c r="L6" s="49">
        <f>C6/IF(B6&lt;='VALOR POR PL'!$P$5,IFERROR(INDEX('"INCC-FGV"'!$B$2:$B$800,MATCH(B6,'"INCC-FGV"'!$A$2:$A$800,0)),$K$2),$K$2)</f>
        <v/>
      </c>
      <c r="M6" s="138">
        <f>'CP RESUMO'!E27</f>
        <v/>
      </c>
      <c r="N6" s="139">
        <f>MAX(0,M6-M5)</f>
        <v/>
      </c>
      <c r="O6" s="138">
        <f>IF(B6&lt;='VALOR POR PL'!$P$5,'CP RESUMO'!E69,"")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RESUMO'!F27</f>
        <v/>
      </c>
      <c r="N7" s="139">
        <f>MAX(0,M7-M6)</f>
        <v/>
      </c>
      <c r="O7" s="138">
        <f>IF(B7&lt;='VALOR POR PL'!$P$5,'CP RESUMO'!F69,"")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RESUMO'!G27</f>
        <v/>
      </c>
      <c r="N8" s="139">
        <f>MAX(0,M8-M7)</f>
        <v/>
      </c>
      <c r="O8" s="138">
        <f>IF(B8&lt;='VALOR POR PL'!$P$5,'CP RESUMO'!G69,"")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RESUMO'!H27</f>
        <v/>
      </c>
      <c r="N9" s="139">
        <f>MAX(0,M9-M8)</f>
        <v/>
      </c>
      <c r="O9" s="138">
        <f>IF(B9&lt;='VALOR POR PL'!$P$5,'CP RESUMO'!H69,"")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RESUMO'!I27</f>
        <v/>
      </c>
      <c r="N10" s="139">
        <f>MAX(0,M10-M9)</f>
        <v/>
      </c>
      <c r="O10" s="138">
        <f>IF(B10&lt;='VALOR POR PL'!$P$5,'CP RESUMO'!I69,"")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RESUMO'!J27</f>
        <v/>
      </c>
      <c r="N11" s="139">
        <f>MAX(0,M11-M10)</f>
        <v/>
      </c>
      <c r="O11" s="138">
        <f>IF(B11&lt;='VALOR POR PL'!$P$5,'CP RESUMO'!J69,"")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RESUMO'!K27</f>
        <v/>
      </c>
      <c r="N12" s="139">
        <f>MAX(0,M12-M11)</f>
        <v/>
      </c>
      <c r="O12" s="138">
        <f>IF(B12&lt;='VALOR POR PL'!$P$5,'CP RESUMO'!K69,"")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PL'!I33</f>
        <v/>
      </c>
      <c r="L13" s="49">
        <f>C13/IF(B13&lt;='VALOR POR PL'!$P$5,IFERROR(INDEX('"INCC-FGV"'!$B$2:$B$800,MATCH(B13,'"INCC-FGV"'!$A$2:$A$800,0)),$K$2),$K$2)</f>
        <v/>
      </c>
      <c r="M13" s="138">
        <f>'CP RESUMO'!L27</f>
        <v/>
      </c>
      <c r="N13" s="139">
        <f>MAX(0,M13-M12)</f>
        <v/>
      </c>
      <c r="O13" s="138">
        <f>IF(B13&lt;='VALOR POR PL'!$P$5,'CP RESUMO'!L69,"")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RESUMO'!$D$69:$BW$69,MATCH('VALOR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RESUMO'!M27</f>
        <v/>
      </c>
      <c r="N14" s="139">
        <f>MAX(0,M14-M13)</f>
        <v/>
      </c>
      <c r="O14" s="138">
        <f>IF(B14&lt;='VALOR POR PL'!$P$5,'CP RESUMO'!M69,"")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RESUMO'!N27</f>
        <v/>
      </c>
      <c r="N15" s="139">
        <f>MAX(0,M15-M14)</f>
        <v/>
      </c>
      <c r="O15" s="138">
        <f>IF(B15&lt;='VALOR POR PL'!$P$5,'CP RESUMO'!N69,"")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RESUMO'!O27</f>
        <v/>
      </c>
      <c r="N16" s="139">
        <f>MAX(0,M16-M15)</f>
        <v/>
      </c>
      <c r="O16" s="138">
        <f>IF(B16&lt;='VALOR POR PL'!$P$5,'CP RESUMO'!O69,"")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RESUMO'!P27</f>
        <v/>
      </c>
      <c r="N17" s="139">
        <f>MAX(0,M17-M16)</f>
        <v/>
      </c>
      <c r="O17" s="138">
        <f>IF(B17&lt;='VALOR POR PL'!$P$5,'CP RESUMO'!P69,"")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RESUMO'!Q27</f>
        <v/>
      </c>
      <c r="N18" s="139">
        <f>MAX(0,M18-M17)</f>
        <v/>
      </c>
      <c r="O18" s="138">
        <f>IF(B18&lt;='VALOR POR PL'!$P$5,'CP RESUMO'!Q69,"")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RESUMO'!R27</f>
        <v/>
      </c>
      <c r="N19" s="139">
        <f>MAX(0,M19-M18)</f>
        <v/>
      </c>
      <c r="O19" s="138">
        <f>IF(B19&lt;='VALOR POR PL'!$P$5,'CP RESUMO'!R69,"")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RESUMO'!S27</f>
        <v/>
      </c>
      <c r="N20" s="139">
        <f>MAX(0,M20-M19)</f>
        <v/>
      </c>
      <c r="O20" s="138">
        <f>IF(B20&lt;='VALOR POR PL'!$P$5,'CP RESUMO'!S69,"")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RESUMO'!T27</f>
        <v/>
      </c>
      <c r="N21" s="139">
        <f>MAX(0,M21-M20)</f>
        <v/>
      </c>
      <c r="O21" s="138">
        <f>IF(B21&lt;='VALOR POR PL'!$P$5,'CP RESUMO'!T69,"")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RESUMO'!U27</f>
        <v/>
      </c>
      <c r="N22" s="139">
        <f>MAX(0,M22-M21)</f>
        <v/>
      </c>
      <c r="O22" s="138">
        <f>IF(B22&lt;='VALOR POR PL'!$P$5,'CP RESUMO'!U69,"")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RESUMO'!V27</f>
        <v/>
      </c>
      <c r="N23" s="139">
        <f>MAX(0,M23-M22)</f>
        <v/>
      </c>
      <c r="O23" s="138">
        <f>IF(B23&lt;='VALOR POR PL'!$P$5,'CP RESUMO'!V69,"")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RESUMO'!W27</f>
        <v/>
      </c>
      <c r="N24" s="139">
        <f>MAX(0,M24-M23)</f>
        <v/>
      </c>
      <c r="O24" s="138">
        <f>IF(B24&lt;='VALOR POR PL'!$P$5,'CP RESUMO'!W69,"")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RESUMO'!X27</f>
        <v/>
      </c>
      <c r="N25" s="139">
        <f>MAX(0,M25-M24)</f>
        <v/>
      </c>
      <c r="O25" s="138">
        <f>IF(B25&lt;='VALOR POR PL'!$P$5,'CP RESUMO'!X69,"")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2108.66</v>
      </c>
      <c r="L26" s="49">
        <f>C26/IF(B26&lt;='VALOR POR PL'!$P$5,IFERROR(INDEX('"INCC-FGV"'!$B$2:$B$800,MATCH(B26,'"INCC-FGV"'!$A$2:$A$800,0)),$K$2),$K$2)</f>
        <v/>
      </c>
      <c r="M26" s="138">
        <f>'CP RESUMO'!Y27</f>
        <v/>
      </c>
      <c r="N26" s="139">
        <f>MAX(0,M26-M25)</f>
        <v/>
      </c>
      <c r="O26" s="138">
        <f>IF(B26&lt;='VALOR POR PL'!$P$5,'CP RESUMO'!Y69,"")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3477.93</v>
      </c>
      <c r="L27" s="49">
        <f>C27/IF(B27&lt;='VALOR POR PL'!$P$5,IFERROR(INDEX('"INCC-FGV"'!$B$2:$B$800,MATCH(B27,'"INCC-FGV"'!$A$2:$A$800,0)),$K$2),$K$2)</f>
        <v/>
      </c>
      <c r="M27" s="138">
        <f>'CP RESUMO'!Z27</f>
        <v/>
      </c>
      <c r="N27" s="139">
        <f>MAX(0,M27-M26)</f>
        <v/>
      </c>
      <c r="O27" s="138">
        <f>IF(B27&lt;='VALOR POR PL'!$P$5,'CP RESUMO'!Z69,"")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8847.01</v>
      </c>
      <c r="L28" s="49">
        <f>C28/IF(B28&lt;='VALOR POR PL'!$P$5,IFERROR(INDEX('"INCC-FGV"'!$B$2:$B$800,MATCH(B28,'"INCC-FGV"'!$A$2:$A$800,0)),$K$2),$K$2)</f>
        <v/>
      </c>
      <c r="M28" s="138">
        <f>'CP RESUMO'!AA27</f>
        <v/>
      </c>
      <c r="N28" s="139">
        <f>MAX(0,M28-M27)</f>
        <v/>
      </c>
      <c r="O28" s="138">
        <f>IF(B28&lt;='VALOR POR PL'!$P$5,'CP RESUMO'!AA69,"")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13585.01</v>
      </c>
      <c r="L29" s="49">
        <f>C29/IF(B29&lt;='VALOR POR PL'!$P$5,IFERROR(INDEX('"INCC-FGV"'!$B$2:$B$800,MATCH(B29,'"INCC-FGV"'!$A$2:$A$800,0)),$K$2),$K$2)</f>
        <v/>
      </c>
      <c r="M29" s="138">
        <f>'CP RESUMO'!AB27</f>
        <v/>
      </c>
      <c r="N29" s="139">
        <f>MAX(0,M29-M28)</f>
        <v/>
      </c>
      <c r="O29" s="138">
        <f>IF(B29&lt;='VALOR POR PL'!$P$5,'CP RESUMO'!AB69,"")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89009.24000000001</v>
      </c>
      <c r="L30" s="49">
        <f>C30/IF(B30&lt;='VALOR POR PL'!$P$5,IFERROR(INDEX('"INCC-FGV"'!$B$2:$B$800,MATCH(B30,'"INCC-FGV"'!$A$2:$A$800,0)),$K$2),$K$2)</f>
        <v/>
      </c>
      <c r="M30" s="138">
        <f>'CP RESUMO'!AC27</f>
        <v/>
      </c>
      <c r="N30" s="139">
        <f>MAX(0,M30-M29)</f>
        <v/>
      </c>
      <c r="O30" s="138">
        <f>IF(B30&lt;='VALOR POR PL'!$P$5,'CP RESUMO'!AC69,"")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97775.42999999999</v>
      </c>
      <c r="L31" s="49">
        <f>C31/IF(B31&lt;='VALOR POR PL'!$P$5,IFERROR(INDEX('"INCC-FGV"'!$B$2:$B$800,MATCH(B31,'"INCC-FGV"'!$A$2:$A$800,0)),$K$2),$K$2)</f>
        <v/>
      </c>
      <c r="M31" s="138">
        <f>'CP RESUMO'!AD27</f>
        <v/>
      </c>
      <c r="N31" s="139">
        <f>MAX(0,M31-M30)</f>
        <v/>
      </c>
      <c r="O31" s="138">
        <f>IF(B31&lt;='VALOR POR PL'!$P$5,'CP RESUMO'!AD69,"")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164074.48</v>
      </c>
      <c r="L32" s="49">
        <f>C32/IF(B32&lt;='VALOR POR PL'!$P$5,IFERROR(INDEX('"INCC-FGV"'!$B$2:$B$800,MATCH(B32,'"INCC-FGV"'!$A$2:$A$800,0)),$K$2),$K$2)</f>
        <v/>
      </c>
      <c r="M32" s="138">
        <f>'CP RESUMO'!AE27</f>
        <v/>
      </c>
      <c r="N32" s="139">
        <f>MAX(0,M32-M31)</f>
        <v/>
      </c>
      <c r="O32" s="138">
        <f>IF(B32&lt;='VALOR POR PL'!$P$5,'CP RESUMO'!AE69,"")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162176.45</v>
      </c>
      <c r="L33" s="49">
        <f>C33/IF(B33&lt;='VALOR POR PL'!$P$5,IFERROR(INDEX('"INCC-FGV"'!$B$2:$B$800,MATCH(B33,'"INCC-FGV"'!$A$2:$A$800,0)),$K$2),$K$2)</f>
        <v/>
      </c>
      <c r="M33" s="138">
        <f>'CP RESUMO'!AF27</f>
        <v/>
      </c>
      <c r="N33" s="139">
        <f>MAX(0,M33-M32)</f>
        <v/>
      </c>
      <c r="O33" s="138">
        <f>IF(B33&lt;='VALOR POR PL'!$P$5,'CP RESUMO'!AF69,"")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198279.99</v>
      </c>
      <c r="L34" s="49">
        <f>C34/IF(B34&lt;='VALOR POR PL'!$P$5,IFERROR(INDEX('"INCC-FGV"'!$B$2:$B$800,MATCH(B34,'"INCC-FGV"'!$A$2:$A$800,0)),$K$2),$K$2)</f>
        <v/>
      </c>
      <c r="M34" s="138">
        <f>'CP RESUMO'!AG27</f>
        <v/>
      </c>
      <c r="N34" s="139">
        <f>MAX(0,M34-M33)</f>
        <v/>
      </c>
      <c r="O34" s="138">
        <f>IF(B34&lt;='VALOR POR PL'!$P$5,'CP RESUMO'!AG69,"")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134897.95</v>
      </c>
      <c r="L35" s="49">
        <f>C35/IF(B35&lt;='VALOR POR PL'!$P$5,IFERROR(INDEX('"INCC-FGV"'!$B$2:$B$800,MATCH(B35,'"INCC-FGV"'!$A$2:$A$800,0)),$K$2),$K$2)</f>
        <v/>
      </c>
      <c r="M35" s="138">
        <f>'CP RESUMO'!AH27</f>
        <v/>
      </c>
      <c r="N35" s="139">
        <f>MAX(0,M35-M34)</f>
        <v/>
      </c>
      <c r="O35" s="138">
        <f>IF(B35&lt;='VALOR POR PL'!$P$5,'CP RESUMO'!AH69,"")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134426.8</v>
      </c>
      <c r="L36" s="49">
        <f>C36/IF(B36&lt;='VALOR POR PL'!$P$5,IFERROR(INDEX('"INCC-FGV"'!$B$2:$B$800,MATCH(B36,'"INCC-FGV"'!$A$2:$A$800,0)),$K$2),$K$2)</f>
        <v/>
      </c>
      <c r="M36" s="138">
        <f>'CP RESUMO'!AI27</f>
        <v/>
      </c>
      <c r="N36" s="139">
        <f>MAX(0,M36-M35)</f>
        <v/>
      </c>
      <c r="O36" s="138">
        <f>IF(B36&lt;='VALOR POR PL'!$P$5,'CP RESUMO'!AI69,"")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270261.29</v>
      </c>
      <c r="L37" s="49">
        <f>C37/IF(B37&lt;='VALOR POR PL'!$P$5,IFERROR(INDEX('"INCC-FGV"'!$B$2:$B$800,MATCH(B37,'"INCC-FGV"'!$A$2:$A$800,0)),$K$2),$K$2)</f>
        <v/>
      </c>
      <c r="M37" s="138">
        <f>'CP RESUMO'!AJ27</f>
        <v/>
      </c>
      <c r="N37" s="139">
        <f>MAX(0,M37-M36)</f>
        <v/>
      </c>
      <c r="O37" s="138">
        <f>IF(B37&lt;='VALOR POR PL'!$P$5,'CP RESUMO'!AJ69,"")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311960.24</v>
      </c>
      <c r="L38" s="49">
        <f>C38/IF(B38&lt;='VALOR POR PL'!$P$5,IFERROR(INDEX('"INCC-FGV"'!$B$2:$B$800,MATCH(B38,'"INCC-FGV"'!$A$2:$A$800,0)),$K$2),$K$2)</f>
        <v/>
      </c>
      <c r="M38" s="138">
        <f>'CP RESUMO'!AK27</f>
        <v/>
      </c>
      <c r="N38" s="139">
        <f>MAX(0,M38-M37)</f>
        <v/>
      </c>
      <c r="O38" s="138">
        <f>IF(B38&lt;='VALOR POR PL'!$P$5,'CP RESUMO'!AK69,"")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562701</v>
      </c>
      <c r="L39" s="49">
        <f>C39/IF(B39&lt;='VALOR POR PL'!$P$5,IFERROR(INDEX('"INCC-FGV"'!$B$2:$B$800,MATCH(B39,'"INCC-FGV"'!$A$2:$A$800,0)),$K$2),$K$2)</f>
        <v/>
      </c>
      <c r="M39" s="138">
        <f>'CP RESUMO'!AL27</f>
        <v/>
      </c>
      <c r="N39" s="139">
        <f>MAX(0,M39-M38)</f>
        <v/>
      </c>
      <c r="O39" s="138">
        <f>IF(B39&lt;='VALOR POR PL'!$P$5,'CP RESUMO'!AL69,"")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579252.3</v>
      </c>
      <c r="L40" s="49">
        <f>C40/IF(B40&lt;='VALOR POR PL'!$P$5,IFERROR(INDEX('"INCC-FGV"'!$B$2:$B$800,MATCH(B40,'"INCC-FGV"'!$A$2:$A$800,0)),$K$2),$K$2)</f>
        <v/>
      </c>
      <c r="M40" s="138">
        <f>'CP RESUMO'!AM27</f>
        <v/>
      </c>
      <c r="N40" s="139">
        <f>MAX(0,M40-M39)</f>
        <v/>
      </c>
      <c r="O40" s="138">
        <f>IF(B40&lt;='VALOR POR PL'!$P$5,'CP RESUMO'!AM69,"")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577805.76</v>
      </c>
      <c r="L41" s="49">
        <f>C41/IF(B41&lt;='VALOR POR PL'!$P$5,IFERROR(INDEX('"INCC-FGV"'!$B$2:$B$800,MATCH(B41,'"INCC-FGV"'!$A$2:$A$800,0)),$K$2),$K$2)</f>
        <v/>
      </c>
      <c r="M41" s="138">
        <f>'CP RESUMO'!AN27</f>
        <v/>
      </c>
      <c r="N41" s="139">
        <f>MAX(0,M41-M40)</f>
        <v/>
      </c>
      <c r="O41" s="138">
        <f>IF(B41&lt;='VALOR POR PL'!$P$5,'CP RESUMO'!AN69,"")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381554.3</v>
      </c>
      <c r="L42" s="49">
        <f>C42/IF(B42&lt;='VALOR POR PL'!$P$5,IFERROR(INDEX('"INCC-FGV"'!$B$2:$B$800,MATCH(B42,'"INCC-FGV"'!$A$2:$A$800,0)),$K$2),$K$2)</f>
        <v/>
      </c>
      <c r="M42" s="138">
        <f>'CP RESUMO'!AO27</f>
        <v/>
      </c>
      <c r="N42" s="139">
        <f>MAX(0,M42-M41)</f>
        <v/>
      </c>
      <c r="O42" s="138">
        <f>IF(B42&lt;='VALOR POR PL'!$P$5,'CP RESUMO'!AO69,"")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174324.57</v>
      </c>
      <c r="L43" s="49">
        <f>C43/IF(B43&lt;='VALOR POR PL'!$P$5,IFERROR(INDEX('"INCC-FGV"'!$B$2:$B$800,MATCH(B43,'"INCC-FGV"'!$A$2:$A$800,0)),$K$2),$K$2)</f>
        <v/>
      </c>
      <c r="M43" s="138">
        <f>'CP RESUMO'!AP27</f>
        <v/>
      </c>
      <c r="N43" s="139">
        <f>MAX(0,M43-M42)</f>
        <v/>
      </c>
      <c r="O43" s="138">
        <f>IF(B43&lt;='VALOR POR PL'!$P$5,'CP RESUMO'!AP69,"")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215293.07</v>
      </c>
      <c r="L44" s="49">
        <f>C44/IF(B44&lt;='VALOR POR PL'!$P$5,IFERROR(INDEX('"INCC-FGV"'!$B$2:$B$800,MATCH(B44,'"INCC-FGV"'!$A$2:$A$800,0)),$K$2),$K$2)</f>
        <v/>
      </c>
      <c r="M44" s="138">
        <f>'CP RESUMO'!AQ27</f>
        <v/>
      </c>
      <c r="N44" s="139">
        <f>MAX(0,M44-M43)</f>
        <v/>
      </c>
      <c r="O44" s="138">
        <f>IF(B44&lt;='VALOR POR PL'!$P$5,'CP RESUMO'!AQ69,"")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32880.2</v>
      </c>
      <c r="L45" s="49">
        <f>C45/IF(B45&lt;='VALOR POR PL'!$P$5,IFERROR(INDEX('"INCC-FGV"'!$B$2:$B$800,MATCH(B45,'"INCC-FGV"'!$A$2:$A$800,0)),$K$2),$K$2)</f>
        <v/>
      </c>
      <c r="M45" s="138">
        <f>'CP RESUMO'!AR27</f>
        <v/>
      </c>
      <c r="N45" s="139">
        <f>MAX(0,M45-M44)</f>
        <v/>
      </c>
      <c r="O45" s="138">
        <f>IF(B45&lt;='VALOR POR PL'!$P$5,'CP RESUMO'!AR69,"")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29882.14</v>
      </c>
      <c r="L46" s="49">
        <f>C46/IF(B46&lt;='VALOR POR PL'!$P$5,IFERROR(INDEX('"INCC-FGV"'!$B$2:$B$800,MATCH(B46,'"INCC-FGV"'!$A$2:$A$800,0)),$K$2),$K$2)</f>
        <v/>
      </c>
      <c r="M46" s="138">
        <f>'CP RESUMO'!AS27</f>
        <v/>
      </c>
      <c r="N46" s="139">
        <f>MAX(0,M46-M45)</f>
        <v/>
      </c>
      <c r="O46" s="138">
        <f>IF(B46&lt;='VALOR POR PL'!$P$5,'CP RESUMO'!AS69,"")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19277.27</v>
      </c>
      <c r="L47" s="49">
        <f>C47/IF(B47&lt;='VALOR POR PL'!$P$5,IFERROR(INDEX('"INCC-FGV"'!$B$2:$B$800,MATCH(B47,'"INCC-FGV"'!$A$2:$A$800,0)),$K$2),$K$2)</f>
        <v/>
      </c>
      <c r="M47" s="138">
        <f>'CP RESUMO'!AT27</f>
        <v/>
      </c>
      <c r="N47" s="139">
        <f>MAX(0,M47-M46)</f>
        <v/>
      </c>
      <c r="O47" s="138">
        <f>IF(B47&lt;='VALOR POR PL'!$P$5,'CP RESUMO'!AT69,"")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19287.83</v>
      </c>
      <c r="L48" s="49">
        <f>C48/IF(B48&lt;='VALOR POR PL'!$P$5,IFERROR(INDEX('"INCC-FGV"'!$B$2:$B$800,MATCH(B48,'"INCC-FGV"'!$A$2:$A$800,0)),$K$2),$K$2)</f>
        <v/>
      </c>
      <c r="M48" s="138">
        <f>'CP RESUMO'!AU27</f>
        <v/>
      </c>
      <c r="N48" s="139">
        <f>MAX(0,M48-M47)</f>
        <v/>
      </c>
      <c r="O48" s="138">
        <f>IF(B48&lt;='VALOR POR PL'!$P$5,'CP RESUMO'!AU69,"")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19006.95</v>
      </c>
      <c r="L49" s="49">
        <f>C49/IF(B49&lt;='VALOR POR PL'!$P$5,IFERROR(INDEX('"INCC-FGV"'!$B$2:$B$800,MATCH(B49,'"INCC-FGV"'!$A$2:$A$800,0)),$K$2),$K$2)</f>
        <v/>
      </c>
      <c r="M49" s="138">
        <f>'CP RESUMO'!AV27</f>
        <v/>
      </c>
      <c r="N49" s="139">
        <f>MAX(0,M49-M48)</f>
        <v/>
      </c>
      <c r="O49" s="138">
        <f>IF(B49&lt;='VALOR POR PL'!$P$5,'CP RESUMO'!AV69,"")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RESUMO'!AW27</f>
        <v/>
      </c>
      <c r="N50" s="139">
        <f>MAX(0,M50-M49)</f>
        <v/>
      </c>
      <c r="O50" s="138">
        <f>IF(B50&lt;='VALOR POR PL'!$P$5,'CP RESUMO'!AW69,"")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RESUMO'!AX27</f>
        <v/>
      </c>
      <c r="N51" s="139">
        <f>MAX(0,M51-M50)</f>
        <v/>
      </c>
      <c r="O51" s="138">
        <f>IF(B51&lt;='VALOR POR PL'!$P$5,'CP RESUMO'!AX69,"")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RESUMO'!AY27</f>
        <v/>
      </c>
      <c r="N52" s="139">
        <f>MAX(0,M52-M51)</f>
        <v/>
      </c>
      <c r="O52" s="138">
        <f>IF(B52&lt;='VALOR POR PL'!$P$5,'CP RESUMO'!AY69,"")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RESUMO'!AZ27</f>
        <v/>
      </c>
      <c r="N53" s="139">
        <f>MAX(0,M53-M52)</f>
        <v/>
      </c>
      <c r="O53" s="138">
        <f>IF(B53&lt;='VALOR POR PL'!$P$5,'CP RESUMO'!AZ69,"")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>
        <v>883674.36</v>
      </c>
      <c r="L54" s="49">
        <f>C54/IF(B54&lt;='VALOR POR PL'!$P$5,IFERROR(INDEX('"INCC-FGV"'!$B$2:$B$800,MATCH(B54,'"INCC-FGV"'!$A$2:$A$800,0)),$K$2),$K$2)</f>
        <v/>
      </c>
      <c r="M54" s="138">
        <f>'CP RESUMO'!BA27</f>
        <v/>
      </c>
      <c r="N54" s="139">
        <f>MAX(0,M54-M53)</f>
        <v/>
      </c>
      <c r="O54" s="138">
        <f>IF(B54&lt;='VALOR POR PL'!$P$5,'CP RESUMO'!BA69,"")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RESUMO'!BB27</f>
        <v/>
      </c>
      <c r="N55" s="139">
        <f>MAX(0,M55-M54)</f>
        <v/>
      </c>
      <c r="O55" s="138">
        <f>IF(B55&lt;='VALOR POR PL'!$P$5,'CP RESUMO'!BB69,"")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RESUMO'!BC27</f>
        <v/>
      </c>
      <c r="N56" s="139">
        <f>MAX(0,M56-M55)</f>
        <v/>
      </c>
      <c r="O56" s="138">
        <f>IF(B56&lt;='VALOR POR PL'!$P$5,'CP RESUMO'!BC69,"")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RESUMO'!BD27</f>
        <v/>
      </c>
      <c r="N57" s="139">
        <f>MAX(0,M57-M56)</f>
        <v/>
      </c>
      <c r="O57" s="138">
        <f>IF(B57&lt;='VALOR POR PL'!$P$5,'CP RESUMO'!BD69,"")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RESUMO'!BE27</f>
        <v/>
      </c>
      <c r="N58" s="139">
        <f>MAX(0,M58-M57)</f>
        <v/>
      </c>
      <c r="O58" s="138">
        <f>IF(B58&lt;='VALOR POR PL'!$P$5,'CP RESUMO'!BE69,"")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RESUMO'!BF27</f>
        <v/>
      </c>
      <c r="N59" s="139">
        <f>MAX(0,M59-M58)</f>
        <v/>
      </c>
      <c r="O59" s="138">
        <f>IF(B59&lt;='VALOR POR PL'!$P$5,'CP RESUMO'!BF69,"")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RESUMO'!BG27</f>
        <v/>
      </c>
      <c r="N60" s="139">
        <f>MAX(0,M60-M59)</f>
        <v/>
      </c>
      <c r="O60" s="138">
        <f>IF(B60&lt;='VALOR POR PL'!$P$5,'CP RESUMO'!BG69,"")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RESUMO'!BH27</f>
        <v/>
      </c>
      <c r="N61" s="139">
        <f>MAX(0,M61-M60)</f>
        <v/>
      </c>
      <c r="O61" s="138">
        <f>IF(B61&lt;='VALOR POR PL'!$P$5,'CP RESUMO'!BH69,"")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RESUMO'!BI27</f>
        <v/>
      </c>
      <c r="N62" s="139">
        <f>MAX(0,M62-M61)</f>
        <v/>
      </c>
      <c r="O62" s="138">
        <f>IF(B62&lt;='VALOR POR PL'!$P$5,'CP RESUMO'!BI69,"")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RESUMO'!BJ27</f>
        <v/>
      </c>
      <c r="N63" s="139">
        <f>MAX(0,M63-M62)</f>
        <v/>
      </c>
      <c r="O63" s="138">
        <f>IF(B63&lt;='VALOR POR PL'!$P$5,'CP RESUMO'!BJ69,"")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RESUMO'!BK27</f>
        <v/>
      </c>
      <c r="N64" s="139">
        <f>MAX(0,M64-M63)</f>
        <v/>
      </c>
      <c r="O64" s="138">
        <f>IF(B64&lt;='VALOR POR PL'!$P$5,'CP RESUMO'!BK69,"")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RESUMO'!BL27</f>
        <v/>
      </c>
      <c r="N65" s="139">
        <f>MAX(0,M65-M64)</f>
        <v/>
      </c>
      <c r="O65" s="138">
        <f>IF(B65&lt;='VALOR POR PL'!$P$5,'CP RESUMO'!BL69,"")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RESUMO'!BM27</f>
        <v/>
      </c>
      <c r="N66" s="139">
        <f>MAX(0,M66-M65)</f>
        <v/>
      </c>
      <c r="O66" s="138">
        <f>IF(B66&lt;='VALOR POR PL'!$P$5,'CP RESUMO'!BM69,"")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RESUMO'!BN27</f>
        <v/>
      </c>
      <c r="N67" s="139">
        <f>MAX(0,M67-M66)</f>
        <v/>
      </c>
      <c r="O67" s="138">
        <f>IF(B67&lt;='VALOR POR PL'!$P$5,'CP RESUMO'!BN69,"")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RESUMO'!BO27</f>
        <v/>
      </c>
      <c r="N68" s="139">
        <f>MAX(0,M68-M67)</f>
        <v/>
      </c>
      <c r="O68" s="138">
        <f>IF(B68&lt;='VALOR POR PL'!$P$5,'CP RESUMO'!BO69,"")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RESUMO'!BP27</f>
        <v/>
      </c>
      <c r="N69" s="139">
        <f>MAX(0,M69-M68)</f>
        <v/>
      </c>
      <c r="O69" s="138">
        <f>IF(B69&lt;='VALOR POR PL'!$P$5,'CP RESUMO'!BP69,"")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RESUMO'!BQ27</f>
        <v/>
      </c>
      <c r="N70" s="139">
        <f>MAX(0,M70-M69)</f>
        <v/>
      </c>
      <c r="O70" s="138">
        <f>IF(B70&lt;='VALOR POR PL'!$P$5,'CP RESUMO'!BQ69,"")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RESUMO'!BR27</f>
        <v/>
      </c>
      <c r="N71" s="139">
        <f>MAX(0,M71-M70)</f>
        <v/>
      </c>
      <c r="O71" s="138">
        <f>IF(B71&lt;='VALOR POR PL'!$P$5,'CP RESUMO'!BR69,"")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RESUMO'!BS27</f>
        <v/>
      </c>
      <c r="N72" s="139">
        <f>MAX(0,M72-M71)</f>
        <v/>
      </c>
      <c r="O72" s="138">
        <f>IF(B72&lt;='VALOR POR PL'!$P$5,'CP RESUMO'!BS69,"")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RESUMO'!BT27</f>
        <v/>
      </c>
      <c r="N73" s="139">
        <f>MAX(0,M73-M72)</f>
        <v/>
      </c>
      <c r="O73" s="138">
        <f>IF(B73&lt;='VALOR POR PL'!$P$5,'CP RESUMO'!BT69,"")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RESUMO'!BU27</f>
        <v/>
      </c>
      <c r="N74" s="139">
        <f>MAX(0,M74-M73)</f>
        <v/>
      </c>
      <c r="O74" s="138">
        <f>IF(B74&lt;='VALOR POR PL'!$P$5,'CP RESUMO'!BU69,"")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RESUMO'!BV27</f>
        <v/>
      </c>
      <c r="N75" s="139">
        <f>MAX(0,M75-M74)</f>
        <v/>
      </c>
      <c r="O75" s="138">
        <f>IF(B75&lt;='VALOR POR PL'!$P$5,'CP RESUMO'!BV69,"")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RESUMO'!BW27</f>
        <v/>
      </c>
      <c r="N76" s="139">
        <f>MAX(0,M76-M75)</f>
        <v/>
      </c>
      <c r="O76" s="138">
        <f>IF(B76&lt;='VALOR POR PL'!$P$5,'CP RESUMO'!BW69,"")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HISTORICOS'!D28)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PL'!F34</f>
        <v/>
      </c>
      <c r="K5" s="60">
        <f>'VALOR POR PL'!G34</f>
        <v/>
      </c>
      <c r="L5" s="60">
        <f>'DADOS HISTORICOS'!$BZ$28</f>
        <v/>
      </c>
      <c r="M5" s="138">
        <f>'CP RESUMO'!D28</f>
        <v/>
      </c>
      <c r="N5" s="139" t="n">
        <v>0</v>
      </c>
      <c r="O5" s="138">
        <f>IF(B5&lt;='VALOR POR PL'!$P$5,'CP RESUMO'!D70,"")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HISTORICOS'!E28)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PL'!H34</f>
        <v/>
      </c>
      <c r="L6" s="49">
        <f>C6/IF(B6&lt;='VALOR POR PL'!$P$5,IFERROR(INDEX('"INCC-FGV"'!$B$2:$B$800,MATCH(B6,'"INCC-FGV"'!$A$2:$A$800,0)),$K$2),$K$2)</f>
        <v/>
      </c>
      <c r="M6" s="138">
        <f>'CP RESUMO'!E28</f>
        <v/>
      </c>
      <c r="N6" s="139">
        <f>MAX(0,M6-M5)</f>
        <v/>
      </c>
      <c r="O6" s="138">
        <f>IF(B6&lt;='VALOR POR PL'!$P$5,'CP RESUMO'!E70,"")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HISTORICOS'!F28)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RESUMO'!F28</f>
        <v/>
      </c>
      <c r="N7" s="139">
        <f>MAX(0,M7-M6)</f>
        <v/>
      </c>
      <c r="O7" s="138">
        <f>IF(B7&lt;='VALOR POR PL'!$P$5,'CP RESUMO'!F70,"")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HISTORICOS'!G28)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RESUMO'!G28</f>
        <v/>
      </c>
      <c r="N8" s="139">
        <f>MAX(0,M8-M7)</f>
        <v/>
      </c>
      <c r="O8" s="138">
        <f>IF(B8&lt;='VALOR POR PL'!$P$5,'CP RESUMO'!G70,"")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HISTORICOS'!H28)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RESUMO'!H28</f>
        <v/>
      </c>
      <c r="N9" s="139">
        <f>MAX(0,M9-M8)</f>
        <v/>
      </c>
      <c r="O9" s="138">
        <f>IF(B9&lt;='VALOR POR PL'!$P$5,'CP RESUMO'!H70,"")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RESUMO'!I28</f>
        <v/>
      </c>
      <c r="N10" s="139">
        <f>MAX(0,M10-M9)</f>
        <v/>
      </c>
      <c r="O10" s="138">
        <f>IF(B10&lt;='VALOR POR PL'!$P$5,'CP RESUMO'!I70,"")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RESUMO'!J28</f>
        <v/>
      </c>
      <c r="N11" s="139">
        <f>MAX(0,M11-M10)</f>
        <v/>
      </c>
      <c r="O11" s="138">
        <f>IF(B11&lt;='VALOR POR PL'!$P$5,'CP RESUMO'!J70,"")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RESUMO'!K28</f>
        <v/>
      </c>
      <c r="N12" s="139">
        <f>MAX(0,M12-M11)</f>
        <v/>
      </c>
      <c r="O12" s="138">
        <f>IF(B12&lt;='VALOR POR PL'!$P$5,'CP RESUMO'!K70,"")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PL'!I34</f>
        <v/>
      </c>
      <c r="L13" s="49">
        <f>C13/IF(B13&lt;='VALOR POR PL'!$P$5,IFERROR(INDEX('"INCC-FGV"'!$B$2:$B$800,MATCH(B13,'"INCC-FGV"'!$A$2:$A$800,0)),$K$2),$K$2)</f>
        <v/>
      </c>
      <c r="M13" s="138">
        <f>'CP RESUMO'!L28</f>
        <v/>
      </c>
      <c r="N13" s="139">
        <f>MAX(0,M13-M12)</f>
        <v/>
      </c>
      <c r="O13" s="138">
        <f>IF(B13&lt;='VALOR POR PL'!$P$5,'CP RESUMO'!L70,"")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RESUMO'!$D$70:$BW$70,MATCH('VALOR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RESUMO'!M28</f>
        <v/>
      </c>
      <c r="N14" s="139">
        <f>MAX(0,M14-M13)</f>
        <v/>
      </c>
      <c r="O14" s="138">
        <f>IF(B14&lt;='VALOR POR PL'!$P$5,'CP RESUMO'!M70,"")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RESUMO'!N28</f>
        <v/>
      </c>
      <c r="N15" s="139">
        <f>MAX(0,M15-M14)</f>
        <v/>
      </c>
      <c r="O15" s="138">
        <f>IF(B15&lt;='VALOR POR PL'!$P$5,'CP RESUMO'!N70,"")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RESUMO'!O28</f>
        <v/>
      </c>
      <c r="N16" s="139">
        <f>MAX(0,M16-M15)</f>
        <v/>
      </c>
      <c r="O16" s="138">
        <f>IF(B16&lt;='VALOR POR PL'!$P$5,'CP RESUMO'!O70,"")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RESUMO'!P28</f>
        <v/>
      </c>
      <c r="N17" s="139">
        <f>MAX(0,M17-M16)</f>
        <v/>
      </c>
      <c r="O17" s="138">
        <f>IF(B17&lt;='VALOR POR PL'!$P$5,'CP RESUMO'!P70,"")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RESUMO'!Q28</f>
        <v/>
      </c>
      <c r="N18" s="139">
        <f>MAX(0,M18-M17)</f>
        <v/>
      </c>
      <c r="O18" s="138">
        <f>IF(B18&lt;='VALOR POR PL'!$P$5,'CP RESUMO'!Q70,"")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RESUMO'!R28</f>
        <v/>
      </c>
      <c r="N19" s="139">
        <f>MAX(0,M19-M18)</f>
        <v/>
      </c>
      <c r="O19" s="138">
        <f>IF(B19&lt;='VALOR POR PL'!$P$5,'CP RESUMO'!R70,"")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RESUMO'!S28</f>
        <v/>
      </c>
      <c r="N20" s="139">
        <f>MAX(0,M20-M19)</f>
        <v/>
      </c>
      <c r="O20" s="138">
        <f>IF(B20&lt;='VALOR POR PL'!$P$5,'CP RESUMO'!S70,"")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RESUMO'!T28</f>
        <v/>
      </c>
      <c r="N21" s="139">
        <f>MAX(0,M21-M20)</f>
        <v/>
      </c>
      <c r="O21" s="138">
        <f>IF(B21&lt;='VALOR POR PL'!$P$5,'CP RESUMO'!T70,"")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RESUMO'!U28</f>
        <v/>
      </c>
      <c r="N22" s="139">
        <f>MAX(0,M22-M21)</f>
        <v/>
      </c>
      <c r="O22" s="138">
        <f>IF(B22&lt;='VALOR POR PL'!$P$5,'CP RESUMO'!U70,"")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RESUMO'!V28</f>
        <v/>
      </c>
      <c r="N23" s="139">
        <f>MAX(0,M23-M22)</f>
        <v/>
      </c>
      <c r="O23" s="138">
        <f>IF(B23&lt;='VALOR POR PL'!$P$5,'CP RESUMO'!V70,"")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pedido 1 ano antes, 12 pagamentos.</t>
        </is>
      </c>
      <c r="L24" s="49">
        <f>C24/IF(B24&lt;='VALOR POR PL'!$P$5,IFERROR(INDEX('"INCC-FGV"'!$B$2:$B$800,MATCH(B24,'"INCC-FGV"'!$A$2:$A$800,0)),$K$2),$K$2)</f>
        <v/>
      </c>
      <c r="M24" s="138">
        <f>'CP RESUMO'!W28</f>
        <v/>
      </c>
      <c r="N24" s="139">
        <f>MAX(0,M24-M23)</f>
        <v/>
      </c>
      <c r="O24" s="138">
        <f>IF(B24&lt;='VALOR POR PL'!$P$5,'CP RESUMO'!W70,"")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RESUMO'!X28</f>
        <v/>
      </c>
      <c r="N25" s="139">
        <f>MAX(0,M25-M24)</f>
        <v/>
      </c>
      <c r="O25" s="138">
        <f>IF(B25&lt;='VALOR POR PL'!$P$5,'CP RESUMO'!X70,"")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176363.64</v>
      </c>
      <c r="L26" s="49">
        <f>C26/IF(B26&lt;='VALOR POR PL'!$P$5,IFERROR(INDEX('"INCC-FGV"'!$B$2:$B$800,MATCH(B26,'"INCC-FGV"'!$A$2:$A$800,0)),$K$2),$K$2)</f>
        <v/>
      </c>
      <c r="M26" s="138">
        <f>'CP RESUMO'!Y28</f>
        <v/>
      </c>
      <c r="N26" s="139">
        <f>MAX(0,M26-M25)</f>
        <v/>
      </c>
      <c r="O26" s="138">
        <f>IF(B26&lt;='VALOR POR PL'!$P$5,'CP RESUMO'!Y70,"")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176363.64</v>
      </c>
      <c r="L27" s="49">
        <f>C27/IF(B27&lt;='VALOR POR PL'!$P$5,IFERROR(INDEX('"INCC-FGV"'!$B$2:$B$800,MATCH(B27,'"INCC-FGV"'!$A$2:$A$800,0)),$K$2),$K$2)</f>
        <v/>
      </c>
      <c r="M27" s="138">
        <f>'CP RESUMO'!Z28</f>
        <v/>
      </c>
      <c r="N27" s="139">
        <f>MAX(0,M27-M26)</f>
        <v/>
      </c>
      <c r="O27" s="138">
        <f>IF(B27&lt;='VALOR POR PL'!$P$5,'CP RESUMO'!Z70,"")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176363.64</v>
      </c>
      <c r="L28" s="49">
        <f>C28/IF(B28&lt;='VALOR POR PL'!$P$5,IFERROR(INDEX('"INCC-FGV"'!$B$2:$B$800,MATCH(B28,'"INCC-FGV"'!$A$2:$A$800,0)),$K$2),$K$2)</f>
        <v/>
      </c>
      <c r="M28" s="138">
        <f>'CP RESUMO'!AA28</f>
        <v/>
      </c>
      <c r="N28" s="139">
        <f>MAX(0,M28-M27)</f>
        <v/>
      </c>
      <c r="O28" s="138">
        <f>IF(B28&lt;='VALOR POR PL'!$P$5,'CP RESUMO'!AA70,"")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176363.64</v>
      </c>
      <c r="L29" s="49">
        <f>C29/IF(B29&lt;='VALOR POR PL'!$P$5,IFERROR(INDEX('"INCC-FGV"'!$B$2:$B$800,MATCH(B29,'"INCC-FGV"'!$A$2:$A$800,0)),$K$2),$K$2)</f>
        <v/>
      </c>
      <c r="M29" s="138">
        <f>'CP RESUMO'!AB28</f>
        <v/>
      </c>
      <c r="N29" s="139">
        <f>MAX(0,M29-M28)</f>
        <v/>
      </c>
      <c r="O29" s="138">
        <f>IF(B29&lt;='VALOR POR PL'!$P$5,'CP RESUMO'!AB70,"")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176363.64</v>
      </c>
      <c r="L30" s="49">
        <f>C30/IF(B30&lt;='VALOR POR PL'!$P$5,IFERROR(INDEX('"INCC-FGV"'!$B$2:$B$800,MATCH(B30,'"INCC-FGV"'!$A$2:$A$800,0)),$K$2),$K$2)</f>
        <v/>
      </c>
      <c r="M30" s="138">
        <f>'CP RESUMO'!AC28</f>
        <v/>
      </c>
      <c r="N30" s="139">
        <f>MAX(0,M30-M29)</f>
        <v/>
      </c>
      <c r="O30" s="138">
        <f>IF(B30&lt;='VALOR POR PL'!$P$5,'CP RESUMO'!AC70,"")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176363.64</v>
      </c>
      <c r="L31" s="49">
        <f>C31/IF(B31&lt;='VALOR POR PL'!$P$5,IFERROR(INDEX('"INCC-FGV"'!$B$2:$B$800,MATCH(B31,'"INCC-FGV"'!$A$2:$A$800,0)),$K$2),$K$2)</f>
        <v/>
      </c>
      <c r="M31" s="138">
        <f>'CP RESUMO'!AD28</f>
        <v/>
      </c>
      <c r="N31" s="139">
        <f>MAX(0,M31-M30)</f>
        <v/>
      </c>
      <c r="O31" s="138">
        <f>IF(B31&lt;='VALOR POR PL'!$P$5,'CP RESUMO'!AD70,"")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176363.64</v>
      </c>
      <c r="L32" s="49">
        <f>C32/IF(B32&lt;='VALOR POR PL'!$P$5,IFERROR(INDEX('"INCC-FGV"'!$B$2:$B$800,MATCH(B32,'"INCC-FGV"'!$A$2:$A$800,0)),$K$2),$K$2)</f>
        <v/>
      </c>
      <c r="M32" s="138">
        <f>'CP RESUMO'!AE28</f>
        <v/>
      </c>
      <c r="N32" s="139">
        <f>MAX(0,M32-M31)</f>
        <v/>
      </c>
      <c r="O32" s="138">
        <f>IF(B32&lt;='VALOR POR PL'!$P$5,'CP RESUMO'!AE70,"")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176363.64</v>
      </c>
      <c r="L33" s="49">
        <f>C33/IF(B33&lt;='VALOR POR PL'!$P$5,IFERROR(INDEX('"INCC-FGV"'!$B$2:$B$800,MATCH(B33,'"INCC-FGV"'!$A$2:$A$800,0)),$K$2),$K$2)</f>
        <v/>
      </c>
      <c r="M33" s="138">
        <f>'CP RESUMO'!AF28</f>
        <v/>
      </c>
      <c r="N33" s="139">
        <f>MAX(0,M33-M32)</f>
        <v/>
      </c>
      <c r="O33" s="138">
        <f>IF(B33&lt;='VALOR POR PL'!$P$5,'CP RESUMO'!AF70,"")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184035.06</v>
      </c>
      <c r="L34" s="49">
        <f>C34/IF(B34&lt;='VALOR POR PL'!$P$5,IFERROR(INDEX('"INCC-FGV"'!$B$2:$B$800,MATCH(B34,'"INCC-FGV"'!$A$2:$A$800,0)),$K$2),$K$2)</f>
        <v/>
      </c>
      <c r="M34" s="138">
        <f>'CP RESUMO'!AG28</f>
        <v/>
      </c>
      <c r="N34" s="139">
        <f>MAX(0,M34-M33)</f>
        <v/>
      </c>
      <c r="O34" s="138">
        <f>IF(B34&lt;='VALOR POR PL'!$P$5,'CP RESUMO'!AG70,"")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7671.43</v>
      </c>
      <c r="L35" s="49">
        <f>C35/IF(B35&lt;='VALOR POR PL'!$P$5,IFERROR(INDEX('"INCC-FGV"'!$B$2:$B$800,MATCH(B35,'"INCC-FGV"'!$A$2:$A$800,0)),$K$2),$K$2)</f>
        <v/>
      </c>
      <c r="M35" s="138">
        <f>'CP RESUMO'!AH28</f>
        <v/>
      </c>
      <c r="N35" s="139">
        <f>MAX(0,M35-M34)</f>
        <v/>
      </c>
      <c r="O35" s="138">
        <f>IF(B35&lt;='VALOR POR PL'!$P$5,'CP RESUMO'!AH70,"")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7671.43</v>
      </c>
      <c r="L36" s="49">
        <f>C36/IF(B36&lt;='VALOR POR PL'!$P$5,IFERROR(INDEX('"INCC-FGV"'!$B$2:$B$800,MATCH(B36,'"INCC-FGV"'!$A$2:$A$800,0)),$K$2),$K$2)</f>
        <v/>
      </c>
      <c r="M36" s="138">
        <f>'CP RESUMO'!AI28</f>
        <v/>
      </c>
      <c r="N36" s="139">
        <f>MAX(0,M36-M35)</f>
        <v/>
      </c>
      <c r="O36" s="138">
        <f>IF(B36&lt;='VALOR POR PL'!$P$5,'CP RESUMO'!AI70,"")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6232.5</v>
      </c>
      <c r="L37" s="49">
        <f>C37/IF(B37&lt;='VALOR POR PL'!$P$5,IFERROR(INDEX('"INCC-FGV"'!$B$2:$B$800,MATCH(B37,'"INCC-FGV"'!$A$2:$A$800,0)),$K$2),$K$2)</f>
        <v/>
      </c>
      <c r="M37" s="138">
        <f>'CP RESUMO'!AJ28</f>
        <v/>
      </c>
      <c r="N37" s="139">
        <f>MAX(0,M37-M36)</f>
        <v/>
      </c>
      <c r="O37" s="138">
        <f>IF(B37&lt;='VALOR POR PL'!$P$5,'CP RESUMO'!AJ70,"")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6232.5</v>
      </c>
      <c r="L38" s="49">
        <f>C38/IF(B38&lt;='VALOR POR PL'!$P$5,IFERROR(INDEX('"INCC-FGV"'!$B$2:$B$800,MATCH(B38,'"INCC-FGV"'!$A$2:$A$800,0)),$K$2),$K$2)</f>
        <v/>
      </c>
      <c r="M38" s="138">
        <f>'CP RESUMO'!AK28</f>
        <v/>
      </c>
      <c r="N38" s="139">
        <f>MAX(0,M38-M37)</f>
        <v/>
      </c>
      <c r="O38" s="138">
        <f>IF(B38&lt;='VALOR POR PL'!$P$5,'CP RESUMO'!AK70,"")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7671.43</v>
      </c>
      <c r="L39" s="49">
        <f>C39/IF(B39&lt;='VALOR POR PL'!$P$5,IFERROR(INDEX('"INCC-FGV"'!$B$2:$B$800,MATCH(B39,'"INCC-FGV"'!$A$2:$A$800,0)),$K$2),$K$2)</f>
        <v/>
      </c>
      <c r="M39" s="138">
        <f>'CP RESUMO'!AL28</f>
        <v/>
      </c>
      <c r="N39" s="139">
        <f>MAX(0,M39-M38)</f>
        <v/>
      </c>
      <c r="O39" s="138">
        <f>IF(B39&lt;='VALOR POR PL'!$P$5,'CP RESUMO'!AL70,"")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7671.43</v>
      </c>
      <c r="L40" s="49">
        <f>C40/IF(B40&lt;='VALOR POR PL'!$P$5,IFERROR(INDEX('"INCC-FGV"'!$B$2:$B$800,MATCH(B40,'"INCC-FGV"'!$A$2:$A$800,0)),$K$2),$K$2)</f>
        <v/>
      </c>
      <c r="M40" s="138">
        <f>'CP RESUMO'!AM28</f>
        <v/>
      </c>
      <c r="N40" s="139">
        <f>MAX(0,M40-M39)</f>
        <v/>
      </c>
      <c r="O40" s="138">
        <f>IF(B40&lt;='VALOR POR PL'!$P$5,'CP RESUMO'!AM70,"")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7671.43</v>
      </c>
      <c r="L41" s="49">
        <f>C41/IF(B41&lt;='VALOR POR PL'!$P$5,IFERROR(INDEX('"INCC-FGV"'!$B$2:$B$800,MATCH(B41,'"INCC-FGV"'!$A$2:$A$800,0)),$K$2),$K$2)</f>
        <v/>
      </c>
      <c r="M41" s="138">
        <f>'CP RESUMO'!AN28</f>
        <v/>
      </c>
      <c r="N41" s="139">
        <f>MAX(0,M41-M40)</f>
        <v/>
      </c>
      <c r="O41" s="138">
        <f>IF(B41&lt;='VALOR POR PL'!$P$5,'CP RESUMO'!AN70,"")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10303.93</v>
      </c>
      <c r="L42" s="49">
        <f>C42/IF(B42&lt;='VALOR POR PL'!$P$5,IFERROR(INDEX('"INCC-FGV"'!$B$2:$B$800,MATCH(B42,'"INCC-FGV"'!$A$2:$A$800,0)),$K$2),$K$2)</f>
        <v/>
      </c>
      <c r="M42" s="138">
        <f>'CP RESUMO'!AO28</f>
        <v/>
      </c>
      <c r="N42" s="139">
        <f>MAX(0,M42-M41)</f>
        <v/>
      </c>
      <c r="O42" s="138">
        <f>IF(B42&lt;='VALOR POR PL'!$P$5,'CP RESUMO'!AO70,"")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6232.5</v>
      </c>
      <c r="L43" s="49">
        <f>C43/IF(B43&lt;='VALOR POR PL'!$P$5,IFERROR(INDEX('"INCC-FGV"'!$B$2:$B$800,MATCH(B43,'"INCC-FGV"'!$A$2:$A$800,0)),$K$2),$K$2)</f>
        <v/>
      </c>
      <c r="M43" s="138">
        <f>'CP RESUMO'!AP28</f>
        <v/>
      </c>
      <c r="N43" s="139">
        <f>MAX(0,M43-M42)</f>
        <v/>
      </c>
      <c r="O43" s="138">
        <f>IF(B43&lt;='VALOR POR PL'!$P$5,'CP RESUMO'!AP70,"")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3600</v>
      </c>
      <c r="L44" s="49">
        <f>C44/IF(B44&lt;='VALOR POR PL'!$P$5,IFERROR(INDEX('"INCC-FGV"'!$B$2:$B$800,MATCH(B44,'"INCC-FGV"'!$A$2:$A$800,0)),$K$2),$K$2)</f>
        <v/>
      </c>
      <c r="M44" s="138">
        <f>'CP RESUMO'!AQ28</f>
        <v/>
      </c>
      <c r="N44" s="139">
        <f>MAX(0,M44-M43)</f>
        <v/>
      </c>
      <c r="O44" s="138">
        <f>IF(B44&lt;='VALOR POR PL'!$P$5,'CP RESUMO'!AQ70,"")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3600</v>
      </c>
      <c r="L45" s="49">
        <f>C45/IF(B45&lt;='VALOR POR PL'!$P$5,IFERROR(INDEX('"INCC-FGV"'!$B$2:$B$800,MATCH(B45,'"INCC-FGV"'!$A$2:$A$800,0)),$K$2),$K$2)</f>
        <v/>
      </c>
      <c r="M45" s="138">
        <f>'CP RESUMO'!AR28</f>
        <v/>
      </c>
      <c r="N45" s="139">
        <f>MAX(0,M45-M44)</f>
        <v/>
      </c>
      <c r="O45" s="138">
        <f>IF(B45&lt;='VALOR POR PL'!$P$5,'CP RESUMO'!AR70,"")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RESUMO'!AS28</f>
        <v/>
      </c>
      <c r="N46" s="139">
        <f>MAX(0,M46-M45)</f>
        <v/>
      </c>
      <c r="O46" s="138">
        <f>IF(B46&lt;='VALOR POR PL'!$P$5,'CP RESUMO'!AS70,"")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RESUMO'!AT28</f>
        <v/>
      </c>
      <c r="N47" s="139">
        <f>MAX(0,M47-M46)</f>
        <v/>
      </c>
      <c r="O47" s="138">
        <f>IF(B47&lt;='VALOR POR PL'!$P$5,'CP RESUMO'!AT70,"")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163512.89</v>
      </c>
      <c r="L48" s="49">
        <f>C48/IF(B48&lt;='VALOR POR PL'!$P$5,IFERROR(INDEX('"INCC-FGV"'!$B$2:$B$800,MATCH(B48,'"INCC-FGV"'!$A$2:$A$800,0)),$K$2),$K$2)</f>
        <v/>
      </c>
      <c r="M48" s="138">
        <f>'CP RESUMO'!AU28</f>
        <v/>
      </c>
      <c r="N48" s="139">
        <f>MAX(0,M48-M47)</f>
        <v/>
      </c>
      <c r="O48" s="138">
        <f>IF(B48&lt;='VALOR POR PL'!$P$5,'CP RESUMO'!AU70,"")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RESUMO'!AV28</f>
        <v/>
      </c>
      <c r="N49" s="139">
        <f>MAX(0,M49-M48)</f>
        <v/>
      </c>
      <c r="O49" s="138">
        <f>IF(B49&lt;='VALOR POR PL'!$P$5,'CP RESUMO'!AV70,"")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RESUMO'!AW28</f>
        <v/>
      </c>
      <c r="N50" s="139">
        <f>MAX(0,M50-M49)</f>
        <v/>
      </c>
      <c r="O50" s="138">
        <f>IF(B50&lt;='VALOR POR PL'!$P$5,'CP RESUMO'!AW70,"")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RESUMO'!AX28</f>
        <v/>
      </c>
      <c r="N51" s="139">
        <f>MAX(0,M51-M50)</f>
        <v/>
      </c>
      <c r="O51" s="138">
        <f>IF(B51&lt;='VALOR POR PL'!$P$5,'CP RESUMO'!AX70,"")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RESUMO'!AY28</f>
        <v/>
      </c>
      <c r="N52" s="139">
        <f>MAX(0,M52-M51)</f>
        <v/>
      </c>
      <c r="O52" s="138">
        <f>IF(B52&lt;='VALOR POR PL'!$P$5,'CP RESUMO'!AY70,"")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RESUMO'!AZ28</f>
        <v/>
      </c>
      <c r="N53" s="139">
        <f>MAX(0,M53-M52)</f>
        <v/>
      </c>
      <c r="O53" s="138">
        <f>IF(B53&lt;='VALOR POR PL'!$P$5,'CP RESUMO'!AZ70,"")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RESUMO'!BA28</f>
        <v/>
      </c>
      <c r="N54" s="139">
        <f>MAX(0,M54-M53)</f>
        <v/>
      </c>
      <c r="O54" s="138">
        <f>IF(B54&lt;='VALOR POR PL'!$P$5,'CP RESUMO'!BA70,"")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RESUMO'!BB28</f>
        <v/>
      </c>
      <c r="N55" s="139">
        <f>MAX(0,M55-M54)</f>
        <v/>
      </c>
      <c r="O55" s="138">
        <f>IF(B55&lt;='VALOR POR PL'!$P$5,'CP RESUMO'!BB70,"")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RESUMO'!BC28</f>
        <v/>
      </c>
      <c r="N56" s="139">
        <f>MAX(0,M56-M55)</f>
        <v/>
      </c>
      <c r="O56" s="138">
        <f>IF(B56&lt;='VALOR POR PL'!$P$5,'CP RESUMO'!BC70,"")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RESUMO'!BD28</f>
        <v/>
      </c>
      <c r="N57" s="139">
        <f>MAX(0,M57-M56)</f>
        <v/>
      </c>
      <c r="O57" s="138">
        <f>IF(B57&lt;='VALOR POR PL'!$P$5,'CP RESUMO'!BD70,"")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RESUMO'!BE28</f>
        <v/>
      </c>
      <c r="N58" s="139">
        <f>MAX(0,M58-M57)</f>
        <v/>
      </c>
      <c r="O58" s="138">
        <f>IF(B58&lt;='VALOR POR PL'!$P$5,'CP RESUMO'!BE70,"")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RESUMO'!BF28</f>
        <v/>
      </c>
      <c r="N59" s="139">
        <f>MAX(0,M59-M58)</f>
        <v/>
      </c>
      <c r="O59" s="138">
        <f>IF(B59&lt;='VALOR POR PL'!$P$5,'CP RESUMO'!BF70,"")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RESUMO'!BG28</f>
        <v/>
      </c>
      <c r="N60" s="139">
        <f>MAX(0,M60-M59)</f>
        <v/>
      </c>
      <c r="O60" s="138">
        <f>IF(B60&lt;='VALOR POR PL'!$P$5,'CP RESUMO'!BG70,"")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RESUMO'!BH28</f>
        <v/>
      </c>
      <c r="N61" s="139">
        <f>MAX(0,M61-M60)</f>
        <v/>
      </c>
      <c r="O61" s="138">
        <f>IF(B61&lt;='VALOR POR PL'!$P$5,'CP RESUMO'!BH70,"")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RESUMO'!BI28</f>
        <v/>
      </c>
      <c r="N62" s="139">
        <f>MAX(0,M62-M61)</f>
        <v/>
      </c>
      <c r="O62" s="138">
        <f>IF(B62&lt;='VALOR POR PL'!$P$5,'CP RESUMO'!BI70,"")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RESUMO'!BJ28</f>
        <v/>
      </c>
      <c r="N63" s="139">
        <f>MAX(0,M63-M62)</f>
        <v/>
      </c>
      <c r="O63" s="138">
        <f>IF(B63&lt;='VALOR POR PL'!$P$5,'CP RESUMO'!BJ70,"")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RESUMO'!BK28</f>
        <v/>
      </c>
      <c r="N64" s="139">
        <f>MAX(0,M64-M63)</f>
        <v/>
      </c>
      <c r="O64" s="138">
        <f>IF(B64&lt;='VALOR POR PL'!$P$5,'CP RESUMO'!BK70,"")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RESUMO'!BL28</f>
        <v/>
      </c>
      <c r="N65" s="139">
        <f>MAX(0,M65-M64)</f>
        <v/>
      </c>
      <c r="O65" s="138">
        <f>IF(B65&lt;='VALOR POR PL'!$P$5,'CP RESUMO'!BL70,"")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RESUMO'!BM28</f>
        <v/>
      </c>
      <c r="N66" s="139">
        <f>MAX(0,M66-M65)</f>
        <v/>
      </c>
      <c r="O66" s="138">
        <f>IF(B66&lt;='VALOR POR PL'!$P$5,'CP RESUMO'!BM70,"")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RESUMO'!BN28</f>
        <v/>
      </c>
      <c r="N67" s="139">
        <f>MAX(0,M67-M66)</f>
        <v/>
      </c>
      <c r="O67" s="138">
        <f>IF(B67&lt;='VALOR POR PL'!$P$5,'CP RESUMO'!BN70,"")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RESUMO'!BO28</f>
        <v/>
      </c>
      <c r="N68" s="139">
        <f>MAX(0,M68-M67)</f>
        <v/>
      </c>
      <c r="O68" s="138">
        <f>IF(B68&lt;='VALOR POR PL'!$P$5,'CP RESUMO'!BO70,"")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RESUMO'!BP28</f>
        <v/>
      </c>
      <c r="N69" s="139">
        <f>MAX(0,M69-M68)</f>
        <v/>
      </c>
      <c r="O69" s="138">
        <f>IF(B69&lt;='VALOR POR PL'!$P$5,'CP RESUMO'!BP70,"")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RESUMO'!BQ28</f>
        <v/>
      </c>
      <c r="N70" s="139">
        <f>MAX(0,M70-M69)</f>
        <v/>
      </c>
      <c r="O70" s="138">
        <f>IF(B70&lt;='VALOR POR PL'!$P$5,'CP RESUMO'!BQ70,"")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RESUMO'!BR28</f>
        <v/>
      </c>
      <c r="N71" s="139">
        <f>MAX(0,M71-M70)</f>
        <v/>
      </c>
      <c r="O71" s="138">
        <f>IF(B71&lt;='VALOR POR PL'!$P$5,'CP RESUMO'!BR70,"")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RESUMO'!BS28</f>
        <v/>
      </c>
      <c r="N72" s="139">
        <f>MAX(0,M72-M71)</f>
        <v/>
      </c>
      <c r="O72" s="138">
        <f>IF(B72&lt;='VALOR POR PL'!$P$5,'CP RESUMO'!BS70,"")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RESUMO'!BT28</f>
        <v/>
      </c>
      <c r="N73" s="139">
        <f>MAX(0,M73-M72)</f>
        <v/>
      </c>
      <c r="O73" s="138">
        <f>IF(B73&lt;='VALOR POR PL'!$P$5,'CP RESUMO'!BT70,"")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RESUMO'!BU28</f>
        <v/>
      </c>
      <c r="N74" s="139">
        <f>MAX(0,M74-M73)</f>
        <v/>
      </c>
      <c r="O74" s="138">
        <f>IF(B74&lt;='VALOR POR PL'!$P$5,'CP RESUMO'!BU70,"")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RESUMO'!BV28</f>
        <v/>
      </c>
      <c r="N75" s="139">
        <f>MAX(0,M75-M74)</f>
        <v/>
      </c>
      <c r="O75" s="138">
        <f>IF(B75&lt;='VALOR POR PL'!$P$5,'CP RESUMO'!BV70,"")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RESUMO'!BW28</f>
        <v/>
      </c>
      <c r="N76" s="139">
        <f>MAX(0,M76-M75)</f>
        <v/>
      </c>
      <c r="O76" s="138">
        <f>IF(B76&lt;='VALOR POR PL'!$P$5,'CP RESUMO'!BW70,"")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HISTORICOS'!D29)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PL'!F35</f>
        <v/>
      </c>
      <c r="K5" s="60">
        <f>'VALOR POR PL'!G35</f>
        <v/>
      </c>
      <c r="L5" s="60">
        <f>'DADOS HISTORICOS'!$BZ$29</f>
        <v/>
      </c>
      <c r="M5" s="138">
        <f>'CP RESUMO'!D29</f>
        <v/>
      </c>
      <c r="N5" s="139" t="n">
        <v>0</v>
      </c>
      <c r="O5" s="138">
        <f>IF(B5&lt;='VALOR POR PL'!$P$5,'CP RESUMO'!D71,"")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HISTORICOS'!E29)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PL'!H35</f>
        <v/>
      </c>
      <c r="L6" s="49">
        <f>C6/IF(B6&lt;='VALOR POR PL'!$P$5,IFERROR(INDEX('"INCC-FGV"'!$B$2:$B$800,MATCH(B6,'"INCC-FGV"'!$A$2:$A$800,0)),$K$2),$K$2)</f>
        <v/>
      </c>
      <c r="M6" s="138">
        <f>'CP RESUMO'!E29</f>
        <v/>
      </c>
      <c r="N6" s="139">
        <f>MAX(0,M6-M5)</f>
        <v/>
      </c>
      <c r="O6" s="138">
        <f>IF(B6&lt;='VALOR POR PL'!$P$5,'CP RESUMO'!E71,"")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HISTORICOS'!F29)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RESUMO'!F29</f>
        <v/>
      </c>
      <c r="N7" s="139">
        <f>MAX(0,M7-M6)</f>
        <v/>
      </c>
      <c r="O7" s="138">
        <f>IF(B7&lt;='VALOR POR PL'!$P$5,'CP RESUMO'!F71,"")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HISTORICOS'!G29)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RESUMO'!G29</f>
        <v/>
      </c>
      <c r="N8" s="139">
        <f>MAX(0,M8-M7)</f>
        <v/>
      </c>
      <c r="O8" s="138">
        <f>IF(B8&lt;='VALOR POR PL'!$P$5,'CP RESUMO'!G71,"")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HISTORICOS'!H29)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RESUMO'!H29</f>
        <v/>
      </c>
      <c r="N9" s="139">
        <f>MAX(0,M9-M8)</f>
        <v/>
      </c>
      <c r="O9" s="138">
        <f>IF(B9&lt;='VALOR POR PL'!$P$5,'CP RESUMO'!H71,"")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RESUMO'!I29</f>
        <v/>
      </c>
      <c r="N10" s="139">
        <f>MAX(0,M10-M9)</f>
        <v/>
      </c>
      <c r="O10" s="138">
        <f>IF(B10&lt;='VALOR POR PL'!$P$5,'CP RESUMO'!I71,"")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RESUMO'!J29</f>
        <v/>
      </c>
      <c r="N11" s="139">
        <f>MAX(0,M11-M10)</f>
        <v/>
      </c>
      <c r="O11" s="138">
        <f>IF(B11&lt;='VALOR POR PL'!$P$5,'CP RESUMO'!J71,"")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RESUMO'!K29</f>
        <v/>
      </c>
      <c r="N12" s="139">
        <f>MAX(0,M12-M11)</f>
        <v/>
      </c>
      <c r="O12" s="138">
        <f>IF(B12&lt;='VALOR POR PL'!$P$5,'CP RESUMO'!K71,"")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PL'!I35</f>
        <v/>
      </c>
      <c r="L13" s="49">
        <f>C13/IF(B13&lt;='VALOR POR PL'!$P$5,IFERROR(INDEX('"INCC-FGV"'!$B$2:$B$800,MATCH(B13,'"INCC-FGV"'!$A$2:$A$800,0)),$K$2),$K$2)</f>
        <v/>
      </c>
      <c r="M13" s="138">
        <f>'CP RESUMO'!L29</f>
        <v/>
      </c>
      <c r="N13" s="139">
        <f>MAX(0,M13-M12)</f>
        <v/>
      </c>
      <c r="O13" s="138">
        <f>IF(B13&lt;='VALOR POR PL'!$P$5,'CP RESUMO'!L71,"")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RESUMO'!$D$71:$BW$71,MATCH('VALOR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RESUMO'!M29</f>
        <v/>
      </c>
      <c r="N14" s="139">
        <f>MAX(0,M14-M13)</f>
        <v/>
      </c>
      <c r="O14" s="138">
        <f>IF(B14&lt;='VALOR POR PL'!$P$5,'CP RESUMO'!M71,"")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PREVISÃO INFORMADA</t>
        </is>
      </c>
      <c r="L15" s="49">
        <f>C15/IF(B15&lt;='VALOR POR PL'!$P$5,IFERROR(INDEX('"INCC-FGV"'!$B$2:$B$800,MATCH(B15,'"INCC-FGV"'!$A$2:$A$800,0)),$K$2),$K$2)</f>
        <v/>
      </c>
      <c r="M15" s="138">
        <f>'CP RESUMO'!N29</f>
        <v/>
      </c>
      <c r="N15" s="139">
        <f>MAX(0,M15-M14)</f>
        <v/>
      </c>
      <c r="O15" s="138">
        <f>IF(B15&lt;='VALOR POR PL'!$P$5,'CP RESUMO'!N71,"")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RESUMO'!O29</f>
        <v/>
      </c>
      <c r="N16" s="139">
        <f>MAX(0,M16-M15)</f>
        <v/>
      </c>
      <c r="O16" s="138">
        <f>IF(B16&lt;='VALOR POR PL'!$P$5,'CP RESUMO'!O71,"")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RESUMO'!P29</f>
        <v/>
      </c>
      <c r="N17" s="139">
        <f>MAX(0,M17-M16)</f>
        <v/>
      </c>
      <c r="O17" s="138">
        <f>IF(B17&lt;='VALOR POR PL'!$P$5,'CP RESUMO'!P71,"")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RESUMO'!Q29</f>
        <v/>
      </c>
      <c r="N18" s="139">
        <f>MAX(0,M18-M17)</f>
        <v/>
      </c>
      <c r="O18" s="138">
        <f>IF(B18&lt;='VALOR POR PL'!$P$5,'CP RESUMO'!Q71,"")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RESUMO'!R29</f>
        <v/>
      </c>
      <c r="N19" s="139">
        <f>MAX(0,M19-M18)</f>
        <v/>
      </c>
      <c r="O19" s="138">
        <f>IF(B19&lt;='VALOR POR PL'!$P$5,'CP RESUMO'!R71,"")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RESUMO'!S29</f>
        <v/>
      </c>
      <c r="N20" s="139">
        <f>MAX(0,M20-M19)</f>
        <v/>
      </c>
      <c r="O20" s="138">
        <f>IF(B20&lt;='VALOR POR PL'!$P$5,'CP RESUMO'!S71,"")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RESUMO'!T29</f>
        <v/>
      </c>
      <c r="N21" s="139">
        <f>MAX(0,M21-M20)</f>
        <v/>
      </c>
      <c r="O21" s="138">
        <f>IF(B21&lt;='VALOR POR PL'!$P$5,'CP RESUMO'!T71,"")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RESUMO'!U29</f>
        <v/>
      </c>
      <c r="N22" s="139">
        <f>MAX(0,M22-M21)</f>
        <v/>
      </c>
      <c r="O22" s="138">
        <f>IF(B22&lt;='VALOR POR PL'!$P$5,'CP RESUMO'!U71,"")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RESUMO'!V29</f>
        <v/>
      </c>
      <c r="N23" s="139">
        <f>MAX(0,M23-M22)</f>
        <v/>
      </c>
      <c r="O23" s="138">
        <f>IF(B23&lt;='VALOR POR PL'!$P$5,'CP RESUMO'!V71,"")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Previsão informada mantida (decisão do usuário). Premissa: 60% em 10 pagamentos + 40% por medição direta.</t>
        </is>
      </c>
      <c r="L24" s="49">
        <f>C24/IF(B24&lt;='VALOR POR PL'!$P$5,IFERROR(INDEX('"INCC-FGV"'!$B$2:$B$800,MATCH(B24,'"INCC-FGV"'!$A$2:$A$800,0)),$K$2),$K$2)</f>
        <v/>
      </c>
      <c r="M24" s="138">
        <f>'CP RESUMO'!W29</f>
        <v/>
      </c>
      <c r="N24" s="139">
        <f>MAX(0,M24-M23)</f>
        <v/>
      </c>
      <c r="O24" s="138">
        <f>IF(B24&lt;='VALOR POR PL'!$P$5,'CP RESUMO'!W71,"")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RESUMO'!X29</f>
        <v/>
      </c>
      <c r="N25" s="139">
        <f>MAX(0,M25-M24)</f>
        <v/>
      </c>
      <c r="O25" s="138">
        <f>IF(B25&lt;='VALOR POR PL'!$P$5,'CP RESUMO'!X71,"")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RESUMO'!Y29</f>
        <v/>
      </c>
      <c r="N26" s="139">
        <f>MAX(0,M26-M25)</f>
        <v/>
      </c>
      <c r="O26" s="138">
        <f>IF(B26&lt;='VALOR POR PL'!$P$5,'CP RESUMO'!Y71,"")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505000</v>
      </c>
      <c r="L27" s="49">
        <f>C27/IF(B27&lt;='VALOR POR PL'!$P$5,IFERROR(INDEX('"INCC-FGV"'!$B$2:$B$800,MATCH(B27,'"INCC-FGV"'!$A$2:$A$800,0)),$K$2),$K$2)</f>
        <v/>
      </c>
      <c r="M27" s="138">
        <f>'CP RESUMO'!Z29</f>
        <v/>
      </c>
      <c r="N27" s="139">
        <f>MAX(0,M27-M26)</f>
        <v/>
      </c>
      <c r="O27" s="138">
        <f>IF(B27&lt;='VALOR POR PL'!$P$5,'CP RESUMO'!Z71,"")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505000</v>
      </c>
      <c r="L28" s="49">
        <f>C28/IF(B28&lt;='VALOR POR PL'!$P$5,IFERROR(INDEX('"INCC-FGV"'!$B$2:$B$800,MATCH(B28,'"INCC-FGV"'!$A$2:$A$800,0)),$K$2),$K$2)</f>
        <v/>
      </c>
      <c r="M28" s="138">
        <f>'CP RESUMO'!AA29</f>
        <v/>
      </c>
      <c r="N28" s="139">
        <f>MAX(0,M28-M27)</f>
        <v/>
      </c>
      <c r="O28" s="138">
        <f>IF(B28&lt;='VALOR POR PL'!$P$5,'CP RESUMO'!AA71,"")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505000</v>
      </c>
      <c r="L29" s="49">
        <f>C29/IF(B29&lt;='VALOR POR PL'!$P$5,IFERROR(INDEX('"INCC-FGV"'!$B$2:$B$800,MATCH(B29,'"INCC-FGV"'!$A$2:$A$800,0)),$K$2),$K$2)</f>
        <v/>
      </c>
      <c r="M29" s="138">
        <f>'CP RESUMO'!AB29</f>
        <v/>
      </c>
      <c r="N29" s="139">
        <f>MAX(0,M29-M28)</f>
        <v/>
      </c>
      <c r="O29" s="138">
        <f>IF(B29&lt;='VALOR POR PL'!$P$5,'CP RESUMO'!AB71,"")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982874.3</v>
      </c>
      <c r="L30" s="49">
        <f>C30/IF(B30&lt;='VALOR POR PL'!$P$5,IFERROR(INDEX('"INCC-FGV"'!$B$2:$B$800,MATCH(B30,'"INCC-FGV"'!$A$2:$A$800,0)),$K$2),$K$2)</f>
        <v/>
      </c>
      <c r="M30" s="138">
        <f>'CP RESUMO'!AC29</f>
        <v/>
      </c>
      <c r="N30" s="139">
        <f>MAX(0,M30-M29)</f>
        <v/>
      </c>
      <c r="O30" s="138">
        <f>IF(B30&lt;='VALOR POR PL'!$P$5,'CP RESUMO'!AC71,"")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1278889.16</v>
      </c>
      <c r="L31" s="49">
        <f>C31/IF(B31&lt;='VALOR POR PL'!$P$5,IFERROR(INDEX('"INCC-FGV"'!$B$2:$B$800,MATCH(B31,'"INCC-FGV"'!$A$2:$A$800,0)),$K$2),$K$2)</f>
        <v/>
      </c>
      <c r="M31" s="138">
        <f>'CP RESUMO'!AD29</f>
        <v/>
      </c>
      <c r="N31" s="139">
        <f>MAX(0,M31-M30)</f>
        <v/>
      </c>
      <c r="O31" s="138">
        <f>IF(B31&lt;='VALOR POR PL'!$P$5,'CP RESUMO'!AD71,"")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1278889.16</v>
      </c>
      <c r="L32" s="49">
        <f>C32/IF(B32&lt;='VALOR POR PL'!$P$5,IFERROR(INDEX('"INCC-FGV"'!$B$2:$B$800,MATCH(B32,'"INCC-FGV"'!$A$2:$A$800,0)),$K$2),$K$2)</f>
        <v/>
      </c>
      <c r="M32" s="138">
        <f>'CP RESUMO'!AE29</f>
        <v/>
      </c>
      <c r="N32" s="139">
        <f>MAX(0,M32-M31)</f>
        <v/>
      </c>
      <c r="O32" s="138">
        <f>IF(B32&lt;='VALOR POR PL'!$P$5,'CP RESUMO'!AE71,"")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303814.86</v>
      </c>
      <c r="L33" s="49">
        <f>C33/IF(B33&lt;='VALOR POR PL'!$P$5,IFERROR(INDEX('"INCC-FGV"'!$B$2:$B$800,MATCH(B33,'"INCC-FGV"'!$A$2:$A$800,0)),$K$2),$K$2)</f>
        <v/>
      </c>
      <c r="M33" s="138">
        <f>'CP RESUMO'!AF29</f>
        <v/>
      </c>
      <c r="N33" s="139">
        <f>MAX(0,M33-M32)</f>
        <v/>
      </c>
      <c r="O33" s="138">
        <f>IF(B33&lt;='VALOR POR PL'!$P$5,'CP RESUMO'!AF71,"")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7800</v>
      </c>
      <c r="L34" s="49">
        <f>C34/IF(B34&lt;='VALOR POR PL'!$P$5,IFERROR(INDEX('"INCC-FGV"'!$B$2:$B$800,MATCH(B34,'"INCC-FGV"'!$A$2:$A$800,0)),$K$2),$K$2)</f>
        <v/>
      </c>
      <c r="M34" s="138">
        <f>'CP RESUMO'!AG29</f>
        <v/>
      </c>
      <c r="N34" s="139">
        <f>MAX(0,M34-M33)</f>
        <v/>
      </c>
      <c r="O34" s="138">
        <f>IF(B34&lt;='VALOR POR PL'!$P$5,'CP RESUMO'!AG71,"")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7800</v>
      </c>
      <c r="L35" s="49">
        <f>C35/IF(B35&lt;='VALOR POR PL'!$P$5,IFERROR(INDEX('"INCC-FGV"'!$B$2:$B$800,MATCH(B35,'"INCC-FGV"'!$A$2:$A$800,0)),$K$2),$K$2)</f>
        <v/>
      </c>
      <c r="M35" s="138">
        <f>'CP RESUMO'!AH29</f>
        <v/>
      </c>
      <c r="N35" s="139">
        <f>MAX(0,M35-M34)</f>
        <v/>
      </c>
      <c r="O35" s="138">
        <f>IF(B35&lt;='VALOR POR PL'!$P$5,'CP RESUMO'!AH71,"")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451822.29</v>
      </c>
      <c r="L36" s="49">
        <f>C36/IF(B36&lt;='VALOR POR PL'!$P$5,IFERROR(INDEX('"INCC-FGV"'!$B$2:$B$800,MATCH(B36,'"INCC-FGV"'!$A$2:$A$800,0)),$K$2),$K$2)</f>
        <v/>
      </c>
      <c r="M36" s="138">
        <f>'CP RESUMO'!AI29</f>
        <v/>
      </c>
      <c r="N36" s="139">
        <f>MAX(0,M36-M35)</f>
        <v/>
      </c>
      <c r="O36" s="138">
        <f>IF(B36&lt;='VALOR POR PL'!$P$5,'CP RESUMO'!AI71,"")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629431.21</v>
      </c>
      <c r="L37" s="49">
        <f>C37/IF(B37&lt;='VALOR POR PL'!$P$5,IFERROR(INDEX('"INCC-FGV"'!$B$2:$B$800,MATCH(B37,'"INCC-FGV"'!$A$2:$A$800,0)),$K$2),$K$2)</f>
        <v/>
      </c>
      <c r="M37" s="138">
        <f>'CP RESUMO'!AJ29</f>
        <v/>
      </c>
      <c r="N37" s="139">
        <f>MAX(0,M37-M36)</f>
        <v/>
      </c>
      <c r="O37" s="138">
        <f>IF(B37&lt;='VALOR POR PL'!$P$5,'CP RESUMO'!AJ71,"")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621631.21</v>
      </c>
      <c r="L38" s="49">
        <f>C38/IF(B38&lt;='VALOR POR PL'!$P$5,IFERROR(INDEX('"INCC-FGV"'!$B$2:$B$800,MATCH(B38,'"INCC-FGV"'!$A$2:$A$800,0)),$K$2),$K$2)</f>
        <v/>
      </c>
      <c r="M38" s="138">
        <f>'CP RESUMO'!AK29</f>
        <v/>
      </c>
      <c r="N38" s="139">
        <f>MAX(0,M38-M37)</f>
        <v/>
      </c>
      <c r="O38" s="138">
        <f>IF(B38&lt;='VALOR POR PL'!$P$5,'CP RESUMO'!AK71,"")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621631.21</v>
      </c>
      <c r="L39" s="49">
        <f>C39/IF(B39&lt;='VALOR POR PL'!$P$5,IFERROR(INDEX('"INCC-FGV"'!$B$2:$B$800,MATCH(B39,'"INCC-FGV"'!$A$2:$A$800,0)),$K$2),$K$2)</f>
        <v/>
      </c>
      <c r="M39" s="138">
        <f>'CP RESUMO'!AL29</f>
        <v/>
      </c>
      <c r="N39" s="139">
        <f>MAX(0,M39-M38)</f>
        <v/>
      </c>
      <c r="O39" s="138">
        <f>IF(B39&lt;='VALOR POR PL'!$P$5,'CP RESUMO'!AL71,"")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177608.92</v>
      </c>
      <c r="L40" s="49">
        <f>C40/IF(B40&lt;='VALOR POR PL'!$P$5,IFERROR(INDEX('"INCC-FGV"'!$B$2:$B$800,MATCH(B40,'"INCC-FGV"'!$A$2:$A$800,0)),$K$2),$K$2)</f>
        <v/>
      </c>
      <c r="M40" s="138">
        <f>'CP RESUMO'!AM29</f>
        <v/>
      </c>
      <c r="N40" s="139">
        <f>MAX(0,M40-M39)</f>
        <v/>
      </c>
      <c r="O40" s="138">
        <f>IF(B40&lt;='VALOR POR PL'!$P$5,'CP RESUMO'!AM71,"")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177608.92</v>
      </c>
      <c r="L41" s="49">
        <f>C41/IF(B41&lt;='VALOR POR PL'!$P$5,IFERROR(INDEX('"INCC-FGV"'!$B$2:$B$800,MATCH(B41,'"INCC-FGV"'!$A$2:$A$800,0)),$K$2),$K$2)</f>
        <v/>
      </c>
      <c r="M41" s="138">
        <f>'CP RESUMO'!AN29</f>
        <v/>
      </c>
      <c r="N41" s="139">
        <f>MAX(0,M41-M40)</f>
        <v/>
      </c>
      <c r="O41" s="138">
        <f>IF(B41&lt;='VALOR POR PL'!$P$5,'CP RESUMO'!AN71,"")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177608.92</v>
      </c>
      <c r="L42" s="49">
        <f>C42/IF(B42&lt;='VALOR POR PL'!$P$5,IFERROR(INDEX('"INCC-FGV"'!$B$2:$B$800,MATCH(B42,'"INCC-FGV"'!$A$2:$A$800,0)),$K$2),$K$2)</f>
        <v/>
      </c>
      <c r="M42" s="138">
        <f>'CP RESUMO'!AO29</f>
        <v/>
      </c>
      <c r="N42" s="139">
        <f>MAX(0,M42-M41)</f>
        <v/>
      </c>
      <c r="O42" s="138">
        <f>IF(B42&lt;='VALOR POR PL'!$P$5,'CP RESUMO'!AO71,"")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177608.92</v>
      </c>
      <c r="L43" s="49">
        <f>C43/IF(B43&lt;='VALOR POR PL'!$P$5,IFERROR(INDEX('"INCC-FGV"'!$B$2:$B$800,MATCH(B43,'"INCC-FGV"'!$A$2:$A$800,0)),$K$2),$K$2)</f>
        <v/>
      </c>
      <c r="M43" s="138">
        <f>'CP RESUMO'!AP29</f>
        <v/>
      </c>
      <c r="N43" s="139">
        <f>MAX(0,M43-M42)</f>
        <v/>
      </c>
      <c r="O43" s="138">
        <f>IF(B43&lt;='VALOR POR PL'!$P$5,'CP RESUMO'!AP71,"")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177608.92</v>
      </c>
      <c r="L44" s="49">
        <f>C44/IF(B44&lt;='VALOR POR PL'!$P$5,IFERROR(INDEX('"INCC-FGV"'!$B$2:$B$800,MATCH(B44,'"INCC-FGV"'!$A$2:$A$800,0)),$K$2),$K$2)</f>
        <v/>
      </c>
      <c r="M44" s="138">
        <f>'CP RESUMO'!AQ29</f>
        <v/>
      </c>
      <c r="N44" s="139">
        <f>MAX(0,M44-M43)</f>
        <v/>
      </c>
      <c r="O44" s="138">
        <f>IF(B44&lt;='VALOR POR PL'!$P$5,'CP RESUMO'!AQ71,"")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177608.92</v>
      </c>
      <c r="L45" s="49">
        <f>C45/IF(B45&lt;='VALOR POR PL'!$P$5,IFERROR(INDEX('"INCC-FGV"'!$B$2:$B$800,MATCH(B45,'"INCC-FGV"'!$A$2:$A$800,0)),$K$2),$K$2)</f>
        <v/>
      </c>
      <c r="M45" s="138">
        <f>'CP RESUMO'!AR29</f>
        <v/>
      </c>
      <c r="N45" s="139">
        <f>MAX(0,M45-M44)</f>
        <v/>
      </c>
      <c r="O45" s="138">
        <f>IF(B45&lt;='VALOR POR PL'!$P$5,'CP RESUMO'!AR71,"")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177608.92</v>
      </c>
      <c r="L46" s="49">
        <f>C46/IF(B46&lt;='VALOR POR PL'!$P$5,IFERROR(INDEX('"INCC-FGV"'!$B$2:$B$800,MATCH(B46,'"INCC-FGV"'!$A$2:$A$800,0)),$K$2),$K$2)</f>
        <v/>
      </c>
      <c r="M46" s="138">
        <f>'CP RESUMO'!AS29</f>
        <v/>
      </c>
      <c r="N46" s="139">
        <f>MAX(0,M46-M45)</f>
        <v/>
      </c>
      <c r="O46" s="138">
        <f>IF(B46&lt;='VALOR POR PL'!$P$5,'CP RESUMO'!AS71,"")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RESUMO'!AT29</f>
        <v/>
      </c>
      <c r="N47" s="139">
        <f>MAX(0,M47-M46)</f>
        <v/>
      </c>
      <c r="O47" s="138">
        <f>IF(B47&lt;='VALOR POR PL'!$P$5,'CP RESUMO'!AT71,"")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RESUMO'!AU29</f>
        <v/>
      </c>
      <c r="N48" s="139">
        <f>MAX(0,M48-M47)</f>
        <v/>
      </c>
      <c r="O48" s="138">
        <f>IF(B48&lt;='VALOR POR PL'!$P$5,'CP RESUMO'!AU71,"")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RESUMO'!AV29</f>
        <v/>
      </c>
      <c r="N49" s="139">
        <f>MAX(0,M49-M48)</f>
        <v/>
      </c>
      <c r="O49" s="138">
        <f>IF(B49&lt;='VALOR POR PL'!$P$5,'CP RESUMO'!AV71,"")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RESUMO'!AW29</f>
        <v/>
      </c>
      <c r="N50" s="139">
        <f>MAX(0,M50-M49)</f>
        <v/>
      </c>
      <c r="O50" s="138">
        <f>IF(B50&lt;='VALOR POR PL'!$P$5,'CP RESUMO'!AW71,"")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RESUMO'!AX29</f>
        <v/>
      </c>
      <c r="N51" s="139">
        <f>MAX(0,M51-M50)</f>
        <v/>
      </c>
      <c r="O51" s="138">
        <f>IF(B51&lt;='VALOR POR PL'!$P$5,'CP RESUMO'!AX71,"")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3975247.29</v>
      </c>
      <c r="L52" s="49">
        <f>C52/IF(B52&lt;='VALOR POR PL'!$P$5,IFERROR(INDEX('"INCC-FGV"'!$B$2:$B$800,MATCH(B52,'"INCC-FGV"'!$A$2:$A$800,0)),$K$2),$K$2)</f>
        <v/>
      </c>
      <c r="M52" s="138">
        <f>'CP RESUMO'!AY29</f>
        <v/>
      </c>
      <c r="N52" s="139">
        <f>MAX(0,M52-M51)</f>
        <v/>
      </c>
      <c r="O52" s="138">
        <f>IF(B52&lt;='VALOR POR PL'!$P$5,'CP RESUMO'!AY71,"")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RESUMO'!AZ29</f>
        <v/>
      </c>
      <c r="N53" s="139">
        <f>MAX(0,M53-M52)</f>
        <v/>
      </c>
      <c r="O53" s="138">
        <f>IF(B53&lt;='VALOR POR PL'!$P$5,'CP RESUMO'!AZ71,"")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RESUMO'!BA29</f>
        <v/>
      </c>
      <c r="N54" s="139">
        <f>MAX(0,M54-M53)</f>
        <v/>
      </c>
      <c r="O54" s="138">
        <f>IF(B54&lt;='VALOR POR PL'!$P$5,'CP RESUMO'!BA71,"")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RESUMO'!BB29</f>
        <v/>
      </c>
      <c r="N55" s="139">
        <f>MAX(0,M55-M54)</f>
        <v/>
      </c>
      <c r="O55" s="138">
        <f>IF(B55&lt;='VALOR POR PL'!$P$5,'CP RESUMO'!BB71,"")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RESUMO'!BC29</f>
        <v/>
      </c>
      <c r="N56" s="139">
        <f>MAX(0,M56-M55)</f>
        <v/>
      </c>
      <c r="O56" s="138">
        <f>IF(B56&lt;='VALOR POR PL'!$P$5,'CP RESUMO'!BC71,"")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RESUMO'!BD29</f>
        <v/>
      </c>
      <c r="N57" s="139">
        <f>MAX(0,M57-M56)</f>
        <v/>
      </c>
      <c r="O57" s="138">
        <f>IF(B57&lt;='VALOR POR PL'!$P$5,'CP RESUMO'!BD71,"")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RESUMO'!BE29</f>
        <v/>
      </c>
      <c r="N58" s="139">
        <f>MAX(0,M58-M57)</f>
        <v/>
      </c>
      <c r="O58" s="138">
        <f>IF(B58&lt;='VALOR POR PL'!$P$5,'CP RESUMO'!BE71,"")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RESUMO'!BF29</f>
        <v/>
      </c>
      <c r="N59" s="139">
        <f>MAX(0,M59-M58)</f>
        <v/>
      </c>
      <c r="O59" s="138">
        <f>IF(B59&lt;='VALOR POR PL'!$P$5,'CP RESUMO'!BF71,"")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RESUMO'!BG29</f>
        <v/>
      </c>
      <c r="N60" s="139">
        <f>MAX(0,M60-M59)</f>
        <v/>
      </c>
      <c r="O60" s="138">
        <f>IF(B60&lt;='VALOR POR PL'!$P$5,'CP RESUMO'!BG71,"")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RESUMO'!BH29</f>
        <v/>
      </c>
      <c r="N61" s="139">
        <f>MAX(0,M61-M60)</f>
        <v/>
      </c>
      <c r="O61" s="138">
        <f>IF(B61&lt;='VALOR POR PL'!$P$5,'CP RESUMO'!BH71,"")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RESUMO'!BI29</f>
        <v/>
      </c>
      <c r="N62" s="139">
        <f>MAX(0,M62-M61)</f>
        <v/>
      </c>
      <c r="O62" s="138">
        <f>IF(B62&lt;='VALOR POR PL'!$P$5,'CP RESUMO'!BI71,"")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RESUMO'!BJ29</f>
        <v/>
      </c>
      <c r="N63" s="139">
        <f>MAX(0,M63-M62)</f>
        <v/>
      </c>
      <c r="O63" s="138">
        <f>IF(B63&lt;='VALOR POR PL'!$P$5,'CP RESUMO'!BJ71,"")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RESUMO'!BK29</f>
        <v/>
      </c>
      <c r="N64" s="139">
        <f>MAX(0,M64-M63)</f>
        <v/>
      </c>
      <c r="O64" s="138">
        <f>IF(B64&lt;='VALOR POR PL'!$P$5,'CP RESUMO'!BK71,"")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RESUMO'!BL29</f>
        <v/>
      </c>
      <c r="N65" s="139">
        <f>MAX(0,M65-M64)</f>
        <v/>
      </c>
      <c r="O65" s="138">
        <f>IF(B65&lt;='VALOR POR PL'!$P$5,'CP RESUMO'!BL71,"")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RESUMO'!BM29</f>
        <v/>
      </c>
      <c r="N66" s="139">
        <f>MAX(0,M66-M65)</f>
        <v/>
      </c>
      <c r="O66" s="138">
        <f>IF(B66&lt;='VALOR POR PL'!$P$5,'CP RESUMO'!BM71,"")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RESUMO'!BN29</f>
        <v/>
      </c>
      <c r="N67" s="139">
        <f>MAX(0,M67-M66)</f>
        <v/>
      </c>
      <c r="O67" s="138">
        <f>IF(B67&lt;='VALOR POR PL'!$P$5,'CP RESUMO'!BN71,"")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RESUMO'!BO29</f>
        <v/>
      </c>
      <c r="N68" s="139">
        <f>MAX(0,M68-M67)</f>
        <v/>
      </c>
      <c r="O68" s="138">
        <f>IF(B68&lt;='VALOR POR PL'!$P$5,'CP RESUMO'!BO71,"")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RESUMO'!BP29</f>
        <v/>
      </c>
      <c r="N69" s="139">
        <f>MAX(0,M69-M68)</f>
        <v/>
      </c>
      <c r="O69" s="138">
        <f>IF(B69&lt;='VALOR POR PL'!$P$5,'CP RESUMO'!BP71,"")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RESUMO'!BQ29</f>
        <v/>
      </c>
      <c r="N70" s="139">
        <f>MAX(0,M70-M69)</f>
        <v/>
      </c>
      <c r="O70" s="138">
        <f>IF(B70&lt;='VALOR POR PL'!$P$5,'CP RESUMO'!BQ71,"")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RESUMO'!BR29</f>
        <v/>
      </c>
      <c r="N71" s="139">
        <f>MAX(0,M71-M70)</f>
        <v/>
      </c>
      <c r="O71" s="138">
        <f>IF(B71&lt;='VALOR POR PL'!$P$5,'CP RESUMO'!BR71,"")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RESUMO'!BS29</f>
        <v/>
      </c>
      <c r="N72" s="139">
        <f>MAX(0,M72-M71)</f>
        <v/>
      </c>
      <c r="O72" s="138">
        <f>IF(B72&lt;='VALOR POR PL'!$P$5,'CP RESUMO'!BS71,"")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RESUMO'!BT29</f>
        <v/>
      </c>
      <c r="N73" s="139">
        <f>MAX(0,M73-M72)</f>
        <v/>
      </c>
      <c r="O73" s="138">
        <f>IF(B73&lt;='VALOR POR PL'!$P$5,'CP RESUMO'!BT71,"")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RESUMO'!BU29</f>
        <v/>
      </c>
      <c r="N74" s="139">
        <f>MAX(0,M74-M73)</f>
        <v/>
      </c>
      <c r="O74" s="138">
        <f>IF(B74&lt;='VALOR POR PL'!$P$5,'CP RESUMO'!BU71,"")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RESUMO'!BV29</f>
        <v/>
      </c>
      <c r="N75" s="139">
        <f>MAX(0,M75-M74)</f>
        <v/>
      </c>
      <c r="O75" s="138">
        <f>IF(B75&lt;='VALOR POR PL'!$P$5,'CP RESUMO'!BV71,"")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RESUMO'!BW29</f>
        <v/>
      </c>
      <c r="N76" s="139">
        <f>MAX(0,M76-M75)</f>
        <v/>
      </c>
      <c r="O76" s="138">
        <f>IF(B76&lt;='VALOR POR PL'!$P$5,'CP RESUMO'!BW71,"")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PL'!F36</f>
        <v/>
      </c>
      <c r="K5" s="60">
        <f>'VALOR POR PL'!G36</f>
        <v/>
      </c>
      <c r="L5" s="60">
        <f>'DADOS HISTORICOS'!$BZ$30</f>
        <v/>
      </c>
      <c r="M5" s="138">
        <f>'CP RESUMO'!D30</f>
        <v/>
      </c>
      <c r="N5" s="139" t="n">
        <v>0</v>
      </c>
      <c r="O5" s="138">
        <f>IF(B5&lt;='VALOR POR PL'!$P$5,'CP RESUMO'!D72,"")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PL'!H36</f>
        <v/>
      </c>
      <c r="L6" s="49">
        <f>C6/IF(B6&lt;='VALOR POR PL'!$P$5,IFERROR(INDEX('"INCC-FGV"'!$B$2:$B$800,MATCH(B6,'"INCC-FGV"'!$A$2:$A$800,0)),$K$2),$K$2)</f>
        <v/>
      </c>
      <c r="M6" s="138">
        <f>'CP RESUMO'!E30</f>
        <v/>
      </c>
      <c r="N6" s="139">
        <f>MAX(0,M6-M5)</f>
        <v/>
      </c>
      <c r="O6" s="138">
        <f>IF(B6&lt;='VALOR POR PL'!$P$5,'CP RESUMO'!E72,"")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RESUMO'!F30</f>
        <v/>
      </c>
      <c r="N7" s="139">
        <f>MAX(0,M7-M6)</f>
        <v/>
      </c>
      <c r="O7" s="138">
        <f>IF(B7&lt;='VALOR POR PL'!$P$5,'CP RESUMO'!F72,"")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RESUMO'!G30</f>
        <v/>
      </c>
      <c r="N8" s="139">
        <f>MAX(0,M8-M7)</f>
        <v/>
      </c>
      <c r="O8" s="138">
        <f>IF(B8&lt;='VALOR POR PL'!$P$5,'CP RESUMO'!G72,"")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RESUMO'!H30</f>
        <v/>
      </c>
      <c r="N9" s="139">
        <f>MAX(0,M9-M8)</f>
        <v/>
      </c>
      <c r="O9" s="138">
        <f>IF(B9&lt;='VALOR POR PL'!$P$5,'CP RESUMO'!H72,"")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RESUMO'!I30</f>
        <v/>
      </c>
      <c r="N10" s="139">
        <f>MAX(0,M10-M9)</f>
        <v/>
      </c>
      <c r="O10" s="138">
        <f>IF(B10&lt;='VALOR POR PL'!$P$5,'CP RESUMO'!I72,"")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RESUMO'!J30</f>
        <v/>
      </c>
      <c r="N11" s="139">
        <f>MAX(0,M11-M10)</f>
        <v/>
      </c>
      <c r="O11" s="138">
        <f>IF(B11&lt;='VALOR POR PL'!$P$5,'CP RESUMO'!J72,"")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RESUMO'!K30</f>
        <v/>
      </c>
      <c r="N12" s="139">
        <f>MAX(0,M12-M11)</f>
        <v/>
      </c>
      <c r="O12" s="138">
        <f>IF(B12&lt;='VALOR POR PL'!$P$5,'CP RESUMO'!K72,"")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PL'!I36</f>
        <v/>
      </c>
      <c r="L13" s="49">
        <f>C13/IF(B13&lt;='VALOR POR PL'!$P$5,IFERROR(INDEX('"INCC-FGV"'!$B$2:$B$800,MATCH(B13,'"INCC-FGV"'!$A$2:$A$800,0)),$K$2),$K$2)</f>
        <v/>
      </c>
      <c r="M13" s="138">
        <f>'CP RESUMO'!L30</f>
        <v/>
      </c>
      <c r="N13" s="139">
        <f>MAX(0,M13-M12)</f>
        <v/>
      </c>
      <c r="O13" s="138">
        <f>IF(B13&lt;='VALOR POR PL'!$P$5,'CP RESUMO'!L72,"")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RESUMO'!$D$72:$BW$72,MATCH('VALOR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RESUMO'!M30</f>
        <v/>
      </c>
      <c r="N14" s="139">
        <f>MAX(0,M14-M13)</f>
        <v/>
      </c>
      <c r="O14" s="138">
        <f>IF(B14&lt;='VALOR POR PL'!$P$5,'CP RESUMO'!M72,"")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RESUMO'!N30</f>
        <v/>
      </c>
      <c r="N15" s="139">
        <f>MAX(0,M15-M14)</f>
        <v/>
      </c>
      <c r="O15" s="138">
        <f>IF(B15&lt;='VALOR POR PL'!$P$5,'CP RESUMO'!N72,"")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RESUMO'!O30</f>
        <v/>
      </c>
      <c r="N16" s="139">
        <f>MAX(0,M16-M15)</f>
        <v/>
      </c>
      <c r="O16" s="138">
        <f>IF(B16&lt;='VALOR POR PL'!$P$5,'CP RESUMO'!O72,"")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RESUMO'!P30</f>
        <v/>
      </c>
      <c r="N17" s="139">
        <f>MAX(0,M17-M16)</f>
        <v/>
      </c>
      <c r="O17" s="138">
        <f>IF(B17&lt;='VALOR POR PL'!$P$5,'CP RESUMO'!P72,"")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RESUMO'!Q30</f>
        <v/>
      </c>
      <c r="N18" s="139">
        <f>MAX(0,M18-M17)</f>
        <v/>
      </c>
      <c r="O18" s="138">
        <f>IF(B18&lt;='VALOR POR PL'!$P$5,'CP RESUMO'!Q72,"")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RESUMO'!R30</f>
        <v/>
      </c>
      <c r="N19" s="139">
        <f>MAX(0,M19-M18)</f>
        <v/>
      </c>
      <c r="O19" s="138">
        <f>IF(B19&lt;='VALOR POR PL'!$P$5,'CP RESUMO'!R72,"")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RESUMO'!S30</f>
        <v/>
      </c>
      <c r="N20" s="139">
        <f>MAX(0,M20-M19)</f>
        <v/>
      </c>
      <c r="O20" s="138">
        <f>IF(B20&lt;='VALOR POR PL'!$P$5,'CP RESUMO'!S72,"")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RESUMO'!T30</f>
        <v/>
      </c>
      <c r="N21" s="139">
        <f>MAX(0,M21-M20)</f>
        <v/>
      </c>
      <c r="O21" s="138">
        <f>IF(B21&lt;='VALOR POR PL'!$P$5,'CP RESUMO'!T72,"")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RESUMO'!U30</f>
        <v/>
      </c>
      <c r="N22" s="139">
        <f>MAX(0,M22-M21)</f>
        <v/>
      </c>
      <c r="O22" s="138">
        <f>IF(B22&lt;='VALOR POR PL'!$P$5,'CP RESUMO'!U72,"")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RESUMO'!V30</f>
        <v/>
      </c>
      <c r="N23" s="139">
        <f>MAX(0,M23-M22)</f>
        <v/>
      </c>
      <c r="O23" s="138">
        <f>IF(B23&lt;='VALOR POR PL'!$P$5,'CP RESUMO'!V72,"")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RESUMO'!W30</f>
        <v/>
      </c>
      <c r="N24" s="139">
        <f>MAX(0,M24-M23)</f>
        <v/>
      </c>
      <c r="O24" s="138">
        <f>IF(B24&lt;='VALOR POR PL'!$P$5,'CP RESUMO'!W72,"")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RESUMO'!X30</f>
        <v/>
      </c>
      <c r="N25" s="139">
        <f>MAX(0,M25-M24)</f>
        <v/>
      </c>
      <c r="O25" s="138">
        <f>IF(B25&lt;='VALOR POR PL'!$P$5,'CP RESUMO'!X72,"")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RESUMO'!Y30</f>
        <v/>
      </c>
      <c r="N26" s="139">
        <f>MAX(0,M26-M25)</f>
        <v/>
      </c>
      <c r="O26" s="138">
        <f>IF(B26&lt;='VALOR POR PL'!$P$5,'CP RESUMO'!Y72,"")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RESUMO'!Z30</f>
        <v/>
      </c>
      <c r="N27" s="139">
        <f>MAX(0,M27-M26)</f>
        <v/>
      </c>
      <c r="O27" s="138">
        <f>IF(B27&lt;='VALOR POR PL'!$P$5,'CP RESUMO'!Z72,"")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RESUMO'!AA30</f>
        <v/>
      </c>
      <c r="N28" s="139">
        <f>MAX(0,M28-M27)</f>
        <v/>
      </c>
      <c r="O28" s="138">
        <f>IF(B28&lt;='VALOR POR PL'!$P$5,'CP RESUMO'!AA72,"")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RESUMO'!AB30</f>
        <v/>
      </c>
      <c r="N29" s="139">
        <f>MAX(0,M29-M28)</f>
        <v/>
      </c>
      <c r="O29" s="138">
        <f>IF(B29&lt;='VALOR POR PL'!$P$5,'CP RESUMO'!AB72,"")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RESUMO'!AC30</f>
        <v/>
      </c>
      <c r="N30" s="139">
        <f>MAX(0,M30-M29)</f>
        <v/>
      </c>
      <c r="O30" s="138">
        <f>IF(B30&lt;='VALOR POR PL'!$P$5,'CP RESUMO'!AC72,"")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RESUMO'!AD30</f>
        <v/>
      </c>
      <c r="N31" s="139">
        <f>MAX(0,M31-M30)</f>
        <v/>
      </c>
      <c r="O31" s="138">
        <f>IF(B31&lt;='VALOR POR PL'!$P$5,'CP RESUMO'!AD72,"")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RESUMO'!AE30</f>
        <v/>
      </c>
      <c r="N32" s="139">
        <f>MAX(0,M32-M31)</f>
        <v/>
      </c>
      <c r="O32" s="138">
        <f>IF(B32&lt;='VALOR POR PL'!$P$5,'CP RESUMO'!AE72,"")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RESUMO'!AF30</f>
        <v/>
      </c>
      <c r="N33" s="139">
        <f>MAX(0,M33-M32)</f>
        <v/>
      </c>
      <c r="O33" s="138">
        <f>IF(B33&lt;='VALOR POR PL'!$P$5,'CP RESUMO'!AF72,"")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RESUMO'!AG30</f>
        <v/>
      </c>
      <c r="N34" s="139">
        <f>MAX(0,M34-M33)</f>
        <v/>
      </c>
      <c r="O34" s="138">
        <f>IF(B34&lt;='VALOR POR PL'!$P$5,'CP RESUMO'!AG72,"")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RESUMO'!AH30</f>
        <v/>
      </c>
      <c r="N35" s="139">
        <f>MAX(0,M35-M34)</f>
        <v/>
      </c>
      <c r="O35" s="138">
        <f>IF(B35&lt;='VALOR POR PL'!$P$5,'CP RESUMO'!AH72,"")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14464.15</v>
      </c>
      <c r="L36" s="49">
        <f>C36/IF(B36&lt;='VALOR POR PL'!$P$5,IFERROR(INDEX('"INCC-FGV"'!$B$2:$B$800,MATCH(B36,'"INCC-FGV"'!$A$2:$A$800,0)),$K$2),$K$2)</f>
        <v/>
      </c>
      <c r="M36" s="138">
        <f>'CP RESUMO'!AI30</f>
        <v/>
      </c>
      <c r="N36" s="139">
        <f>MAX(0,M36-M35)</f>
        <v/>
      </c>
      <c r="O36" s="138">
        <f>IF(B36&lt;='VALOR POR PL'!$P$5,'CP RESUMO'!AI72,"")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9187.33</v>
      </c>
      <c r="L37" s="49">
        <f>C37/IF(B37&lt;='VALOR POR PL'!$P$5,IFERROR(INDEX('"INCC-FGV"'!$B$2:$B$800,MATCH(B37,'"INCC-FGV"'!$A$2:$A$800,0)),$K$2),$K$2)</f>
        <v/>
      </c>
      <c r="M37" s="138">
        <f>'CP RESUMO'!AJ30</f>
        <v/>
      </c>
      <c r="N37" s="139">
        <f>MAX(0,M37-M36)</f>
        <v/>
      </c>
      <c r="O37" s="138">
        <f>IF(B37&lt;='VALOR POR PL'!$P$5,'CP RESUMO'!AJ72,"")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15783.36</v>
      </c>
      <c r="L38" s="49">
        <f>C38/IF(B38&lt;='VALOR POR PL'!$P$5,IFERROR(INDEX('"INCC-FGV"'!$B$2:$B$800,MATCH(B38,'"INCC-FGV"'!$A$2:$A$800,0)),$K$2),$K$2)</f>
        <v/>
      </c>
      <c r="M38" s="138">
        <f>'CP RESUMO'!AK30</f>
        <v/>
      </c>
      <c r="N38" s="139">
        <f>MAX(0,M38-M37)</f>
        <v/>
      </c>
      <c r="O38" s="138">
        <f>IF(B38&lt;='VALOR POR PL'!$P$5,'CP RESUMO'!AK72,"")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7915.24</v>
      </c>
      <c r="L39" s="49">
        <f>C39/IF(B39&lt;='VALOR POR PL'!$P$5,IFERROR(INDEX('"INCC-FGV"'!$B$2:$B$800,MATCH(B39,'"INCC-FGV"'!$A$2:$A$800,0)),$K$2),$K$2)</f>
        <v/>
      </c>
      <c r="M39" s="138">
        <f>'CP RESUMO'!AL30</f>
        <v/>
      </c>
      <c r="N39" s="139">
        <f>MAX(0,M39-M38)</f>
        <v/>
      </c>
      <c r="O39" s="138">
        <f>IF(B39&lt;='VALOR POR PL'!$P$5,'CP RESUMO'!AL72,"")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14181.47</v>
      </c>
      <c r="L40" s="49">
        <f>C40/IF(B40&lt;='VALOR POR PL'!$P$5,IFERROR(INDEX('"INCC-FGV"'!$B$2:$B$800,MATCH(B40,'"INCC-FGV"'!$A$2:$A$800,0)),$K$2),$K$2)</f>
        <v/>
      </c>
      <c r="M40" s="138">
        <f>'CP RESUMO'!AM30</f>
        <v/>
      </c>
      <c r="N40" s="139">
        <f>MAX(0,M40-M39)</f>
        <v/>
      </c>
      <c r="O40" s="138">
        <f>IF(B40&lt;='VALOR POR PL'!$P$5,'CP RESUMO'!AM72,"")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64499.76</v>
      </c>
      <c r="L41" s="49">
        <f>C41/IF(B41&lt;='VALOR POR PL'!$P$5,IFERROR(INDEX('"INCC-FGV"'!$B$2:$B$800,MATCH(B41,'"INCC-FGV"'!$A$2:$A$800,0)),$K$2),$K$2)</f>
        <v/>
      </c>
      <c r="M41" s="138">
        <f>'CP RESUMO'!AN30</f>
        <v/>
      </c>
      <c r="N41" s="139">
        <f>MAX(0,M41-M40)</f>
        <v/>
      </c>
      <c r="O41" s="138">
        <f>IF(B41&lt;='VALOR POR PL'!$P$5,'CP RESUMO'!AN72,"")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85465.72</v>
      </c>
      <c r="L42" s="49">
        <f>C42/IF(B42&lt;='VALOR POR PL'!$P$5,IFERROR(INDEX('"INCC-FGV"'!$B$2:$B$800,MATCH(B42,'"INCC-FGV"'!$A$2:$A$800,0)),$K$2),$K$2)</f>
        <v/>
      </c>
      <c r="M42" s="138">
        <f>'CP RESUMO'!AO30</f>
        <v/>
      </c>
      <c r="N42" s="139">
        <f>MAX(0,M42-M41)</f>
        <v/>
      </c>
      <c r="O42" s="138">
        <f>IF(B42&lt;='VALOR POR PL'!$P$5,'CP RESUMO'!AO72,"")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131355.25</v>
      </c>
      <c r="L43" s="49">
        <f>C43/IF(B43&lt;='VALOR POR PL'!$P$5,IFERROR(INDEX('"INCC-FGV"'!$B$2:$B$800,MATCH(B43,'"INCC-FGV"'!$A$2:$A$800,0)),$K$2),$K$2)</f>
        <v/>
      </c>
      <c r="M43" s="138">
        <f>'CP RESUMO'!AP30</f>
        <v/>
      </c>
      <c r="N43" s="139">
        <f>MAX(0,M43-M42)</f>
        <v/>
      </c>
      <c r="O43" s="138">
        <f>IF(B43&lt;='VALOR POR PL'!$P$5,'CP RESUMO'!AP72,"")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24970.69</v>
      </c>
      <c r="L44" s="49">
        <f>C44/IF(B44&lt;='VALOR POR PL'!$P$5,IFERROR(INDEX('"INCC-FGV"'!$B$2:$B$800,MATCH(B44,'"INCC-FGV"'!$A$2:$A$800,0)),$K$2),$K$2)</f>
        <v/>
      </c>
      <c r="M44" s="138">
        <f>'CP RESUMO'!AQ30</f>
        <v/>
      </c>
      <c r="N44" s="139">
        <f>MAX(0,M44-M43)</f>
        <v/>
      </c>
      <c r="O44" s="138">
        <f>IF(B44&lt;='VALOR POR PL'!$P$5,'CP RESUMO'!AQ72,"")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39434.85</v>
      </c>
      <c r="L45" s="49">
        <f>C45/IF(B45&lt;='VALOR POR PL'!$P$5,IFERROR(INDEX('"INCC-FGV"'!$B$2:$B$800,MATCH(B45,'"INCC-FGV"'!$A$2:$A$800,0)),$K$2),$K$2)</f>
        <v/>
      </c>
      <c r="M45" s="138">
        <f>'CP RESUMO'!AR30</f>
        <v/>
      </c>
      <c r="N45" s="139">
        <f>MAX(0,M45-M44)</f>
        <v/>
      </c>
      <c r="O45" s="138">
        <f>IF(B45&lt;='VALOR POR PL'!$P$5,'CP RESUMO'!AR72,"")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24970.69</v>
      </c>
      <c r="L46" s="49">
        <f>C46/IF(B46&lt;='VALOR POR PL'!$P$5,IFERROR(INDEX('"INCC-FGV"'!$B$2:$B$800,MATCH(B46,'"INCC-FGV"'!$A$2:$A$800,0)),$K$2),$K$2)</f>
        <v/>
      </c>
      <c r="M46" s="138">
        <f>'CP RESUMO'!AS30</f>
        <v/>
      </c>
      <c r="N46" s="139">
        <f>MAX(0,M46-M45)</f>
        <v/>
      </c>
      <c r="O46" s="138">
        <f>IF(B46&lt;='VALOR POR PL'!$P$5,'CP RESUMO'!AS72,"")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28221.59</v>
      </c>
      <c r="L47" s="49">
        <f>C47/IF(B47&lt;='VALOR POR PL'!$P$5,IFERROR(INDEX('"INCC-FGV"'!$B$2:$B$800,MATCH(B47,'"INCC-FGV"'!$A$2:$A$800,0)),$K$2),$K$2)</f>
        <v/>
      </c>
      <c r="M47" s="138">
        <f>'CP RESUMO'!AT30</f>
        <v/>
      </c>
      <c r="N47" s="139">
        <f>MAX(0,M47-M46)</f>
        <v/>
      </c>
      <c r="O47" s="138">
        <f>IF(B47&lt;='VALOR POR PL'!$P$5,'CP RESUMO'!AT72,"")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10694.99</v>
      </c>
      <c r="L48" s="49">
        <f>C48/IF(B48&lt;='VALOR POR PL'!$P$5,IFERROR(INDEX('"INCC-FGV"'!$B$2:$B$800,MATCH(B48,'"INCC-FGV"'!$A$2:$A$800,0)),$K$2),$K$2)</f>
        <v/>
      </c>
      <c r="M48" s="138">
        <f>'CP RESUMO'!AU30</f>
        <v/>
      </c>
      <c r="N48" s="139">
        <f>MAX(0,M48-M47)</f>
        <v/>
      </c>
      <c r="O48" s="138">
        <f>IF(B48&lt;='VALOR POR PL'!$P$5,'CP RESUMO'!AU72,"")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RESUMO'!AV30</f>
        <v/>
      </c>
      <c r="N49" s="139">
        <f>MAX(0,M49-M48)</f>
        <v/>
      </c>
      <c r="O49" s="138">
        <f>IF(B49&lt;='VALOR POR PL'!$P$5,'CP RESUMO'!AV72,"")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RESUMO'!AW30</f>
        <v/>
      </c>
      <c r="N50" s="139">
        <f>MAX(0,M50-M49)</f>
        <v/>
      </c>
      <c r="O50" s="138">
        <f>IF(B50&lt;='VALOR POR PL'!$P$5,'CP RESUMO'!AW72,"")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RESUMO'!AX30</f>
        <v/>
      </c>
      <c r="N51" s="139">
        <f>MAX(0,M51-M50)</f>
        <v/>
      </c>
      <c r="O51" s="138">
        <f>IF(B51&lt;='VALOR POR PL'!$P$5,'CP RESUMO'!AX72,"")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RESUMO'!AY30</f>
        <v/>
      </c>
      <c r="N52" s="139">
        <f>MAX(0,M52-M51)</f>
        <v/>
      </c>
      <c r="O52" s="138">
        <f>IF(B52&lt;='VALOR POR PL'!$P$5,'CP RESUMO'!AY72,"")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RESUMO'!AZ30</f>
        <v/>
      </c>
      <c r="N53" s="139">
        <f>MAX(0,M53-M52)</f>
        <v/>
      </c>
      <c r="O53" s="138">
        <f>IF(B53&lt;='VALOR POR PL'!$P$5,'CP RESUMO'!AZ72,"")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RESUMO'!BA30</f>
        <v/>
      </c>
      <c r="N54" s="139">
        <f>MAX(0,M54-M53)</f>
        <v/>
      </c>
      <c r="O54" s="138">
        <f>IF(B54&lt;='VALOR POR PL'!$P$5,'CP RESUMO'!BA72,"")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RESUMO'!BB30</f>
        <v/>
      </c>
      <c r="N55" s="139">
        <f>MAX(0,M55-M54)</f>
        <v/>
      </c>
      <c r="O55" s="138">
        <f>IF(B55&lt;='VALOR POR PL'!$P$5,'CP RESUMO'!BB72,"")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RESUMO'!BC30</f>
        <v/>
      </c>
      <c r="N56" s="139">
        <f>MAX(0,M56-M55)</f>
        <v/>
      </c>
      <c r="O56" s="138">
        <f>IF(B56&lt;='VALOR POR PL'!$P$5,'CP RESUMO'!BC72,"")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RESUMO'!BD30</f>
        <v/>
      </c>
      <c r="N57" s="139">
        <f>MAX(0,M57-M56)</f>
        <v/>
      </c>
      <c r="O57" s="138">
        <f>IF(B57&lt;='VALOR POR PL'!$P$5,'CP RESUMO'!BD72,"")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RESUMO'!BE30</f>
        <v/>
      </c>
      <c r="N58" s="139">
        <f>MAX(0,M58-M57)</f>
        <v/>
      </c>
      <c r="O58" s="138">
        <f>IF(B58&lt;='VALOR POR PL'!$P$5,'CP RESUMO'!BE72,"")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RESUMO'!BF30</f>
        <v/>
      </c>
      <c r="N59" s="139">
        <f>MAX(0,M59-M58)</f>
        <v/>
      </c>
      <c r="O59" s="138">
        <f>IF(B59&lt;='VALOR POR PL'!$P$5,'CP RESUMO'!BF72,"")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RESUMO'!BG30</f>
        <v/>
      </c>
      <c r="N60" s="139">
        <f>MAX(0,M60-M59)</f>
        <v/>
      </c>
      <c r="O60" s="138">
        <f>IF(B60&lt;='VALOR POR PL'!$P$5,'CP RESUMO'!BG72,"")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RESUMO'!BH30</f>
        <v/>
      </c>
      <c r="N61" s="139">
        <f>MAX(0,M61-M60)</f>
        <v/>
      </c>
      <c r="O61" s="138">
        <f>IF(B61&lt;='VALOR POR PL'!$P$5,'CP RESUMO'!BH72,"")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RESUMO'!BI30</f>
        <v/>
      </c>
      <c r="N62" s="139">
        <f>MAX(0,M62-M61)</f>
        <v/>
      </c>
      <c r="O62" s="138">
        <f>IF(B62&lt;='VALOR POR PL'!$P$5,'CP RESUMO'!BI72,"")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RESUMO'!BJ30</f>
        <v/>
      </c>
      <c r="N63" s="139">
        <f>MAX(0,M63-M62)</f>
        <v/>
      </c>
      <c r="O63" s="138">
        <f>IF(B63&lt;='VALOR POR PL'!$P$5,'CP RESUMO'!BJ72,"")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RESUMO'!BK30</f>
        <v/>
      </c>
      <c r="N64" s="139">
        <f>MAX(0,M64-M63)</f>
        <v/>
      </c>
      <c r="O64" s="138">
        <f>IF(B64&lt;='VALOR POR PL'!$P$5,'CP RESUMO'!BK72,"")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RESUMO'!BL30</f>
        <v/>
      </c>
      <c r="N65" s="139">
        <f>MAX(0,M65-M64)</f>
        <v/>
      </c>
      <c r="O65" s="138">
        <f>IF(B65&lt;='VALOR POR PL'!$P$5,'CP RESUMO'!BL72,"")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RESUMO'!BM30</f>
        <v/>
      </c>
      <c r="N66" s="139">
        <f>MAX(0,M66-M65)</f>
        <v/>
      </c>
      <c r="O66" s="138">
        <f>IF(B66&lt;='VALOR POR PL'!$P$5,'CP RESUMO'!BM72,"")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RESUMO'!BN30</f>
        <v/>
      </c>
      <c r="N67" s="139">
        <f>MAX(0,M67-M66)</f>
        <v/>
      </c>
      <c r="O67" s="138">
        <f>IF(B67&lt;='VALOR POR PL'!$P$5,'CP RESUMO'!BN72,"")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RESUMO'!BO30</f>
        <v/>
      </c>
      <c r="N68" s="139">
        <f>MAX(0,M68-M67)</f>
        <v/>
      </c>
      <c r="O68" s="138">
        <f>IF(B68&lt;='VALOR POR PL'!$P$5,'CP RESUMO'!BO72,"")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RESUMO'!BP30</f>
        <v/>
      </c>
      <c r="N69" s="139">
        <f>MAX(0,M69-M68)</f>
        <v/>
      </c>
      <c r="O69" s="138">
        <f>IF(B69&lt;='VALOR POR PL'!$P$5,'CP RESUMO'!BP72,"")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RESUMO'!BQ30</f>
        <v/>
      </c>
      <c r="N70" s="139">
        <f>MAX(0,M70-M69)</f>
        <v/>
      </c>
      <c r="O70" s="138">
        <f>IF(B70&lt;='VALOR POR PL'!$P$5,'CP RESUMO'!BQ72,"")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RESUMO'!BR30</f>
        <v/>
      </c>
      <c r="N71" s="139">
        <f>MAX(0,M71-M70)</f>
        <v/>
      </c>
      <c r="O71" s="138">
        <f>IF(B71&lt;='VALOR POR PL'!$P$5,'CP RESUMO'!BR72,"")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RESUMO'!BS30</f>
        <v/>
      </c>
      <c r="N72" s="139">
        <f>MAX(0,M72-M71)</f>
        <v/>
      </c>
      <c r="O72" s="138">
        <f>IF(B72&lt;='VALOR POR PL'!$P$5,'CP RESUMO'!BS72,"")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RESUMO'!BT30</f>
        <v/>
      </c>
      <c r="N73" s="139">
        <f>MAX(0,M73-M72)</f>
        <v/>
      </c>
      <c r="O73" s="138">
        <f>IF(B73&lt;='VALOR POR PL'!$P$5,'CP RESUMO'!BT72,"")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RESUMO'!BU30</f>
        <v/>
      </c>
      <c r="N74" s="139">
        <f>MAX(0,M74-M73)</f>
        <v/>
      </c>
      <c r="O74" s="138">
        <f>IF(B74&lt;='VALOR POR PL'!$P$5,'CP RESUMO'!BU72,"")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RESUMO'!BV30</f>
        <v/>
      </c>
      <c r="N75" s="139">
        <f>MAX(0,M75-M74)</f>
        <v/>
      </c>
      <c r="O75" s="138">
        <f>IF(B75&lt;='VALOR POR PL'!$P$5,'CP RESUMO'!BV72,"")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RESUMO'!BW30</f>
        <v/>
      </c>
      <c r="N76" s="139">
        <f>MAX(0,M76-M75)</f>
        <v/>
      </c>
      <c r="O76" s="138">
        <f>IF(B76&lt;='VALOR POR PL'!$P$5,'CP RESUMO'!BW72,"")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PL'!F37</f>
        <v/>
      </c>
      <c r="K5" s="60">
        <f>'VALOR POR PL'!G37</f>
        <v/>
      </c>
      <c r="L5" s="60">
        <f>'DADOS HISTORICOS'!$BZ$31</f>
        <v/>
      </c>
      <c r="M5" s="138">
        <f>'CP RESUMO'!D31</f>
        <v/>
      </c>
      <c r="N5" s="139" t="n">
        <v>0</v>
      </c>
      <c r="O5" s="138">
        <f>IF(B5&lt;='VALOR POR PL'!$P$5,'CP RESUMO'!D73,"")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PL'!H37</f>
        <v/>
      </c>
      <c r="L6" s="49">
        <f>C6/IF(B6&lt;='VALOR POR PL'!$P$5,IFERROR(INDEX('"INCC-FGV"'!$B$2:$B$800,MATCH(B6,'"INCC-FGV"'!$A$2:$A$800,0)),$K$2),$K$2)</f>
        <v/>
      </c>
      <c r="M6" s="138">
        <f>'CP RESUMO'!E31</f>
        <v/>
      </c>
      <c r="N6" s="139">
        <f>MAX(0,M6-M5)</f>
        <v/>
      </c>
      <c r="O6" s="138">
        <f>IF(B6&lt;='VALOR POR PL'!$P$5,'CP RESUMO'!E73,"")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RESUMO'!F31</f>
        <v/>
      </c>
      <c r="N7" s="139">
        <f>MAX(0,M7-M6)</f>
        <v/>
      </c>
      <c r="O7" s="138">
        <f>IF(B7&lt;='VALOR POR PL'!$P$5,'CP RESUMO'!F73,"")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RESUMO'!G31</f>
        <v/>
      </c>
      <c r="N8" s="139">
        <f>MAX(0,M8-M7)</f>
        <v/>
      </c>
      <c r="O8" s="138">
        <f>IF(B8&lt;='VALOR POR PL'!$P$5,'CP RESUMO'!G73,"")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RESUMO'!H31</f>
        <v/>
      </c>
      <c r="N9" s="139">
        <f>MAX(0,M9-M8)</f>
        <v/>
      </c>
      <c r="O9" s="138">
        <f>IF(B9&lt;='VALOR POR PL'!$P$5,'CP RESUMO'!H73,"")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RESUMO'!I31</f>
        <v/>
      </c>
      <c r="N10" s="139">
        <f>MAX(0,M10-M9)</f>
        <v/>
      </c>
      <c r="O10" s="138">
        <f>IF(B10&lt;='VALOR POR PL'!$P$5,'CP RESUMO'!I73,"")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RESUMO'!J31</f>
        <v/>
      </c>
      <c r="N11" s="139">
        <f>MAX(0,M11-M10)</f>
        <v/>
      </c>
      <c r="O11" s="138">
        <f>IF(B11&lt;='VALOR POR PL'!$P$5,'CP RESUMO'!J73,"")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RESUMO'!K31</f>
        <v/>
      </c>
      <c r="N12" s="139">
        <f>MAX(0,M12-M11)</f>
        <v/>
      </c>
      <c r="O12" s="138">
        <f>IF(B12&lt;='VALOR POR PL'!$P$5,'CP RESUMO'!K73,"")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PL'!I37</f>
        <v/>
      </c>
      <c r="L13" s="49">
        <f>C13/IF(B13&lt;='VALOR POR PL'!$P$5,IFERROR(INDEX('"INCC-FGV"'!$B$2:$B$800,MATCH(B13,'"INCC-FGV"'!$A$2:$A$800,0)),$K$2),$K$2)</f>
        <v/>
      </c>
      <c r="M13" s="138">
        <f>'CP RESUMO'!L31</f>
        <v/>
      </c>
      <c r="N13" s="139">
        <f>MAX(0,M13-M12)</f>
        <v/>
      </c>
      <c r="O13" s="138">
        <f>IF(B13&lt;='VALOR POR PL'!$P$5,'CP RESUMO'!L73,"")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RESUMO'!$D$73:$BW$73,MATCH('VALOR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RESUMO'!M31</f>
        <v/>
      </c>
      <c r="N14" s="139">
        <f>MAX(0,M14-M13)</f>
        <v/>
      </c>
      <c r="O14" s="138">
        <f>IF(B14&lt;='VALOR POR PL'!$P$5,'CP RESUMO'!M73,"")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RESUMO'!N31</f>
        <v/>
      </c>
      <c r="N15" s="139">
        <f>MAX(0,M15-M14)</f>
        <v/>
      </c>
      <c r="O15" s="138">
        <f>IF(B15&lt;='VALOR POR PL'!$P$5,'CP RESUMO'!N73,"")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RESUMO'!O31</f>
        <v/>
      </c>
      <c r="N16" s="139">
        <f>MAX(0,M16-M15)</f>
        <v/>
      </c>
      <c r="O16" s="138">
        <f>IF(B16&lt;='VALOR POR PL'!$P$5,'CP RESUMO'!O73,"")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RESUMO'!P31</f>
        <v/>
      </c>
      <c r="N17" s="139">
        <f>MAX(0,M17-M16)</f>
        <v/>
      </c>
      <c r="O17" s="138">
        <f>IF(B17&lt;='VALOR POR PL'!$P$5,'CP RESUMO'!P73,"")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RESUMO'!Q31</f>
        <v/>
      </c>
      <c r="N18" s="139">
        <f>MAX(0,M18-M17)</f>
        <v/>
      </c>
      <c r="O18" s="138">
        <f>IF(B18&lt;='VALOR POR PL'!$P$5,'CP RESUMO'!Q73,"")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RESUMO'!R31</f>
        <v/>
      </c>
      <c r="N19" s="139">
        <f>MAX(0,M19-M18)</f>
        <v/>
      </c>
      <c r="O19" s="138">
        <f>IF(B19&lt;='VALOR POR PL'!$P$5,'CP RESUMO'!R73,"")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RESUMO'!S31</f>
        <v/>
      </c>
      <c r="N20" s="139">
        <f>MAX(0,M20-M19)</f>
        <v/>
      </c>
      <c r="O20" s="138">
        <f>IF(B20&lt;='VALOR POR PL'!$P$5,'CP RESUMO'!S73,"")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RESUMO'!T31</f>
        <v/>
      </c>
      <c r="N21" s="139">
        <f>MAX(0,M21-M20)</f>
        <v/>
      </c>
      <c r="O21" s="138">
        <f>IF(B21&lt;='VALOR POR PL'!$P$5,'CP RESUMO'!T73,"")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RESUMO'!U31</f>
        <v/>
      </c>
      <c r="N22" s="139">
        <f>MAX(0,M22-M21)</f>
        <v/>
      </c>
      <c r="O22" s="138">
        <f>IF(B22&lt;='VALOR POR PL'!$P$5,'CP RESUMO'!U73,"")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RESUMO'!V31</f>
        <v/>
      </c>
      <c r="N23" s="139">
        <f>MAX(0,M23-M22)</f>
        <v/>
      </c>
      <c r="O23" s="138">
        <f>IF(B23&lt;='VALOR POR PL'!$P$5,'CP RESUMO'!V73,"")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RESUMO'!W31</f>
        <v/>
      </c>
      <c r="N24" s="139">
        <f>MAX(0,M24-M23)</f>
        <v/>
      </c>
      <c r="O24" s="138">
        <f>IF(B24&lt;='VALOR POR PL'!$P$5,'CP RESUMO'!W73,"")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RESUMO'!X31</f>
        <v/>
      </c>
      <c r="N25" s="139">
        <f>MAX(0,M25-M24)</f>
        <v/>
      </c>
      <c r="O25" s="138">
        <f>IF(B25&lt;='VALOR POR PL'!$P$5,'CP RESUMO'!X73,"")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RESUMO'!Y31</f>
        <v/>
      </c>
      <c r="N26" s="139">
        <f>MAX(0,M26-M25)</f>
        <v/>
      </c>
      <c r="O26" s="138">
        <f>IF(B26&lt;='VALOR POR PL'!$P$5,'CP RESUMO'!Y73,"")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RESUMO'!Z31</f>
        <v/>
      </c>
      <c r="N27" s="139">
        <f>MAX(0,M27-M26)</f>
        <v/>
      </c>
      <c r="O27" s="138">
        <f>IF(B27&lt;='VALOR POR PL'!$P$5,'CP RESUMO'!Z73,"")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RESUMO'!AA31</f>
        <v/>
      </c>
      <c r="N28" s="139">
        <f>MAX(0,M28-M27)</f>
        <v/>
      </c>
      <c r="O28" s="138">
        <f>IF(B28&lt;='VALOR POR PL'!$P$5,'CP RESUMO'!AA73,"")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RESUMO'!AB31</f>
        <v/>
      </c>
      <c r="N29" s="139">
        <f>MAX(0,M29-M28)</f>
        <v/>
      </c>
      <c r="O29" s="138">
        <f>IF(B29&lt;='VALOR POR PL'!$P$5,'CP RESUMO'!AB73,"")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RESUMO'!AC31</f>
        <v/>
      </c>
      <c r="N30" s="139">
        <f>MAX(0,M30-M29)</f>
        <v/>
      </c>
      <c r="O30" s="138">
        <f>IF(B30&lt;='VALOR POR PL'!$P$5,'CP RESUMO'!AC73,"")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RESUMO'!AD31</f>
        <v/>
      </c>
      <c r="N31" s="139">
        <f>MAX(0,M31-M30)</f>
        <v/>
      </c>
      <c r="O31" s="138">
        <f>IF(B31&lt;='VALOR POR PL'!$P$5,'CP RESUMO'!AD73,"")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RESUMO'!AE31</f>
        <v/>
      </c>
      <c r="N32" s="139">
        <f>MAX(0,M32-M31)</f>
        <v/>
      </c>
      <c r="O32" s="138">
        <f>IF(B32&lt;='VALOR POR PL'!$P$5,'CP RESUMO'!AE73,"")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RESUMO'!AF31</f>
        <v/>
      </c>
      <c r="N33" s="139">
        <f>MAX(0,M33-M32)</f>
        <v/>
      </c>
      <c r="O33" s="138">
        <f>IF(B33&lt;='VALOR POR PL'!$P$5,'CP RESUMO'!AF73,"")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RESUMO'!AG31</f>
        <v/>
      </c>
      <c r="N34" s="139">
        <f>MAX(0,M34-M33)</f>
        <v/>
      </c>
      <c r="O34" s="138">
        <f>IF(B34&lt;='VALOR POR PL'!$P$5,'CP RESUMO'!AG73,"")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RESUMO'!AH31</f>
        <v/>
      </c>
      <c r="N35" s="139">
        <f>MAX(0,M35-M34)</f>
        <v/>
      </c>
      <c r="O35" s="138">
        <f>IF(B35&lt;='VALOR POR PL'!$P$5,'CP RESUMO'!AH73,"")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RESUMO'!AI31</f>
        <v/>
      </c>
      <c r="N36" s="139">
        <f>MAX(0,M36-M35)</f>
        <v/>
      </c>
      <c r="O36" s="138">
        <f>IF(B36&lt;='VALOR POR PL'!$P$5,'CP RESUMO'!AI73,"")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RESUMO'!AJ31</f>
        <v/>
      </c>
      <c r="N37" s="139">
        <f>MAX(0,M37-M36)</f>
        <v/>
      </c>
      <c r="O37" s="138">
        <f>IF(B37&lt;='VALOR POR PL'!$P$5,'CP RESUMO'!AJ73,"")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RESUMO'!AK31</f>
        <v/>
      </c>
      <c r="N38" s="139">
        <f>MAX(0,M38-M37)</f>
        <v/>
      </c>
      <c r="O38" s="138">
        <f>IF(B38&lt;='VALOR POR PL'!$P$5,'CP RESUMO'!AK73,"")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RESUMO'!AL31</f>
        <v/>
      </c>
      <c r="N39" s="139">
        <f>MAX(0,M39-M38)</f>
        <v/>
      </c>
      <c r="O39" s="138">
        <f>IF(B39&lt;='VALOR POR PL'!$P$5,'CP RESUMO'!AL73,"")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RESUMO'!AM31</f>
        <v/>
      </c>
      <c r="N40" s="139">
        <f>MAX(0,M40-M39)</f>
        <v/>
      </c>
      <c r="O40" s="138">
        <f>IF(B40&lt;='VALOR POR PL'!$P$5,'CP RESUMO'!AM73,"")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RESUMO'!AN31</f>
        <v/>
      </c>
      <c r="N41" s="139">
        <f>MAX(0,M41-M40)</f>
        <v/>
      </c>
      <c r="O41" s="138">
        <f>IF(B41&lt;='VALOR POR PL'!$P$5,'CP RESUMO'!AN73,"")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RESUMO'!AO31</f>
        <v/>
      </c>
      <c r="N42" s="139">
        <f>MAX(0,M42-M41)</f>
        <v/>
      </c>
      <c r="O42" s="138">
        <f>IF(B42&lt;='VALOR POR PL'!$P$5,'CP RESUMO'!AO73,"")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288141.96</v>
      </c>
      <c r="L43" s="49">
        <f>C43/IF(B43&lt;='VALOR POR PL'!$P$5,IFERROR(INDEX('"INCC-FGV"'!$B$2:$B$800,MATCH(B43,'"INCC-FGV"'!$A$2:$A$800,0)),$K$2),$K$2)</f>
        <v/>
      </c>
      <c r="M43" s="138">
        <f>'CP RESUMO'!AP31</f>
        <v/>
      </c>
      <c r="N43" s="139">
        <f>MAX(0,M43-M42)</f>
        <v/>
      </c>
      <c r="O43" s="138">
        <f>IF(B43&lt;='VALOR POR PL'!$P$5,'CP RESUMO'!AP73,"")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288141.96</v>
      </c>
      <c r="L44" s="49">
        <f>C44/IF(B44&lt;='VALOR POR PL'!$P$5,IFERROR(INDEX('"INCC-FGV"'!$B$2:$B$800,MATCH(B44,'"INCC-FGV"'!$A$2:$A$800,0)),$K$2),$K$2)</f>
        <v/>
      </c>
      <c r="M44" s="138">
        <f>'CP RESUMO'!AQ31</f>
        <v/>
      </c>
      <c r="N44" s="139">
        <f>MAX(0,M44-M43)</f>
        <v/>
      </c>
      <c r="O44" s="138">
        <f>IF(B44&lt;='VALOR POR PL'!$P$5,'CP RESUMO'!AQ73,"")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288141.96</v>
      </c>
      <c r="L45" s="49">
        <f>C45/IF(B45&lt;='VALOR POR PL'!$P$5,IFERROR(INDEX('"INCC-FGV"'!$B$2:$B$800,MATCH(B45,'"INCC-FGV"'!$A$2:$A$800,0)),$K$2),$K$2)</f>
        <v/>
      </c>
      <c r="M45" s="138">
        <f>'CP RESUMO'!AR31</f>
        <v/>
      </c>
      <c r="N45" s="139">
        <f>MAX(0,M45-M44)</f>
        <v/>
      </c>
      <c r="O45" s="138">
        <f>IF(B45&lt;='VALOR POR PL'!$P$5,'CP RESUMO'!AR73,"")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288141.96</v>
      </c>
      <c r="L46" s="49">
        <f>C46/IF(B46&lt;='VALOR POR PL'!$P$5,IFERROR(INDEX('"INCC-FGV"'!$B$2:$B$800,MATCH(B46,'"INCC-FGV"'!$A$2:$A$800,0)),$K$2),$K$2)</f>
        <v/>
      </c>
      <c r="M46" s="138">
        <f>'CP RESUMO'!AS31</f>
        <v/>
      </c>
      <c r="N46" s="139">
        <f>MAX(0,M46-M45)</f>
        <v/>
      </c>
      <c r="O46" s="138">
        <f>IF(B46&lt;='VALOR POR PL'!$P$5,'CP RESUMO'!AS73,"")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288141.96</v>
      </c>
      <c r="L47" s="49">
        <f>C47/IF(B47&lt;='VALOR POR PL'!$P$5,IFERROR(INDEX('"INCC-FGV"'!$B$2:$B$800,MATCH(B47,'"INCC-FGV"'!$A$2:$A$800,0)),$K$2),$K$2)</f>
        <v/>
      </c>
      <c r="M47" s="138">
        <f>'CP RESUMO'!AT31</f>
        <v/>
      </c>
      <c r="N47" s="139">
        <f>MAX(0,M47-M46)</f>
        <v/>
      </c>
      <c r="O47" s="138">
        <f>IF(B47&lt;='VALOR POR PL'!$P$5,'CP RESUMO'!AT73,"")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288141.96</v>
      </c>
      <c r="L48" s="49">
        <f>C48/IF(B48&lt;='VALOR POR PL'!$P$5,IFERROR(INDEX('"INCC-FGV"'!$B$2:$B$800,MATCH(B48,'"INCC-FGV"'!$A$2:$A$800,0)),$K$2),$K$2)</f>
        <v/>
      </c>
      <c r="M48" s="138">
        <f>'CP RESUMO'!AU31</f>
        <v/>
      </c>
      <c r="N48" s="139">
        <f>MAX(0,M48-M47)</f>
        <v/>
      </c>
      <c r="O48" s="138">
        <f>IF(B48&lt;='VALOR POR PL'!$P$5,'CP RESUMO'!AU73,"")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RESUMO'!AV31</f>
        <v/>
      </c>
      <c r="N49" s="139">
        <f>MAX(0,M49-M48)</f>
        <v/>
      </c>
      <c r="O49" s="138">
        <f>IF(B49&lt;='VALOR POR PL'!$P$5,'CP RESUMO'!AV73,"")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RESUMO'!AW31</f>
        <v/>
      </c>
      <c r="N50" s="139">
        <f>MAX(0,M50-M49)</f>
        <v/>
      </c>
      <c r="O50" s="138">
        <f>IF(B50&lt;='VALOR POR PL'!$P$5,'CP RESUMO'!AW73,"")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RESUMO'!AX31</f>
        <v/>
      </c>
      <c r="N51" s="139">
        <f>MAX(0,M51-M50)</f>
        <v/>
      </c>
      <c r="O51" s="138">
        <f>IF(B51&lt;='VALOR POR PL'!$P$5,'CP RESUMO'!AX73,"")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RESUMO'!AY31</f>
        <v/>
      </c>
      <c r="N52" s="139">
        <f>MAX(0,M52-M51)</f>
        <v/>
      </c>
      <c r="O52" s="138">
        <f>IF(B52&lt;='VALOR POR PL'!$P$5,'CP RESUMO'!AY73,"")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RESUMO'!AZ31</f>
        <v/>
      </c>
      <c r="N53" s="139">
        <f>MAX(0,M53-M52)</f>
        <v/>
      </c>
      <c r="O53" s="138">
        <f>IF(B53&lt;='VALOR POR PL'!$P$5,'CP RESUMO'!AZ73,"")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RESUMO'!BA31</f>
        <v/>
      </c>
      <c r="N54" s="139">
        <f>MAX(0,M54-M53)</f>
        <v/>
      </c>
      <c r="O54" s="138">
        <f>IF(B54&lt;='VALOR POR PL'!$P$5,'CP RESUMO'!BA73,"")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RESUMO'!BB31</f>
        <v/>
      </c>
      <c r="N55" s="139">
        <f>MAX(0,M55-M54)</f>
        <v/>
      </c>
      <c r="O55" s="138">
        <f>IF(B55&lt;='VALOR POR PL'!$P$5,'CP RESUMO'!BB73,"")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RESUMO'!BC31</f>
        <v/>
      </c>
      <c r="N56" s="139">
        <f>MAX(0,M56-M55)</f>
        <v/>
      </c>
      <c r="O56" s="138">
        <f>IF(B56&lt;='VALOR POR PL'!$P$5,'CP RESUMO'!BC73,"")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RESUMO'!BD31</f>
        <v/>
      </c>
      <c r="N57" s="139">
        <f>MAX(0,M57-M56)</f>
        <v/>
      </c>
      <c r="O57" s="138">
        <f>IF(B57&lt;='VALOR POR PL'!$P$5,'CP RESUMO'!BD73,"")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RESUMO'!BE31</f>
        <v/>
      </c>
      <c r="N58" s="139">
        <f>MAX(0,M58-M57)</f>
        <v/>
      </c>
      <c r="O58" s="138">
        <f>IF(B58&lt;='VALOR POR PL'!$P$5,'CP RESUMO'!BE73,"")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RESUMO'!BF31</f>
        <v/>
      </c>
      <c r="N59" s="139">
        <f>MAX(0,M59-M58)</f>
        <v/>
      </c>
      <c r="O59" s="138">
        <f>IF(B59&lt;='VALOR POR PL'!$P$5,'CP RESUMO'!BF73,"")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RESUMO'!BG31</f>
        <v/>
      </c>
      <c r="N60" s="139">
        <f>MAX(0,M60-M59)</f>
        <v/>
      </c>
      <c r="O60" s="138">
        <f>IF(B60&lt;='VALOR POR PL'!$P$5,'CP RESUMO'!BG73,"")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RESUMO'!BH31</f>
        <v/>
      </c>
      <c r="N61" s="139">
        <f>MAX(0,M61-M60)</f>
        <v/>
      </c>
      <c r="O61" s="138">
        <f>IF(B61&lt;='VALOR POR PL'!$P$5,'CP RESUMO'!BH73,"")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RESUMO'!BI31</f>
        <v/>
      </c>
      <c r="N62" s="139">
        <f>MAX(0,M62-M61)</f>
        <v/>
      </c>
      <c r="O62" s="138">
        <f>IF(B62&lt;='VALOR POR PL'!$P$5,'CP RESUMO'!BI73,"")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RESUMO'!BJ31</f>
        <v/>
      </c>
      <c r="N63" s="139">
        <f>MAX(0,M63-M62)</f>
        <v/>
      </c>
      <c r="O63" s="138">
        <f>IF(B63&lt;='VALOR POR PL'!$P$5,'CP RESUMO'!BJ73,"")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RESUMO'!BK31</f>
        <v/>
      </c>
      <c r="N64" s="139">
        <f>MAX(0,M64-M63)</f>
        <v/>
      </c>
      <c r="O64" s="138">
        <f>IF(B64&lt;='VALOR POR PL'!$P$5,'CP RESUMO'!BK73,"")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RESUMO'!BL31</f>
        <v/>
      </c>
      <c r="N65" s="139">
        <f>MAX(0,M65-M64)</f>
        <v/>
      </c>
      <c r="O65" s="138">
        <f>IF(B65&lt;='VALOR POR PL'!$P$5,'CP RESUMO'!BL73,"")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RESUMO'!BM31</f>
        <v/>
      </c>
      <c r="N66" s="139">
        <f>MAX(0,M66-M65)</f>
        <v/>
      </c>
      <c r="O66" s="138">
        <f>IF(B66&lt;='VALOR POR PL'!$P$5,'CP RESUMO'!BM73,"")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RESUMO'!BN31</f>
        <v/>
      </c>
      <c r="N67" s="139">
        <f>MAX(0,M67-M66)</f>
        <v/>
      </c>
      <c r="O67" s="138">
        <f>IF(B67&lt;='VALOR POR PL'!$P$5,'CP RESUMO'!BN73,"")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RESUMO'!BO31</f>
        <v/>
      </c>
      <c r="N68" s="139">
        <f>MAX(0,M68-M67)</f>
        <v/>
      </c>
      <c r="O68" s="138">
        <f>IF(B68&lt;='VALOR POR PL'!$P$5,'CP RESUMO'!BO73,"")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RESUMO'!BP31</f>
        <v/>
      </c>
      <c r="N69" s="139">
        <f>MAX(0,M69-M68)</f>
        <v/>
      </c>
      <c r="O69" s="138">
        <f>IF(B69&lt;='VALOR POR PL'!$P$5,'CP RESUMO'!BP73,"")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RESUMO'!BQ31</f>
        <v/>
      </c>
      <c r="N70" s="139">
        <f>MAX(0,M70-M69)</f>
        <v/>
      </c>
      <c r="O70" s="138">
        <f>IF(B70&lt;='VALOR POR PL'!$P$5,'CP RESUMO'!BQ73,"")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RESUMO'!BR31</f>
        <v/>
      </c>
      <c r="N71" s="139">
        <f>MAX(0,M71-M70)</f>
        <v/>
      </c>
      <c r="O71" s="138">
        <f>IF(B71&lt;='VALOR POR PL'!$P$5,'CP RESUMO'!BR73,"")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RESUMO'!BS31</f>
        <v/>
      </c>
      <c r="N72" s="139">
        <f>MAX(0,M72-M71)</f>
        <v/>
      </c>
      <c r="O72" s="138">
        <f>IF(B72&lt;='VALOR POR PL'!$P$5,'CP RESUMO'!BS73,"")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RESUMO'!BT31</f>
        <v/>
      </c>
      <c r="N73" s="139">
        <f>MAX(0,M73-M72)</f>
        <v/>
      </c>
      <c r="O73" s="138">
        <f>IF(B73&lt;='VALOR POR PL'!$P$5,'CP RESUMO'!BT73,"")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RESUMO'!BU31</f>
        <v/>
      </c>
      <c r="N74" s="139">
        <f>MAX(0,M74-M73)</f>
        <v/>
      </c>
      <c r="O74" s="138">
        <f>IF(B74&lt;='VALOR POR PL'!$P$5,'CP RESUMO'!BU73,"")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RESUMO'!BV31</f>
        <v/>
      </c>
      <c r="N75" s="139">
        <f>MAX(0,M75-M74)</f>
        <v/>
      </c>
      <c r="O75" s="138">
        <f>IF(B75&lt;='VALOR POR PL'!$P$5,'CP RESUMO'!BV73,"")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RESUMO'!BW31</f>
        <v/>
      </c>
      <c r="N76" s="139">
        <f>MAX(0,M76-M75)</f>
        <v/>
      </c>
      <c r="O76" s="138">
        <f>IF(B76&lt;='VALOR POR PL'!$P$5,'CP RESUMO'!BW73,"")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HISTORICOS'!D32)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PL'!F38</f>
        <v/>
      </c>
      <c r="K5" s="60">
        <f>'VALOR POR PL'!G38</f>
        <v/>
      </c>
      <c r="L5" s="60">
        <f>'DADOS HISTORICOS'!$BZ$32</f>
        <v/>
      </c>
      <c r="M5" s="138">
        <f>'CP RESUMO'!D32</f>
        <v/>
      </c>
      <c r="N5" s="139" t="n">
        <v>0</v>
      </c>
      <c r="O5" s="138">
        <f>IF(B5&lt;='VALOR POR PL'!$P$5,'CP RESUMO'!D74,"")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HISTORICOS'!E32)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PL'!H38</f>
        <v/>
      </c>
      <c r="L6" s="49">
        <f>C6/IF(B6&lt;='VALOR POR PL'!$P$5,IFERROR(INDEX('"INCC-FGV"'!$B$2:$B$800,MATCH(B6,'"INCC-FGV"'!$A$2:$A$800,0)),$K$2),$K$2)</f>
        <v/>
      </c>
      <c r="M6" s="138">
        <f>'CP RESUMO'!E32</f>
        <v/>
      </c>
      <c r="N6" s="139">
        <f>MAX(0,M6-M5)</f>
        <v/>
      </c>
      <c r="O6" s="138">
        <f>IF(B6&lt;='VALOR POR PL'!$P$5,'CP RESUMO'!E74,"")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HISTORICOS'!F32)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RESUMO'!F32</f>
        <v/>
      </c>
      <c r="N7" s="139">
        <f>MAX(0,M7-M6)</f>
        <v/>
      </c>
      <c r="O7" s="138">
        <f>IF(B7&lt;='VALOR POR PL'!$P$5,'CP RESUMO'!F74,"")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HISTORICOS'!G32)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RESUMO'!G32</f>
        <v/>
      </c>
      <c r="N8" s="139">
        <f>MAX(0,M8-M7)</f>
        <v/>
      </c>
      <c r="O8" s="138">
        <f>IF(B8&lt;='VALOR POR PL'!$P$5,'CP RESUMO'!G74,"")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HISTORICOS'!H32)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RESUMO'!H32</f>
        <v/>
      </c>
      <c r="N9" s="139">
        <f>MAX(0,M9-M8)</f>
        <v/>
      </c>
      <c r="O9" s="138">
        <f>IF(B9&lt;='VALOR POR PL'!$P$5,'CP RESUMO'!H74,"")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RESUMO'!I32</f>
        <v/>
      </c>
      <c r="N10" s="139">
        <f>MAX(0,M10-M9)</f>
        <v/>
      </c>
      <c r="O10" s="138">
        <f>IF(B10&lt;='VALOR POR PL'!$P$5,'CP RESUMO'!I74,"")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RESUMO'!J32</f>
        <v/>
      </c>
      <c r="N11" s="139">
        <f>MAX(0,M11-M10)</f>
        <v/>
      </c>
      <c r="O11" s="138">
        <f>IF(B11&lt;='VALOR POR PL'!$P$5,'CP RESUMO'!J74,"")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RESUMO'!K32</f>
        <v/>
      </c>
      <c r="N12" s="139">
        <f>MAX(0,M12-M11)</f>
        <v/>
      </c>
      <c r="O12" s="138">
        <f>IF(B12&lt;='VALOR POR PL'!$P$5,'CP RESUMO'!K74,"")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PL'!I38</f>
        <v/>
      </c>
      <c r="L13" s="49">
        <f>C13/IF(B13&lt;='VALOR POR PL'!$P$5,IFERROR(INDEX('"INCC-FGV"'!$B$2:$B$800,MATCH(B13,'"INCC-FGV"'!$A$2:$A$800,0)),$K$2),$K$2)</f>
        <v/>
      </c>
      <c r="M13" s="138">
        <f>'CP RESUMO'!L32</f>
        <v/>
      </c>
      <c r="N13" s="139">
        <f>MAX(0,M13-M12)</f>
        <v/>
      </c>
      <c r="O13" s="138">
        <f>IF(B13&lt;='VALOR POR PL'!$P$5,'CP RESUMO'!L74,"")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RESUMO'!$D$74:$BW$74,MATCH('VALOR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RESUMO'!M32</f>
        <v/>
      </c>
      <c r="N14" s="139">
        <f>MAX(0,M14-M13)</f>
        <v/>
      </c>
      <c r="O14" s="138">
        <f>IF(B14&lt;='VALOR POR PL'!$P$5,'CP RESUMO'!M74,"")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RESUMO'!N32</f>
        <v/>
      </c>
      <c r="N15" s="139">
        <f>MAX(0,M15-M14)</f>
        <v/>
      </c>
      <c r="O15" s="138">
        <f>IF(B15&lt;='VALOR POR PL'!$P$5,'CP RESUMO'!N74,"")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RESUMO'!O32</f>
        <v/>
      </c>
      <c r="N16" s="139">
        <f>MAX(0,M16-M15)</f>
        <v/>
      </c>
      <c r="O16" s="138">
        <f>IF(B16&lt;='VALOR POR PL'!$P$5,'CP RESUMO'!O74,"")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RESUMO'!P32</f>
        <v/>
      </c>
      <c r="N17" s="139">
        <f>MAX(0,M17-M16)</f>
        <v/>
      </c>
      <c r="O17" s="138">
        <f>IF(B17&lt;='VALOR POR PL'!$P$5,'CP RESUMO'!P74,"")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RESUMO'!Q32</f>
        <v/>
      </c>
      <c r="N18" s="139">
        <f>MAX(0,M18-M17)</f>
        <v/>
      </c>
      <c r="O18" s="138">
        <f>IF(B18&lt;='VALOR POR PL'!$P$5,'CP RESUMO'!Q74,"")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RESUMO'!R32</f>
        <v/>
      </c>
      <c r="N19" s="139">
        <f>MAX(0,M19-M18)</f>
        <v/>
      </c>
      <c r="O19" s="138">
        <f>IF(B19&lt;='VALOR POR PL'!$P$5,'CP RESUMO'!R74,"")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RESUMO'!S32</f>
        <v/>
      </c>
      <c r="N20" s="139">
        <f>MAX(0,M20-M19)</f>
        <v/>
      </c>
      <c r="O20" s="138">
        <f>IF(B20&lt;='VALOR POR PL'!$P$5,'CP RESUMO'!S74,"")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RESUMO'!T32</f>
        <v/>
      </c>
      <c r="N21" s="139">
        <f>MAX(0,M21-M20)</f>
        <v/>
      </c>
      <c r="O21" s="138">
        <f>IF(B21&lt;='VALOR POR PL'!$P$5,'CP RESUMO'!T74,"")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RESUMO'!U32</f>
        <v/>
      </c>
      <c r="N22" s="139">
        <f>MAX(0,M22-M21)</f>
        <v/>
      </c>
      <c r="O22" s="138">
        <f>IF(B22&lt;='VALOR POR PL'!$P$5,'CP RESUMO'!U74,"")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RESUMO'!V32</f>
        <v/>
      </c>
      <c r="N23" s="139">
        <f>MAX(0,M23-M22)</f>
        <v/>
      </c>
      <c r="O23" s="138">
        <f>IF(B23&lt;='VALOR POR PL'!$P$5,'CP RESUMO'!V74,"")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No original, REV. PISOS e REV. PAREDE liam a mesma linha do ERP (R$ 380.967 contado duas vezes). Corrigido: o ERP tem esse valor só em PAREDES.</t>
        </is>
      </c>
      <c r="L24" s="49">
        <f>C24/IF(B24&lt;='VALOR POR PL'!$P$5,IFERROR(INDEX('"INCC-FGV"'!$B$2:$B$800,MATCH(B24,'"INCC-FGV"'!$A$2:$A$800,0)),$K$2),$K$2)</f>
        <v/>
      </c>
      <c r="M24" s="138">
        <f>'CP RESUMO'!W32</f>
        <v/>
      </c>
      <c r="N24" s="139">
        <f>MAX(0,M24-M23)</f>
        <v/>
      </c>
      <c r="O24" s="138">
        <f>IF(B24&lt;='VALOR POR PL'!$P$5,'CP RESUMO'!W74,"")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RESUMO'!X32</f>
        <v/>
      </c>
      <c r="N25" s="139">
        <f>MAX(0,M25-M24)</f>
        <v/>
      </c>
      <c r="O25" s="138">
        <f>IF(B25&lt;='VALOR POR PL'!$P$5,'CP RESUMO'!X74,"")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RESUMO'!Y32</f>
        <v/>
      </c>
      <c r="N26" s="139">
        <f>MAX(0,M26-M25)</f>
        <v/>
      </c>
      <c r="O26" s="138">
        <f>IF(B26&lt;='VALOR POR PL'!$P$5,'CP RESUMO'!Y74,"")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3226.59</v>
      </c>
      <c r="L27" s="49">
        <f>C27/IF(B27&lt;='VALOR POR PL'!$P$5,IFERROR(INDEX('"INCC-FGV"'!$B$2:$B$800,MATCH(B27,'"INCC-FGV"'!$A$2:$A$800,0)),$K$2),$K$2)</f>
        <v/>
      </c>
      <c r="M27" s="138">
        <f>'CP RESUMO'!Z32</f>
        <v/>
      </c>
      <c r="N27" s="139">
        <f>MAX(0,M27-M26)</f>
        <v/>
      </c>
      <c r="O27" s="138">
        <f>IF(B27&lt;='VALOR POR PL'!$P$5,'CP RESUMO'!Z74,"")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28746.02</v>
      </c>
      <c r="L28" s="49">
        <f>C28/IF(B28&lt;='VALOR POR PL'!$P$5,IFERROR(INDEX('"INCC-FGV"'!$B$2:$B$800,MATCH(B28,'"INCC-FGV"'!$A$2:$A$800,0)),$K$2),$K$2)</f>
        <v/>
      </c>
      <c r="M28" s="138">
        <f>'CP RESUMO'!AA32</f>
        <v/>
      </c>
      <c r="N28" s="139">
        <f>MAX(0,M28-M27)</f>
        <v/>
      </c>
      <c r="O28" s="138">
        <f>IF(B28&lt;='VALOR POR PL'!$P$5,'CP RESUMO'!AA74,"")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80469.3</v>
      </c>
      <c r="L29" s="49">
        <f>C29/IF(B29&lt;='VALOR POR PL'!$P$5,IFERROR(INDEX('"INCC-FGV"'!$B$2:$B$800,MATCH(B29,'"INCC-FGV"'!$A$2:$A$800,0)),$K$2),$K$2)</f>
        <v/>
      </c>
      <c r="M29" s="138">
        <f>'CP RESUMO'!AB32</f>
        <v/>
      </c>
      <c r="N29" s="139">
        <f>MAX(0,M29-M28)</f>
        <v/>
      </c>
      <c r="O29" s="138">
        <f>IF(B29&lt;='VALOR POR PL'!$P$5,'CP RESUMO'!AB74,"")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63749.67</v>
      </c>
      <c r="L30" s="49">
        <f>C30/IF(B30&lt;='VALOR POR PL'!$P$5,IFERROR(INDEX('"INCC-FGV"'!$B$2:$B$800,MATCH(B30,'"INCC-FGV"'!$A$2:$A$800,0)),$K$2),$K$2)</f>
        <v/>
      </c>
      <c r="M30" s="138">
        <f>'CP RESUMO'!AC32</f>
        <v/>
      </c>
      <c r="N30" s="139">
        <f>MAX(0,M30-M29)</f>
        <v/>
      </c>
      <c r="O30" s="138">
        <f>IF(B30&lt;='VALOR POR PL'!$P$5,'CP RESUMO'!AC74,"")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28257.14</v>
      </c>
      <c r="L31" s="49">
        <f>C31/IF(B31&lt;='VALOR POR PL'!$P$5,IFERROR(INDEX('"INCC-FGV"'!$B$2:$B$800,MATCH(B31,'"INCC-FGV"'!$A$2:$A$800,0)),$K$2),$K$2)</f>
        <v/>
      </c>
      <c r="M31" s="138">
        <f>'CP RESUMO'!AD32</f>
        <v/>
      </c>
      <c r="N31" s="139">
        <f>MAX(0,M31-M30)</f>
        <v/>
      </c>
      <c r="O31" s="138">
        <f>IF(B31&lt;='VALOR POR PL'!$P$5,'CP RESUMO'!AD74,"")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31483.73</v>
      </c>
      <c r="L32" s="49">
        <f>C32/IF(B32&lt;='VALOR POR PL'!$P$5,IFERROR(INDEX('"INCC-FGV"'!$B$2:$B$800,MATCH(B32,'"INCC-FGV"'!$A$2:$A$800,0)),$K$2),$K$2)</f>
        <v/>
      </c>
      <c r="M32" s="138">
        <f>'CP RESUMO'!AE32</f>
        <v/>
      </c>
      <c r="N32" s="139">
        <f>MAX(0,M32-M31)</f>
        <v/>
      </c>
      <c r="O32" s="138">
        <f>IF(B32&lt;='VALOR POR PL'!$P$5,'CP RESUMO'!AE74,"")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74113.88</v>
      </c>
      <c r="L33" s="49">
        <f>C33/IF(B33&lt;='VALOR POR PL'!$P$5,IFERROR(INDEX('"INCC-FGV"'!$B$2:$B$800,MATCH(B33,'"INCC-FGV"'!$A$2:$A$800,0)),$K$2),$K$2)</f>
        <v/>
      </c>
      <c r="M33" s="138">
        <f>'CP RESUMO'!AF32</f>
        <v/>
      </c>
      <c r="N33" s="139">
        <f>MAX(0,M33-M32)</f>
        <v/>
      </c>
      <c r="O33" s="138">
        <f>IF(B33&lt;='VALOR POR PL'!$P$5,'CP RESUMO'!AF74,"")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108335.33</v>
      </c>
      <c r="L34" s="49">
        <f>C34/IF(B34&lt;='VALOR POR PL'!$P$5,IFERROR(INDEX('"INCC-FGV"'!$B$2:$B$800,MATCH(B34,'"INCC-FGV"'!$A$2:$A$800,0)),$K$2),$K$2)</f>
        <v/>
      </c>
      <c r="M34" s="138">
        <f>'CP RESUMO'!AG32</f>
        <v/>
      </c>
      <c r="N34" s="139">
        <f>MAX(0,M34-M33)</f>
        <v/>
      </c>
      <c r="O34" s="138">
        <f>IF(B34&lt;='VALOR POR PL'!$P$5,'CP RESUMO'!AG74,"")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99828.86</v>
      </c>
      <c r="L35" s="49">
        <f>C35/IF(B35&lt;='VALOR POR PL'!$P$5,IFERROR(INDEX('"INCC-FGV"'!$B$2:$B$800,MATCH(B35,'"INCC-FGV"'!$A$2:$A$800,0)),$K$2),$K$2)</f>
        <v/>
      </c>
      <c r="M35" s="138">
        <f>'CP RESUMO'!AH32</f>
        <v/>
      </c>
      <c r="N35" s="139">
        <f>MAX(0,M35-M34)</f>
        <v/>
      </c>
      <c r="O35" s="138">
        <f>IF(B35&lt;='VALOR POR PL'!$P$5,'CP RESUMO'!AH74,"")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99828.86</v>
      </c>
      <c r="L36" s="49">
        <f>C36/IF(B36&lt;='VALOR POR PL'!$P$5,IFERROR(INDEX('"INCC-FGV"'!$B$2:$B$800,MATCH(B36,'"INCC-FGV"'!$A$2:$A$800,0)),$K$2),$K$2)</f>
        <v/>
      </c>
      <c r="M36" s="138">
        <f>'CP RESUMO'!AI32</f>
        <v/>
      </c>
      <c r="N36" s="139">
        <f>MAX(0,M36-M35)</f>
        <v/>
      </c>
      <c r="O36" s="138">
        <f>IF(B36&lt;='VALOR POR PL'!$P$5,'CP RESUMO'!AI74,"")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43216.8</v>
      </c>
      <c r="L37" s="49">
        <f>C37/IF(B37&lt;='VALOR POR PL'!$P$5,IFERROR(INDEX('"INCC-FGV"'!$B$2:$B$800,MATCH(B37,'"INCC-FGV"'!$A$2:$A$800,0)),$K$2),$K$2)</f>
        <v/>
      </c>
      <c r="M37" s="138">
        <f>'CP RESUMO'!AJ32</f>
        <v/>
      </c>
      <c r="N37" s="139">
        <f>MAX(0,M37-M36)</f>
        <v/>
      </c>
      <c r="O37" s="138">
        <f>IF(B37&lt;='VALOR POR PL'!$P$5,'CP RESUMO'!AJ74,"")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96504.49000000001</v>
      </c>
      <c r="L38" s="49">
        <f>C38/IF(B38&lt;='VALOR POR PL'!$P$5,IFERROR(INDEX('"INCC-FGV"'!$B$2:$B$800,MATCH(B38,'"INCC-FGV"'!$A$2:$A$800,0)),$K$2),$K$2)</f>
        <v/>
      </c>
      <c r="M38" s="138">
        <f>'CP RESUMO'!AK32</f>
        <v/>
      </c>
      <c r="N38" s="139">
        <f>MAX(0,M38-M37)</f>
        <v/>
      </c>
      <c r="O38" s="138">
        <f>IF(B38&lt;='VALOR POR PL'!$P$5,'CP RESUMO'!AK74,"")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79198.21000000001</v>
      </c>
      <c r="L39" s="49">
        <f>C39/IF(B39&lt;='VALOR POR PL'!$P$5,IFERROR(INDEX('"INCC-FGV"'!$B$2:$B$800,MATCH(B39,'"INCC-FGV"'!$A$2:$A$800,0)),$K$2),$K$2)</f>
        <v/>
      </c>
      <c r="M39" s="138">
        <f>'CP RESUMO'!AL32</f>
        <v/>
      </c>
      <c r="N39" s="139">
        <f>MAX(0,M39-M38)</f>
        <v/>
      </c>
      <c r="O39" s="138">
        <f>IF(B39&lt;='VALOR POR PL'!$P$5,'CP RESUMO'!AL74,"")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40870.19</v>
      </c>
      <c r="L40" s="49">
        <f>C40/IF(B40&lt;='VALOR POR PL'!$P$5,IFERROR(INDEX('"INCC-FGV"'!$B$2:$B$800,MATCH(B40,'"INCC-FGV"'!$A$2:$A$800,0)),$K$2),$K$2)</f>
        <v/>
      </c>
      <c r="M40" s="138">
        <f>'CP RESUMO'!AM32</f>
        <v/>
      </c>
      <c r="N40" s="139">
        <f>MAX(0,M40-M39)</f>
        <v/>
      </c>
      <c r="O40" s="138">
        <f>IF(B40&lt;='VALOR POR PL'!$P$5,'CP RESUMO'!AM74,"")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65509.63</v>
      </c>
      <c r="L41" s="49">
        <f>C41/IF(B41&lt;='VALOR POR PL'!$P$5,IFERROR(INDEX('"INCC-FGV"'!$B$2:$B$800,MATCH(B41,'"INCC-FGV"'!$A$2:$A$800,0)),$K$2),$K$2)</f>
        <v/>
      </c>
      <c r="M41" s="138">
        <f>'CP RESUMO'!AN32</f>
        <v/>
      </c>
      <c r="N41" s="139">
        <f>MAX(0,M41-M40)</f>
        <v/>
      </c>
      <c r="O41" s="138">
        <f>IF(B41&lt;='VALOR POR PL'!$P$5,'CP RESUMO'!AN74,"")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RESUMO'!AO32</f>
        <v/>
      </c>
      <c r="N42" s="139">
        <f>MAX(0,M42-M41)</f>
        <v/>
      </c>
      <c r="O42" s="138">
        <f>IF(B42&lt;='VALOR POR PL'!$P$5,'CP RESUMO'!AO74,"")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586.65</v>
      </c>
      <c r="L43" s="49">
        <f>C43/IF(B43&lt;='VALOR POR PL'!$P$5,IFERROR(INDEX('"INCC-FGV"'!$B$2:$B$800,MATCH(B43,'"INCC-FGV"'!$A$2:$A$800,0)),$K$2),$K$2)</f>
        <v/>
      </c>
      <c r="M43" s="138">
        <f>'CP RESUMO'!AP32</f>
        <v/>
      </c>
      <c r="N43" s="139">
        <f>MAX(0,M43-M42)</f>
        <v/>
      </c>
      <c r="O43" s="138">
        <f>IF(B43&lt;='VALOR POR PL'!$P$5,'CP RESUMO'!AP74,"")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RESUMO'!AQ32</f>
        <v/>
      </c>
      <c r="N44" s="139">
        <f>MAX(0,M44-M43)</f>
        <v/>
      </c>
      <c r="O44" s="138">
        <f>IF(B44&lt;='VALOR POR PL'!$P$5,'CP RESUMO'!AQ74,"")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RESUMO'!AR32</f>
        <v/>
      </c>
      <c r="N45" s="139">
        <f>MAX(0,M45-M44)</f>
        <v/>
      </c>
      <c r="O45" s="138">
        <f>IF(B45&lt;='VALOR POR PL'!$P$5,'CP RESUMO'!AR74,"")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RESUMO'!AS32</f>
        <v/>
      </c>
      <c r="N46" s="139">
        <f>MAX(0,M46-M45)</f>
        <v/>
      </c>
      <c r="O46" s="138">
        <f>IF(B46&lt;='VALOR POR PL'!$P$5,'CP RESUMO'!AS74,"")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RESUMO'!AT32</f>
        <v/>
      </c>
      <c r="N47" s="139">
        <f>MAX(0,M47-M46)</f>
        <v/>
      </c>
      <c r="O47" s="138">
        <f>IF(B47&lt;='VALOR POR PL'!$P$5,'CP RESUMO'!AT74,"")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RESUMO'!AU32</f>
        <v/>
      </c>
      <c r="N48" s="139">
        <f>MAX(0,M48-M47)</f>
        <v/>
      </c>
      <c r="O48" s="138">
        <f>IF(B48&lt;='VALOR POR PL'!$P$5,'CP RESUMO'!AU74,"")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RESUMO'!AV32</f>
        <v/>
      </c>
      <c r="N49" s="139">
        <f>MAX(0,M49-M48)</f>
        <v/>
      </c>
      <c r="O49" s="138">
        <f>IF(B49&lt;='VALOR POR PL'!$P$5,'CP RESUMO'!AV74,"")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RESUMO'!AW32</f>
        <v/>
      </c>
      <c r="N50" s="139">
        <f>MAX(0,M50-M49)</f>
        <v/>
      </c>
      <c r="O50" s="138">
        <f>IF(B50&lt;='VALOR POR PL'!$P$5,'CP RESUMO'!AW74,"")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RESUMO'!AX32</f>
        <v/>
      </c>
      <c r="N51" s="139">
        <f>MAX(0,M51-M50)</f>
        <v/>
      </c>
      <c r="O51" s="138">
        <f>IF(B51&lt;='VALOR POR PL'!$P$5,'CP RESUMO'!AX74,"")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RESUMO'!AY32</f>
        <v/>
      </c>
      <c r="N52" s="139">
        <f>MAX(0,M52-M51)</f>
        <v/>
      </c>
      <c r="O52" s="138">
        <f>IF(B52&lt;='VALOR POR PL'!$P$5,'CP RESUMO'!AY74,"")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RESUMO'!AZ32</f>
        <v/>
      </c>
      <c r="N53" s="139">
        <f>MAX(0,M53-M52)</f>
        <v/>
      </c>
      <c r="O53" s="138">
        <f>IF(B53&lt;='VALOR POR PL'!$P$5,'CP RESUMO'!AZ74,"")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RESUMO'!BA32</f>
        <v/>
      </c>
      <c r="N54" s="139">
        <f>MAX(0,M54-M53)</f>
        <v/>
      </c>
      <c r="O54" s="138">
        <f>IF(B54&lt;='VALOR POR PL'!$P$5,'CP RESUMO'!BA74,"")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RESUMO'!BB32</f>
        <v/>
      </c>
      <c r="N55" s="139">
        <f>MAX(0,M55-M54)</f>
        <v/>
      </c>
      <c r="O55" s="138">
        <f>IF(B55&lt;='VALOR POR PL'!$P$5,'CP RESUMO'!BB74,"")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RESUMO'!BC32</f>
        <v/>
      </c>
      <c r="N56" s="139">
        <f>MAX(0,M56-M55)</f>
        <v/>
      </c>
      <c r="O56" s="138">
        <f>IF(B56&lt;='VALOR POR PL'!$P$5,'CP RESUMO'!BC74,"")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RESUMO'!BD32</f>
        <v/>
      </c>
      <c r="N57" s="139">
        <f>MAX(0,M57-M56)</f>
        <v/>
      </c>
      <c r="O57" s="138">
        <f>IF(B57&lt;='VALOR POR PL'!$P$5,'CP RESUMO'!BD74,"")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RESUMO'!BE32</f>
        <v/>
      </c>
      <c r="N58" s="139">
        <f>MAX(0,M58-M57)</f>
        <v/>
      </c>
      <c r="O58" s="138">
        <f>IF(B58&lt;='VALOR POR PL'!$P$5,'CP RESUMO'!BE74,"")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RESUMO'!BF32</f>
        <v/>
      </c>
      <c r="N59" s="139">
        <f>MAX(0,M59-M58)</f>
        <v/>
      </c>
      <c r="O59" s="138">
        <f>IF(B59&lt;='VALOR POR PL'!$P$5,'CP RESUMO'!BF74,"")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RESUMO'!BG32</f>
        <v/>
      </c>
      <c r="N60" s="139">
        <f>MAX(0,M60-M59)</f>
        <v/>
      </c>
      <c r="O60" s="138">
        <f>IF(B60&lt;='VALOR POR PL'!$P$5,'CP RESUMO'!BG74,"")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RESUMO'!BH32</f>
        <v/>
      </c>
      <c r="N61" s="139">
        <f>MAX(0,M61-M60)</f>
        <v/>
      </c>
      <c r="O61" s="138">
        <f>IF(B61&lt;='VALOR POR PL'!$P$5,'CP RESUMO'!BH74,"")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RESUMO'!BI32</f>
        <v/>
      </c>
      <c r="N62" s="139">
        <f>MAX(0,M62-M61)</f>
        <v/>
      </c>
      <c r="O62" s="138">
        <f>IF(B62&lt;='VALOR POR PL'!$P$5,'CP RESUMO'!BI74,"")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RESUMO'!BJ32</f>
        <v/>
      </c>
      <c r="N63" s="139">
        <f>MAX(0,M63-M62)</f>
        <v/>
      </c>
      <c r="O63" s="138">
        <f>IF(B63&lt;='VALOR POR PL'!$P$5,'CP RESUMO'!BJ74,"")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RESUMO'!BK32</f>
        <v/>
      </c>
      <c r="N64" s="139">
        <f>MAX(0,M64-M63)</f>
        <v/>
      </c>
      <c r="O64" s="138">
        <f>IF(B64&lt;='VALOR POR PL'!$P$5,'CP RESUMO'!BK74,"")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RESUMO'!BL32</f>
        <v/>
      </c>
      <c r="N65" s="139">
        <f>MAX(0,M65-M64)</f>
        <v/>
      </c>
      <c r="O65" s="138">
        <f>IF(B65&lt;='VALOR POR PL'!$P$5,'CP RESUMO'!BL74,"")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RESUMO'!BM32</f>
        <v/>
      </c>
      <c r="N66" s="139">
        <f>MAX(0,M66-M65)</f>
        <v/>
      </c>
      <c r="O66" s="138">
        <f>IF(B66&lt;='VALOR POR PL'!$P$5,'CP RESUMO'!BM74,"")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RESUMO'!BN32</f>
        <v/>
      </c>
      <c r="N67" s="139">
        <f>MAX(0,M67-M66)</f>
        <v/>
      </c>
      <c r="O67" s="138">
        <f>IF(B67&lt;='VALOR POR PL'!$P$5,'CP RESUMO'!BN74,"")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RESUMO'!BO32</f>
        <v/>
      </c>
      <c r="N68" s="139">
        <f>MAX(0,M68-M67)</f>
        <v/>
      </c>
      <c r="O68" s="138">
        <f>IF(B68&lt;='VALOR POR PL'!$P$5,'CP RESUMO'!BO74,"")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RESUMO'!BP32</f>
        <v/>
      </c>
      <c r="N69" s="139">
        <f>MAX(0,M69-M68)</f>
        <v/>
      </c>
      <c r="O69" s="138">
        <f>IF(B69&lt;='VALOR POR PL'!$P$5,'CP RESUMO'!BP74,"")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RESUMO'!BQ32</f>
        <v/>
      </c>
      <c r="N70" s="139">
        <f>MAX(0,M70-M69)</f>
        <v/>
      </c>
      <c r="O70" s="138">
        <f>IF(B70&lt;='VALOR POR PL'!$P$5,'CP RESUMO'!BQ74,"")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RESUMO'!BR32</f>
        <v/>
      </c>
      <c r="N71" s="139">
        <f>MAX(0,M71-M70)</f>
        <v/>
      </c>
      <c r="O71" s="138">
        <f>IF(B71&lt;='VALOR POR PL'!$P$5,'CP RESUMO'!BR74,"")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RESUMO'!BS32</f>
        <v/>
      </c>
      <c r="N72" s="139">
        <f>MAX(0,M72-M71)</f>
        <v/>
      </c>
      <c r="O72" s="138">
        <f>IF(B72&lt;='VALOR POR PL'!$P$5,'CP RESUMO'!BS74,"")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RESUMO'!BT32</f>
        <v/>
      </c>
      <c r="N73" s="139">
        <f>MAX(0,M73-M72)</f>
        <v/>
      </c>
      <c r="O73" s="138">
        <f>IF(B73&lt;='VALOR POR PL'!$P$5,'CP RESUMO'!BT74,"")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RESUMO'!BU32</f>
        <v/>
      </c>
      <c r="N74" s="139">
        <f>MAX(0,M74-M73)</f>
        <v/>
      </c>
      <c r="O74" s="138">
        <f>IF(B74&lt;='VALOR POR PL'!$P$5,'CP RESUMO'!BU74,"")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RESUMO'!BV32</f>
        <v/>
      </c>
      <c r="N75" s="139">
        <f>MAX(0,M75-M74)</f>
        <v/>
      </c>
      <c r="O75" s="138">
        <f>IF(B75&lt;='VALOR POR PL'!$P$5,'CP RESUMO'!BV74,"")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RESUMO'!BW32</f>
        <v/>
      </c>
      <c r="N76" s="139">
        <f>MAX(0,M76-M75)</f>
        <v/>
      </c>
      <c r="O76" s="138">
        <f>IF(B76&lt;='VALOR POR PL'!$P$5,'CP RESUMO'!BW74,"")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HISTORICOS'!D33)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PL'!F39</f>
        <v/>
      </c>
      <c r="K5" s="60">
        <f>'VALOR POR PL'!G39</f>
        <v/>
      </c>
      <c r="L5" s="60">
        <f>'DADOS HISTORICOS'!$BZ$33</f>
        <v/>
      </c>
      <c r="M5" s="138">
        <f>'CP RESUMO'!D33</f>
        <v/>
      </c>
      <c r="N5" s="139" t="n">
        <v>0</v>
      </c>
      <c r="O5" s="138">
        <f>IF(B5&lt;='VALOR POR PL'!$P$5,'CP RESUMO'!D75,"")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HISTORICOS'!E33)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PL'!H39</f>
        <v/>
      </c>
      <c r="L6" s="49">
        <f>C6/IF(B6&lt;='VALOR POR PL'!$P$5,IFERROR(INDEX('"INCC-FGV"'!$B$2:$B$800,MATCH(B6,'"INCC-FGV"'!$A$2:$A$800,0)),$K$2),$K$2)</f>
        <v/>
      </c>
      <c r="M6" s="138">
        <f>'CP RESUMO'!E33</f>
        <v/>
      </c>
      <c r="N6" s="139">
        <f>MAX(0,M6-M5)</f>
        <v/>
      </c>
      <c r="O6" s="138">
        <f>IF(B6&lt;='VALOR POR PL'!$P$5,'CP RESUMO'!E75,"")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HISTORICOS'!F33)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RESUMO'!F33</f>
        <v/>
      </c>
      <c r="N7" s="139">
        <f>MAX(0,M7-M6)</f>
        <v/>
      </c>
      <c r="O7" s="138">
        <f>IF(B7&lt;='VALOR POR PL'!$P$5,'CP RESUMO'!F75,"")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HISTORICOS'!G33)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RESUMO'!G33</f>
        <v/>
      </c>
      <c r="N8" s="139">
        <f>MAX(0,M8-M7)</f>
        <v/>
      </c>
      <c r="O8" s="138">
        <f>IF(B8&lt;='VALOR POR PL'!$P$5,'CP RESUMO'!G75,"")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HISTORICOS'!H33)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RESUMO'!H33</f>
        <v/>
      </c>
      <c r="N9" s="139">
        <f>MAX(0,M9-M8)</f>
        <v/>
      </c>
      <c r="O9" s="138">
        <f>IF(B9&lt;='VALOR POR PL'!$P$5,'CP RESUMO'!H75,"")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RESUMO'!I33</f>
        <v/>
      </c>
      <c r="N10" s="139">
        <f>MAX(0,M10-M9)</f>
        <v/>
      </c>
      <c r="O10" s="138">
        <f>IF(B10&lt;='VALOR POR PL'!$P$5,'CP RESUMO'!I75,"")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RESUMO'!J33</f>
        <v/>
      </c>
      <c r="N11" s="139">
        <f>MAX(0,M11-M10)</f>
        <v/>
      </c>
      <c r="O11" s="138">
        <f>IF(B11&lt;='VALOR POR PL'!$P$5,'CP RESUMO'!J75,"")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RESUMO'!K33</f>
        <v/>
      </c>
      <c r="N12" s="139">
        <f>MAX(0,M12-M11)</f>
        <v/>
      </c>
      <c r="O12" s="138">
        <f>IF(B12&lt;='VALOR POR PL'!$P$5,'CP RESUMO'!K75,"")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PL'!I39</f>
        <v/>
      </c>
      <c r="L13" s="49">
        <f>C13/IF(B13&lt;='VALOR POR PL'!$P$5,IFERROR(INDEX('"INCC-FGV"'!$B$2:$B$800,MATCH(B13,'"INCC-FGV"'!$A$2:$A$800,0)),$K$2),$K$2)</f>
        <v/>
      </c>
      <c r="M13" s="138">
        <f>'CP RESUMO'!L33</f>
        <v/>
      </c>
      <c r="N13" s="139">
        <f>MAX(0,M13-M12)</f>
        <v/>
      </c>
      <c r="O13" s="138">
        <f>IF(B13&lt;='VALOR POR PL'!$P$5,'CP RESUMO'!L75,"")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RESUMO'!$D$75:$BW$75,MATCH('VALOR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RESUMO'!M33</f>
        <v/>
      </c>
      <c r="N14" s="139">
        <f>MAX(0,M14-M13)</f>
        <v/>
      </c>
      <c r="O14" s="138">
        <f>IF(B14&lt;='VALOR POR PL'!$P$5,'CP RESUMO'!M75,"")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RESUMO'!N33</f>
        <v/>
      </c>
      <c r="N15" s="139">
        <f>MAX(0,M15-M14)</f>
        <v/>
      </c>
      <c r="O15" s="138">
        <f>IF(B15&lt;='VALOR POR PL'!$P$5,'CP RESUMO'!N75,"")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RESUMO'!O33</f>
        <v/>
      </c>
      <c r="N16" s="139">
        <f>MAX(0,M16-M15)</f>
        <v/>
      </c>
      <c r="O16" s="138">
        <f>IF(B16&lt;='VALOR POR PL'!$P$5,'CP RESUMO'!O75,"")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RESUMO'!P33</f>
        <v/>
      </c>
      <c r="N17" s="139">
        <f>MAX(0,M17-M16)</f>
        <v/>
      </c>
      <c r="O17" s="138">
        <f>IF(B17&lt;='VALOR POR PL'!$P$5,'CP RESUMO'!P75,"")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RESUMO'!Q33</f>
        <v/>
      </c>
      <c r="N18" s="139">
        <f>MAX(0,M18-M17)</f>
        <v/>
      </c>
      <c r="O18" s="138">
        <f>IF(B18&lt;='VALOR POR PL'!$P$5,'CP RESUMO'!Q75,"")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RESUMO'!R33</f>
        <v/>
      </c>
      <c r="N19" s="139">
        <f>MAX(0,M19-M18)</f>
        <v/>
      </c>
      <c r="O19" s="138">
        <f>IF(B19&lt;='VALOR POR PL'!$P$5,'CP RESUMO'!R75,"")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RESUMO'!S33</f>
        <v/>
      </c>
      <c r="N20" s="139">
        <f>MAX(0,M20-M19)</f>
        <v/>
      </c>
      <c r="O20" s="138">
        <f>IF(B20&lt;='VALOR POR PL'!$P$5,'CP RESUMO'!S75,"")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RESUMO'!T33</f>
        <v/>
      </c>
      <c r="N21" s="139">
        <f>MAX(0,M21-M20)</f>
        <v/>
      </c>
      <c r="O21" s="138">
        <f>IF(B21&lt;='VALOR POR PL'!$P$5,'CP RESUMO'!T75,"")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RESUMO'!U33</f>
        <v/>
      </c>
      <c r="N22" s="139">
        <f>MAX(0,M22-M21)</f>
        <v/>
      </c>
      <c r="O22" s="138">
        <f>IF(B22&lt;='VALOR POR PL'!$P$5,'CP RESUMO'!U75,"")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RESUMO'!V33</f>
        <v/>
      </c>
      <c r="N23" s="139">
        <f>MAX(0,M23-M22)</f>
        <v/>
      </c>
      <c r="O23" s="138">
        <f>IF(B23&lt;='VALOR POR PL'!$P$5,'CP RESUMO'!V75,"")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RESUMO'!W33</f>
        <v/>
      </c>
      <c r="N24" s="139">
        <f>MAX(0,M24-M23)</f>
        <v/>
      </c>
      <c r="O24" s="138">
        <f>IF(B24&lt;='VALOR POR PL'!$P$5,'CP RESUMO'!W75,"")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RESUMO'!X33</f>
        <v/>
      </c>
      <c r="N25" s="139">
        <f>MAX(0,M25-M24)</f>
        <v/>
      </c>
      <c r="O25" s="138">
        <f>IF(B25&lt;='VALOR POR PL'!$P$5,'CP RESUMO'!X75,"")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188.02</v>
      </c>
      <c r="L26" s="49">
        <f>C26/IF(B26&lt;='VALOR POR PL'!$P$5,IFERROR(INDEX('"INCC-FGV"'!$B$2:$B$800,MATCH(B26,'"INCC-FGV"'!$A$2:$A$800,0)),$K$2),$K$2)</f>
        <v/>
      </c>
      <c r="M26" s="138">
        <f>'CP RESUMO'!Y33</f>
        <v/>
      </c>
      <c r="N26" s="139">
        <f>MAX(0,M26-M25)</f>
        <v/>
      </c>
      <c r="O26" s="138">
        <f>IF(B26&lt;='VALOR POR PL'!$P$5,'CP RESUMO'!Y75,"")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234754.56</v>
      </c>
      <c r="L27" s="49">
        <f>C27/IF(B27&lt;='VALOR POR PL'!$P$5,IFERROR(INDEX('"INCC-FGV"'!$B$2:$B$800,MATCH(B27,'"INCC-FGV"'!$A$2:$A$800,0)),$K$2),$K$2)</f>
        <v/>
      </c>
      <c r="M27" s="138">
        <f>'CP RESUMO'!Z33</f>
        <v/>
      </c>
      <c r="N27" s="139">
        <f>MAX(0,M27-M26)</f>
        <v/>
      </c>
      <c r="O27" s="138">
        <f>IF(B27&lt;='VALOR POR PL'!$P$5,'CP RESUMO'!Z75,"")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114348.19</v>
      </c>
      <c r="L28" s="49">
        <f>C28/IF(B28&lt;='VALOR POR PL'!$P$5,IFERROR(INDEX('"INCC-FGV"'!$B$2:$B$800,MATCH(B28,'"INCC-FGV"'!$A$2:$A$800,0)),$K$2),$K$2)</f>
        <v/>
      </c>
      <c r="M28" s="138">
        <f>'CP RESUMO'!AA33</f>
        <v/>
      </c>
      <c r="N28" s="139">
        <f>MAX(0,M28-M27)</f>
        <v/>
      </c>
      <c r="O28" s="138">
        <f>IF(B28&lt;='VALOR POR PL'!$P$5,'CP RESUMO'!AA75,"")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17669.7</v>
      </c>
      <c r="L29" s="49">
        <f>C29/IF(B29&lt;='VALOR POR PL'!$P$5,IFERROR(INDEX('"INCC-FGV"'!$B$2:$B$800,MATCH(B29,'"INCC-FGV"'!$A$2:$A$800,0)),$K$2),$K$2)</f>
        <v/>
      </c>
      <c r="M29" s="138">
        <f>'CP RESUMO'!AB33</f>
        <v/>
      </c>
      <c r="N29" s="139">
        <f>MAX(0,M29-M28)</f>
        <v/>
      </c>
      <c r="O29" s="138">
        <f>IF(B29&lt;='VALOR POR PL'!$P$5,'CP RESUMO'!AB75,"")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79261.22</v>
      </c>
      <c r="L30" s="49">
        <f>C30/IF(B30&lt;='VALOR POR PL'!$P$5,IFERROR(INDEX('"INCC-FGV"'!$B$2:$B$800,MATCH(B30,'"INCC-FGV"'!$A$2:$A$800,0)),$K$2),$K$2)</f>
        <v/>
      </c>
      <c r="M30" s="138">
        <f>'CP RESUMO'!AC33</f>
        <v/>
      </c>
      <c r="N30" s="139">
        <f>MAX(0,M30-M29)</f>
        <v/>
      </c>
      <c r="O30" s="138">
        <f>IF(B30&lt;='VALOR POR PL'!$P$5,'CP RESUMO'!AC75,"")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158522.43</v>
      </c>
      <c r="L31" s="49">
        <f>C31/IF(B31&lt;='VALOR POR PL'!$P$5,IFERROR(INDEX('"INCC-FGV"'!$B$2:$B$800,MATCH(B31,'"INCC-FGV"'!$A$2:$A$800,0)),$K$2),$K$2)</f>
        <v/>
      </c>
      <c r="M31" s="138">
        <f>'CP RESUMO'!AD33</f>
        <v/>
      </c>
      <c r="N31" s="139">
        <f>MAX(0,M31-M30)</f>
        <v/>
      </c>
      <c r="O31" s="138">
        <f>IF(B31&lt;='VALOR POR PL'!$P$5,'CP RESUMO'!AD75,"")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167357.28</v>
      </c>
      <c r="L32" s="49">
        <f>C32/IF(B32&lt;='VALOR POR PL'!$P$5,IFERROR(INDEX('"INCC-FGV"'!$B$2:$B$800,MATCH(B32,'"INCC-FGV"'!$A$2:$A$800,0)),$K$2),$K$2)</f>
        <v/>
      </c>
      <c r="M32" s="138">
        <f>'CP RESUMO'!AE33</f>
        <v/>
      </c>
      <c r="N32" s="139">
        <f>MAX(0,M32-M31)</f>
        <v/>
      </c>
      <c r="O32" s="138">
        <f>IF(B32&lt;='VALOR POR PL'!$P$5,'CP RESUMO'!AE75,"")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202444.25</v>
      </c>
      <c r="L33" s="49">
        <f>C33/IF(B33&lt;='VALOR POR PL'!$P$5,IFERROR(INDEX('"INCC-FGV"'!$B$2:$B$800,MATCH(B33,'"INCC-FGV"'!$A$2:$A$800,0)),$K$2),$K$2)</f>
        <v/>
      </c>
      <c r="M33" s="138">
        <f>'CP RESUMO'!AF33</f>
        <v/>
      </c>
      <c r="N33" s="139">
        <f>MAX(0,M33-M32)</f>
        <v/>
      </c>
      <c r="O33" s="138">
        <f>IF(B33&lt;='VALOR POR PL'!$P$5,'CP RESUMO'!AF75,"")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185026.98</v>
      </c>
      <c r="L34" s="49">
        <f>C34/IF(B34&lt;='VALOR POR PL'!$P$5,IFERROR(INDEX('"INCC-FGV"'!$B$2:$B$800,MATCH(B34,'"INCC-FGV"'!$A$2:$A$800,0)),$K$2),$K$2)</f>
        <v/>
      </c>
      <c r="M34" s="138">
        <f>'CP RESUMO'!AG33</f>
        <v/>
      </c>
      <c r="N34" s="139">
        <f>MAX(0,M34-M33)</f>
        <v/>
      </c>
      <c r="O34" s="138">
        <f>IF(B34&lt;='VALOR POR PL'!$P$5,'CP RESUMO'!AG75,"")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123183.04</v>
      </c>
      <c r="L35" s="49">
        <f>C35/IF(B35&lt;='VALOR POR PL'!$P$5,IFERROR(INDEX('"INCC-FGV"'!$B$2:$B$800,MATCH(B35,'"INCC-FGV"'!$A$2:$A$800,0)),$K$2),$K$2)</f>
        <v/>
      </c>
      <c r="M35" s="138">
        <f>'CP RESUMO'!AH33</f>
        <v/>
      </c>
      <c r="N35" s="139">
        <f>MAX(0,M35-M34)</f>
        <v/>
      </c>
      <c r="O35" s="138">
        <f>IF(B35&lt;='VALOR POR PL'!$P$5,'CP RESUMO'!AH75,"")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273123.05</v>
      </c>
      <c r="L36" s="49">
        <f>C36/IF(B36&lt;='VALOR POR PL'!$P$5,IFERROR(INDEX('"INCC-FGV"'!$B$2:$B$800,MATCH(B36,'"INCC-FGV"'!$A$2:$A$800,0)),$K$2),$K$2)</f>
        <v/>
      </c>
      <c r="M36" s="138">
        <f>'CP RESUMO'!AI33</f>
        <v/>
      </c>
      <c r="N36" s="139">
        <f>MAX(0,M36-M35)</f>
        <v/>
      </c>
      <c r="O36" s="138">
        <f>IF(B36&lt;='VALOR POR PL'!$P$5,'CP RESUMO'!AI75,"")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185026.98</v>
      </c>
      <c r="L37" s="49">
        <f>C37/IF(B37&lt;='VALOR POR PL'!$P$5,IFERROR(INDEX('"INCC-FGV"'!$B$2:$B$800,MATCH(B37,'"INCC-FGV"'!$A$2:$A$800,0)),$K$2),$K$2)</f>
        <v/>
      </c>
      <c r="M37" s="138">
        <f>'CP RESUMO'!AJ33</f>
        <v/>
      </c>
      <c r="N37" s="139">
        <f>MAX(0,M37-M36)</f>
        <v/>
      </c>
      <c r="O37" s="138">
        <f>IF(B37&lt;='VALOR POR PL'!$P$5,'CP RESUMO'!AJ75,"")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86329.10000000001</v>
      </c>
      <c r="L38" s="49">
        <f>C38/IF(B38&lt;='VALOR POR PL'!$P$5,IFERROR(INDEX('"INCC-FGV"'!$B$2:$B$800,MATCH(B38,'"INCC-FGV"'!$A$2:$A$800,0)),$K$2),$K$2)</f>
        <v/>
      </c>
      <c r="M38" s="138">
        <f>'CP RESUMO'!AK33</f>
        <v/>
      </c>
      <c r="N38" s="139">
        <f>MAX(0,M38-M37)</f>
        <v/>
      </c>
      <c r="O38" s="138">
        <f>IF(B38&lt;='VALOR POR PL'!$P$5,'CP RESUMO'!AK75,"")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49222.73</v>
      </c>
      <c r="L39" s="49">
        <f>C39/IF(B39&lt;='VALOR POR PL'!$P$5,IFERROR(INDEX('"INCC-FGV"'!$B$2:$B$800,MATCH(B39,'"INCC-FGV"'!$A$2:$A$800,0)),$K$2),$K$2)</f>
        <v/>
      </c>
      <c r="M39" s="138">
        <f>'CP RESUMO'!AL33</f>
        <v/>
      </c>
      <c r="N39" s="139">
        <f>MAX(0,M39-M38)</f>
        <v/>
      </c>
      <c r="O39" s="138">
        <f>IF(B39&lt;='VALOR POR PL'!$P$5,'CP RESUMO'!AL75,"")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32562.73</v>
      </c>
      <c r="L40" s="49">
        <f>C40/IF(B40&lt;='VALOR POR PL'!$P$5,IFERROR(INDEX('"INCC-FGV"'!$B$2:$B$800,MATCH(B40,'"INCC-FGV"'!$A$2:$A$800,0)),$K$2),$K$2)</f>
        <v/>
      </c>
      <c r="M40" s="138">
        <f>'CP RESUMO'!AM33</f>
        <v/>
      </c>
      <c r="N40" s="139">
        <f>MAX(0,M40-M39)</f>
        <v/>
      </c>
      <c r="O40" s="138">
        <f>IF(B40&lt;='VALOR POR PL'!$P$5,'CP RESUMO'!AM75,"")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36464.8</v>
      </c>
      <c r="L41" s="49">
        <f>C41/IF(B41&lt;='VALOR POR PL'!$P$5,IFERROR(INDEX('"INCC-FGV"'!$B$2:$B$800,MATCH(B41,'"INCC-FGV"'!$A$2:$A$800,0)),$K$2),$K$2)</f>
        <v/>
      </c>
      <c r="M41" s="138">
        <f>'CP RESUMO'!AN33</f>
        <v/>
      </c>
      <c r="N41" s="139">
        <f>MAX(0,M41-M40)</f>
        <v/>
      </c>
      <c r="O41" s="138">
        <f>IF(B41&lt;='VALOR POR PL'!$P$5,'CP RESUMO'!AN75,"")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/>
      <c r="L42" s="49">
        <f>C42/IF(B42&lt;='VALOR POR PL'!$P$5,IFERROR(INDEX('"INCC-FGV"'!$B$2:$B$800,MATCH(B42,'"INCC-FGV"'!$A$2:$A$800,0)),$K$2),$K$2)</f>
        <v/>
      </c>
      <c r="M42" s="138">
        <f>'CP RESUMO'!AO33</f>
        <v/>
      </c>
      <c r="N42" s="139">
        <f>MAX(0,M42-M41)</f>
        <v/>
      </c>
      <c r="O42" s="138">
        <f>IF(B42&lt;='VALOR POR PL'!$P$5,'CP RESUMO'!AO75,"")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194188.65</v>
      </c>
      <c r="L43" s="49">
        <f>C43/IF(B43&lt;='VALOR POR PL'!$P$5,IFERROR(INDEX('"INCC-FGV"'!$B$2:$B$800,MATCH(B43,'"INCC-FGV"'!$A$2:$A$800,0)),$K$2),$K$2)</f>
        <v/>
      </c>
      <c r="M43" s="138">
        <f>'CP RESUMO'!AP33</f>
        <v/>
      </c>
      <c r="N43" s="139">
        <f>MAX(0,M43-M42)</f>
        <v/>
      </c>
      <c r="O43" s="138">
        <f>IF(B43&lt;='VALOR POR PL'!$P$5,'CP RESUMO'!AP75,"")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3601.94</v>
      </c>
      <c r="L44" s="49">
        <f>C44/IF(B44&lt;='VALOR POR PL'!$P$5,IFERROR(INDEX('"INCC-FGV"'!$B$2:$B$800,MATCH(B44,'"INCC-FGV"'!$A$2:$A$800,0)),$K$2),$K$2)</f>
        <v/>
      </c>
      <c r="M44" s="138">
        <f>'CP RESUMO'!AQ33</f>
        <v/>
      </c>
      <c r="N44" s="139">
        <f>MAX(0,M44-M43)</f>
        <v/>
      </c>
      <c r="O44" s="138">
        <f>IF(B44&lt;='VALOR POR PL'!$P$5,'CP RESUMO'!AQ75,"")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RESUMO'!AR33</f>
        <v/>
      </c>
      <c r="N45" s="139">
        <f>MAX(0,M45-M44)</f>
        <v/>
      </c>
      <c r="O45" s="138">
        <f>IF(B45&lt;='VALOR POR PL'!$P$5,'CP RESUMO'!AR75,"")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RESUMO'!AS33</f>
        <v/>
      </c>
      <c r="N46" s="139">
        <f>MAX(0,M46-M45)</f>
        <v/>
      </c>
      <c r="O46" s="138">
        <f>IF(B46&lt;='VALOR POR PL'!$P$5,'CP RESUMO'!AS75,"")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RESUMO'!AT33</f>
        <v/>
      </c>
      <c r="N47" s="139">
        <f>MAX(0,M47-M46)</f>
        <v/>
      </c>
      <c r="O47" s="138">
        <f>IF(B47&lt;='VALOR POR PL'!$P$5,'CP RESUMO'!AT75,"")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RESUMO'!AU33</f>
        <v/>
      </c>
      <c r="N48" s="139">
        <f>MAX(0,M48-M47)</f>
        <v/>
      </c>
      <c r="O48" s="138">
        <f>IF(B48&lt;='VALOR POR PL'!$P$5,'CP RESUMO'!AU75,"")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RESUMO'!AV33</f>
        <v/>
      </c>
      <c r="N49" s="139">
        <f>MAX(0,M49-M48)</f>
        <v/>
      </c>
      <c r="O49" s="138">
        <f>IF(B49&lt;='VALOR POR PL'!$P$5,'CP RESUMO'!AV75,"")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RESUMO'!AW33</f>
        <v/>
      </c>
      <c r="N50" s="139">
        <f>MAX(0,M50-M49)</f>
        <v/>
      </c>
      <c r="O50" s="138">
        <f>IF(B50&lt;='VALOR POR PL'!$P$5,'CP RESUMO'!AW75,"")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RESUMO'!AX33</f>
        <v/>
      </c>
      <c r="N51" s="139">
        <f>MAX(0,M51-M50)</f>
        <v/>
      </c>
      <c r="O51" s="138">
        <f>IF(B51&lt;='VALOR POR PL'!$P$5,'CP RESUMO'!AX75,"")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RESUMO'!AY33</f>
        <v/>
      </c>
      <c r="N52" s="139">
        <f>MAX(0,M52-M51)</f>
        <v/>
      </c>
      <c r="O52" s="138">
        <f>IF(B52&lt;='VALOR POR PL'!$P$5,'CP RESUMO'!AY75,"")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RESUMO'!AZ33</f>
        <v/>
      </c>
      <c r="N53" s="139">
        <f>MAX(0,M53-M52)</f>
        <v/>
      </c>
      <c r="O53" s="138">
        <f>IF(B53&lt;='VALOR POR PL'!$P$5,'CP RESUMO'!AZ75,"")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RESUMO'!BA33</f>
        <v/>
      </c>
      <c r="N54" s="139">
        <f>MAX(0,M54-M53)</f>
        <v/>
      </c>
      <c r="O54" s="138">
        <f>IF(B54&lt;='VALOR POR PL'!$P$5,'CP RESUMO'!BA75,"")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RESUMO'!BB33</f>
        <v/>
      </c>
      <c r="N55" s="139">
        <f>MAX(0,M55-M54)</f>
        <v/>
      </c>
      <c r="O55" s="138">
        <f>IF(B55&lt;='VALOR POR PL'!$P$5,'CP RESUMO'!BB75,"")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RESUMO'!BC33</f>
        <v/>
      </c>
      <c r="N56" s="139">
        <f>MAX(0,M56-M55)</f>
        <v/>
      </c>
      <c r="O56" s="138">
        <f>IF(B56&lt;='VALOR POR PL'!$P$5,'CP RESUMO'!BC75,"")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RESUMO'!BD33</f>
        <v/>
      </c>
      <c r="N57" s="139">
        <f>MAX(0,M57-M56)</f>
        <v/>
      </c>
      <c r="O57" s="138">
        <f>IF(B57&lt;='VALOR POR PL'!$P$5,'CP RESUMO'!BD75,"")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RESUMO'!BE33</f>
        <v/>
      </c>
      <c r="N58" s="139">
        <f>MAX(0,M58-M57)</f>
        <v/>
      </c>
      <c r="O58" s="138">
        <f>IF(B58&lt;='VALOR POR PL'!$P$5,'CP RESUMO'!BE75,"")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RESUMO'!BF33</f>
        <v/>
      </c>
      <c r="N59" s="139">
        <f>MAX(0,M59-M58)</f>
        <v/>
      </c>
      <c r="O59" s="138">
        <f>IF(B59&lt;='VALOR POR PL'!$P$5,'CP RESUMO'!BF75,"")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RESUMO'!BG33</f>
        <v/>
      </c>
      <c r="N60" s="139">
        <f>MAX(0,M60-M59)</f>
        <v/>
      </c>
      <c r="O60" s="138">
        <f>IF(B60&lt;='VALOR POR PL'!$P$5,'CP RESUMO'!BG75,"")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RESUMO'!BH33</f>
        <v/>
      </c>
      <c r="N61" s="139">
        <f>MAX(0,M61-M60)</f>
        <v/>
      </c>
      <c r="O61" s="138">
        <f>IF(B61&lt;='VALOR POR PL'!$P$5,'CP RESUMO'!BH75,"")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RESUMO'!BI33</f>
        <v/>
      </c>
      <c r="N62" s="139">
        <f>MAX(0,M62-M61)</f>
        <v/>
      </c>
      <c r="O62" s="138">
        <f>IF(B62&lt;='VALOR POR PL'!$P$5,'CP RESUMO'!BI75,"")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RESUMO'!BJ33</f>
        <v/>
      </c>
      <c r="N63" s="139">
        <f>MAX(0,M63-M62)</f>
        <v/>
      </c>
      <c r="O63" s="138">
        <f>IF(B63&lt;='VALOR POR PL'!$P$5,'CP RESUMO'!BJ75,"")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RESUMO'!BK33</f>
        <v/>
      </c>
      <c r="N64" s="139">
        <f>MAX(0,M64-M63)</f>
        <v/>
      </c>
      <c r="O64" s="138">
        <f>IF(B64&lt;='VALOR POR PL'!$P$5,'CP RESUMO'!BK75,"")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RESUMO'!BL33</f>
        <v/>
      </c>
      <c r="N65" s="139">
        <f>MAX(0,M65-M64)</f>
        <v/>
      </c>
      <c r="O65" s="138">
        <f>IF(B65&lt;='VALOR POR PL'!$P$5,'CP RESUMO'!BL75,"")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RESUMO'!BM33</f>
        <v/>
      </c>
      <c r="N66" s="139">
        <f>MAX(0,M66-M65)</f>
        <v/>
      </c>
      <c r="O66" s="138">
        <f>IF(B66&lt;='VALOR POR PL'!$P$5,'CP RESUMO'!BM75,"")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RESUMO'!BN33</f>
        <v/>
      </c>
      <c r="N67" s="139">
        <f>MAX(0,M67-M66)</f>
        <v/>
      </c>
      <c r="O67" s="138">
        <f>IF(B67&lt;='VALOR POR PL'!$P$5,'CP RESUMO'!BN75,"")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RESUMO'!BO33</f>
        <v/>
      </c>
      <c r="N68" s="139">
        <f>MAX(0,M68-M67)</f>
        <v/>
      </c>
      <c r="O68" s="138">
        <f>IF(B68&lt;='VALOR POR PL'!$P$5,'CP RESUMO'!BO75,"")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RESUMO'!BP33</f>
        <v/>
      </c>
      <c r="N69" s="139">
        <f>MAX(0,M69-M68)</f>
        <v/>
      </c>
      <c r="O69" s="138">
        <f>IF(B69&lt;='VALOR POR PL'!$P$5,'CP RESUMO'!BP75,"")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RESUMO'!BQ33</f>
        <v/>
      </c>
      <c r="N70" s="139">
        <f>MAX(0,M70-M69)</f>
        <v/>
      </c>
      <c r="O70" s="138">
        <f>IF(B70&lt;='VALOR POR PL'!$P$5,'CP RESUMO'!BQ75,"")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RESUMO'!BR33</f>
        <v/>
      </c>
      <c r="N71" s="139">
        <f>MAX(0,M71-M70)</f>
        <v/>
      </c>
      <c r="O71" s="138">
        <f>IF(B71&lt;='VALOR POR PL'!$P$5,'CP RESUMO'!BR75,"")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RESUMO'!BS33</f>
        <v/>
      </c>
      <c r="N72" s="139">
        <f>MAX(0,M72-M71)</f>
        <v/>
      </c>
      <c r="O72" s="138">
        <f>IF(B72&lt;='VALOR POR PL'!$P$5,'CP RESUMO'!BS75,"")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RESUMO'!BT33</f>
        <v/>
      </c>
      <c r="N73" s="139">
        <f>MAX(0,M73-M72)</f>
        <v/>
      </c>
      <c r="O73" s="138">
        <f>IF(B73&lt;='VALOR POR PL'!$P$5,'CP RESUMO'!BT75,"")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RESUMO'!BU33</f>
        <v/>
      </c>
      <c r="N74" s="139">
        <f>MAX(0,M74-M73)</f>
        <v/>
      </c>
      <c r="O74" s="138">
        <f>IF(B74&lt;='VALOR POR PL'!$P$5,'CP RESUMO'!BU75,"")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RESUMO'!BV33</f>
        <v/>
      </c>
      <c r="N75" s="139">
        <f>MAX(0,M75-M74)</f>
        <v/>
      </c>
      <c r="O75" s="138">
        <f>IF(B75&lt;='VALOR POR PL'!$P$5,'CP RESUMO'!BV75,"")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RESUMO'!BW33</f>
        <v/>
      </c>
      <c r="N76" s="139">
        <f>MAX(0,M76-M75)</f>
        <v/>
      </c>
      <c r="O76" s="138">
        <f>IF(B76&lt;='VALOR POR PL'!$P$5,'CP RESUMO'!BW75,"")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HISTORICOS'!D34)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PL'!F40</f>
        <v/>
      </c>
      <c r="K5" s="60">
        <f>'VALOR POR PL'!G40</f>
        <v/>
      </c>
      <c r="L5" s="60">
        <f>'DADOS HISTORICOS'!$BZ$34</f>
        <v/>
      </c>
      <c r="M5" s="138">
        <f>'CP RESUMO'!D34</f>
        <v/>
      </c>
      <c r="N5" s="139" t="n">
        <v>0</v>
      </c>
      <c r="O5" s="138">
        <f>IF(B5&lt;='VALOR POR PL'!$P$5,'CP RESUMO'!D76,"")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HISTORICOS'!E34)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PL'!H40</f>
        <v/>
      </c>
      <c r="L6" s="49">
        <f>C6/IF(B6&lt;='VALOR POR PL'!$P$5,IFERROR(INDEX('"INCC-FGV"'!$B$2:$B$800,MATCH(B6,'"INCC-FGV"'!$A$2:$A$800,0)),$K$2),$K$2)</f>
        <v/>
      </c>
      <c r="M6" s="138">
        <f>'CP RESUMO'!E34</f>
        <v/>
      </c>
      <c r="N6" s="139">
        <f>MAX(0,M6-M5)</f>
        <v/>
      </c>
      <c r="O6" s="138">
        <f>IF(B6&lt;='VALOR POR PL'!$P$5,'CP RESUMO'!E76,"")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HISTORICOS'!F34)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RESUMO'!F34</f>
        <v/>
      </c>
      <c r="N7" s="139">
        <f>MAX(0,M7-M6)</f>
        <v/>
      </c>
      <c r="O7" s="138">
        <f>IF(B7&lt;='VALOR POR PL'!$P$5,'CP RESUMO'!F76,"")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HISTORICOS'!G34)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RESUMO'!G34</f>
        <v/>
      </c>
      <c r="N8" s="139">
        <f>MAX(0,M8-M7)</f>
        <v/>
      </c>
      <c r="O8" s="138">
        <f>IF(B8&lt;='VALOR POR PL'!$P$5,'CP RESUMO'!G76,"")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HISTORICOS'!H34)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RESUMO'!H34</f>
        <v/>
      </c>
      <c r="N9" s="139">
        <f>MAX(0,M9-M8)</f>
        <v/>
      </c>
      <c r="O9" s="138">
        <f>IF(B9&lt;='VALOR POR PL'!$P$5,'CP RESUMO'!H76,"")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RESUMO'!I34</f>
        <v/>
      </c>
      <c r="N10" s="139">
        <f>MAX(0,M10-M9)</f>
        <v/>
      </c>
      <c r="O10" s="138">
        <f>IF(B10&lt;='VALOR POR PL'!$P$5,'CP RESUMO'!I76,"")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RESUMO'!J34</f>
        <v/>
      </c>
      <c r="N11" s="139">
        <f>MAX(0,M11-M10)</f>
        <v/>
      </c>
      <c r="O11" s="138">
        <f>IF(B11&lt;='VALOR POR PL'!$P$5,'CP RESUMO'!J76,"")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RESUMO'!K34</f>
        <v/>
      </c>
      <c r="N12" s="139">
        <f>MAX(0,M12-M11)</f>
        <v/>
      </c>
      <c r="O12" s="138">
        <f>IF(B12&lt;='VALOR POR PL'!$P$5,'CP RESUMO'!K76,"")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PL'!I40</f>
        <v/>
      </c>
      <c r="L13" s="49">
        <f>C13/IF(B13&lt;='VALOR POR PL'!$P$5,IFERROR(INDEX('"INCC-FGV"'!$B$2:$B$800,MATCH(B13,'"INCC-FGV"'!$A$2:$A$800,0)),$K$2),$K$2)</f>
        <v/>
      </c>
      <c r="M13" s="138">
        <f>'CP RESUMO'!L34</f>
        <v/>
      </c>
      <c r="N13" s="139">
        <f>MAX(0,M13-M12)</f>
        <v/>
      </c>
      <c r="O13" s="138">
        <f>IF(B13&lt;='VALOR POR PL'!$P$5,'CP RESUMO'!L76,"")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RESUMO'!$D$76:$BW$76,MATCH('VALOR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RESUMO'!M34</f>
        <v/>
      </c>
      <c r="N14" s="139">
        <f>MAX(0,M14-M13)</f>
        <v/>
      </c>
      <c r="O14" s="138">
        <f>IF(B14&lt;='VALOR POR PL'!$P$5,'CP RESUMO'!M76,"")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RESUMO'!N34</f>
        <v/>
      </c>
      <c r="N15" s="139">
        <f>MAX(0,M15-M14)</f>
        <v/>
      </c>
      <c r="O15" s="138">
        <f>IF(B15&lt;='VALOR POR PL'!$P$5,'CP RESUMO'!N76,"")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RESUMO'!O34</f>
        <v/>
      </c>
      <c r="N16" s="139">
        <f>MAX(0,M16-M15)</f>
        <v/>
      </c>
      <c r="O16" s="138">
        <f>IF(B16&lt;='VALOR POR PL'!$P$5,'CP RESUMO'!O76,"")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RESUMO'!P34</f>
        <v/>
      </c>
      <c r="N17" s="139">
        <f>MAX(0,M17-M16)</f>
        <v/>
      </c>
      <c r="O17" s="138">
        <f>IF(B17&lt;='VALOR POR PL'!$P$5,'CP RESUMO'!P76,"")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RESUMO'!Q34</f>
        <v/>
      </c>
      <c r="N18" s="139">
        <f>MAX(0,M18-M17)</f>
        <v/>
      </c>
      <c r="O18" s="138">
        <f>IF(B18&lt;='VALOR POR PL'!$P$5,'CP RESUMO'!Q76,"")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RESUMO'!R34</f>
        <v/>
      </c>
      <c r="N19" s="139">
        <f>MAX(0,M19-M18)</f>
        <v/>
      </c>
      <c r="O19" s="138">
        <f>IF(B19&lt;='VALOR POR PL'!$P$5,'CP RESUMO'!R76,"")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RESUMO'!S34</f>
        <v/>
      </c>
      <c r="N20" s="139">
        <f>MAX(0,M20-M19)</f>
        <v/>
      </c>
      <c r="O20" s="138">
        <f>IF(B20&lt;='VALOR POR PL'!$P$5,'CP RESUMO'!S76,"")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RESUMO'!T34</f>
        <v/>
      </c>
      <c r="N21" s="139">
        <f>MAX(0,M21-M20)</f>
        <v/>
      </c>
      <c r="O21" s="138">
        <f>IF(B21&lt;='VALOR POR PL'!$P$5,'CP RESUMO'!T76,"")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RESUMO'!U34</f>
        <v/>
      </c>
      <c r="N22" s="139">
        <f>MAX(0,M22-M21)</f>
        <v/>
      </c>
      <c r="O22" s="138">
        <f>IF(B22&lt;='VALOR POR PL'!$P$5,'CP RESUMO'!U76,"")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RESUMO'!V34</f>
        <v/>
      </c>
      <c r="N23" s="139">
        <f>MAX(0,M23-M22)</f>
        <v/>
      </c>
      <c r="O23" s="138">
        <f>IF(B23&lt;='VALOR POR PL'!$P$5,'CP RESUMO'!V76,"")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RESUMO'!W34</f>
        <v/>
      </c>
      <c r="N24" s="139">
        <f>MAX(0,M24-M23)</f>
        <v/>
      </c>
      <c r="O24" s="138">
        <f>IF(B24&lt;='VALOR POR PL'!$P$5,'CP RESUMO'!W76,"")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RESUMO'!X34</f>
        <v/>
      </c>
      <c r="N25" s="139">
        <f>MAX(0,M25-M24)</f>
        <v/>
      </c>
      <c r="O25" s="138">
        <f>IF(B25&lt;='VALOR POR PL'!$P$5,'CP RESUMO'!X76,"")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RESUMO'!Y34</f>
        <v/>
      </c>
      <c r="N26" s="139">
        <f>MAX(0,M26-M25)</f>
        <v/>
      </c>
      <c r="O26" s="138">
        <f>IF(B26&lt;='VALOR POR PL'!$P$5,'CP RESUMO'!Y76,"")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RESUMO'!Z34</f>
        <v/>
      </c>
      <c r="N27" s="139">
        <f>MAX(0,M27-M26)</f>
        <v/>
      </c>
      <c r="O27" s="138">
        <f>IF(B27&lt;='VALOR POR PL'!$P$5,'CP RESUMO'!Z76,"")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RESUMO'!AA34</f>
        <v/>
      </c>
      <c r="N28" s="139">
        <f>MAX(0,M28-M27)</f>
        <v/>
      </c>
      <c r="O28" s="138">
        <f>IF(B28&lt;='VALOR POR PL'!$P$5,'CP RESUMO'!AA76,"")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RESUMO'!AB34</f>
        <v/>
      </c>
      <c r="N29" s="139">
        <f>MAX(0,M29-M28)</f>
        <v/>
      </c>
      <c r="O29" s="138">
        <f>IF(B29&lt;='VALOR POR PL'!$P$5,'CP RESUMO'!AB76,"")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140514.84</v>
      </c>
      <c r="L30" s="49">
        <f>C30/IF(B30&lt;='VALOR POR PL'!$P$5,IFERROR(INDEX('"INCC-FGV"'!$B$2:$B$800,MATCH(B30,'"INCC-FGV"'!$A$2:$A$800,0)),$K$2),$K$2)</f>
        <v/>
      </c>
      <c r="M30" s="138">
        <f>'CP RESUMO'!AC34</f>
        <v/>
      </c>
      <c r="N30" s="139">
        <f>MAX(0,M30-M29)</f>
        <v/>
      </c>
      <c r="O30" s="138">
        <f>IF(B30&lt;='VALOR POR PL'!$P$5,'CP RESUMO'!AC76,"")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196591.87</v>
      </c>
      <c r="L31" s="49">
        <f>C31/IF(B31&lt;='VALOR POR PL'!$P$5,IFERROR(INDEX('"INCC-FGV"'!$B$2:$B$800,MATCH(B31,'"INCC-FGV"'!$A$2:$A$800,0)),$K$2),$K$2)</f>
        <v/>
      </c>
      <c r="M31" s="138">
        <f>'CP RESUMO'!AD34</f>
        <v/>
      </c>
      <c r="N31" s="139">
        <f>MAX(0,M31-M30)</f>
        <v/>
      </c>
      <c r="O31" s="138">
        <f>IF(B31&lt;='VALOR POR PL'!$P$5,'CP RESUMO'!AD76,"")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201103.81</v>
      </c>
      <c r="L32" s="49">
        <f>C32/IF(B32&lt;='VALOR POR PL'!$P$5,IFERROR(INDEX('"INCC-FGV"'!$B$2:$B$800,MATCH(B32,'"INCC-FGV"'!$A$2:$A$800,0)),$K$2),$K$2)</f>
        <v/>
      </c>
      <c r="M32" s="138">
        <f>'CP RESUMO'!AE34</f>
        <v/>
      </c>
      <c r="N32" s="139">
        <f>MAX(0,M32-M31)</f>
        <v/>
      </c>
      <c r="O32" s="138">
        <f>IF(B32&lt;='VALOR POR PL'!$P$5,'CP RESUMO'!AE76,"")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115288.45</v>
      </c>
      <c r="L33" s="49">
        <f>C33/IF(B33&lt;='VALOR POR PL'!$P$5,IFERROR(INDEX('"INCC-FGV"'!$B$2:$B$800,MATCH(B33,'"INCC-FGV"'!$A$2:$A$800,0)),$K$2),$K$2)</f>
        <v/>
      </c>
      <c r="M33" s="138">
        <f>'CP RESUMO'!AF34</f>
        <v/>
      </c>
      <c r="N33" s="139">
        <f>MAX(0,M33-M32)</f>
        <v/>
      </c>
      <c r="O33" s="138">
        <f>IF(B33&lt;='VALOR POR PL'!$P$5,'CP RESUMO'!AF76,"")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510508.11</v>
      </c>
      <c r="L34" s="49">
        <f>C34/IF(B34&lt;='VALOR POR PL'!$P$5,IFERROR(INDEX('"INCC-FGV"'!$B$2:$B$800,MATCH(B34,'"INCC-FGV"'!$A$2:$A$800,0)),$K$2),$K$2)</f>
        <v/>
      </c>
      <c r="M34" s="138">
        <f>'CP RESUMO'!AG34</f>
        <v/>
      </c>
      <c r="N34" s="139">
        <f>MAX(0,M34-M33)</f>
        <v/>
      </c>
      <c r="O34" s="138">
        <f>IF(B34&lt;='VALOR POR PL'!$P$5,'CP RESUMO'!AG76,"")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887692.3100000001</v>
      </c>
      <c r="L35" s="49">
        <f>C35/IF(B35&lt;='VALOR POR PL'!$P$5,IFERROR(INDEX('"INCC-FGV"'!$B$2:$B$800,MATCH(B35,'"INCC-FGV"'!$A$2:$A$800,0)),$K$2),$K$2)</f>
        <v/>
      </c>
      <c r="M35" s="138">
        <f>'CP RESUMO'!AH34</f>
        <v/>
      </c>
      <c r="N35" s="139">
        <f>MAX(0,M35-M34)</f>
        <v/>
      </c>
      <c r="O35" s="138">
        <f>IF(B35&lt;='VALOR POR PL'!$P$5,'CP RESUMO'!AH76,"")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1083261.64</v>
      </c>
      <c r="L36" s="49">
        <f>C36/IF(B36&lt;='VALOR POR PL'!$P$5,IFERROR(INDEX('"INCC-FGV"'!$B$2:$B$800,MATCH(B36,'"INCC-FGV"'!$A$2:$A$800,0)),$K$2),$K$2)</f>
        <v/>
      </c>
      <c r="M36" s="138">
        <f>'CP RESUMO'!AI34</f>
        <v/>
      </c>
      <c r="N36" s="139">
        <f>MAX(0,M36-M35)</f>
        <v/>
      </c>
      <c r="O36" s="138">
        <f>IF(B36&lt;='VALOR POR PL'!$P$5,'CP RESUMO'!AI76,"")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867401.83</v>
      </c>
      <c r="L37" s="49">
        <f>C37/IF(B37&lt;='VALOR POR PL'!$P$5,IFERROR(INDEX('"INCC-FGV"'!$B$2:$B$800,MATCH(B37,'"INCC-FGV"'!$A$2:$A$800,0)),$K$2),$K$2)</f>
        <v/>
      </c>
      <c r="M37" s="138">
        <f>'CP RESUMO'!AJ34</f>
        <v/>
      </c>
      <c r="N37" s="139">
        <f>MAX(0,M37-M36)</f>
        <v/>
      </c>
      <c r="O37" s="138">
        <f>IF(B37&lt;='VALOR POR PL'!$P$5,'CP RESUMO'!AJ76,"")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901160.37</v>
      </c>
      <c r="L38" s="49">
        <f>C38/IF(B38&lt;='VALOR POR PL'!$P$5,IFERROR(INDEX('"INCC-FGV"'!$B$2:$B$800,MATCH(B38,'"INCC-FGV"'!$A$2:$A$800,0)),$K$2),$K$2)</f>
        <v/>
      </c>
      <c r="M38" s="138">
        <f>'CP RESUMO'!AK34</f>
        <v/>
      </c>
      <c r="N38" s="139">
        <f>MAX(0,M38-M37)</f>
        <v/>
      </c>
      <c r="O38" s="138">
        <f>IF(B38&lt;='VALOR POR PL'!$P$5,'CP RESUMO'!AK76,"")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1321310.17</v>
      </c>
      <c r="L39" s="49">
        <f>C39/IF(B39&lt;='VALOR POR PL'!$P$5,IFERROR(INDEX('"INCC-FGV"'!$B$2:$B$800,MATCH(B39,'"INCC-FGV"'!$A$2:$A$800,0)),$K$2),$K$2)</f>
        <v/>
      </c>
      <c r="M39" s="138">
        <f>'CP RESUMO'!AL34</f>
        <v/>
      </c>
      <c r="N39" s="139">
        <f>MAX(0,M39-M38)</f>
        <v/>
      </c>
      <c r="O39" s="138">
        <f>IF(B39&lt;='VALOR POR PL'!$P$5,'CP RESUMO'!AL76,"")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1586808.43</v>
      </c>
      <c r="L40" s="49">
        <f>C40/IF(B40&lt;='VALOR POR PL'!$P$5,IFERROR(INDEX('"INCC-FGV"'!$B$2:$B$800,MATCH(B40,'"INCC-FGV"'!$A$2:$A$800,0)),$K$2),$K$2)</f>
        <v/>
      </c>
      <c r="M40" s="138">
        <f>'CP RESUMO'!AM34</f>
        <v/>
      </c>
      <c r="N40" s="139">
        <f>MAX(0,M40-M39)</f>
        <v/>
      </c>
      <c r="O40" s="138">
        <f>IF(B40&lt;='VALOR POR PL'!$P$5,'CP RESUMO'!AM76,"")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1577632.14</v>
      </c>
      <c r="L41" s="49">
        <f>C41/IF(B41&lt;='VALOR POR PL'!$P$5,IFERROR(INDEX('"INCC-FGV"'!$B$2:$B$800,MATCH(B41,'"INCC-FGV"'!$A$2:$A$800,0)),$K$2),$K$2)</f>
        <v/>
      </c>
      <c r="M41" s="138">
        <f>'CP RESUMO'!AN34</f>
        <v/>
      </c>
      <c r="N41" s="139">
        <f>MAX(0,M41-M40)</f>
        <v/>
      </c>
      <c r="O41" s="138">
        <f>IF(B41&lt;='VALOR POR PL'!$P$5,'CP RESUMO'!AN76,"")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1177051.68</v>
      </c>
      <c r="L42" s="49">
        <f>C42/IF(B42&lt;='VALOR POR PL'!$P$5,IFERROR(INDEX('"INCC-FGV"'!$B$2:$B$800,MATCH(B42,'"INCC-FGV"'!$A$2:$A$800,0)),$K$2),$K$2)</f>
        <v/>
      </c>
      <c r="M42" s="138">
        <f>'CP RESUMO'!AO34</f>
        <v/>
      </c>
      <c r="N42" s="139">
        <f>MAX(0,M42-M41)</f>
        <v/>
      </c>
      <c r="O42" s="138">
        <f>IF(B42&lt;='VALOR POR PL'!$P$5,'CP RESUMO'!AO76,"")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1274343.71</v>
      </c>
      <c r="L43" s="49">
        <f>C43/IF(B43&lt;='VALOR POR PL'!$P$5,IFERROR(INDEX('"INCC-FGV"'!$B$2:$B$800,MATCH(B43,'"INCC-FGV"'!$A$2:$A$800,0)),$K$2),$K$2)</f>
        <v/>
      </c>
      <c r="M43" s="138">
        <f>'CP RESUMO'!AP34</f>
        <v/>
      </c>
      <c r="N43" s="139">
        <f>MAX(0,M43-M42)</f>
        <v/>
      </c>
      <c r="O43" s="138">
        <f>IF(B43&lt;='VALOR POR PL'!$P$5,'CP RESUMO'!AP76,"")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1339123.05</v>
      </c>
      <c r="L44" s="49">
        <f>C44/IF(B44&lt;='VALOR POR PL'!$P$5,IFERROR(INDEX('"INCC-FGV"'!$B$2:$B$800,MATCH(B44,'"INCC-FGV"'!$A$2:$A$800,0)),$K$2),$K$2)</f>
        <v/>
      </c>
      <c r="M44" s="138">
        <f>'CP RESUMO'!AQ34</f>
        <v/>
      </c>
      <c r="N44" s="139">
        <f>MAX(0,M44-M43)</f>
        <v/>
      </c>
      <c r="O44" s="138">
        <f>IF(B44&lt;='VALOR POR PL'!$P$5,'CP RESUMO'!AQ76,"")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1253709.38</v>
      </c>
      <c r="L45" s="49">
        <f>C45/IF(B45&lt;='VALOR POR PL'!$P$5,IFERROR(INDEX('"INCC-FGV"'!$B$2:$B$800,MATCH(B45,'"INCC-FGV"'!$A$2:$A$800,0)),$K$2),$K$2)</f>
        <v/>
      </c>
      <c r="M45" s="138">
        <f>'CP RESUMO'!AR34</f>
        <v/>
      </c>
      <c r="N45" s="139">
        <f>MAX(0,M45-M44)</f>
        <v/>
      </c>
      <c r="O45" s="138">
        <f>IF(B45&lt;='VALOR POR PL'!$P$5,'CP RESUMO'!AR76,"")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1234983.72</v>
      </c>
      <c r="L46" s="49">
        <f>C46/IF(B46&lt;='VALOR POR PL'!$P$5,IFERROR(INDEX('"INCC-FGV"'!$B$2:$B$800,MATCH(B46,'"INCC-FGV"'!$A$2:$A$800,0)),$K$2),$K$2)</f>
        <v/>
      </c>
      <c r="M46" s="138">
        <f>'CP RESUMO'!AS34</f>
        <v/>
      </c>
      <c r="N46" s="139">
        <f>MAX(0,M46-M45)</f>
        <v/>
      </c>
      <c r="O46" s="138">
        <f>IF(B46&lt;='VALOR POR PL'!$P$5,'CP RESUMO'!AS76,"")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783212.4399999999</v>
      </c>
      <c r="L47" s="49">
        <f>C47/IF(B47&lt;='VALOR POR PL'!$P$5,IFERROR(INDEX('"INCC-FGV"'!$B$2:$B$800,MATCH(B47,'"INCC-FGV"'!$A$2:$A$800,0)),$K$2),$K$2)</f>
        <v/>
      </c>
      <c r="M47" s="138">
        <f>'CP RESUMO'!AT34</f>
        <v/>
      </c>
      <c r="N47" s="139">
        <f>MAX(0,M47-M46)</f>
        <v/>
      </c>
      <c r="O47" s="138">
        <f>IF(B47&lt;='VALOR POR PL'!$P$5,'CP RESUMO'!AT76,"")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788892.0600000001</v>
      </c>
      <c r="L48" s="49">
        <f>C48/IF(B48&lt;='VALOR POR PL'!$P$5,IFERROR(INDEX('"INCC-FGV"'!$B$2:$B$800,MATCH(B48,'"INCC-FGV"'!$A$2:$A$800,0)),$K$2),$K$2)</f>
        <v/>
      </c>
      <c r="M48" s="138">
        <f>'CP RESUMO'!AU34</f>
        <v/>
      </c>
      <c r="N48" s="139">
        <f>MAX(0,M48-M47)</f>
        <v/>
      </c>
      <c r="O48" s="138">
        <f>IF(B48&lt;='VALOR POR PL'!$P$5,'CP RESUMO'!AU76,"")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329342.69</v>
      </c>
      <c r="L49" s="49">
        <f>C49/IF(B49&lt;='VALOR POR PL'!$P$5,IFERROR(INDEX('"INCC-FGV"'!$B$2:$B$800,MATCH(B49,'"INCC-FGV"'!$A$2:$A$800,0)),$K$2),$K$2)</f>
        <v/>
      </c>
      <c r="M49" s="138">
        <f>'CP RESUMO'!AV34</f>
        <v/>
      </c>
      <c r="N49" s="139">
        <f>MAX(0,M49-M48)</f>
        <v/>
      </c>
      <c r="O49" s="138">
        <f>IF(B49&lt;='VALOR POR PL'!$P$5,'CP RESUMO'!AV76,"")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RESUMO'!AW34</f>
        <v/>
      </c>
      <c r="N50" s="139">
        <f>MAX(0,M50-M49)</f>
        <v/>
      </c>
      <c r="O50" s="138">
        <f>IF(B50&lt;='VALOR POR PL'!$P$5,'CP RESUMO'!AW76,"")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RESUMO'!AX34</f>
        <v/>
      </c>
      <c r="N51" s="139">
        <f>MAX(0,M51-M50)</f>
        <v/>
      </c>
      <c r="O51" s="138">
        <f>IF(B51&lt;='VALOR POR PL'!$P$5,'CP RESUMO'!AX76,"")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RESUMO'!AY34</f>
        <v/>
      </c>
      <c r="N52" s="139">
        <f>MAX(0,M52-M51)</f>
        <v/>
      </c>
      <c r="O52" s="138">
        <f>IF(B52&lt;='VALOR POR PL'!$P$5,'CP RESUMO'!AY76,"")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RESUMO'!AZ34</f>
        <v/>
      </c>
      <c r="N53" s="139">
        <f>MAX(0,M53-M52)</f>
        <v/>
      </c>
      <c r="O53" s="138">
        <f>IF(B53&lt;='VALOR POR PL'!$P$5,'CP RESUMO'!AZ76,"")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RESUMO'!BA34</f>
        <v/>
      </c>
      <c r="N54" s="139">
        <f>MAX(0,M54-M53)</f>
        <v/>
      </c>
      <c r="O54" s="138">
        <f>IF(B54&lt;='VALOR POR PL'!$P$5,'CP RESUMO'!BA76,"")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RESUMO'!BB34</f>
        <v/>
      </c>
      <c r="N55" s="139">
        <f>MAX(0,M55-M54)</f>
        <v/>
      </c>
      <c r="O55" s="138">
        <f>IF(B55&lt;='VALOR POR PL'!$P$5,'CP RESUMO'!BB76,"")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RESUMO'!BC34</f>
        <v/>
      </c>
      <c r="N56" s="139">
        <f>MAX(0,M56-M55)</f>
        <v/>
      </c>
      <c r="O56" s="138">
        <f>IF(B56&lt;='VALOR POR PL'!$P$5,'CP RESUMO'!BC76,"")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RESUMO'!BD34</f>
        <v/>
      </c>
      <c r="N57" s="139">
        <f>MAX(0,M57-M56)</f>
        <v/>
      </c>
      <c r="O57" s="138">
        <f>IF(B57&lt;='VALOR POR PL'!$P$5,'CP RESUMO'!BD76,"")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RESUMO'!BE34</f>
        <v/>
      </c>
      <c r="N58" s="139">
        <f>MAX(0,M58-M57)</f>
        <v/>
      </c>
      <c r="O58" s="138">
        <f>IF(B58&lt;='VALOR POR PL'!$P$5,'CP RESUMO'!BE76,"")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RESUMO'!BF34</f>
        <v/>
      </c>
      <c r="N59" s="139">
        <f>MAX(0,M59-M58)</f>
        <v/>
      </c>
      <c r="O59" s="138">
        <f>IF(B59&lt;='VALOR POR PL'!$P$5,'CP RESUMO'!BF76,"")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RESUMO'!BG34</f>
        <v/>
      </c>
      <c r="N60" s="139">
        <f>MAX(0,M60-M59)</f>
        <v/>
      </c>
      <c r="O60" s="138">
        <f>IF(B60&lt;='VALOR POR PL'!$P$5,'CP RESUMO'!BG76,"")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RESUMO'!BH34</f>
        <v/>
      </c>
      <c r="N61" s="139">
        <f>MAX(0,M61-M60)</f>
        <v/>
      </c>
      <c r="O61" s="138">
        <f>IF(B61&lt;='VALOR POR PL'!$P$5,'CP RESUMO'!BH76,"")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RESUMO'!BI34</f>
        <v/>
      </c>
      <c r="N62" s="139">
        <f>MAX(0,M62-M61)</f>
        <v/>
      </c>
      <c r="O62" s="138">
        <f>IF(B62&lt;='VALOR POR PL'!$P$5,'CP RESUMO'!BI76,"")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RESUMO'!BJ34</f>
        <v/>
      </c>
      <c r="N63" s="139">
        <f>MAX(0,M63-M62)</f>
        <v/>
      </c>
      <c r="O63" s="138">
        <f>IF(B63&lt;='VALOR POR PL'!$P$5,'CP RESUMO'!BJ76,"")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RESUMO'!BK34</f>
        <v/>
      </c>
      <c r="N64" s="139">
        <f>MAX(0,M64-M63)</f>
        <v/>
      </c>
      <c r="O64" s="138">
        <f>IF(B64&lt;='VALOR POR PL'!$P$5,'CP RESUMO'!BK76,"")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RESUMO'!BL34</f>
        <v/>
      </c>
      <c r="N65" s="139">
        <f>MAX(0,M65-M64)</f>
        <v/>
      </c>
      <c r="O65" s="138">
        <f>IF(B65&lt;='VALOR POR PL'!$P$5,'CP RESUMO'!BL76,"")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RESUMO'!BM34</f>
        <v/>
      </c>
      <c r="N66" s="139">
        <f>MAX(0,M66-M65)</f>
        <v/>
      </c>
      <c r="O66" s="138">
        <f>IF(B66&lt;='VALOR POR PL'!$P$5,'CP RESUMO'!BM76,"")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RESUMO'!BN34</f>
        <v/>
      </c>
      <c r="N67" s="139">
        <f>MAX(0,M67-M66)</f>
        <v/>
      </c>
      <c r="O67" s="138">
        <f>IF(B67&lt;='VALOR POR PL'!$P$5,'CP RESUMO'!BN76,"")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RESUMO'!BO34</f>
        <v/>
      </c>
      <c r="N68" s="139">
        <f>MAX(0,M68-M67)</f>
        <v/>
      </c>
      <c r="O68" s="138">
        <f>IF(B68&lt;='VALOR POR PL'!$P$5,'CP RESUMO'!BO76,"")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RESUMO'!BP34</f>
        <v/>
      </c>
      <c r="N69" s="139">
        <f>MAX(0,M69-M68)</f>
        <v/>
      </c>
      <c r="O69" s="138">
        <f>IF(B69&lt;='VALOR POR PL'!$P$5,'CP RESUMO'!BP76,"")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RESUMO'!BQ34</f>
        <v/>
      </c>
      <c r="N70" s="139">
        <f>MAX(0,M70-M69)</f>
        <v/>
      </c>
      <c r="O70" s="138">
        <f>IF(B70&lt;='VALOR POR PL'!$P$5,'CP RESUMO'!BQ76,"")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RESUMO'!BR34</f>
        <v/>
      </c>
      <c r="N71" s="139">
        <f>MAX(0,M71-M70)</f>
        <v/>
      </c>
      <c r="O71" s="138">
        <f>IF(B71&lt;='VALOR POR PL'!$P$5,'CP RESUMO'!BR76,"")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RESUMO'!BS34</f>
        <v/>
      </c>
      <c r="N72" s="139">
        <f>MAX(0,M72-M71)</f>
        <v/>
      </c>
      <c r="O72" s="138">
        <f>IF(B72&lt;='VALOR POR PL'!$P$5,'CP RESUMO'!BS76,"")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RESUMO'!BT34</f>
        <v/>
      </c>
      <c r="N73" s="139">
        <f>MAX(0,M73-M72)</f>
        <v/>
      </c>
      <c r="O73" s="138">
        <f>IF(B73&lt;='VALOR POR PL'!$P$5,'CP RESUMO'!BT76,"")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RESUMO'!BU34</f>
        <v/>
      </c>
      <c r="N74" s="139">
        <f>MAX(0,M74-M73)</f>
        <v/>
      </c>
      <c r="O74" s="138">
        <f>IF(B74&lt;='VALOR POR PL'!$P$5,'CP RESUMO'!BU76,"")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RESUMO'!BV34</f>
        <v/>
      </c>
      <c r="N75" s="139">
        <f>MAX(0,M75-M74)</f>
        <v/>
      </c>
      <c r="O75" s="138">
        <f>IF(B75&lt;='VALOR POR PL'!$P$5,'CP RESUMO'!BV76,"")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RESUMO'!BW34</f>
        <v/>
      </c>
      <c r="N76" s="139">
        <f>MAX(0,M76-M75)</f>
        <v/>
      </c>
      <c r="O76" s="138">
        <f>IF(B76&lt;='VALOR POR PL'!$P$5,'CP RESUMO'!BW76,"")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HISTORICOS'!D35)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PL'!F41</f>
        <v/>
      </c>
      <c r="K5" s="60">
        <f>'VALOR POR PL'!G41</f>
        <v/>
      </c>
      <c r="L5" s="60">
        <f>'DADOS HISTORICOS'!$BZ$35</f>
        <v/>
      </c>
      <c r="M5" s="138">
        <f>'CP RESUMO'!D35</f>
        <v/>
      </c>
      <c r="N5" s="139" t="n">
        <v>0</v>
      </c>
      <c r="O5" s="138">
        <f>IF(B5&lt;='VALOR POR PL'!$P$5,'CP RESUMO'!D77,"")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HISTORICOS'!E35)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PL'!H41</f>
        <v/>
      </c>
      <c r="L6" s="49">
        <f>C6/IF(B6&lt;='VALOR POR PL'!$P$5,IFERROR(INDEX('"INCC-FGV"'!$B$2:$B$800,MATCH(B6,'"INCC-FGV"'!$A$2:$A$800,0)),$K$2),$K$2)</f>
        <v/>
      </c>
      <c r="M6" s="138">
        <f>'CP RESUMO'!E35</f>
        <v/>
      </c>
      <c r="N6" s="139">
        <f>MAX(0,M6-M5)</f>
        <v/>
      </c>
      <c r="O6" s="138">
        <f>IF(B6&lt;='VALOR POR PL'!$P$5,'CP RESUMO'!E77,"")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HISTORICOS'!F35)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RESUMO'!F35</f>
        <v/>
      </c>
      <c r="N7" s="139">
        <f>MAX(0,M7-M6)</f>
        <v/>
      </c>
      <c r="O7" s="138">
        <f>IF(B7&lt;='VALOR POR PL'!$P$5,'CP RESUMO'!F77,"")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HISTORICOS'!G35)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RESUMO'!G35</f>
        <v/>
      </c>
      <c r="N8" s="139">
        <f>MAX(0,M8-M7)</f>
        <v/>
      </c>
      <c r="O8" s="138">
        <f>IF(B8&lt;='VALOR POR PL'!$P$5,'CP RESUMO'!G77,"")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HISTORICOS'!H35)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RESUMO'!H35</f>
        <v/>
      </c>
      <c r="N9" s="139">
        <f>MAX(0,M9-M8)</f>
        <v/>
      </c>
      <c r="O9" s="138">
        <f>IF(B9&lt;='VALOR POR PL'!$P$5,'CP RESUMO'!H77,"")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RESUMO'!I35</f>
        <v/>
      </c>
      <c r="N10" s="139">
        <f>MAX(0,M10-M9)</f>
        <v/>
      </c>
      <c r="O10" s="138">
        <f>IF(B10&lt;='VALOR POR PL'!$P$5,'CP RESUMO'!I77,"")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RESUMO'!J35</f>
        <v/>
      </c>
      <c r="N11" s="139">
        <f>MAX(0,M11-M10)</f>
        <v/>
      </c>
      <c r="O11" s="138">
        <f>IF(B11&lt;='VALOR POR PL'!$P$5,'CP RESUMO'!J77,"")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RESUMO'!K35</f>
        <v/>
      </c>
      <c r="N12" s="139">
        <f>MAX(0,M12-M11)</f>
        <v/>
      </c>
      <c r="O12" s="138">
        <f>IF(B12&lt;='VALOR POR PL'!$P$5,'CP RESUMO'!K77,"")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PL'!I41</f>
        <v/>
      </c>
      <c r="L13" s="49">
        <f>C13/IF(B13&lt;='VALOR POR PL'!$P$5,IFERROR(INDEX('"INCC-FGV"'!$B$2:$B$800,MATCH(B13,'"INCC-FGV"'!$A$2:$A$800,0)),$K$2),$K$2)</f>
        <v/>
      </c>
      <c r="M13" s="138">
        <f>'CP RESUMO'!L35</f>
        <v/>
      </c>
      <c r="N13" s="139">
        <f>MAX(0,M13-M12)</f>
        <v/>
      </c>
      <c r="O13" s="138">
        <f>IF(B13&lt;='VALOR POR PL'!$P$5,'CP RESUMO'!L77,"")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RESUMO'!$D$77:$BW$77,MATCH('VALOR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RESUMO'!M35</f>
        <v/>
      </c>
      <c r="N14" s="139">
        <f>MAX(0,M14-M13)</f>
        <v/>
      </c>
      <c r="O14" s="138">
        <f>IF(B14&lt;='VALOR POR PL'!$P$5,'CP RESUMO'!M77,"")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RESUMO'!N35</f>
        <v/>
      </c>
      <c r="N15" s="139">
        <f>MAX(0,M15-M14)</f>
        <v/>
      </c>
      <c r="O15" s="138">
        <f>IF(B15&lt;='VALOR POR PL'!$P$5,'CP RESUMO'!N77,"")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RESUMO'!O35</f>
        <v/>
      </c>
      <c r="N16" s="139">
        <f>MAX(0,M16-M15)</f>
        <v/>
      </c>
      <c r="O16" s="138">
        <f>IF(B16&lt;='VALOR POR PL'!$P$5,'CP RESUMO'!O77,"")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RESUMO'!P35</f>
        <v/>
      </c>
      <c r="N17" s="139">
        <f>MAX(0,M17-M16)</f>
        <v/>
      </c>
      <c r="O17" s="138">
        <f>IF(B17&lt;='VALOR POR PL'!$P$5,'CP RESUMO'!P77,"")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RESUMO'!Q35</f>
        <v/>
      </c>
      <c r="N18" s="139">
        <f>MAX(0,M18-M17)</f>
        <v/>
      </c>
      <c r="O18" s="138">
        <f>IF(B18&lt;='VALOR POR PL'!$P$5,'CP RESUMO'!Q77,"")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RESUMO'!R35</f>
        <v/>
      </c>
      <c r="N19" s="139">
        <f>MAX(0,M19-M18)</f>
        <v/>
      </c>
      <c r="O19" s="138">
        <f>IF(B19&lt;='VALOR POR PL'!$P$5,'CP RESUMO'!R77,"")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RESUMO'!S35</f>
        <v/>
      </c>
      <c r="N20" s="139">
        <f>MAX(0,M20-M19)</f>
        <v/>
      </c>
      <c r="O20" s="138">
        <f>IF(B20&lt;='VALOR POR PL'!$P$5,'CP RESUMO'!S77,"")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RESUMO'!T35</f>
        <v/>
      </c>
      <c r="N21" s="139">
        <f>MAX(0,M21-M20)</f>
        <v/>
      </c>
      <c r="O21" s="138">
        <f>IF(B21&lt;='VALOR POR PL'!$P$5,'CP RESUMO'!T77,"")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RESUMO'!U35</f>
        <v/>
      </c>
      <c r="N22" s="139">
        <f>MAX(0,M22-M21)</f>
        <v/>
      </c>
      <c r="O22" s="138">
        <f>IF(B22&lt;='VALOR POR PL'!$P$5,'CP RESUMO'!U77,"")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RESUMO'!V35</f>
        <v/>
      </c>
      <c r="N23" s="139">
        <f>MAX(0,M23-M22)</f>
        <v/>
      </c>
      <c r="O23" s="138">
        <f>IF(B23&lt;='VALOR POR PL'!$P$5,'CP RESUMO'!V77,"")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PL 31 do Ed Jardim (no Botânico é PAVIMENTAÇÃO). No Prevision é o item 18.</t>
        </is>
      </c>
      <c r="L24" s="49">
        <f>C24/IF(B24&lt;='VALOR POR PL'!$P$5,IFERROR(INDEX('"INCC-FGV"'!$B$2:$B$800,MATCH(B24,'"INCC-FGV"'!$A$2:$A$800,0)),$K$2),$K$2)</f>
        <v/>
      </c>
      <c r="M24" s="138">
        <f>'CP RESUMO'!W35</f>
        <v/>
      </c>
      <c r="N24" s="139">
        <f>MAX(0,M24-M23)</f>
        <v/>
      </c>
      <c r="O24" s="138">
        <f>IF(B24&lt;='VALOR POR PL'!$P$5,'CP RESUMO'!W77,"")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RESUMO'!X35</f>
        <v/>
      </c>
      <c r="N25" s="139">
        <f>MAX(0,M25-M24)</f>
        <v/>
      </c>
      <c r="O25" s="138">
        <f>IF(B25&lt;='VALOR POR PL'!$P$5,'CP RESUMO'!X77,"")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RESUMO'!Y35</f>
        <v/>
      </c>
      <c r="N26" s="139">
        <f>MAX(0,M26-M25)</f>
        <v/>
      </c>
      <c r="O26" s="138">
        <f>IF(B26&lt;='VALOR POR PL'!$P$5,'CP RESUMO'!Y77,"")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RESUMO'!Z35</f>
        <v/>
      </c>
      <c r="N27" s="139">
        <f>MAX(0,M27-M26)</f>
        <v/>
      </c>
      <c r="O27" s="138">
        <f>IF(B27&lt;='VALOR POR PL'!$P$5,'CP RESUMO'!Z77,"")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RESUMO'!AA35</f>
        <v/>
      </c>
      <c r="N28" s="139">
        <f>MAX(0,M28-M27)</f>
        <v/>
      </c>
      <c r="O28" s="138">
        <f>IF(B28&lt;='VALOR POR PL'!$P$5,'CP RESUMO'!AA77,"")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RESUMO'!AB35</f>
        <v/>
      </c>
      <c r="N29" s="139">
        <f>MAX(0,M29-M28)</f>
        <v/>
      </c>
      <c r="O29" s="138">
        <f>IF(B29&lt;='VALOR POR PL'!$P$5,'CP RESUMO'!AB77,"")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RESUMO'!AC35</f>
        <v/>
      </c>
      <c r="N30" s="139">
        <f>MAX(0,M30-M29)</f>
        <v/>
      </c>
      <c r="O30" s="138">
        <f>IF(B30&lt;='VALOR POR PL'!$P$5,'CP RESUMO'!AC77,"")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RESUMO'!AD35</f>
        <v/>
      </c>
      <c r="N31" s="139">
        <f>MAX(0,M31-M30)</f>
        <v/>
      </c>
      <c r="O31" s="138">
        <f>IF(B31&lt;='VALOR POR PL'!$P$5,'CP RESUMO'!AD77,"")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RESUMO'!AE35</f>
        <v/>
      </c>
      <c r="N32" s="139">
        <f>MAX(0,M32-M31)</f>
        <v/>
      </c>
      <c r="O32" s="138">
        <f>IF(B32&lt;='VALOR POR PL'!$P$5,'CP RESUMO'!AE77,"")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RESUMO'!AF35</f>
        <v/>
      </c>
      <c r="N33" s="139">
        <f>MAX(0,M33-M32)</f>
        <v/>
      </c>
      <c r="O33" s="138">
        <f>IF(B33&lt;='VALOR POR PL'!$P$5,'CP RESUMO'!AF77,"")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RESUMO'!AG35</f>
        <v/>
      </c>
      <c r="N34" s="139">
        <f>MAX(0,M34-M33)</f>
        <v/>
      </c>
      <c r="O34" s="138">
        <f>IF(B34&lt;='VALOR POR PL'!$P$5,'CP RESUMO'!AG77,"")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RESUMO'!AH35</f>
        <v/>
      </c>
      <c r="N35" s="139">
        <f>MAX(0,M35-M34)</f>
        <v/>
      </c>
      <c r="O35" s="138">
        <f>IF(B35&lt;='VALOR POR PL'!$P$5,'CP RESUMO'!AH77,"")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RESUMO'!AI35</f>
        <v/>
      </c>
      <c r="N36" s="139">
        <f>MAX(0,M36-M35)</f>
        <v/>
      </c>
      <c r="O36" s="138">
        <f>IF(B36&lt;='VALOR POR PL'!$P$5,'CP RESUMO'!AI77,"")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RESUMO'!AJ35</f>
        <v/>
      </c>
      <c r="N37" s="139">
        <f>MAX(0,M37-M36)</f>
        <v/>
      </c>
      <c r="O37" s="138">
        <f>IF(B37&lt;='VALOR POR PL'!$P$5,'CP RESUMO'!AJ77,"")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/>
      <c r="L38" s="49">
        <f>C38/IF(B38&lt;='VALOR POR PL'!$P$5,IFERROR(INDEX('"INCC-FGV"'!$B$2:$B$800,MATCH(B38,'"INCC-FGV"'!$A$2:$A$800,0)),$K$2),$K$2)</f>
        <v/>
      </c>
      <c r="M38" s="138">
        <f>'CP RESUMO'!AK35</f>
        <v/>
      </c>
      <c r="N38" s="139">
        <f>MAX(0,M38-M37)</f>
        <v/>
      </c>
      <c r="O38" s="138">
        <f>IF(B38&lt;='VALOR POR PL'!$P$5,'CP RESUMO'!AK77,"")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/>
      <c r="L39" s="49">
        <f>C39/IF(B39&lt;='VALOR POR PL'!$P$5,IFERROR(INDEX('"INCC-FGV"'!$B$2:$B$800,MATCH(B39,'"INCC-FGV"'!$A$2:$A$800,0)),$K$2),$K$2)</f>
        <v/>
      </c>
      <c r="M39" s="138">
        <f>'CP RESUMO'!AL35</f>
        <v/>
      </c>
      <c r="N39" s="139">
        <f>MAX(0,M39-M38)</f>
        <v/>
      </c>
      <c r="O39" s="138">
        <f>IF(B39&lt;='VALOR POR PL'!$P$5,'CP RESUMO'!AL77,"")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/>
      <c r="L40" s="49">
        <f>C40/IF(B40&lt;='VALOR POR PL'!$P$5,IFERROR(INDEX('"INCC-FGV"'!$B$2:$B$800,MATCH(B40,'"INCC-FGV"'!$A$2:$A$800,0)),$K$2),$K$2)</f>
        <v/>
      </c>
      <c r="M40" s="138">
        <f>'CP RESUMO'!AM35</f>
        <v/>
      </c>
      <c r="N40" s="139">
        <f>MAX(0,M40-M39)</f>
        <v/>
      </c>
      <c r="O40" s="138">
        <f>IF(B40&lt;='VALOR POR PL'!$P$5,'CP RESUMO'!AM77,"")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/>
      <c r="L41" s="49">
        <f>C41/IF(B41&lt;='VALOR POR PL'!$P$5,IFERROR(INDEX('"INCC-FGV"'!$B$2:$B$800,MATCH(B41,'"INCC-FGV"'!$A$2:$A$800,0)),$K$2),$K$2)</f>
        <v/>
      </c>
      <c r="M41" s="138">
        <f>'CP RESUMO'!AN35</f>
        <v/>
      </c>
      <c r="N41" s="139">
        <f>MAX(0,M41-M40)</f>
        <v/>
      </c>
      <c r="O41" s="138">
        <f>IF(B41&lt;='VALOR POR PL'!$P$5,'CP RESUMO'!AN77,"")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98000</v>
      </c>
      <c r="L42" s="49">
        <f>C42/IF(B42&lt;='VALOR POR PL'!$P$5,IFERROR(INDEX('"INCC-FGV"'!$B$2:$B$800,MATCH(B42,'"INCC-FGV"'!$A$2:$A$800,0)),$K$2),$K$2)</f>
        <v/>
      </c>
      <c r="M42" s="138">
        <f>'CP RESUMO'!AO35</f>
        <v/>
      </c>
      <c r="N42" s="139">
        <f>MAX(0,M42-M41)</f>
        <v/>
      </c>
      <c r="O42" s="138">
        <f>IF(B42&lt;='VALOR POR PL'!$P$5,'CP RESUMO'!AO77,"")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97186</v>
      </c>
      <c r="L43" s="49">
        <f>C43/IF(B43&lt;='VALOR POR PL'!$P$5,IFERROR(INDEX('"INCC-FGV"'!$B$2:$B$800,MATCH(B43,'"INCC-FGV"'!$A$2:$A$800,0)),$K$2),$K$2)</f>
        <v/>
      </c>
      <c r="M43" s="138">
        <f>'CP RESUMO'!AP35</f>
        <v/>
      </c>
      <c r="N43" s="139">
        <f>MAX(0,M43-M42)</f>
        <v/>
      </c>
      <c r="O43" s="138">
        <f>IF(B43&lt;='VALOR POR PL'!$P$5,'CP RESUMO'!AP77,"")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/>
      <c r="L44" s="49">
        <f>C44/IF(B44&lt;='VALOR POR PL'!$P$5,IFERROR(INDEX('"INCC-FGV"'!$B$2:$B$800,MATCH(B44,'"INCC-FGV"'!$A$2:$A$800,0)),$K$2),$K$2)</f>
        <v/>
      </c>
      <c r="M44" s="138">
        <f>'CP RESUMO'!AQ35</f>
        <v/>
      </c>
      <c r="N44" s="139">
        <f>MAX(0,M44-M43)</f>
        <v/>
      </c>
      <c r="O44" s="138">
        <f>IF(B44&lt;='VALOR POR PL'!$P$5,'CP RESUMO'!AQ77,"")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/>
      <c r="L45" s="49">
        <f>C45/IF(B45&lt;='VALOR POR PL'!$P$5,IFERROR(INDEX('"INCC-FGV"'!$B$2:$B$800,MATCH(B45,'"INCC-FGV"'!$A$2:$A$800,0)),$K$2),$K$2)</f>
        <v/>
      </c>
      <c r="M45" s="138">
        <f>'CP RESUMO'!AR35</f>
        <v/>
      </c>
      <c r="N45" s="139">
        <f>MAX(0,M45-M44)</f>
        <v/>
      </c>
      <c r="O45" s="138">
        <f>IF(B45&lt;='VALOR POR PL'!$P$5,'CP RESUMO'!AR77,"")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RESUMO'!AS35</f>
        <v/>
      </c>
      <c r="N46" s="139">
        <f>MAX(0,M46-M45)</f>
        <v/>
      </c>
      <c r="O46" s="138">
        <f>IF(B46&lt;='VALOR POR PL'!$P$5,'CP RESUMO'!AS77,"")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RESUMO'!AT35</f>
        <v/>
      </c>
      <c r="N47" s="139">
        <f>MAX(0,M47-M46)</f>
        <v/>
      </c>
      <c r="O47" s="138">
        <f>IF(B47&lt;='VALOR POR PL'!$P$5,'CP RESUMO'!AT77,"")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RESUMO'!AU35</f>
        <v/>
      </c>
      <c r="N48" s="139">
        <f>MAX(0,M48-M47)</f>
        <v/>
      </c>
      <c r="O48" s="138">
        <f>IF(B48&lt;='VALOR POR PL'!$P$5,'CP RESUMO'!AU77,"")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RESUMO'!AV35</f>
        <v/>
      </c>
      <c r="N49" s="139">
        <f>MAX(0,M49-M48)</f>
        <v/>
      </c>
      <c r="O49" s="138">
        <f>IF(B49&lt;='VALOR POR PL'!$P$5,'CP RESUMO'!AV77,"")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RESUMO'!AW35</f>
        <v/>
      </c>
      <c r="N50" s="139">
        <f>MAX(0,M50-M49)</f>
        <v/>
      </c>
      <c r="O50" s="138">
        <f>IF(B50&lt;='VALOR POR PL'!$P$5,'CP RESUMO'!AW77,"")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RESUMO'!AX35</f>
        <v/>
      </c>
      <c r="N51" s="139">
        <f>MAX(0,M51-M50)</f>
        <v/>
      </c>
      <c r="O51" s="138">
        <f>IF(B51&lt;='VALOR POR PL'!$P$5,'CP RESUMO'!AX77,"")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RESUMO'!AY35</f>
        <v/>
      </c>
      <c r="N52" s="139">
        <f>MAX(0,M52-M51)</f>
        <v/>
      </c>
      <c r="O52" s="138">
        <f>IF(B52&lt;='VALOR POR PL'!$P$5,'CP RESUMO'!AY77,"")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RESUMO'!AZ35</f>
        <v/>
      </c>
      <c r="N53" s="139">
        <f>MAX(0,M53-M52)</f>
        <v/>
      </c>
      <c r="O53" s="138">
        <f>IF(B53&lt;='VALOR POR PL'!$P$5,'CP RESUMO'!AZ77,"")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RESUMO'!BA35</f>
        <v/>
      </c>
      <c r="N54" s="139">
        <f>MAX(0,M54-M53)</f>
        <v/>
      </c>
      <c r="O54" s="138">
        <f>IF(B54&lt;='VALOR POR PL'!$P$5,'CP RESUMO'!BA77,"")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RESUMO'!BB35</f>
        <v/>
      </c>
      <c r="N55" s="139">
        <f>MAX(0,M55-M54)</f>
        <v/>
      </c>
      <c r="O55" s="138">
        <f>IF(B55&lt;='VALOR POR PL'!$P$5,'CP RESUMO'!BB77,"")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RESUMO'!BC35</f>
        <v/>
      </c>
      <c r="N56" s="139">
        <f>MAX(0,M56-M55)</f>
        <v/>
      </c>
      <c r="O56" s="138">
        <f>IF(B56&lt;='VALOR POR PL'!$P$5,'CP RESUMO'!BC77,"")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RESUMO'!BD35</f>
        <v/>
      </c>
      <c r="N57" s="139">
        <f>MAX(0,M57-M56)</f>
        <v/>
      </c>
      <c r="O57" s="138">
        <f>IF(B57&lt;='VALOR POR PL'!$P$5,'CP RESUMO'!BD77,"")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RESUMO'!BE35</f>
        <v/>
      </c>
      <c r="N58" s="139">
        <f>MAX(0,M58-M57)</f>
        <v/>
      </c>
      <c r="O58" s="138">
        <f>IF(B58&lt;='VALOR POR PL'!$P$5,'CP RESUMO'!BE77,"")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RESUMO'!BF35</f>
        <v/>
      </c>
      <c r="N59" s="139">
        <f>MAX(0,M59-M58)</f>
        <v/>
      </c>
      <c r="O59" s="138">
        <f>IF(B59&lt;='VALOR POR PL'!$P$5,'CP RESUMO'!BF77,"")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RESUMO'!BG35</f>
        <v/>
      </c>
      <c r="N60" s="139">
        <f>MAX(0,M60-M59)</f>
        <v/>
      </c>
      <c r="O60" s="138">
        <f>IF(B60&lt;='VALOR POR PL'!$P$5,'CP RESUMO'!BG77,"")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RESUMO'!BH35</f>
        <v/>
      </c>
      <c r="N61" s="139">
        <f>MAX(0,M61-M60)</f>
        <v/>
      </c>
      <c r="O61" s="138">
        <f>IF(B61&lt;='VALOR POR PL'!$P$5,'CP RESUMO'!BH77,"")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RESUMO'!BI35</f>
        <v/>
      </c>
      <c r="N62" s="139">
        <f>MAX(0,M62-M61)</f>
        <v/>
      </c>
      <c r="O62" s="138">
        <f>IF(B62&lt;='VALOR POR PL'!$P$5,'CP RESUMO'!BI77,"")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RESUMO'!BJ35</f>
        <v/>
      </c>
      <c r="N63" s="139">
        <f>MAX(0,M63-M62)</f>
        <v/>
      </c>
      <c r="O63" s="138">
        <f>IF(B63&lt;='VALOR POR PL'!$P$5,'CP RESUMO'!BJ77,"")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RESUMO'!BK35</f>
        <v/>
      </c>
      <c r="N64" s="139">
        <f>MAX(0,M64-M63)</f>
        <v/>
      </c>
      <c r="O64" s="138">
        <f>IF(B64&lt;='VALOR POR PL'!$P$5,'CP RESUMO'!BK77,"")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RESUMO'!BL35</f>
        <v/>
      </c>
      <c r="N65" s="139">
        <f>MAX(0,M65-M64)</f>
        <v/>
      </c>
      <c r="O65" s="138">
        <f>IF(B65&lt;='VALOR POR PL'!$P$5,'CP RESUMO'!BL77,"")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RESUMO'!BM35</f>
        <v/>
      </c>
      <c r="N66" s="139">
        <f>MAX(0,M66-M65)</f>
        <v/>
      </c>
      <c r="O66" s="138">
        <f>IF(B66&lt;='VALOR POR PL'!$P$5,'CP RESUMO'!BM77,"")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RESUMO'!BN35</f>
        <v/>
      </c>
      <c r="N67" s="139">
        <f>MAX(0,M67-M66)</f>
        <v/>
      </c>
      <c r="O67" s="138">
        <f>IF(B67&lt;='VALOR POR PL'!$P$5,'CP RESUMO'!BN77,"")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RESUMO'!BO35</f>
        <v/>
      </c>
      <c r="N68" s="139">
        <f>MAX(0,M68-M67)</f>
        <v/>
      </c>
      <c r="O68" s="138">
        <f>IF(B68&lt;='VALOR POR PL'!$P$5,'CP RESUMO'!BO77,"")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RESUMO'!BP35</f>
        <v/>
      </c>
      <c r="N69" s="139">
        <f>MAX(0,M69-M68)</f>
        <v/>
      </c>
      <c r="O69" s="138">
        <f>IF(B69&lt;='VALOR POR PL'!$P$5,'CP RESUMO'!BP77,"")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RESUMO'!BQ35</f>
        <v/>
      </c>
      <c r="N70" s="139">
        <f>MAX(0,M70-M69)</f>
        <v/>
      </c>
      <c r="O70" s="138">
        <f>IF(B70&lt;='VALOR POR PL'!$P$5,'CP RESUMO'!BQ77,"")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RESUMO'!BR35</f>
        <v/>
      </c>
      <c r="N71" s="139">
        <f>MAX(0,M71-M70)</f>
        <v/>
      </c>
      <c r="O71" s="138">
        <f>IF(B71&lt;='VALOR POR PL'!$P$5,'CP RESUMO'!BR77,"")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RESUMO'!BS35</f>
        <v/>
      </c>
      <c r="N72" s="139">
        <f>MAX(0,M72-M71)</f>
        <v/>
      </c>
      <c r="O72" s="138">
        <f>IF(B72&lt;='VALOR POR PL'!$P$5,'CP RESUMO'!BS77,"")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RESUMO'!BT35</f>
        <v/>
      </c>
      <c r="N73" s="139">
        <f>MAX(0,M73-M72)</f>
        <v/>
      </c>
      <c r="O73" s="138">
        <f>IF(B73&lt;='VALOR POR PL'!$P$5,'CP RESUMO'!BT77,"")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RESUMO'!BU35</f>
        <v/>
      </c>
      <c r="N74" s="139">
        <f>MAX(0,M74-M73)</f>
        <v/>
      </c>
      <c r="O74" s="138">
        <f>IF(B74&lt;='VALOR POR PL'!$P$5,'CP RESUMO'!BU77,"")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RESUMO'!BV35</f>
        <v/>
      </c>
      <c r="N75" s="139">
        <f>MAX(0,M75-M74)</f>
        <v/>
      </c>
      <c r="O75" s="138">
        <f>IF(B75&lt;='VALOR POR PL'!$P$5,'CP RESUMO'!BV77,"")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RESUMO'!BW35</f>
        <v/>
      </c>
      <c r="N76" s="139">
        <f>MAX(0,M76-M75)</f>
        <v/>
      </c>
      <c r="O76" s="138">
        <f>IF(B76&lt;='VALOR POR PL'!$P$5,'CP RESUMO'!BW77,"")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HISTORICOS'!D36)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PL'!F42</f>
        <v/>
      </c>
      <c r="K5" s="60">
        <f>'VALOR POR PL'!G42</f>
        <v/>
      </c>
      <c r="L5" s="60">
        <f>'DADOS HISTORICOS'!$BZ$36</f>
        <v/>
      </c>
      <c r="M5" s="138">
        <f>'CP RESUMO'!D36</f>
        <v/>
      </c>
      <c r="N5" s="139" t="n">
        <v>0</v>
      </c>
      <c r="O5" s="138">
        <f>IF(B5&lt;='VALOR POR PL'!$P$5,'CP RESUMO'!D78,"")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HISTORICOS'!E36)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PL'!H42</f>
        <v/>
      </c>
      <c r="L6" s="49">
        <f>C6/IF(B6&lt;='VALOR POR PL'!$P$5,IFERROR(INDEX('"INCC-FGV"'!$B$2:$B$800,MATCH(B6,'"INCC-FGV"'!$A$2:$A$800,0)),$K$2),$K$2)</f>
        <v/>
      </c>
      <c r="M6" s="138">
        <f>'CP RESUMO'!E36</f>
        <v/>
      </c>
      <c r="N6" s="139">
        <f>MAX(0,M6-M5)</f>
        <v/>
      </c>
      <c r="O6" s="138">
        <f>IF(B6&lt;='VALOR POR PL'!$P$5,'CP RESUMO'!E78,"")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HISTORICOS'!F36)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RESUMO'!F36</f>
        <v/>
      </c>
      <c r="N7" s="139">
        <f>MAX(0,M7-M6)</f>
        <v/>
      </c>
      <c r="O7" s="138">
        <f>IF(B7&lt;='VALOR POR PL'!$P$5,'CP RESUMO'!F78,"")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HISTORICOS'!G36)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RESUMO'!G36</f>
        <v/>
      </c>
      <c r="N8" s="139">
        <f>MAX(0,M8-M7)</f>
        <v/>
      </c>
      <c r="O8" s="138">
        <f>IF(B8&lt;='VALOR POR PL'!$P$5,'CP RESUMO'!G78,"")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HISTORICOS'!H36)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RESUMO'!H36</f>
        <v/>
      </c>
      <c r="N9" s="139">
        <f>MAX(0,M9-M8)</f>
        <v/>
      </c>
      <c r="O9" s="138">
        <f>IF(B9&lt;='VALOR POR PL'!$P$5,'CP RESUMO'!H78,"")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RESUMO'!I36</f>
        <v/>
      </c>
      <c r="N10" s="139">
        <f>MAX(0,M10-M9)</f>
        <v/>
      </c>
      <c r="O10" s="138">
        <f>IF(B10&lt;='VALOR POR PL'!$P$5,'CP RESUMO'!I78,"")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RESUMO'!J36</f>
        <v/>
      </c>
      <c r="N11" s="139">
        <f>MAX(0,M11-M10)</f>
        <v/>
      </c>
      <c r="O11" s="138">
        <f>IF(B11&lt;='VALOR POR PL'!$P$5,'CP RESUMO'!J78,"")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RESUMO'!K36</f>
        <v/>
      </c>
      <c r="N12" s="139">
        <f>MAX(0,M12-M11)</f>
        <v/>
      </c>
      <c r="O12" s="138">
        <f>IF(B12&lt;='VALOR POR PL'!$P$5,'CP RESUMO'!K78,"")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PL'!I42</f>
        <v/>
      </c>
      <c r="L13" s="49">
        <f>C13/IF(B13&lt;='VALOR POR PL'!$P$5,IFERROR(INDEX('"INCC-FGV"'!$B$2:$B$800,MATCH(B13,'"INCC-FGV"'!$A$2:$A$800,0)),$K$2),$K$2)</f>
        <v/>
      </c>
      <c r="M13" s="138">
        <f>'CP RESUMO'!L36</f>
        <v/>
      </c>
      <c r="N13" s="139">
        <f>MAX(0,M13-M12)</f>
        <v/>
      </c>
      <c r="O13" s="138">
        <f>IF(B13&lt;='VALOR POR PL'!$P$5,'CP RESUMO'!L78,"")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RESUMO'!$D$78:$BW$78,MATCH('VALOR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RESUMO'!M36</f>
        <v/>
      </c>
      <c r="N14" s="139">
        <f>MAX(0,M14-M13)</f>
        <v/>
      </c>
      <c r="O14" s="138">
        <f>IF(B14&lt;='VALOR POR PL'!$P$5,'CP RESUMO'!M78,"")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RESUMO'!N36</f>
        <v/>
      </c>
      <c r="N15" s="139">
        <f>MAX(0,M15-M14)</f>
        <v/>
      </c>
      <c r="O15" s="138">
        <f>IF(B15&lt;='VALOR POR PL'!$P$5,'CP RESUMO'!N78,"")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RESUMO'!O36</f>
        <v/>
      </c>
      <c r="N16" s="139">
        <f>MAX(0,M16-M15)</f>
        <v/>
      </c>
      <c r="O16" s="138">
        <f>IF(B16&lt;='VALOR POR PL'!$P$5,'CP RESUMO'!O78,"")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RESUMO'!P36</f>
        <v/>
      </c>
      <c r="N17" s="139">
        <f>MAX(0,M17-M16)</f>
        <v/>
      </c>
      <c r="O17" s="138">
        <f>IF(B17&lt;='VALOR POR PL'!$P$5,'CP RESUMO'!P78,"")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RESUMO'!Q36</f>
        <v/>
      </c>
      <c r="N18" s="139">
        <f>MAX(0,M18-M17)</f>
        <v/>
      </c>
      <c r="O18" s="138">
        <f>IF(B18&lt;='VALOR POR PL'!$P$5,'CP RESUMO'!Q78,"")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RESUMO'!R36</f>
        <v/>
      </c>
      <c r="N19" s="139">
        <f>MAX(0,M19-M18)</f>
        <v/>
      </c>
      <c r="O19" s="138">
        <f>IF(B19&lt;='VALOR POR PL'!$P$5,'CP RESUMO'!R78,"")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RESUMO'!S36</f>
        <v/>
      </c>
      <c r="N20" s="139">
        <f>MAX(0,M20-M19)</f>
        <v/>
      </c>
      <c r="O20" s="138">
        <f>IF(B20&lt;='VALOR POR PL'!$P$5,'CP RESUMO'!S78,"")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RESUMO'!T36</f>
        <v/>
      </c>
      <c r="N21" s="139">
        <f>MAX(0,M21-M20)</f>
        <v/>
      </c>
      <c r="O21" s="138">
        <f>IF(B21&lt;='VALOR POR PL'!$P$5,'CP RESUMO'!T78,"")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RESUMO'!U36</f>
        <v/>
      </c>
      <c r="N22" s="139">
        <f>MAX(0,M22-M21)</f>
        <v/>
      </c>
      <c r="O22" s="138">
        <f>IF(B22&lt;='VALOR POR PL'!$P$5,'CP RESUMO'!U78,"")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RESUMO'!V36</f>
        <v/>
      </c>
      <c r="N23" s="139">
        <f>MAX(0,M23-M22)</f>
        <v/>
      </c>
      <c r="O23" s="138">
        <f>IF(B23&lt;='VALOR POR PL'!$P$5,'CP RESUMO'!V78,"")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RESUMO'!W36</f>
        <v/>
      </c>
      <c r="N24" s="139">
        <f>MAX(0,M24-M23)</f>
        <v/>
      </c>
      <c r="O24" s="138">
        <f>IF(B24&lt;='VALOR POR PL'!$P$5,'CP RESUMO'!W78,"")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RESUMO'!X36</f>
        <v/>
      </c>
      <c r="N25" s="139">
        <f>MAX(0,M25-M24)</f>
        <v/>
      </c>
      <c r="O25" s="138">
        <f>IF(B25&lt;='VALOR POR PL'!$P$5,'CP RESUMO'!X78,"")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75315.92</v>
      </c>
      <c r="L26" s="49">
        <f>C26/IF(B26&lt;='VALOR POR PL'!$P$5,IFERROR(INDEX('"INCC-FGV"'!$B$2:$B$800,MATCH(B26,'"INCC-FGV"'!$A$2:$A$800,0)),$K$2),$K$2)</f>
        <v/>
      </c>
      <c r="M26" s="138">
        <f>'CP RESUMO'!Y36</f>
        <v/>
      </c>
      <c r="N26" s="139">
        <f>MAX(0,M26-M25)</f>
        <v/>
      </c>
      <c r="O26" s="138">
        <f>IF(B26&lt;='VALOR POR PL'!$P$5,'CP RESUMO'!Y78,"")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94583.85000000001</v>
      </c>
      <c r="L27" s="49">
        <f>C27/IF(B27&lt;='VALOR POR PL'!$P$5,IFERROR(INDEX('"INCC-FGV"'!$B$2:$B$800,MATCH(B27,'"INCC-FGV"'!$A$2:$A$800,0)),$K$2),$K$2)</f>
        <v/>
      </c>
      <c r="M27" s="138">
        <f>'CP RESUMO'!Z36</f>
        <v/>
      </c>
      <c r="N27" s="139">
        <f>MAX(0,M27-M26)</f>
        <v/>
      </c>
      <c r="O27" s="138">
        <f>IF(B27&lt;='VALOR POR PL'!$P$5,'CP RESUMO'!Z78,"")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152611.43</v>
      </c>
      <c r="L28" s="49">
        <f>C28/IF(B28&lt;='VALOR POR PL'!$P$5,IFERROR(INDEX('"INCC-FGV"'!$B$2:$B$800,MATCH(B28,'"INCC-FGV"'!$A$2:$A$800,0)),$K$2),$K$2)</f>
        <v/>
      </c>
      <c r="M28" s="138">
        <f>'CP RESUMO'!AA36</f>
        <v/>
      </c>
      <c r="N28" s="139">
        <f>MAX(0,M28-M27)</f>
        <v/>
      </c>
      <c r="O28" s="138">
        <f>IF(B28&lt;='VALOR POR PL'!$P$5,'CP RESUMO'!AA78,"")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307960.59</v>
      </c>
      <c r="L29" s="49">
        <f>C29/IF(B29&lt;='VALOR POR PL'!$P$5,IFERROR(INDEX('"INCC-FGV"'!$B$2:$B$800,MATCH(B29,'"INCC-FGV"'!$A$2:$A$800,0)),$K$2),$K$2)</f>
        <v/>
      </c>
      <c r="M29" s="138">
        <f>'CP RESUMO'!AB36</f>
        <v/>
      </c>
      <c r="N29" s="139">
        <f>MAX(0,M29-M28)</f>
        <v/>
      </c>
      <c r="O29" s="138">
        <f>IF(B29&lt;='VALOR POR PL'!$P$5,'CP RESUMO'!AB78,"")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270357.07</v>
      </c>
      <c r="L30" s="49">
        <f>C30/IF(B30&lt;='VALOR POR PL'!$P$5,IFERROR(INDEX('"INCC-FGV"'!$B$2:$B$800,MATCH(B30,'"INCC-FGV"'!$A$2:$A$800,0)),$K$2),$K$2)</f>
        <v/>
      </c>
      <c r="M30" s="138">
        <f>'CP RESUMO'!AC36</f>
        <v/>
      </c>
      <c r="N30" s="139">
        <f>MAX(0,M30-M29)</f>
        <v/>
      </c>
      <c r="O30" s="138">
        <f>IF(B30&lt;='VALOR POR PL'!$P$5,'CP RESUMO'!AC78,"")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393960.29</v>
      </c>
      <c r="L31" s="49">
        <f>C31/IF(B31&lt;='VALOR POR PL'!$P$5,IFERROR(INDEX('"INCC-FGV"'!$B$2:$B$800,MATCH(B31,'"INCC-FGV"'!$A$2:$A$800,0)),$K$2),$K$2)</f>
        <v/>
      </c>
      <c r="M31" s="138">
        <f>'CP RESUMO'!AD36</f>
        <v/>
      </c>
      <c r="N31" s="139">
        <f>MAX(0,M31-M30)</f>
        <v/>
      </c>
      <c r="O31" s="138">
        <f>IF(B31&lt;='VALOR POR PL'!$P$5,'CP RESUMO'!AD78,"")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221184.1</v>
      </c>
      <c r="L32" s="49">
        <f>C32/IF(B32&lt;='VALOR POR PL'!$P$5,IFERROR(INDEX('"INCC-FGV"'!$B$2:$B$800,MATCH(B32,'"INCC-FGV"'!$A$2:$A$800,0)),$K$2),$K$2)</f>
        <v/>
      </c>
      <c r="M32" s="138">
        <f>'CP RESUMO'!AE36</f>
        <v/>
      </c>
      <c r="N32" s="139">
        <f>MAX(0,M32-M31)</f>
        <v/>
      </c>
      <c r="O32" s="138">
        <f>IF(B32&lt;='VALOR POR PL'!$P$5,'CP RESUMO'!AE78,"")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103698.08</v>
      </c>
      <c r="L33" s="49">
        <f>C33/IF(B33&lt;='VALOR POR PL'!$P$5,IFERROR(INDEX('"INCC-FGV"'!$B$2:$B$800,MATCH(B33,'"INCC-FGV"'!$A$2:$A$800,0)),$K$2),$K$2)</f>
        <v/>
      </c>
      <c r="M33" s="138">
        <f>'CP RESUMO'!AF36</f>
        <v/>
      </c>
      <c r="N33" s="139">
        <f>MAX(0,M33-M32)</f>
        <v/>
      </c>
      <c r="O33" s="138">
        <f>IF(B33&lt;='VALOR POR PL'!$P$5,'CP RESUMO'!AF78,"")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238730.08</v>
      </c>
      <c r="L34" s="49">
        <f>C34/IF(B34&lt;='VALOR POR PL'!$P$5,IFERROR(INDEX('"INCC-FGV"'!$B$2:$B$800,MATCH(B34,'"INCC-FGV"'!$A$2:$A$800,0)),$K$2),$K$2)</f>
        <v/>
      </c>
      <c r="M34" s="138">
        <f>'CP RESUMO'!AG36</f>
        <v/>
      </c>
      <c r="N34" s="139">
        <f>MAX(0,M34-M33)</f>
        <v/>
      </c>
      <c r="O34" s="138">
        <f>IF(B34&lt;='VALOR POR PL'!$P$5,'CP RESUMO'!AG78,"")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132522.19</v>
      </c>
      <c r="L35" s="49">
        <f>C35/IF(B35&lt;='VALOR POR PL'!$P$5,IFERROR(INDEX('"INCC-FGV"'!$B$2:$B$800,MATCH(B35,'"INCC-FGV"'!$A$2:$A$800,0)),$K$2),$K$2)</f>
        <v/>
      </c>
      <c r="M35" s="138">
        <f>'CP RESUMO'!AH36</f>
        <v/>
      </c>
      <c r="N35" s="139">
        <f>MAX(0,M35-M34)</f>
        <v/>
      </c>
      <c r="O35" s="138">
        <f>IF(B35&lt;='VALOR POR PL'!$P$5,'CP RESUMO'!AH78,"")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193508.3</v>
      </c>
      <c r="L36" s="49">
        <f>C36/IF(B36&lt;='VALOR POR PL'!$P$5,IFERROR(INDEX('"INCC-FGV"'!$B$2:$B$800,MATCH(B36,'"INCC-FGV"'!$A$2:$A$800,0)),$K$2),$K$2)</f>
        <v/>
      </c>
      <c r="M36" s="138">
        <f>'CP RESUMO'!AI36</f>
        <v/>
      </c>
      <c r="N36" s="139">
        <f>MAX(0,M36-M35)</f>
        <v/>
      </c>
      <c r="O36" s="138">
        <f>IF(B36&lt;='VALOR POR PL'!$P$5,'CP RESUMO'!AI78,"")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300377.15</v>
      </c>
      <c r="L37" s="49">
        <f>C37/IF(B37&lt;='VALOR POR PL'!$P$5,IFERROR(INDEX('"INCC-FGV"'!$B$2:$B$800,MATCH(B37,'"INCC-FGV"'!$A$2:$A$800,0)),$K$2),$K$2)</f>
        <v/>
      </c>
      <c r="M37" s="138">
        <f>'CP RESUMO'!AJ36</f>
        <v/>
      </c>
      <c r="N37" s="139">
        <f>MAX(0,M37-M36)</f>
        <v/>
      </c>
      <c r="O37" s="138">
        <f>IF(B37&lt;='VALOR POR PL'!$P$5,'CP RESUMO'!AJ78,"")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431447.19</v>
      </c>
      <c r="L38" s="49">
        <f>C38/IF(B38&lt;='VALOR POR PL'!$P$5,IFERROR(INDEX('"INCC-FGV"'!$B$2:$B$800,MATCH(B38,'"INCC-FGV"'!$A$2:$A$800,0)),$K$2),$K$2)</f>
        <v/>
      </c>
      <c r="M38" s="138">
        <f>'CP RESUMO'!AK36</f>
        <v/>
      </c>
      <c r="N38" s="139">
        <f>MAX(0,M38-M37)</f>
        <v/>
      </c>
      <c r="O38" s="138">
        <f>IF(B38&lt;='VALOR POR PL'!$P$5,'CP RESUMO'!AK78,"")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604299.42</v>
      </c>
      <c r="L39" s="49">
        <f>C39/IF(B39&lt;='VALOR POR PL'!$P$5,IFERROR(INDEX('"INCC-FGV"'!$B$2:$B$800,MATCH(B39,'"INCC-FGV"'!$A$2:$A$800,0)),$K$2),$K$2)</f>
        <v/>
      </c>
      <c r="M39" s="138">
        <f>'CP RESUMO'!AL36</f>
        <v/>
      </c>
      <c r="N39" s="139">
        <f>MAX(0,M39-M38)</f>
        <v/>
      </c>
      <c r="O39" s="138">
        <f>IF(B39&lt;='VALOR POR PL'!$P$5,'CP RESUMO'!AL78,"")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723496.74</v>
      </c>
      <c r="L40" s="49">
        <f>C40/IF(B40&lt;='VALOR POR PL'!$P$5,IFERROR(INDEX('"INCC-FGV"'!$B$2:$B$800,MATCH(B40,'"INCC-FGV"'!$A$2:$A$800,0)),$K$2),$K$2)</f>
        <v/>
      </c>
      <c r="M40" s="138">
        <f>'CP RESUMO'!AM36</f>
        <v/>
      </c>
      <c r="N40" s="139">
        <f>MAX(0,M40-M39)</f>
        <v/>
      </c>
      <c r="O40" s="138">
        <f>IF(B40&lt;='VALOR POR PL'!$P$5,'CP RESUMO'!AM78,"")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304130.98</v>
      </c>
      <c r="L41" s="49">
        <f>C41/IF(B41&lt;='VALOR POR PL'!$P$5,IFERROR(INDEX('"INCC-FGV"'!$B$2:$B$800,MATCH(B41,'"INCC-FGV"'!$A$2:$A$800,0)),$K$2),$K$2)</f>
        <v/>
      </c>
      <c r="M41" s="138">
        <f>'CP RESUMO'!AN36</f>
        <v/>
      </c>
      <c r="N41" s="139">
        <f>MAX(0,M41-M40)</f>
        <v/>
      </c>
      <c r="O41" s="138">
        <f>IF(B41&lt;='VALOR POR PL'!$P$5,'CP RESUMO'!AN78,"")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163099.32</v>
      </c>
      <c r="L42" s="49">
        <f>C42/IF(B42&lt;='VALOR POR PL'!$P$5,IFERROR(INDEX('"INCC-FGV"'!$B$2:$B$800,MATCH(B42,'"INCC-FGV"'!$A$2:$A$800,0)),$K$2),$K$2)</f>
        <v/>
      </c>
      <c r="M42" s="138">
        <f>'CP RESUMO'!AO36</f>
        <v/>
      </c>
      <c r="N42" s="139">
        <f>MAX(0,M42-M41)</f>
        <v/>
      </c>
      <c r="O42" s="138">
        <f>IF(B42&lt;='VALOR POR PL'!$P$5,'CP RESUMO'!AO78,"")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97116.33</v>
      </c>
      <c r="L43" s="49">
        <f>C43/IF(B43&lt;='VALOR POR PL'!$P$5,IFERROR(INDEX('"INCC-FGV"'!$B$2:$B$800,MATCH(B43,'"INCC-FGV"'!$A$2:$A$800,0)),$K$2),$K$2)</f>
        <v/>
      </c>
      <c r="M43" s="138">
        <f>'CP RESUMO'!AP36</f>
        <v/>
      </c>
      <c r="N43" s="139">
        <f>MAX(0,M43-M42)</f>
        <v/>
      </c>
      <c r="O43" s="138">
        <f>IF(B43&lt;='VALOR POR PL'!$P$5,'CP RESUMO'!AP78,"")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60713.37</v>
      </c>
      <c r="L44" s="49">
        <f>C44/IF(B44&lt;='VALOR POR PL'!$P$5,IFERROR(INDEX('"INCC-FGV"'!$B$2:$B$800,MATCH(B44,'"INCC-FGV"'!$A$2:$A$800,0)),$K$2),$K$2)</f>
        <v/>
      </c>
      <c r="M44" s="138">
        <f>'CP RESUMO'!AQ36</f>
        <v/>
      </c>
      <c r="N44" s="139">
        <f>MAX(0,M44-M43)</f>
        <v/>
      </c>
      <c r="O44" s="138">
        <f>IF(B44&lt;='VALOR POR PL'!$P$5,'CP RESUMO'!AQ78,"")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46385.34</v>
      </c>
      <c r="L45" s="49">
        <f>C45/IF(B45&lt;='VALOR POR PL'!$P$5,IFERROR(INDEX('"INCC-FGV"'!$B$2:$B$800,MATCH(B45,'"INCC-FGV"'!$A$2:$A$800,0)),$K$2),$K$2)</f>
        <v/>
      </c>
      <c r="M45" s="138">
        <f>'CP RESUMO'!AR36</f>
        <v/>
      </c>
      <c r="N45" s="139">
        <f>MAX(0,M45-M44)</f>
        <v/>
      </c>
      <c r="O45" s="138">
        <f>IF(B45&lt;='VALOR POR PL'!$P$5,'CP RESUMO'!AR78,"")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30923.56</v>
      </c>
      <c r="L46" s="49">
        <f>C46/IF(B46&lt;='VALOR POR PL'!$P$5,IFERROR(INDEX('"INCC-FGV"'!$B$2:$B$800,MATCH(B46,'"INCC-FGV"'!$A$2:$A$800,0)),$K$2),$K$2)</f>
        <v/>
      </c>
      <c r="M46" s="138">
        <f>'CP RESUMO'!AS36</f>
        <v/>
      </c>
      <c r="N46" s="139">
        <f>MAX(0,M46-M45)</f>
        <v/>
      </c>
      <c r="O46" s="138">
        <f>IF(B46&lt;='VALOR POR PL'!$P$5,'CP RESUMO'!AS78,"")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RESUMO'!AT36</f>
        <v/>
      </c>
      <c r="N47" s="139">
        <f>MAX(0,M47-M46)</f>
        <v/>
      </c>
      <c r="O47" s="138">
        <f>IF(B47&lt;='VALOR POR PL'!$P$5,'CP RESUMO'!AT78,"")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RESUMO'!AU36</f>
        <v/>
      </c>
      <c r="N48" s="139">
        <f>MAX(0,M48-M47)</f>
        <v/>
      </c>
      <c r="O48" s="138">
        <f>IF(B48&lt;='VALOR POR PL'!$P$5,'CP RESUMO'!AU78,"")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RESUMO'!AV36</f>
        <v/>
      </c>
      <c r="N49" s="139">
        <f>MAX(0,M49-M48)</f>
        <v/>
      </c>
      <c r="O49" s="138">
        <f>IF(B49&lt;='VALOR POR PL'!$P$5,'CP RESUMO'!AV78,"")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RESUMO'!AW36</f>
        <v/>
      </c>
      <c r="N50" s="139">
        <f>MAX(0,M50-M49)</f>
        <v/>
      </c>
      <c r="O50" s="138">
        <f>IF(B50&lt;='VALOR POR PL'!$P$5,'CP RESUMO'!AW78,"")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RESUMO'!AX36</f>
        <v/>
      </c>
      <c r="N51" s="139">
        <f>MAX(0,M51-M50)</f>
        <v/>
      </c>
      <c r="O51" s="138">
        <f>IF(B51&lt;='VALOR POR PL'!$P$5,'CP RESUMO'!AX78,"")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>
        <v>93814.60000000001</v>
      </c>
      <c r="L52" s="49">
        <f>C52/IF(B52&lt;='VALOR POR PL'!$P$5,IFERROR(INDEX('"INCC-FGV"'!$B$2:$B$800,MATCH(B52,'"INCC-FGV"'!$A$2:$A$800,0)),$K$2),$K$2)</f>
        <v/>
      </c>
      <c r="M52" s="138">
        <f>'CP RESUMO'!AY36</f>
        <v/>
      </c>
      <c r="N52" s="139">
        <f>MAX(0,M52-M51)</f>
        <v/>
      </c>
      <c r="O52" s="138">
        <f>IF(B52&lt;='VALOR POR PL'!$P$5,'CP RESUMO'!AY78,"")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RESUMO'!AZ36</f>
        <v/>
      </c>
      <c r="N53" s="139">
        <f>MAX(0,M53-M52)</f>
        <v/>
      </c>
      <c r="O53" s="138">
        <f>IF(B53&lt;='VALOR POR PL'!$P$5,'CP RESUMO'!AZ78,"")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RESUMO'!BA36</f>
        <v/>
      </c>
      <c r="N54" s="139">
        <f>MAX(0,M54-M53)</f>
        <v/>
      </c>
      <c r="O54" s="138">
        <f>IF(B54&lt;='VALOR POR PL'!$P$5,'CP RESUMO'!BA78,"")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>
        <v>2335717.01</v>
      </c>
      <c r="L55" s="49">
        <f>C55/IF(B55&lt;='VALOR POR PL'!$P$5,IFERROR(INDEX('"INCC-FGV"'!$B$2:$B$800,MATCH(B55,'"INCC-FGV"'!$A$2:$A$800,0)),$K$2),$K$2)</f>
        <v/>
      </c>
      <c r="M55" s="138">
        <f>'CP RESUMO'!BB36</f>
        <v/>
      </c>
      <c r="N55" s="139">
        <f>MAX(0,M55-M54)</f>
        <v/>
      </c>
      <c r="O55" s="138">
        <f>IF(B55&lt;='VALOR POR PL'!$P$5,'CP RESUMO'!BB78,"")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RESUMO'!BC36</f>
        <v/>
      </c>
      <c r="N56" s="139">
        <f>MAX(0,M56-M55)</f>
        <v/>
      </c>
      <c r="O56" s="138">
        <f>IF(B56&lt;='VALOR POR PL'!$P$5,'CP RESUMO'!BC78,"")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RESUMO'!BD36</f>
        <v/>
      </c>
      <c r="N57" s="139">
        <f>MAX(0,M57-M56)</f>
        <v/>
      </c>
      <c r="O57" s="138">
        <f>IF(B57&lt;='VALOR POR PL'!$P$5,'CP RESUMO'!BD78,"")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RESUMO'!BE36</f>
        <v/>
      </c>
      <c r="N58" s="139">
        <f>MAX(0,M58-M57)</f>
        <v/>
      </c>
      <c r="O58" s="138">
        <f>IF(B58&lt;='VALOR POR PL'!$P$5,'CP RESUMO'!BE78,"")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RESUMO'!BF36</f>
        <v/>
      </c>
      <c r="N59" s="139">
        <f>MAX(0,M59-M58)</f>
        <v/>
      </c>
      <c r="O59" s="138">
        <f>IF(B59&lt;='VALOR POR PL'!$P$5,'CP RESUMO'!BF78,"")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RESUMO'!BG36</f>
        <v/>
      </c>
      <c r="N60" s="139">
        <f>MAX(0,M60-M59)</f>
        <v/>
      </c>
      <c r="O60" s="138">
        <f>IF(B60&lt;='VALOR POR PL'!$P$5,'CP RESUMO'!BG78,"")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RESUMO'!BH36</f>
        <v/>
      </c>
      <c r="N61" s="139">
        <f>MAX(0,M61-M60)</f>
        <v/>
      </c>
      <c r="O61" s="138">
        <f>IF(B61&lt;='VALOR POR PL'!$P$5,'CP RESUMO'!BH78,"")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RESUMO'!BI36</f>
        <v/>
      </c>
      <c r="N62" s="139">
        <f>MAX(0,M62-M61)</f>
        <v/>
      </c>
      <c r="O62" s="138">
        <f>IF(B62&lt;='VALOR POR PL'!$P$5,'CP RESUMO'!BI78,"")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RESUMO'!BJ36</f>
        <v/>
      </c>
      <c r="N63" s="139">
        <f>MAX(0,M63-M62)</f>
        <v/>
      </c>
      <c r="O63" s="138">
        <f>IF(B63&lt;='VALOR POR PL'!$P$5,'CP RESUMO'!BJ78,"")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RESUMO'!BK36</f>
        <v/>
      </c>
      <c r="N64" s="139">
        <f>MAX(0,M64-M63)</f>
        <v/>
      </c>
      <c r="O64" s="138">
        <f>IF(B64&lt;='VALOR POR PL'!$P$5,'CP RESUMO'!BK78,"")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RESUMO'!BL36</f>
        <v/>
      </c>
      <c r="N65" s="139">
        <f>MAX(0,M65-M64)</f>
        <v/>
      </c>
      <c r="O65" s="138">
        <f>IF(B65&lt;='VALOR POR PL'!$P$5,'CP RESUMO'!BL78,"")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RESUMO'!BM36</f>
        <v/>
      </c>
      <c r="N66" s="139">
        <f>MAX(0,M66-M65)</f>
        <v/>
      </c>
      <c r="O66" s="138">
        <f>IF(B66&lt;='VALOR POR PL'!$P$5,'CP RESUMO'!BM78,"")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RESUMO'!BN36</f>
        <v/>
      </c>
      <c r="N67" s="139">
        <f>MAX(0,M67-M66)</f>
        <v/>
      </c>
      <c r="O67" s="138">
        <f>IF(B67&lt;='VALOR POR PL'!$P$5,'CP RESUMO'!BN78,"")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RESUMO'!BO36</f>
        <v/>
      </c>
      <c r="N68" s="139">
        <f>MAX(0,M68-M67)</f>
        <v/>
      </c>
      <c r="O68" s="138">
        <f>IF(B68&lt;='VALOR POR PL'!$P$5,'CP RESUMO'!BO78,"")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RESUMO'!BP36</f>
        <v/>
      </c>
      <c r="N69" s="139">
        <f>MAX(0,M69-M68)</f>
        <v/>
      </c>
      <c r="O69" s="138">
        <f>IF(B69&lt;='VALOR POR PL'!$P$5,'CP RESUMO'!BP78,"")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RESUMO'!BQ36</f>
        <v/>
      </c>
      <c r="N70" s="139">
        <f>MAX(0,M70-M69)</f>
        <v/>
      </c>
      <c r="O70" s="138">
        <f>IF(B70&lt;='VALOR POR PL'!$P$5,'CP RESUMO'!BQ78,"")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RESUMO'!BR36</f>
        <v/>
      </c>
      <c r="N71" s="139">
        <f>MAX(0,M71-M70)</f>
        <v/>
      </c>
      <c r="O71" s="138">
        <f>IF(B71&lt;='VALOR POR PL'!$P$5,'CP RESUMO'!BR78,"")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RESUMO'!BS36</f>
        <v/>
      </c>
      <c r="N72" s="139">
        <f>MAX(0,M72-M71)</f>
        <v/>
      </c>
      <c r="O72" s="138">
        <f>IF(B72&lt;='VALOR POR PL'!$P$5,'CP RESUMO'!BS78,"")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RESUMO'!BT36</f>
        <v/>
      </c>
      <c r="N73" s="139">
        <f>MAX(0,M73-M72)</f>
        <v/>
      </c>
      <c r="O73" s="138">
        <f>IF(B73&lt;='VALOR POR PL'!$P$5,'CP RESUMO'!BT78,"")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RESUMO'!BU36</f>
        <v/>
      </c>
      <c r="N74" s="139">
        <f>MAX(0,M74-M73)</f>
        <v/>
      </c>
      <c r="O74" s="138">
        <f>IF(B74&lt;='VALOR POR PL'!$P$5,'CP RESUMO'!BU78,"")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RESUMO'!BV36</f>
        <v/>
      </c>
      <c r="N75" s="139">
        <f>MAX(0,M75-M74)</f>
        <v/>
      </c>
      <c r="O75" s="138">
        <f>IF(B75&lt;='VALOR POR PL'!$P$5,'CP RESUMO'!BV78,"")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RESUMO'!BW36</f>
        <v/>
      </c>
      <c r="N76" s="139">
        <f>MAX(0,M76-M75)</f>
        <v/>
      </c>
      <c r="O76" s="138">
        <f>IF(B76&lt;='VALOR POR PL'!$P$5,'CP RESUMO'!BW78,"")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HISTORICOS'!D37)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PL'!F43</f>
        <v/>
      </c>
      <c r="K5" s="60">
        <f>'VALOR POR PL'!G43</f>
        <v/>
      </c>
      <c r="L5" s="60">
        <f>'DADOS HISTORICOS'!$BZ$37</f>
        <v/>
      </c>
      <c r="M5" s="138">
        <f>'CP RESUMO'!D37</f>
        <v/>
      </c>
      <c r="N5" s="139" t="n">
        <v>0</v>
      </c>
      <c r="O5" s="138">
        <f>IF(B5&lt;='VALOR POR PL'!$P$5,'CP RESUMO'!D79,"")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HISTORICOS'!E37)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PL'!H43</f>
        <v/>
      </c>
      <c r="L6" s="49">
        <f>C6/IF(B6&lt;='VALOR POR PL'!$P$5,IFERROR(INDEX('"INCC-FGV"'!$B$2:$B$800,MATCH(B6,'"INCC-FGV"'!$A$2:$A$800,0)),$K$2),$K$2)</f>
        <v/>
      </c>
      <c r="M6" s="138">
        <f>'CP RESUMO'!E37</f>
        <v/>
      </c>
      <c r="N6" s="139">
        <f>MAX(0,M6-M5)</f>
        <v/>
      </c>
      <c r="O6" s="138">
        <f>IF(B6&lt;='VALOR POR PL'!$P$5,'CP RESUMO'!E79,"")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HISTORICOS'!F37)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RESUMO'!F37</f>
        <v/>
      </c>
      <c r="N7" s="139">
        <f>MAX(0,M7-M6)</f>
        <v/>
      </c>
      <c r="O7" s="138">
        <f>IF(B7&lt;='VALOR POR PL'!$P$5,'CP RESUMO'!F79,"")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HISTORICOS'!G37)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RESUMO'!G37</f>
        <v/>
      </c>
      <c r="N8" s="139">
        <f>MAX(0,M8-M7)</f>
        <v/>
      </c>
      <c r="O8" s="138">
        <f>IF(B8&lt;='VALOR POR PL'!$P$5,'CP RESUMO'!G79,"")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HISTORICOS'!H37)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RESUMO'!H37</f>
        <v/>
      </c>
      <c r="N9" s="139">
        <f>MAX(0,M9-M8)</f>
        <v/>
      </c>
      <c r="O9" s="138">
        <f>IF(B9&lt;='VALOR POR PL'!$P$5,'CP RESUMO'!H79,"")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RESUMO'!I37</f>
        <v/>
      </c>
      <c r="N10" s="139">
        <f>MAX(0,M10-M9)</f>
        <v/>
      </c>
      <c r="O10" s="138">
        <f>IF(B10&lt;='VALOR POR PL'!$P$5,'CP RESUMO'!I79,"")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RESUMO'!J37</f>
        <v/>
      </c>
      <c r="N11" s="139">
        <f>MAX(0,M11-M10)</f>
        <v/>
      </c>
      <c r="O11" s="138">
        <f>IF(B11&lt;='VALOR POR PL'!$P$5,'CP RESUMO'!J79,"")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RESUMO'!K37</f>
        <v/>
      </c>
      <c r="N12" s="139">
        <f>MAX(0,M12-M11)</f>
        <v/>
      </c>
      <c r="O12" s="138">
        <f>IF(B12&lt;='VALOR POR PL'!$P$5,'CP RESUMO'!K79,"")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PL'!I43</f>
        <v/>
      </c>
      <c r="L13" s="49">
        <f>C13/IF(B13&lt;='VALOR POR PL'!$P$5,IFERROR(INDEX('"INCC-FGV"'!$B$2:$B$800,MATCH(B13,'"INCC-FGV"'!$A$2:$A$800,0)),$K$2),$K$2)</f>
        <v/>
      </c>
      <c r="M13" s="138">
        <f>'CP RESUMO'!L37</f>
        <v/>
      </c>
      <c r="N13" s="139">
        <f>MAX(0,M13-M12)</f>
        <v/>
      </c>
      <c r="O13" s="138">
        <f>IF(B13&lt;='VALOR POR PL'!$P$5,'CP RESUMO'!L79,"")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RESUMO'!$D$79:$BW$79,MATCH('VALOR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RESUMO'!M37</f>
        <v/>
      </c>
      <c r="N14" s="139">
        <f>MAX(0,M14-M13)</f>
        <v/>
      </c>
      <c r="O14" s="138">
        <f>IF(B14&lt;='VALOR POR PL'!$P$5,'CP RESUMO'!M79,"")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RESUMO'!N37</f>
        <v/>
      </c>
      <c r="N15" s="139">
        <f>MAX(0,M15-M14)</f>
        <v/>
      </c>
      <c r="O15" s="138">
        <f>IF(B15&lt;='VALOR POR PL'!$P$5,'CP RESUMO'!N79,"")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RESUMO'!O37</f>
        <v/>
      </c>
      <c r="N16" s="139">
        <f>MAX(0,M16-M15)</f>
        <v/>
      </c>
      <c r="O16" s="138">
        <f>IF(B16&lt;='VALOR POR PL'!$P$5,'CP RESUMO'!O79,"")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RESUMO'!P37</f>
        <v/>
      </c>
      <c r="N17" s="139">
        <f>MAX(0,M17-M16)</f>
        <v/>
      </c>
      <c r="O17" s="138">
        <f>IF(B17&lt;='VALOR POR PL'!$P$5,'CP RESUMO'!P79,"")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RESUMO'!Q37</f>
        <v/>
      </c>
      <c r="N18" s="139">
        <f>MAX(0,M18-M17)</f>
        <v/>
      </c>
      <c r="O18" s="138">
        <f>IF(B18&lt;='VALOR POR PL'!$P$5,'CP RESUMO'!Q79,"")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RESUMO'!R37</f>
        <v/>
      </c>
      <c r="N19" s="139">
        <f>MAX(0,M19-M18)</f>
        <v/>
      </c>
      <c r="O19" s="138">
        <f>IF(B19&lt;='VALOR POR PL'!$P$5,'CP RESUMO'!R79,"")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RESUMO'!S37</f>
        <v/>
      </c>
      <c r="N20" s="139">
        <f>MAX(0,M20-M19)</f>
        <v/>
      </c>
      <c r="O20" s="138">
        <f>IF(B20&lt;='VALOR POR PL'!$P$5,'CP RESUMO'!S79,"")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RESUMO'!T37</f>
        <v/>
      </c>
      <c r="N21" s="139">
        <f>MAX(0,M21-M20)</f>
        <v/>
      </c>
      <c r="O21" s="138">
        <f>IF(B21&lt;='VALOR POR PL'!$P$5,'CP RESUMO'!T79,"")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RESUMO'!U37</f>
        <v/>
      </c>
      <c r="N22" s="139">
        <f>MAX(0,M22-M21)</f>
        <v/>
      </c>
      <c r="O22" s="138">
        <f>IF(B22&lt;='VALOR POR PL'!$P$5,'CP RESUMO'!U79,"")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RESUMO'!V37</f>
        <v/>
      </c>
      <c r="N23" s="139">
        <f>MAX(0,M23-M22)</f>
        <v/>
      </c>
      <c r="O23" s="138">
        <f>IF(B23&lt;='VALOR POR PL'!$P$5,'CP RESUMO'!V79,"")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RESUMO'!W37</f>
        <v/>
      </c>
      <c r="N24" s="139">
        <f>MAX(0,M24-M23)</f>
        <v/>
      </c>
      <c r="O24" s="138">
        <f>IF(B24&lt;='VALOR POR PL'!$P$5,'CP RESUMO'!W79,"")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RESUMO'!X37</f>
        <v/>
      </c>
      <c r="N25" s="139">
        <f>MAX(0,M25-M24)</f>
        <v/>
      </c>
      <c r="O25" s="138">
        <f>IF(B25&lt;='VALOR POR PL'!$P$5,'CP RESUMO'!X79,"")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RESUMO'!Y37</f>
        <v/>
      </c>
      <c r="N26" s="139">
        <f>MAX(0,M26-M25)</f>
        <v/>
      </c>
      <c r="O26" s="138">
        <f>IF(B26&lt;='VALOR POR PL'!$P$5,'CP RESUMO'!Y79,"")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RESUMO'!Z37</f>
        <v/>
      </c>
      <c r="N27" s="139">
        <f>MAX(0,M27-M26)</f>
        <v/>
      </c>
      <c r="O27" s="138">
        <f>IF(B27&lt;='VALOR POR PL'!$P$5,'CP RESUMO'!Z79,"")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RESUMO'!AA37</f>
        <v/>
      </c>
      <c r="N28" s="139">
        <f>MAX(0,M28-M27)</f>
        <v/>
      </c>
      <c r="O28" s="138">
        <f>IF(B28&lt;='VALOR POR PL'!$P$5,'CP RESUMO'!AA79,"")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RESUMO'!AB37</f>
        <v/>
      </c>
      <c r="N29" s="139">
        <f>MAX(0,M29-M28)</f>
        <v/>
      </c>
      <c r="O29" s="138">
        <f>IF(B29&lt;='VALOR POR PL'!$P$5,'CP RESUMO'!AB79,"")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RESUMO'!AC37</f>
        <v/>
      </c>
      <c r="N30" s="139">
        <f>MAX(0,M30-M29)</f>
        <v/>
      </c>
      <c r="O30" s="138">
        <f>IF(B30&lt;='VALOR POR PL'!$P$5,'CP RESUMO'!AC79,"")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RESUMO'!AD37</f>
        <v/>
      </c>
      <c r="N31" s="139">
        <f>MAX(0,M31-M30)</f>
        <v/>
      </c>
      <c r="O31" s="138">
        <f>IF(B31&lt;='VALOR POR PL'!$P$5,'CP RESUMO'!AD79,"")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RESUMO'!AE37</f>
        <v/>
      </c>
      <c r="N32" s="139">
        <f>MAX(0,M32-M31)</f>
        <v/>
      </c>
      <c r="O32" s="138">
        <f>IF(B32&lt;='VALOR POR PL'!$P$5,'CP RESUMO'!AE79,"")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L33" s="49">
        <f>C33/IF(B33&lt;='VALOR POR PL'!$P$5,IFERROR(INDEX('"INCC-FGV"'!$B$2:$B$800,MATCH(B33,'"INCC-FGV"'!$A$2:$A$800,0)),$K$2),$K$2)</f>
        <v/>
      </c>
      <c r="M33" s="138">
        <f>'CP RESUMO'!AF37</f>
        <v/>
      </c>
      <c r="N33" s="139">
        <f>MAX(0,M33-M32)</f>
        <v/>
      </c>
      <c r="O33" s="138">
        <f>IF(B33&lt;='VALOR POR PL'!$P$5,'CP RESUMO'!AF79,"")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RESUMO'!AG37</f>
        <v/>
      </c>
      <c r="N34" s="139">
        <f>MAX(0,M34-M33)</f>
        <v/>
      </c>
      <c r="O34" s="138">
        <f>IF(B34&lt;='VALOR POR PL'!$P$5,'CP RESUMO'!AG79,"")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L35" s="49">
        <f>C35/IF(B35&lt;='VALOR POR PL'!$P$5,IFERROR(INDEX('"INCC-FGV"'!$B$2:$B$800,MATCH(B35,'"INCC-FGV"'!$A$2:$A$800,0)),$K$2),$K$2)</f>
        <v/>
      </c>
      <c r="M35" s="138">
        <f>'CP RESUMO'!AH37</f>
        <v/>
      </c>
      <c r="N35" s="139">
        <f>MAX(0,M35-M34)</f>
        <v/>
      </c>
      <c r="O35" s="138">
        <f>IF(B35&lt;='VALOR POR PL'!$P$5,'CP RESUMO'!AH79,"")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L36" s="49">
        <f>C36/IF(B36&lt;='VALOR POR PL'!$P$5,IFERROR(INDEX('"INCC-FGV"'!$B$2:$B$800,MATCH(B36,'"INCC-FGV"'!$A$2:$A$800,0)),$K$2),$K$2)</f>
        <v/>
      </c>
      <c r="M36" s="138">
        <f>'CP RESUMO'!AI37</f>
        <v/>
      </c>
      <c r="N36" s="139">
        <f>MAX(0,M36-M35)</f>
        <v/>
      </c>
      <c r="O36" s="138">
        <f>IF(B36&lt;='VALOR POR PL'!$P$5,'CP RESUMO'!AI79,"")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/>
      <c r="L37" s="49">
        <f>C37/IF(B37&lt;='VALOR POR PL'!$P$5,IFERROR(INDEX('"INCC-FGV"'!$B$2:$B$800,MATCH(B37,'"INCC-FGV"'!$A$2:$A$800,0)),$K$2),$K$2)</f>
        <v/>
      </c>
      <c r="M37" s="138">
        <f>'CP RESUMO'!AJ37</f>
        <v/>
      </c>
      <c r="N37" s="139">
        <f>MAX(0,M37-M36)</f>
        <v/>
      </c>
      <c r="O37" s="138">
        <f>IF(B37&lt;='VALOR POR PL'!$P$5,'CP RESUMO'!AJ79,"")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202419.5</v>
      </c>
      <c r="L38" s="49">
        <f>C38/IF(B38&lt;='VALOR POR PL'!$P$5,IFERROR(INDEX('"INCC-FGV"'!$B$2:$B$800,MATCH(B38,'"INCC-FGV"'!$A$2:$A$800,0)),$K$2),$K$2)</f>
        <v/>
      </c>
      <c r="M38" s="138">
        <f>'CP RESUMO'!AK37</f>
        <v/>
      </c>
      <c r="N38" s="139">
        <f>MAX(0,M38-M37)</f>
        <v/>
      </c>
      <c r="O38" s="138">
        <f>IF(B38&lt;='VALOR POR PL'!$P$5,'CP RESUMO'!AK79,"")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202419.5</v>
      </c>
      <c r="L39" s="49">
        <f>C39/IF(B39&lt;='VALOR POR PL'!$P$5,IFERROR(INDEX('"INCC-FGV"'!$B$2:$B$800,MATCH(B39,'"INCC-FGV"'!$A$2:$A$800,0)),$K$2),$K$2)</f>
        <v/>
      </c>
      <c r="M39" s="138">
        <f>'CP RESUMO'!AL37</f>
        <v/>
      </c>
      <c r="N39" s="139">
        <f>MAX(0,M39-M38)</f>
        <v/>
      </c>
      <c r="O39" s="138">
        <f>IF(B39&lt;='VALOR POR PL'!$P$5,'CP RESUMO'!AL79,"")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202419.5</v>
      </c>
      <c r="L40" s="49">
        <f>C40/IF(B40&lt;='VALOR POR PL'!$P$5,IFERROR(INDEX('"INCC-FGV"'!$B$2:$B$800,MATCH(B40,'"INCC-FGV"'!$A$2:$A$800,0)),$K$2),$K$2)</f>
        <v/>
      </c>
      <c r="M40" s="138">
        <f>'CP RESUMO'!AM37</f>
        <v/>
      </c>
      <c r="N40" s="139">
        <f>MAX(0,M40-M39)</f>
        <v/>
      </c>
      <c r="O40" s="138">
        <f>IF(B40&lt;='VALOR POR PL'!$P$5,'CP RESUMO'!AM79,"")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202419.5</v>
      </c>
      <c r="L41" s="49">
        <f>C41/IF(B41&lt;='VALOR POR PL'!$P$5,IFERROR(INDEX('"INCC-FGV"'!$B$2:$B$800,MATCH(B41,'"INCC-FGV"'!$A$2:$A$800,0)),$K$2),$K$2)</f>
        <v/>
      </c>
      <c r="M41" s="138">
        <f>'CP RESUMO'!AN37</f>
        <v/>
      </c>
      <c r="N41" s="139">
        <f>MAX(0,M41-M40)</f>
        <v/>
      </c>
      <c r="O41" s="138">
        <f>IF(B41&lt;='VALOR POR PL'!$P$5,'CP RESUMO'!AN79,"")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202419.5</v>
      </c>
      <c r="L42" s="49">
        <f>C42/IF(B42&lt;='VALOR POR PL'!$P$5,IFERROR(INDEX('"INCC-FGV"'!$B$2:$B$800,MATCH(B42,'"INCC-FGV"'!$A$2:$A$800,0)),$K$2),$K$2)</f>
        <v/>
      </c>
      <c r="M42" s="138">
        <f>'CP RESUMO'!AO37</f>
        <v/>
      </c>
      <c r="N42" s="139">
        <f>MAX(0,M42-M41)</f>
        <v/>
      </c>
      <c r="O42" s="138">
        <f>IF(B42&lt;='VALOR POR PL'!$P$5,'CP RESUMO'!AO79,"")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202419.5</v>
      </c>
      <c r="L43" s="49">
        <f>C43/IF(B43&lt;='VALOR POR PL'!$P$5,IFERROR(INDEX('"INCC-FGV"'!$B$2:$B$800,MATCH(B43,'"INCC-FGV"'!$A$2:$A$800,0)),$K$2),$K$2)</f>
        <v/>
      </c>
      <c r="M43" s="138">
        <f>'CP RESUMO'!AP37</f>
        <v/>
      </c>
      <c r="N43" s="139">
        <f>MAX(0,M43-M42)</f>
        <v/>
      </c>
      <c r="O43" s="138">
        <f>IF(B43&lt;='VALOR POR PL'!$P$5,'CP RESUMO'!AP79,"")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202419.5</v>
      </c>
      <c r="L44" s="49">
        <f>C44/IF(B44&lt;='VALOR POR PL'!$P$5,IFERROR(INDEX('"INCC-FGV"'!$B$2:$B$800,MATCH(B44,'"INCC-FGV"'!$A$2:$A$800,0)),$K$2),$K$2)</f>
        <v/>
      </c>
      <c r="M44" s="138">
        <f>'CP RESUMO'!AQ37</f>
        <v/>
      </c>
      <c r="N44" s="139">
        <f>MAX(0,M44-M43)</f>
        <v/>
      </c>
      <c r="O44" s="138">
        <f>IF(B44&lt;='VALOR POR PL'!$P$5,'CP RESUMO'!AQ79,"")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202419.5</v>
      </c>
      <c r="L45" s="49">
        <f>C45/IF(B45&lt;='VALOR POR PL'!$P$5,IFERROR(INDEX('"INCC-FGV"'!$B$2:$B$800,MATCH(B45,'"INCC-FGV"'!$A$2:$A$800,0)),$K$2),$K$2)</f>
        <v/>
      </c>
      <c r="M45" s="138">
        <f>'CP RESUMO'!AR37</f>
        <v/>
      </c>
      <c r="N45" s="139">
        <f>MAX(0,M45-M44)</f>
        <v/>
      </c>
      <c r="O45" s="138">
        <f>IF(B45&lt;='VALOR POR PL'!$P$5,'CP RESUMO'!AR79,"")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202419.5</v>
      </c>
      <c r="L46" s="49">
        <f>C46/IF(B46&lt;='VALOR POR PL'!$P$5,IFERROR(INDEX('"INCC-FGV"'!$B$2:$B$800,MATCH(B46,'"INCC-FGV"'!$A$2:$A$800,0)),$K$2),$K$2)</f>
        <v/>
      </c>
      <c r="M46" s="138">
        <f>'CP RESUMO'!AS37</f>
        <v/>
      </c>
      <c r="N46" s="139">
        <f>MAX(0,M46-M45)</f>
        <v/>
      </c>
      <c r="O46" s="138">
        <f>IF(B46&lt;='VALOR POR PL'!$P$5,'CP RESUMO'!AS79,"")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202419.5</v>
      </c>
      <c r="L47" s="49">
        <f>C47/IF(B47&lt;='VALOR POR PL'!$P$5,IFERROR(INDEX('"INCC-FGV"'!$B$2:$B$800,MATCH(B47,'"INCC-FGV"'!$A$2:$A$800,0)),$K$2),$K$2)</f>
        <v/>
      </c>
      <c r="M47" s="138">
        <f>'CP RESUMO'!AT37</f>
        <v/>
      </c>
      <c r="N47" s="139">
        <f>MAX(0,M47-M46)</f>
        <v/>
      </c>
      <c r="O47" s="138">
        <f>IF(B47&lt;='VALOR POR PL'!$P$5,'CP RESUMO'!AT79,"")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RESUMO'!AU37</f>
        <v/>
      </c>
      <c r="N48" s="139">
        <f>MAX(0,M48-M47)</f>
        <v/>
      </c>
      <c r="O48" s="138">
        <f>IF(B48&lt;='VALOR POR PL'!$P$5,'CP RESUMO'!AU79,"")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RESUMO'!AV37</f>
        <v/>
      </c>
      <c r="N49" s="139">
        <f>MAX(0,M49-M48)</f>
        <v/>
      </c>
      <c r="O49" s="138">
        <f>IF(B49&lt;='VALOR POR PL'!$P$5,'CP RESUMO'!AV79,"")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RESUMO'!AW37</f>
        <v/>
      </c>
      <c r="N50" s="139">
        <f>MAX(0,M50-M49)</f>
        <v/>
      </c>
      <c r="O50" s="138">
        <f>IF(B50&lt;='VALOR POR PL'!$P$5,'CP RESUMO'!AW79,"")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RESUMO'!AX37</f>
        <v/>
      </c>
      <c r="N51" s="139">
        <f>MAX(0,M51-M50)</f>
        <v/>
      </c>
      <c r="O51" s="138">
        <f>IF(B51&lt;='VALOR POR PL'!$P$5,'CP RESUMO'!AX79,"")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RESUMO'!AY37</f>
        <v/>
      </c>
      <c r="N52" s="139">
        <f>MAX(0,M52-M51)</f>
        <v/>
      </c>
      <c r="O52" s="138">
        <f>IF(B52&lt;='VALOR POR PL'!$P$5,'CP RESUMO'!AY79,"")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RESUMO'!AZ37</f>
        <v/>
      </c>
      <c r="N53" s="139">
        <f>MAX(0,M53-M52)</f>
        <v/>
      </c>
      <c r="O53" s="138">
        <f>IF(B53&lt;='VALOR POR PL'!$P$5,'CP RESUMO'!AZ79,"")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RESUMO'!BA37</f>
        <v/>
      </c>
      <c r="N54" s="139">
        <f>MAX(0,M54-M53)</f>
        <v/>
      </c>
      <c r="O54" s="138">
        <f>IF(B54&lt;='VALOR POR PL'!$P$5,'CP RESUMO'!BA79,"")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RESUMO'!BB37</f>
        <v/>
      </c>
      <c r="N55" s="139">
        <f>MAX(0,M55-M54)</f>
        <v/>
      </c>
      <c r="O55" s="138">
        <f>IF(B55&lt;='VALOR POR PL'!$P$5,'CP RESUMO'!BB79,"")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RESUMO'!BC37</f>
        <v/>
      </c>
      <c r="N56" s="139">
        <f>MAX(0,M56-M55)</f>
        <v/>
      </c>
      <c r="O56" s="138">
        <f>IF(B56&lt;='VALOR POR PL'!$P$5,'CP RESUMO'!BC79,"")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RESUMO'!BD37</f>
        <v/>
      </c>
      <c r="N57" s="139">
        <f>MAX(0,M57-M56)</f>
        <v/>
      </c>
      <c r="O57" s="138">
        <f>IF(B57&lt;='VALOR POR PL'!$P$5,'CP RESUMO'!BD79,"")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RESUMO'!BE37</f>
        <v/>
      </c>
      <c r="N58" s="139">
        <f>MAX(0,M58-M57)</f>
        <v/>
      </c>
      <c r="O58" s="138">
        <f>IF(B58&lt;='VALOR POR PL'!$P$5,'CP RESUMO'!BE79,"")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RESUMO'!BF37</f>
        <v/>
      </c>
      <c r="N59" s="139">
        <f>MAX(0,M59-M58)</f>
        <v/>
      </c>
      <c r="O59" s="138">
        <f>IF(B59&lt;='VALOR POR PL'!$P$5,'CP RESUMO'!BF79,"")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RESUMO'!BG37</f>
        <v/>
      </c>
      <c r="N60" s="139">
        <f>MAX(0,M60-M59)</f>
        <v/>
      </c>
      <c r="O60" s="138">
        <f>IF(B60&lt;='VALOR POR PL'!$P$5,'CP RESUMO'!BG79,"")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RESUMO'!BH37</f>
        <v/>
      </c>
      <c r="N61" s="139">
        <f>MAX(0,M61-M60)</f>
        <v/>
      </c>
      <c r="O61" s="138">
        <f>IF(B61&lt;='VALOR POR PL'!$P$5,'CP RESUMO'!BH79,"")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RESUMO'!BI37</f>
        <v/>
      </c>
      <c r="N62" s="139">
        <f>MAX(0,M62-M61)</f>
        <v/>
      </c>
      <c r="O62" s="138">
        <f>IF(B62&lt;='VALOR POR PL'!$P$5,'CP RESUMO'!BI79,"")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RESUMO'!BJ37</f>
        <v/>
      </c>
      <c r="N63" s="139">
        <f>MAX(0,M63-M62)</f>
        <v/>
      </c>
      <c r="O63" s="138">
        <f>IF(B63&lt;='VALOR POR PL'!$P$5,'CP RESUMO'!BJ79,"")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RESUMO'!BK37</f>
        <v/>
      </c>
      <c r="N64" s="139">
        <f>MAX(0,M64-M63)</f>
        <v/>
      </c>
      <c r="O64" s="138">
        <f>IF(B64&lt;='VALOR POR PL'!$P$5,'CP RESUMO'!BK79,"")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RESUMO'!BL37</f>
        <v/>
      </c>
      <c r="N65" s="139">
        <f>MAX(0,M65-M64)</f>
        <v/>
      </c>
      <c r="O65" s="138">
        <f>IF(B65&lt;='VALOR POR PL'!$P$5,'CP RESUMO'!BL79,"")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RESUMO'!BM37</f>
        <v/>
      </c>
      <c r="N66" s="139">
        <f>MAX(0,M66-M65)</f>
        <v/>
      </c>
      <c r="O66" s="138">
        <f>IF(B66&lt;='VALOR POR PL'!$P$5,'CP RESUMO'!BM79,"")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RESUMO'!BN37</f>
        <v/>
      </c>
      <c r="N67" s="139">
        <f>MAX(0,M67-M66)</f>
        <v/>
      </c>
      <c r="O67" s="138">
        <f>IF(B67&lt;='VALOR POR PL'!$P$5,'CP RESUMO'!BN79,"")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RESUMO'!BO37</f>
        <v/>
      </c>
      <c r="N68" s="139">
        <f>MAX(0,M68-M67)</f>
        <v/>
      </c>
      <c r="O68" s="138">
        <f>IF(B68&lt;='VALOR POR PL'!$P$5,'CP RESUMO'!BO79,"")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RESUMO'!BP37</f>
        <v/>
      </c>
      <c r="N69" s="139">
        <f>MAX(0,M69-M68)</f>
        <v/>
      </c>
      <c r="O69" s="138">
        <f>IF(B69&lt;='VALOR POR PL'!$P$5,'CP RESUMO'!BP79,"")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RESUMO'!BQ37</f>
        <v/>
      </c>
      <c r="N70" s="139">
        <f>MAX(0,M70-M69)</f>
        <v/>
      </c>
      <c r="O70" s="138">
        <f>IF(B70&lt;='VALOR POR PL'!$P$5,'CP RESUMO'!BQ79,"")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RESUMO'!BR37</f>
        <v/>
      </c>
      <c r="N71" s="139">
        <f>MAX(0,M71-M70)</f>
        <v/>
      </c>
      <c r="O71" s="138">
        <f>IF(B71&lt;='VALOR POR PL'!$P$5,'CP RESUMO'!BR79,"")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RESUMO'!BS37</f>
        <v/>
      </c>
      <c r="N72" s="139">
        <f>MAX(0,M72-M71)</f>
        <v/>
      </c>
      <c r="O72" s="138">
        <f>IF(B72&lt;='VALOR POR PL'!$P$5,'CP RESUMO'!BS79,"")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RESUMO'!BT37</f>
        <v/>
      </c>
      <c r="N73" s="139">
        <f>MAX(0,M73-M72)</f>
        <v/>
      </c>
      <c r="O73" s="138">
        <f>IF(B73&lt;='VALOR POR PL'!$P$5,'CP RESUMO'!BT79,"")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RESUMO'!BU37</f>
        <v/>
      </c>
      <c r="N74" s="139">
        <f>MAX(0,M74-M73)</f>
        <v/>
      </c>
      <c r="O74" s="138">
        <f>IF(B74&lt;='VALOR POR PL'!$P$5,'CP RESUMO'!BU79,"")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RESUMO'!BV37</f>
        <v/>
      </c>
      <c r="N75" s="139">
        <f>MAX(0,M75-M74)</f>
        <v/>
      </c>
      <c r="O75" s="138">
        <f>IF(B75&lt;='VALOR POR PL'!$P$5,'CP RESUMO'!BV79,"")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RESUMO'!BW37</f>
        <v/>
      </c>
      <c r="N76" s="139">
        <f>MAX(0,M76-M75)</f>
        <v/>
      </c>
      <c r="O76" s="138">
        <f>IF(B76&lt;='VALOR POR PL'!$P$5,'CP RESUMO'!BW79,"")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8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PL'!F44</f>
        <v/>
      </c>
      <c r="K5" s="60">
        <f>'VALOR POR PL'!G44</f>
        <v/>
      </c>
      <c r="L5" s="60">
        <f>'DADOS HISTORICOS'!$BZ$38</f>
        <v/>
      </c>
      <c r="M5" s="138">
        <f>'CP RESUMO'!D38</f>
        <v/>
      </c>
      <c r="N5" s="139" t="n">
        <v>0</v>
      </c>
      <c r="O5" s="138">
        <f>IF(B5&lt;='VALOR POR PL'!$P$5,'CP RESUMO'!D80,"")</f>
        <v/>
      </c>
      <c r="P5" s="72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9">
        <f>(IF(AND(1+$K$33&gt;=1,1+$K$33&lt;=72),INDEX($N$5:$N$76,1+$K$33),0)+IF(AND(1+$K$34&gt;=1,1+$K$34&lt;=72),INDEX($N$5:$N$76,1+$K$34),0)+IF(AND(1+$K$35&gt;=1,1+$K$35&lt;=72),INDEX($N$5:$N$76,1+$K$35),0))/3</f>
        <v/>
      </c>
      <c r="T5" s="139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40">
        <f>DATE(YEAR(B5),MONTH(B5)+1,1)</f>
        <v/>
      </c>
      <c r="C6" s="60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PL'!H44</f>
        <v/>
      </c>
      <c r="L6" s="49">
        <f>C6/IF(B6&lt;='VALOR POR PL'!$P$5,IFERROR(INDEX('"INCC-FGV"'!$B$2:$B$800,MATCH(B6,'"INCC-FGV"'!$A$2:$A$800,0)),$K$2),$K$2)</f>
        <v/>
      </c>
      <c r="M6" s="138">
        <f>'CP RESUMO'!E38</f>
        <v/>
      </c>
      <c r="N6" s="139">
        <f>MAX(0,M6-M5)</f>
        <v/>
      </c>
      <c r="O6" s="138">
        <f>IF(B6&lt;='VALOR POR PL'!$P$5,'CP RESUMO'!E80,"")</f>
        <v/>
      </c>
      <c r="P6" s="72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9">
        <f>(IF(AND(2+$K$33&gt;=1,2+$K$33&lt;=72),INDEX($N$5:$N$76,2+$K$33),0)+IF(AND(2+$K$34&gt;=1,2+$K$34&lt;=72),INDEX($N$5:$N$76,2+$K$34),0)+IF(AND(2+$K$35&gt;=1,2+$K$35&lt;=72),INDEX($N$5:$N$76,2+$K$35),0))/3</f>
        <v/>
      </c>
      <c r="T6" s="139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40">
        <f>DATE(YEAR(B6),MONTH(B6)+1,1)</f>
        <v/>
      </c>
      <c r="C7" s="60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RESUMO'!F38</f>
        <v/>
      </c>
      <c r="N7" s="139">
        <f>MAX(0,M7-M6)</f>
        <v/>
      </c>
      <c r="O7" s="138">
        <f>IF(B7&lt;='VALOR POR PL'!$P$5,'CP RESUMO'!F80,"")</f>
        <v/>
      </c>
      <c r="P7" s="72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9">
        <f>(IF(AND(3+$K$33&gt;=1,3+$K$33&lt;=72),INDEX($N$5:$N$76,3+$K$33),0)+IF(AND(3+$K$34&gt;=1,3+$K$34&lt;=72),INDEX($N$5:$N$76,3+$K$34),0)+IF(AND(3+$K$35&gt;=1,3+$K$35&lt;=72),INDEX($N$5:$N$76,3+$K$35),0))/3</f>
        <v/>
      </c>
      <c r="T7" s="139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40">
        <f>DATE(YEAR(B7),MONTH(B7)+1,1)</f>
        <v/>
      </c>
      <c r="C8" s="60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RESUMO'!G38</f>
        <v/>
      </c>
      <c r="N8" s="139">
        <f>MAX(0,M8-M7)</f>
        <v/>
      </c>
      <c r="O8" s="138">
        <f>IF(B8&lt;='VALOR POR PL'!$P$5,'CP RESUMO'!G80,"")</f>
        <v/>
      </c>
      <c r="P8" s="72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9">
        <f>(IF(AND(4+$K$33&gt;=1,4+$K$33&lt;=72),INDEX($N$5:$N$76,4+$K$33),0)+IF(AND(4+$K$34&gt;=1,4+$K$34&lt;=72),INDEX($N$5:$N$76,4+$K$34),0)+IF(AND(4+$K$35&gt;=1,4+$K$35&lt;=72),INDEX($N$5:$N$76,4+$K$35),0))/3</f>
        <v/>
      </c>
      <c r="T8" s="139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40">
        <f>DATE(YEAR(B8),MONTH(B8)+1,1)</f>
        <v/>
      </c>
      <c r="C9" s="60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RESUMO'!H38</f>
        <v/>
      </c>
      <c r="N9" s="139">
        <f>MAX(0,M9-M8)</f>
        <v/>
      </c>
      <c r="O9" s="138">
        <f>IF(B9&lt;='VALOR POR PL'!$P$5,'CP RESUMO'!H80,"")</f>
        <v/>
      </c>
      <c r="P9" s="72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9">
        <f>(IF(AND(5+$K$33&gt;=1,5+$K$33&lt;=72),INDEX($N$5:$N$76,5+$K$33),0)+IF(AND(5+$K$34&gt;=1,5+$K$34&lt;=72),INDEX($N$5:$N$76,5+$K$34),0)+IF(AND(5+$K$35&gt;=1,5+$K$35&lt;=72),INDEX($N$5:$N$76,5+$K$35),0))/3</f>
        <v/>
      </c>
      <c r="T9" s="139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40">
        <f>DATE(YEAR(B9),MONTH(B9)+1,1)</f>
        <v/>
      </c>
      <c r="C10" s="60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RESUMO'!I38</f>
        <v/>
      </c>
      <c r="N10" s="139">
        <f>MAX(0,M10-M9)</f>
        <v/>
      </c>
      <c r="O10" s="138">
        <f>IF(B10&lt;='VALOR POR PL'!$P$5,'CP RESUMO'!I80,"")</f>
        <v/>
      </c>
      <c r="P10" s="72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9">
        <f>(IF(AND(6+$K$33&gt;=1,6+$K$33&lt;=72),INDEX($N$5:$N$76,6+$K$33),0)+IF(AND(6+$K$34&gt;=1,6+$K$34&lt;=72),INDEX($N$5:$N$76,6+$K$34),0)+IF(AND(6+$K$35&gt;=1,6+$K$35&lt;=72),INDEX($N$5:$N$76,6+$K$35),0))/3</f>
        <v/>
      </c>
      <c r="T10" s="139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40">
        <f>DATE(YEAR(B10),MONTH(B10)+1,1)</f>
        <v/>
      </c>
      <c r="C11" s="60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RESUMO'!J38</f>
        <v/>
      </c>
      <c r="N11" s="139">
        <f>MAX(0,M11-M10)</f>
        <v/>
      </c>
      <c r="O11" s="138">
        <f>IF(B11&lt;='VALOR POR PL'!$P$5,'CP RESUMO'!J80,"")</f>
        <v/>
      </c>
      <c r="P11" s="72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9">
        <f>(IF(AND(7+$K$33&gt;=1,7+$K$33&lt;=72),INDEX($N$5:$N$76,7+$K$33),0)+IF(AND(7+$K$34&gt;=1,7+$K$34&lt;=72),INDEX($N$5:$N$76,7+$K$34),0)+IF(AND(7+$K$35&gt;=1,7+$K$35&lt;=72),INDEX($N$5:$N$76,7+$K$35),0))/3</f>
        <v/>
      </c>
      <c r="T11" s="139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40">
        <f>DATE(YEAR(B11),MONTH(B11)+1,1)</f>
        <v/>
      </c>
      <c r="C12" s="60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RESUMO'!K38</f>
        <v/>
      </c>
      <c r="N12" s="139">
        <f>MAX(0,M12-M11)</f>
        <v/>
      </c>
      <c r="O12" s="138">
        <f>IF(B12&lt;='VALOR POR PL'!$P$5,'CP RESUMO'!K80,"")</f>
        <v/>
      </c>
      <c r="P12" s="72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9">
        <f>(IF(AND(8+$K$33&gt;=1,8+$K$33&lt;=72),INDEX($N$5:$N$76,8+$K$33),0)+IF(AND(8+$K$34&gt;=1,8+$K$34&lt;=72),INDEX($N$5:$N$76,8+$K$34),0)+IF(AND(8+$K$35&gt;=1,8+$K$35&lt;=72),INDEX($N$5:$N$76,8+$K$35),0))/3</f>
        <v/>
      </c>
      <c r="T12" s="139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40">
        <f>DATE(YEAR(B12),MONTH(B12)+1,1)</f>
        <v/>
      </c>
      <c r="C13" s="60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PL'!I44</f>
        <v/>
      </c>
      <c r="L13" s="49">
        <f>C13/IF(B13&lt;='VALOR POR PL'!$P$5,IFERROR(INDEX('"INCC-FGV"'!$B$2:$B$800,MATCH(B13,'"INCC-FGV"'!$A$2:$A$800,0)),$K$2),$K$2)</f>
        <v/>
      </c>
      <c r="M13" s="138">
        <f>'CP RESUMO'!L38</f>
        <v/>
      </c>
      <c r="N13" s="139">
        <f>MAX(0,M13-M12)</f>
        <v/>
      </c>
      <c r="O13" s="138">
        <f>IF(B13&lt;='VALOR POR PL'!$P$5,'CP RESUMO'!L80,"")</f>
        <v/>
      </c>
      <c r="P13" s="72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9">
        <f>(IF(AND(9+$K$33&gt;=1,9+$K$33&lt;=72),INDEX($N$5:$N$76,9+$K$33),0)+IF(AND(9+$K$34&gt;=1,9+$K$34&lt;=72),INDEX($N$5:$N$76,9+$K$34),0)+IF(AND(9+$K$35&gt;=1,9+$K$35&lt;=72),INDEX($N$5:$N$76,9+$K$35),0))/3</f>
        <v/>
      </c>
      <c r="T13" s="139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40">
        <f>DATE(YEAR(B13),MONTH(B13)+1,1)</f>
        <v/>
      </c>
      <c r="C14" s="60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RESUMO'!$D$80:$BW$80,MATCH('VALOR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RESUMO'!M38</f>
        <v/>
      </c>
      <c r="N14" s="139">
        <f>MAX(0,M14-M13)</f>
        <v/>
      </c>
      <c r="O14" s="138">
        <f>IF(B14&lt;='VALOR POR PL'!$P$5,'CP RESUMO'!M80,"")</f>
        <v/>
      </c>
      <c r="P14" s="72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9">
        <f>(IF(AND(10+$K$33&gt;=1,10+$K$33&lt;=72),INDEX($N$5:$N$76,10+$K$33),0)+IF(AND(10+$K$34&gt;=1,10+$K$34&lt;=72),INDEX($N$5:$N$76,10+$K$34),0)+IF(AND(10+$K$35&gt;=1,10+$K$35&lt;=72),INDEX($N$5:$N$76,10+$K$35),0))/3</f>
        <v/>
      </c>
      <c r="T14" s="139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40">
        <f>DATE(YEAR(B14),MONTH(B14)+1,1)</f>
        <v/>
      </c>
      <c r="C15" s="60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MDO PREVISION + MATERIAL PREMISSA</t>
        </is>
      </c>
      <c r="L15" s="49">
        <f>C15/IF(B15&lt;='VALOR POR PL'!$P$5,IFERROR(INDEX('"INCC-FGV"'!$B$2:$B$800,MATCH(B15,'"INCC-FGV"'!$A$2:$A$800,0)),$K$2),$K$2)</f>
        <v/>
      </c>
      <c r="M15" s="138">
        <f>'CP RESUMO'!N38</f>
        <v/>
      </c>
      <c r="N15" s="139">
        <f>MAX(0,M15-M14)</f>
        <v/>
      </c>
      <c r="O15" s="138">
        <f>IF(B15&lt;='VALOR POR PL'!$P$5,'CP RESUMO'!N80,"")</f>
        <v/>
      </c>
      <c r="P15" s="72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9">
        <f>(IF(AND(11+$K$33&gt;=1,11+$K$33&lt;=72),INDEX($N$5:$N$76,11+$K$33),0)+IF(AND(11+$K$34&gt;=1,11+$K$34&lt;=72),INDEX($N$5:$N$76,11+$K$34),0)+IF(AND(11+$K$35&gt;=1,11+$K$35&lt;=72),INDEX($N$5:$N$76,11+$K$35),0))/3</f>
        <v/>
      </c>
      <c r="T15" s="139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40">
        <f>DATE(YEAR(B15),MONTH(B15)+1,1)</f>
        <v/>
      </c>
      <c r="C16" s="60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L16" s="49">
        <f>C16/IF(B16&lt;='VALOR POR PL'!$P$5,IFERROR(INDEX('"INCC-FGV"'!$B$2:$B$800,MATCH(B16,'"INCC-FGV"'!$A$2:$A$800,0)),$K$2),$K$2)</f>
        <v/>
      </c>
      <c r="M16" s="138">
        <f>'CP RESUMO'!O38</f>
        <v/>
      </c>
      <c r="N16" s="139">
        <f>MAX(0,M16-M15)</f>
        <v/>
      </c>
      <c r="O16" s="138">
        <f>IF(B16&lt;='VALOR POR PL'!$P$5,'CP RESUMO'!O80,"")</f>
        <v/>
      </c>
      <c r="P16" s="72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9">
        <f>(IF(AND(12+$K$33&gt;=1,12+$K$33&lt;=72),INDEX($N$5:$N$76,12+$K$33),0)+IF(AND(12+$K$34&gt;=1,12+$K$34&lt;=72),INDEX($N$5:$N$76,12+$K$34),0)+IF(AND(12+$K$35&gt;=1,12+$K$35&lt;=72),INDEX($N$5:$N$76,12+$K$35),0))/3</f>
        <v/>
      </c>
      <c r="T16" s="139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40">
        <f>DATE(YEAR(B16),MONTH(B16)+1,1)</f>
        <v/>
      </c>
      <c r="C17" s="60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RESUMO'!P38</f>
        <v/>
      </c>
      <c r="N17" s="139">
        <f>MAX(0,M17-M16)</f>
        <v/>
      </c>
      <c r="O17" s="138">
        <f>IF(B17&lt;='VALOR POR PL'!$P$5,'CP RESUMO'!P80,"")</f>
        <v/>
      </c>
      <c r="P17" s="72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9">
        <f>(IF(AND(13+$K$33&gt;=1,13+$K$33&lt;=72),INDEX($N$5:$N$76,13+$K$33),0)+IF(AND(13+$K$34&gt;=1,13+$K$34&lt;=72),INDEX($N$5:$N$76,13+$K$34),0)+IF(AND(13+$K$35&gt;=1,13+$K$35&lt;=72),INDEX($N$5:$N$76,13+$K$35),0))/3</f>
        <v/>
      </c>
      <c r="T17" s="139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40">
        <f>DATE(YEAR(B17),MONTH(B17)+1,1)</f>
        <v/>
      </c>
      <c r="C18" s="60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RESUMO'!Q38</f>
        <v/>
      </c>
      <c r="N18" s="139">
        <f>MAX(0,M18-M17)</f>
        <v/>
      </c>
      <c r="O18" s="138">
        <f>IF(B18&lt;='VALOR POR PL'!$P$5,'CP RESUMO'!Q80,"")</f>
        <v/>
      </c>
      <c r="P18" s="72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9">
        <f>(IF(AND(14+$K$33&gt;=1,14+$K$33&lt;=72),INDEX($N$5:$N$76,14+$K$33),0)+IF(AND(14+$K$34&gt;=1,14+$K$34&lt;=72),INDEX($N$5:$N$76,14+$K$34),0)+IF(AND(14+$K$35&gt;=1,14+$K$35&lt;=72),INDEX($N$5:$N$76,14+$K$35),0))/3</f>
        <v/>
      </c>
      <c r="T18" s="139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40">
        <f>DATE(YEAR(B18),MONTH(B18)+1,1)</f>
        <v/>
      </c>
      <c r="C19" s="60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RESUMO'!R38</f>
        <v/>
      </c>
      <c r="N19" s="139">
        <f>MAX(0,M19-M18)</f>
        <v/>
      </c>
      <c r="O19" s="138">
        <f>IF(B19&lt;='VALOR POR PL'!$P$5,'CP RESUMO'!R80,"")</f>
        <v/>
      </c>
      <c r="P19" s="72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9">
        <f>(IF(AND(15+$K$33&gt;=1,15+$K$33&lt;=72),INDEX($N$5:$N$76,15+$K$33),0)+IF(AND(15+$K$34&gt;=1,15+$K$34&lt;=72),INDEX($N$5:$N$76,15+$K$34),0)+IF(AND(15+$K$35&gt;=1,15+$K$35&lt;=72),INDEX($N$5:$N$76,15+$K$35),0))/3</f>
        <v/>
      </c>
      <c r="T19" s="139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RESUMO'!S38</f>
        <v/>
      </c>
      <c r="N20" s="139">
        <f>MAX(0,M20-M19)</f>
        <v/>
      </c>
      <c r="O20" s="138">
        <f>IF(B20&lt;='VALOR POR PL'!$P$5,'CP RESUMO'!S80,"")</f>
        <v/>
      </c>
      <c r="P20" s="72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9">
        <f>(IF(AND(16+$K$33&gt;=1,16+$K$33&lt;=72),INDEX($N$5:$N$76,16+$K$33),0)+IF(AND(16+$K$34&gt;=1,16+$K$34&lt;=72),INDEX($N$5:$N$76,16+$K$34),0)+IF(AND(16+$K$35&gt;=1,16+$K$35&lt;=72),INDEX($N$5:$N$76,16+$K$35),0))/3</f>
        <v/>
      </c>
      <c r="T20" s="139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40">
        <f>DATE(YEAR(B20),MONTH(B20)+1,1)</f>
        <v/>
      </c>
      <c r="C21" s="60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RESUMO'!T38</f>
        <v/>
      </c>
      <c r="N21" s="139">
        <f>MAX(0,M21-M20)</f>
        <v/>
      </c>
      <c r="O21" s="138">
        <f>IF(B21&lt;='VALOR POR PL'!$P$5,'CP RESUMO'!T80,"")</f>
        <v/>
      </c>
      <c r="P21" s="72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9">
        <f>(IF(AND(17+$K$33&gt;=1,17+$K$33&lt;=72),INDEX($N$5:$N$76,17+$K$33),0)+IF(AND(17+$K$34&gt;=1,17+$K$34&lt;=72),INDEX($N$5:$N$76,17+$K$34),0)+IF(AND(17+$K$35&gt;=1,17+$K$35&lt;=72),INDEX($N$5:$N$76,17+$K$35),0))/3</f>
        <v/>
      </c>
      <c r="T21" s="139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40">
        <f>DATE(YEAR(B21),MONTH(B21)+1,1)</f>
        <v/>
      </c>
      <c r="C22" s="60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RESUMO'!U38</f>
        <v/>
      </c>
      <c r="N22" s="139">
        <f>MAX(0,M22-M21)</f>
        <v/>
      </c>
      <c r="O22" s="138">
        <f>IF(B22&lt;='VALOR POR PL'!$P$5,'CP RESUMO'!U80,"")</f>
        <v/>
      </c>
      <c r="P22" s="72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9">
        <f>(IF(AND(18+$K$33&gt;=1,18+$K$33&lt;=72),INDEX($N$5:$N$76,18+$K$33),0)+IF(AND(18+$K$34&gt;=1,18+$K$34&lt;=72),INDEX($N$5:$N$76,18+$K$34),0)+IF(AND(18+$K$35&gt;=1,18+$K$35&lt;=72),INDEX($N$5:$N$76,18+$K$35),0))/3</f>
        <v/>
      </c>
      <c r="T22" s="139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40">
        <f>DATE(YEAR(B22),MONTH(B22)+1,1)</f>
        <v/>
      </c>
      <c r="C23" s="60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RESUMO'!V38</f>
        <v/>
      </c>
      <c r="N23" s="139">
        <f>MAX(0,M23-M22)</f>
        <v/>
      </c>
      <c r="O23" s="138">
        <f>IF(B23&lt;='VALOR POR PL'!$P$5,'CP RESUMO'!V80,"")</f>
        <v/>
      </c>
      <c r="P23" s="72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9">
        <f>(IF(AND(19+$K$33&gt;=1,19+$K$33&lt;=72),INDEX($N$5:$N$76,19+$K$33),0)+IF(AND(19+$K$34&gt;=1,19+$K$34&lt;=72),INDEX($N$5:$N$76,19+$K$34),0)+IF(AND(19+$K$35&gt;=1,19+$K$35&lt;=72),INDEX($N$5:$N$76,19+$K$35),0))/3</f>
        <v/>
      </c>
      <c r="T23" s="139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inlineStr">
        <is>
          <t>Saldo dividido: MDO segue a curva do Prevision; material segue a premissa (pedido antecipado, pagamento 28/56/84 dias).</t>
        </is>
      </c>
      <c r="L24" s="49">
        <f>C24/IF(B24&lt;='VALOR POR PL'!$P$5,IFERROR(INDEX('"INCC-FGV"'!$B$2:$B$800,MATCH(B24,'"INCC-FGV"'!$A$2:$A$800,0)),$K$2),$K$2)</f>
        <v/>
      </c>
      <c r="M24" s="138">
        <f>'CP RESUMO'!W38</f>
        <v/>
      </c>
      <c r="N24" s="139">
        <f>MAX(0,M24-M23)</f>
        <v/>
      </c>
      <c r="O24" s="138">
        <f>IF(B24&lt;='VALOR POR PL'!$P$5,'CP RESUMO'!W80,"")</f>
        <v/>
      </c>
      <c r="P24" s="72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9">
        <f>(IF(AND(20+$K$33&gt;=1,20+$K$33&lt;=72),INDEX($N$5:$N$76,20+$K$33),0)+IF(AND(20+$K$34&gt;=1,20+$K$34&lt;=72),INDEX($N$5:$N$76,20+$K$34),0)+IF(AND(20+$K$35&gt;=1,20+$K$35&lt;=72),INDEX($N$5:$N$76,20+$K$35),0))/3</f>
        <v/>
      </c>
      <c r="T24" s="139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40">
        <f>DATE(YEAR(B24),MONTH(B24)+1,1)</f>
        <v/>
      </c>
      <c r="C25" s="60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I25" s="66" t="inlineStr">
        <is>
          <t>DIVISÃO MDO × MATERIAL</t>
        </is>
      </c>
      <c r="J25" s="67" t="n"/>
      <c r="K25" s="68" t="n"/>
      <c r="L25" s="49">
        <f>C25/IF(B25&lt;='VALOR POR PL'!$P$5,IFERROR(INDEX('"INCC-FGV"'!$B$2:$B$800,MATCH(B25,'"INCC-FGV"'!$A$2:$A$800,0)),$K$2),$K$2)</f>
        <v/>
      </c>
      <c r="M25" s="138">
        <f>'CP RESUMO'!X38</f>
        <v/>
      </c>
      <c r="N25" s="139">
        <f>MAX(0,M25-M24)</f>
        <v/>
      </c>
      <c r="O25" s="138">
        <f>IF(B25&lt;='VALOR POR PL'!$P$5,'CP RESUMO'!X80,"")</f>
        <v/>
      </c>
      <c r="P25" s="72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9">
        <f>(IF(AND(21+$K$33&gt;=1,21+$K$33&lt;=72),INDEX($N$5:$N$76,21+$K$33),0)+IF(AND(21+$K$34&gt;=1,21+$K$34&lt;=72),INDEX($N$5:$N$76,21+$K$34),0)+IF(AND(21+$K$35&gt;=1,21+$K$35&lt;=72),INDEX($N$5:$N$76,21+$K$35),0))/3</f>
        <v/>
      </c>
      <c r="T25" s="139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40">
        <f>DATE(YEAR(B25),MONTH(B25)+1,1)</f>
        <v/>
      </c>
      <c r="C26" s="60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I26" s="46" t="inlineStr">
        <is>
          <t>% MÃO DE OBRA (segue a curva do Prevision)</t>
        </is>
      </c>
      <c r="K26" s="55" t="n">
        <v>0.4</v>
      </c>
      <c r="L26" s="49">
        <f>C26/IF(B26&lt;='VALOR POR PL'!$P$5,IFERROR(INDEX('"INCC-FGV"'!$B$2:$B$800,MATCH(B26,'"INCC-FGV"'!$A$2:$A$800,0)),$K$2),$K$2)</f>
        <v/>
      </c>
      <c r="M26" s="138">
        <f>'CP RESUMO'!Y38</f>
        <v/>
      </c>
      <c r="N26" s="139">
        <f>MAX(0,M26-M25)</f>
        <v/>
      </c>
      <c r="O26" s="138">
        <f>IF(B26&lt;='VALOR POR PL'!$P$5,'CP RESUMO'!Y80,"")</f>
        <v/>
      </c>
      <c r="P26" s="72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9">
        <f>(IF(AND(22+$K$33&gt;=1,22+$K$33&lt;=72),INDEX($N$5:$N$76,22+$K$33),0)+IF(AND(22+$K$34&gt;=1,22+$K$34&lt;=72),INDEX($N$5:$N$76,22+$K$34),0)+IF(AND(22+$K$35&gt;=1,22+$K$35&lt;=72),INDEX($N$5:$N$76,22+$K$35),0))/3</f>
        <v/>
      </c>
      <c r="T26" s="139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40">
        <f>DATE(YEAR(B26),MONTH(B26)+1,1)</f>
        <v/>
      </c>
      <c r="C27" s="60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I27" s="46" t="inlineStr">
        <is>
          <t>% MATERIAL (segue a premissa)</t>
        </is>
      </c>
      <c r="K27" s="146">
        <f>1-K26</f>
        <v/>
      </c>
      <c r="L27" s="49">
        <f>C27/IF(B27&lt;='VALOR POR PL'!$P$5,IFERROR(INDEX('"INCC-FGV"'!$B$2:$B$800,MATCH(B27,'"INCC-FGV"'!$A$2:$A$800,0)),$K$2),$K$2)</f>
        <v/>
      </c>
      <c r="M27" s="138">
        <f>'CP RESUMO'!Z38</f>
        <v/>
      </c>
      <c r="N27" s="139">
        <f>MAX(0,M27-M26)</f>
        <v/>
      </c>
      <c r="O27" s="138">
        <f>IF(B27&lt;='VALOR POR PL'!$P$5,'CP RESUMO'!Z80,"")</f>
        <v/>
      </c>
      <c r="P27" s="72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9">
        <f>(IF(AND(23+$K$33&gt;=1,23+$K$33&lt;=72),INDEX($N$5:$N$76,23+$K$33),0)+IF(AND(23+$K$34&gt;=1,23+$K$34&lt;=72),INDEX($N$5:$N$76,23+$K$34),0)+IF(AND(23+$K$35&gt;=1,23+$K$35&lt;=72),INDEX($N$5:$N$76,23+$K$35),0))/3</f>
        <v/>
      </c>
      <c r="T27" s="139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40">
        <f>DATE(YEAR(B27),MONTH(B27)+1,1)</f>
        <v/>
      </c>
      <c r="C28" s="60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I28" s="46" t="inlineStr">
        <is>
          <t>ANTECEDÊNCIA DO PEDIDO (dias antes da instalação)</t>
        </is>
      </c>
      <c r="K28" s="147" t="n">
        <v>180</v>
      </c>
      <c r="L28" s="49">
        <f>C28/IF(B28&lt;='VALOR POR PL'!$P$5,IFERROR(INDEX('"INCC-FGV"'!$B$2:$B$800,MATCH(B28,'"INCC-FGV"'!$A$2:$A$800,0)),$K$2),$K$2)</f>
        <v/>
      </c>
      <c r="M28" s="138">
        <f>'CP RESUMO'!AA38</f>
        <v/>
      </c>
      <c r="N28" s="139">
        <f>MAX(0,M28-M27)</f>
        <v/>
      </c>
      <c r="O28" s="138">
        <f>IF(B28&lt;='VALOR POR PL'!$P$5,'CP RESUMO'!AA80,"")</f>
        <v/>
      </c>
      <c r="P28" s="72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9">
        <f>(IF(AND(24+$K$33&gt;=1,24+$K$33&lt;=72),INDEX($N$5:$N$76,24+$K$33),0)+IF(AND(24+$K$34&gt;=1,24+$K$34&lt;=72),INDEX($N$5:$N$76,24+$K$34),0)+IF(AND(24+$K$35&gt;=1,24+$K$35&lt;=72),INDEX($N$5:$N$76,24+$K$35),0))/3</f>
        <v/>
      </c>
      <c r="T28" s="139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40">
        <f>DATE(YEAR(B28),MONTH(B28)+1,1)</f>
        <v/>
      </c>
      <c r="C29" s="60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I29" s="46" t="inlineStr">
        <is>
          <t>1ª PARCELA (dias após o pedido)</t>
        </is>
      </c>
      <c r="K29" s="147" t="n">
        <v>28</v>
      </c>
      <c r="L29" s="49">
        <f>C29/IF(B29&lt;='VALOR POR PL'!$P$5,IFERROR(INDEX('"INCC-FGV"'!$B$2:$B$800,MATCH(B29,'"INCC-FGV"'!$A$2:$A$800,0)),$K$2),$K$2)</f>
        <v/>
      </c>
      <c r="M29" s="138">
        <f>'CP RESUMO'!AB38</f>
        <v/>
      </c>
      <c r="N29" s="139">
        <f>MAX(0,M29-M28)</f>
        <v/>
      </c>
      <c r="O29" s="138">
        <f>IF(B29&lt;='VALOR POR PL'!$P$5,'CP RESUMO'!AB80,"")</f>
        <v/>
      </c>
      <c r="P29" s="72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9">
        <f>(IF(AND(25+$K$33&gt;=1,25+$K$33&lt;=72),INDEX($N$5:$N$76,25+$K$33),0)+IF(AND(25+$K$34&gt;=1,25+$K$34&lt;=72),INDEX($N$5:$N$76,25+$K$34),0)+IF(AND(25+$K$35&gt;=1,25+$K$35&lt;=72),INDEX($N$5:$N$76,25+$K$35),0))/3</f>
        <v/>
      </c>
      <c r="T29" s="139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40">
        <f>DATE(YEAR(B29),MONTH(B29)+1,1)</f>
        <v/>
      </c>
      <c r="C30" s="60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I30" s="46" t="inlineStr">
        <is>
          <t>2ª PARCELA (dias após o pedido)</t>
        </is>
      </c>
      <c r="K30" s="147" t="n">
        <v>56</v>
      </c>
      <c r="L30" s="49">
        <f>C30/IF(B30&lt;='VALOR POR PL'!$P$5,IFERROR(INDEX('"INCC-FGV"'!$B$2:$B$800,MATCH(B30,'"INCC-FGV"'!$A$2:$A$800,0)),$K$2),$K$2)</f>
        <v/>
      </c>
      <c r="M30" s="138">
        <f>'CP RESUMO'!AC38</f>
        <v/>
      </c>
      <c r="N30" s="139">
        <f>MAX(0,M30-M29)</f>
        <v/>
      </c>
      <c r="O30" s="138">
        <f>IF(B30&lt;='VALOR POR PL'!$P$5,'CP RESUMO'!AC80,"")</f>
        <v/>
      </c>
      <c r="P30" s="72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9">
        <f>(IF(AND(26+$K$33&gt;=1,26+$K$33&lt;=72),INDEX($N$5:$N$76,26+$K$33),0)+IF(AND(26+$K$34&gt;=1,26+$K$34&lt;=72),INDEX($N$5:$N$76,26+$K$34),0)+IF(AND(26+$K$35&gt;=1,26+$K$35&lt;=72),INDEX($N$5:$N$76,26+$K$35),0))/3</f>
        <v/>
      </c>
      <c r="T30" s="139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40">
        <f>DATE(YEAR(B30),MONTH(B30)+1,1)</f>
        <v/>
      </c>
      <c r="C31" s="60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I31" s="46" t="inlineStr">
        <is>
          <t>3ª PARCELA (dias após o pedido)</t>
        </is>
      </c>
      <c r="K31" s="147" t="n">
        <v>84</v>
      </c>
      <c r="L31" s="49">
        <f>C31/IF(B31&lt;='VALOR POR PL'!$P$5,IFERROR(INDEX('"INCC-FGV"'!$B$2:$B$800,MATCH(B31,'"INCC-FGV"'!$A$2:$A$800,0)),$K$2),$K$2)</f>
        <v/>
      </c>
      <c r="M31" s="138">
        <f>'CP RESUMO'!AD38</f>
        <v/>
      </c>
      <c r="N31" s="139">
        <f>MAX(0,M31-M30)</f>
        <v/>
      </c>
      <c r="O31" s="138">
        <f>IF(B31&lt;='VALOR POR PL'!$P$5,'CP RESUMO'!AD80,"")</f>
        <v/>
      </c>
      <c r="P31" s="72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9">
        <f>(IF(AND(27+$K$33&gt;=1,27+$K$33&lt;=72),INDEX($N$5:$N$76,27+$K$33),0)+IF(AND(27+$K$34&gt;=1,27+$K$34&lt;=72),INDEX($N$5:$N$76,27+$K$34),0)+IF(AND(27+$K$35&gt;=1,27+$K$35&lt;=72),INDEX($N$5:$N$76,27+$K$35),0))/3</f>
        <v/>
      </c>
      <c r="T31" s="139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40">
        <f>DATE(YEAR(B31),MONTH(B31)+1,1)</f>
        <v/>
      </c>
      <c r="C32" s="60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I32" s="46" t="inlineStr">
        <is>
          <t>Σ PESOS DO MATERIAL (meses futuros)</t>
        </is>
      </c>
      <c r="K32" s="139">
        <f>SUM(T5:T76)</f>
        <v/>
      </c>
      <c r="L32" s="49">
        <f>C32/IF(B32&lt;='VALOR POR PL'!$P$5,IFERROR(INDEX('"INCC-FGV"'!$B$2:$B$800,MATCH(B32,'"INCC-FGV"'!$A$2:$A$800,0)),$K$2),$K$2)</f>
        <v/>
      </c>
      <c r="M32" s="138">
        <f>'CP RESUMO'!AE38</f>
        <v/>
      </c>
      <c r="N32" s="139">
        <f>MAX(0,M32-M31)</f>
        <v/>
      </c>
      <c r="O32" s="138">
        <f>IF(B32&lt;='VALOR POR PL'!$P$5,'CP RESUMO'!AE80,"")</f>
        <v/>
      </c>
      <c r="P32" s="72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9">
        <f>(IF(AND(28+$K$33&gt;=1,28+$K$33&lt;=72),INDEX($N$5:$N$76,28+$K$33),0)+IF(AND(28+$K$34&gt;=1,28+$K$34&lt;=72),INDEX($N$5:$N$76,28+$K$34),0)+IF(AND(28+$K$35&gt;=1,28+$K$35&lt;=72),INDEX($N$5:$N$76,28+$K$35),0))/3</f>
        <v/>
      </c>
      <c r="T32" s="139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40">
        <f>DATE(YEAR(B32),MONTH(B32)+1,1)</f>
        <v/>
      </c>
      <c r="C33" s="60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/>
      <c r="I33" s="46" t="inlineStr">
        <is>
          <t>Parcela 1 paga X meses antes da instalação</t>
        </is>
      </c>
      <c r="K33" s="69">
        <f>ROUND((K28-K29)/30,0)</f>
        <v/>
      </c>
      <c r="L33" s="49">
        <f>C33/IF(B33&lt;='VALOR POR PL'!$P$5,IFERROR(INDEX('"INCC-FGV"'!$B$2:$B$800,MATCH(B33,'"INCC-FGV"'!$A$2:$A$800,0)),$K$2),$K$2)</f>
        <v/>
      </c>
      <c r="M33" s="138">
        <f>'CP RESUMO'!AF38</f>
        <v/>
      </c>
      <c r="N33" s="139">
        <f>MAX(0,M33-M32)</f>
        <v/>
      </c>
      <c r="O33" s="138">
        <f>IF(B33&lt;='VALOR POR PL'!$P$5,'CP RESUMO'!AF80,"")</f>
        <v/>
      </c>
      <c r="P33" s="72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9">
        <f>(IF(AND(29+$K$33&gt;=1,29+$K$33&lt;=72),INDEX($N$5:$N$76,29+$K$33),0)+IF(AND(29+$K$34&gt;=1,29+$K$34&lt;=72),INDEX($N$5:$N$76,29+$K$34),0)+IF(AND(29+$K$35&gt;=1,29+$K$35&lt;=72),INDEX($N$5:$N$76,29+$K$35),0))/3</f>
        <v/>
      </c>
      <c r="T33" s="139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40">
        <f>DATE(YEAR(B33),MONTH(B33)+1,1)</f>
        <v/>
      </c>
      <c r="C34" s="60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I34" s="46" t="inlineStr">
        <is>
          <t>Parcela 2 paga X meses antes da instalação</t>
        </is>
      </c>
      <c r="K34" s="69">
        <f>ROUND((K28-K30)/30,0)</f>
        <v/>
      </c>
      <c r="L34" s="49">
        <f>C34/IF(B34&lt;='VALOR POR PL'!$P$5,IFERROR(INDEX('"INCC-FGV"'!$B$2:$B$800,MATCH(B34,'"INCC-FGV"'!$A$2:$A$800,0)),$K$2),$K$2)</f>
        <v/>
      </c>
      <c r="M34" s="138">
        <f>'CP RESUMO'!AG38</f>
        <v/>
      </c>
      <c r="N34" s="139">
        <f>MAX(0,M34-M33)</f>
        <v/>
      </c>
      <c r="O34" s="138">
        <f>IF(B34&lt;='VALOR POR PL'!$P$5,'CP RESUMO'!AG80,"")</f>
        <v/>
      </c>
      <c r="P34" s="72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9">
        <f>(IF(AND(30+$K$33&gt;=1,30+$K$33&lt;=72),INDEX($N$5:$N$76,30+$K$33),0)+IF(AND(30+$K$34&gt;=1,30+$K$34&lt;=72),INDEX($N$5:$N$76,30+$K$34),0)+IF(AND(30+$K$35&gt;=1,30+$K$35&lt;=72),INDEX($N$5:$N$76,30+$K$35),0))/3</f>
        <v/>
      </c>
      <c r="T34" s="139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40">
        <f>DATE(YEAR(B34),MONTH(B34)+1,1)</f>
        <v/>
      </c>
      <c r="C35" s="60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/>
      <c r="I35" s="46" t="inlineStr">
        <is>
          <t>Parcela 3 paga X meses antes da instalação</t>
        </is>
      </c>
      <c r="K35" s="69">
        <f>ROUND((K28-K31)/30,0)</f>
        <v/>
      </c>
      <c r="L35" s="49">
        <f>C35/IF(B35&lt;='VALOR POR PL'!$P$5,IFERROR(INDEX('"INCC-FGV"'!$B$2:$B$800,MATCH(B35,'"INCC-FGV"'!$A$2:$A$800,0)),$K$2),$K$2)</f>
        <v/>
      </c>
      <c r="M35" s="138">
        <f>'CP RESUMO'!AH38</f>
        <v/>
      </c>
      <c r="N35" s="139">
        <f>MAX(0,M35-M34)</f>
        <v/>
      </c>
      <c r="O35" s="138">
        <f>IF(B35&lt;='VALOR POR PL'!$P$5,'CP RESUMO'!AH80,"")</f>
        <v/>
      </c>
      <c r="P35" s="72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9">
        <f>(IF(AND(31+$K$33&gt;=1,31+$K$33&lt;=72),INDEX($N$5:$N$76,31+$K$33),0)+IF(AND(31+$K$34&gt;=1,31+$K$34&lt;=72),INDEX($N$5:$N$76,31+$K$34),0)+IF(AND(31+$K$35&gt;=1,31+$K$35&lt;=72),INDEX($N$5:$N$76,31+$K$35),0))/3</f>
        <v/>
      </c>
      <c r="T35" s="139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40">
        <f>DATE(YEAR(B35),MONTH(B35)+1,1)</f>
        <v/>
      </c>
      <c r="C36" s="60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/>
      <c r="I36" s="46" t="inlineStr">
        <is>
          <t>MDO no fluxo (R$)</t>
        </is>
      </c>
      <c r="K36" s="49">
        <f>SUM(R5:R76)</f>
        <v/>
      </c>
      <c r="L36" s="49">
        <f>C36/IF(B36&lt;='VALOR POR PL'!$P$5,IFERROR(INDEX('"INCC-FGV"'!$B$2:$B$800,MATCH(B36,'"INCC-FGV"'!$A$2:$A$800,0)),$K$2),$K$2)</f>
        <v/>
      </c>
      <c r="M36" s="138">
        <f>'CP RESUMO'!AI38</f>
        <v/>
      </c>
      <c r="N36" s="139">
        <f>MAX(0,M36-M35)</f>
        <v/>
      </c>
      <c r="O36" s="138">
        <f>IF(B36&lt;='VALOR POR PL'!$P$5,'CP RESUMO'!AI80,"")</f>
        <v/>
      </c>
      <c r="P36" s="72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9">
        <f>(IF(AND(32+$K$33&gt;=1,32+$K$33&lt;=72),INDEX($N$5:$N$76,32+$K$33),0)+IF(AND(32+$K$34&gt;=1,32+$K$34&lt;=72),INDEX($N$5:$N$76,32+$K$34),0)+IF(AND(32+$K$35&gt;=1,32+$K$35&lt;=72),INDEX($N$5:$N$76,32+$K$35),0))/3</f>
        <v/>
      </c>
      <c r="T36" s="139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40">
        <f>DATE(YEAR(B36),MONTH(B36)+1,1)</f>
        <v/>
      </c>
      <c r="C37" s="60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60846.8</v>
      </c>
      <c r="I37" s="46" t="inlineStr">
        <is>
          <t>MATERIAL no fluxo (R$)</t>
        </is>
      </c>
      <c r="K37" s="49">
        <f>SUM(U5:U76)</f>
        <v/>
      </c>
      <c r="L37" s="49">
        <f>C37/IF(B37&lt;='VALOR POR PL'!$P$5,IFERROR(INDEX('"INCC-FGV"'!$B$2:$B$800,MATCH(B37,'"INCC-FGV"'!$A$2:$A$800,0)),$K$2),$K$2)</f>
        <v/>
      </c>
      <c r="M37" s="138">
        <f>'CP RESUMO'!AJ38</f>
        <v/>
      </c>
      <c r="N37" s="139">
        <f>MAX(0,M37-M36)</f>
        <v/>
      </c>
      <c r="O37" s="138">
        <f>IF(B37&lt;='VALOR POR PL'!$P$5,'CP RESUMO'!AJ80,"")</f>
        <v/>
      </c>
      <c r="P37" s="72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9">
        <f>(IF(AND(33+$K$33&gt;=1,33+$K$33&lt;=72),INDEX($N$5:$N$76,33+$K$33),0)+IF(AND(33+$K$34&gt;=1,33+$K$34&lt;=72),INDEX($N$5:$N$76,33+$K$34),0)+IF(AND(33+$K$35&gt;=1,33+$K$35&lt;=72),INDEX($N$5:$N$76,33+$K$35),0))/3</f>
        <v/>
      </c>
      <c r="T37" s="139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40">
        <f>DATE(YEAR(B37),MONTH(B37)+1,1)</f>
        <v/>
      </c>
      <c r="C38" s="60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55034.2</v>
      </c>
      <c r="L38" s="49">
        <f>C38/IF(B38&lt;='VALOR POR PL'!$P$5,IFERROR(INDEX('"INCC-FGV"'!$B$2:$B$800,MATCH(B38,'"INCC-FGV"'!$A$2:$A$800,0)),$K$2),$K$2)</f>
        <v/>
      </c>
      <c r="M38" s="138">
        <f>'CP RESUMO'!AK38</f>
        <v/>
      </c>
      <c r="N38" s="139">
        <f>MAX(0,M38-M37)</f>
        <v/>
      </c>
      <c r="O38" s="138">
        <f>IF(B38&lt;='VALOR POR PL'!$P$5,'CP RESUMO'!AK80,"")</f>
        <v/>
      </c>
      <c r="P38" s="72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9">
        <f>(IF(AND(34+$K$33&gt;=1,34+$K$33&lt;=72),INDEX($N$5:$N$76,34+$K$33),0)+IF(AND(34+$K$34&gt;=1,34+$K$34&lt;=72),INDEX($N$5:$N$76,34+$K$34),0)+IF(AND(34+$K$35&gt;=1,34+$K$35&lt;=72),INDEX($N$5:$N$76,34+$K$35),0))/3</f>
        <v/>
      </c>
      <c r="T38" s="139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40">
        <f>DATE(YEAR(B38),MONTH(B38)+1,1)</f>
        <v/>
      </c>
      <c r="C39" s="60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74945.45</v>
      </c>
      <c r="L39" s="49">
        <f>C39/IF(B39&lt;='VALOR POR PL'!$P$5,IFERROR(INDEX('"INCC-FGV"'!$B$2:$B$800,MATCH(B39,'"INCC-FGV"'!$A$2:$A$800,0)),$K$2),$K$2)</f>
        <v/>
      </c>
      <c r="M39" s="138">
        <f>'CP RESUMO'!AL38</f>
        <v/>
      </c>
      <c r="N39" s="139">
        <f>MAX(0,M39-M38)</f>
        <v/>
      </c>
      <c r="O39" s="138">
        <f>IF(B39&lt;='VALOR POR PL'!$P$5,'CP RESUMO'!AL80,"")</f>
        <v/>
      </c>
      <c r="P39" s="72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9">
        <f>(IF(AND(35+$K$33&gt;=1,35+$K$33&lt;=72),INDEX($N$5:$N$76,35+$K$33),0)+IF(AND(35+$K$34&gt;=1,35+$K$34&lt;=72),INDEX($N$5:$N$76,35+$K$34),0)+IF(AND(35+$K$35&gt;=1,35+$K$35&lt;=72),INDEX($N$5:$N$76,35+$K$35),0))/3</f>
        <v/>
      </c>
      <c r="T39" s="139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40">
        <f>DATE(YEAR(B39),MONTH(B39)+1,1)</f>
        <v/>
      </c>
      <c r="C40" s="60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41677.58</v>
      </c>
      <c r="L40" s="49">
        <f>C40/IF(B40&lt;='VALOR POR PL'!$P$5,IFERROR(INDEX('"INCC-FGV"'!$B$2:$B$800,MATCH(B40,'"INCC-FGV"'!$A$2:$A$800,0)),$K$2),$K$2)</f>
        <v/>
      </c>
      <c r="M40" s="138">
        <f>'CP RESUMO'!AM38</f>
        <v/>
      </c>
      <c r="N40" s="139">
        <f>MAX(0,M40-M39)</f>
        <v/>
      </c>
      <c r="O40" s="138">
        <f>IF(B40&lt;='VALOR POR PL'!$P$5,'CP RESUMO'!AM80,"")</f>
        <v/>
      </c>
      <c r="P40" s="72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9">
        <f>(IF(AND(36+$K$33&gt;=1,36+$K$33&lt;=72),INDEX($N$5:$N$76,36+$K$33),0)+IF(AND(36+$K$34&gt;=1,36+$K$34&lt;=72),INDEX($N$5:$N$76,36+$K$34),0)+IF(AND(36+$K$35&gt;=1,36+$K$35&lt;=72),INDEX($N$5:$N$76,36+$K$35),0))/3</f>
        <v/>
      </c>
      <c r="T40" s="139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40">
        <f>DATE(YEAR(B40),MONTH(B40)+1,1)</f>
        <v/>
      </c>
      <c r="C41" s="60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69380.19</v>
      </c>
      <c r="L41" s="49">
        <f>C41/IF(B41&lt;='VALOR POR PL'!$P$5,IFERROR(INDEX('"INCC-FGV"'!$B$2:$B$800,MATCH(B41,'"INCC-FGV"'!$A$2:$A$800,0)),$K$2),$K$2)</f>
        <v/>
      </c>
      <c r="M41" s="138">
        <f>'CP RESUMO'!AN38</f>
        <v/>
      </c>
      <c r="N41" s="139">
        <f>MAX(0,M41-M40)</f>
        <v/>
      </c>
      <c r="O41" s="138">
        <f>IF(B41&lt;='VALOR POR PL'!$P$5,'CP RESUMO'!AN80,"")</f>
        <v/>
      </c>
      <c r="P41" s="72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9">
        <f>(IF(AND(37+$K$33&gt;=1,37+$K$33&lt;=72),INDEX($N$5:$N$76,37+$K$33),0)+IF(AND(37+$K$34&gt;=1,37+$K$34&lt;=72),INDEX($N$5:$N$76,37+$K$34),0)+IF(AND(37+$K$35&gt;=1,37+$K$35&lt;=72),INDEX($N$5:$N$76,37+$K$35),0))/3</f>
        <v/>
      </c>
      <c r="T41" s="139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40">
        <f>DATE(YEAR(B41),MONTH(B41)+1,1)</f>
        <v/>
      </c>
      <c r="C42" s="60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142099.54</v>
      </c>
      <c r="L42" s="49">
        <f>C42/IF(B42&lt;='VALOR POR PL'!$P$5,IFERROR(INDEX('"INCC-FGV"'!$B$2:$B$800,MATCH(B42,'"INCC-FGV"'!$A$2:$A$800,0)),$K$2),$K$2)</f>
        <v/>
      </c>
      <c r="M42" s="138">
        <f>'CP RESUMO'!AO38</f>
        <v/>
      </c>
      <c r="N42" s="139">
        <f>MAX(0,M42-M41)</f>
        <v/>
      </c>
      <c r="O42" s="138">
        <f>IF(B42&lt;='VALOR POR PL'!$P$5,'CP RESUMO'!AO80,"")</f>
        <v/>
      </c>
      <c r="P42" s="72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9">
        <f>(IF(AND(38+$K$33&gt;=1,38+$K$33&lt;=72),INDEX($N$5:$N$76,38+$K$33),0)+IF(AND(38+$K$34&gt;=1,38+$K$34&lt;=72),INDEX($N$5:$N$76,38+$K$34),0)+IF(AND(38+$K$35&gt;=1,38+$K$35&lt;=72),INDEX($N$5:$N$76,38+$K$35),0))/3</f>
        <v/>
      </c>
      <c r="T42" s="139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40">
        <f>DATE(YEAR(B42),MONTH(B42)+1,1)</f>
        <v/>
      </c>
      <c r="C43" s="60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174007</v>
      </c>
      <c r="L43" s="49">
        <f>C43/IF(B43&lt;='VALOR POR PL'!$P$5,IFERROR(INDEX('"INCC-FGV"'!$B$2:$B$800,MATCH(B43,'"INCC-FGV"'!$A$2:$A$800,0)),$K$2),$K$2)</f>
        <v/>
      </c>
      <c r="M43" s="138">
        <f>'CP RESUMO'!AP38</f>
        <v/>
      </c>
      <c r="N43" s="139">
        <f>MAX(0,M43-M42)</f>
        <v/>
      </c>
      <c r="O43" s="138">
        <f>IF(B43&lt;='VALOR POR PL'!$P$5,'CP RESUMO'!AP80,"")</f>
        <v/>
      </c>
      <c r="P43" s="72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9">
        <f>(IF(AND(39+$K$33&gt;=1,39+$K$33&lt;=72),INDEX($N$5:$N$76,39+$K$33),0)+IF(AND(39+$K$34&gt;=1,39+$K$34&lt;=72),INDEX($N$5:$N$76,39+$K$34),0)+IF(AND(39+$K$35&gt;=1,39+$K$35&lt;=72),INDEX($N$5:$N$76,39+$K$35),0))/3</f>
        <v/>
      </c>
      <c r="T43" s="139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40">
        <f>DATE(YEAR(B43),MONTH(B43)+1,1)</f>
        <v/>
      </c>
      <c r="C44" s="60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176480.45</v>
      </c>
      <c r="L44" s="49">
        <f>C44/IF(B44&lt;='VALOR POR PL'!$P$5,IFERROR(INDEX('"INCC-FGV"'!$B$2:$B$800,MATCH(B44,'"INCC-FGV"'!$A$2:$A$800,0)),$K$2),$K$2)</f>
        <v/>
      </c>
      <c r="M44" s="138">
        <f>'CP RESUMO'!AQ38</f>
        <v/>
      </c>
      <c r="N44" s="139">
        <f>MAX(0,M44-M43)</f>
        <v/>
      </c>
      <c r="O44" s="138">
        <f>IF(B44&lt;='VALOR POR PL'!$P$5,'CP RESUMO'!AQ80,"")</f>
        <v/>
      </c>
      <c r="P44" s="72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9">
        <f>(IF(AND(40+$K$33&gt;=1,40+$K$33&lt;=72),INDEX($N$5:$N$76,40+$K$33),0)+IF(AND(40+$K$34&gt;=1,40+$K$34&lt;=72),INDEX($N$5:$N$76,40+$K$34),0)+IF(AND(40+$K$35&gt;=1,40+$K$35&lt;=72),INDEX($N$5:$N$76,40+$K$35),0))/3</f>
        <v/>
      </c>
      <c r="T44" s="139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40">
        <f>DATE(YEAR(B44),MONTH(B44)+1,1)</f>
        <v/>
      </c>
      <c r="C45" s="60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105121.5</v>
      </c>
      <c r="L45" s="49">
        <f>C45/IF(B45&lt;='VALOR POR PL'!$P$5,IFERROR(INDEX('"INCC-FGV"'!$B$2:$B$800,MATCH(B45,'"INCC-FGV"'!$A$2:$A$800,0)),$K$2),$K$2)</f>
        <v/>
      </c>
      <c r="M45" s="138">
        <f>'CP RESUMO'!AR38</f>
        <v/>
      </c>
      <c r="N45" s="139">
        <f>MAX(0,M45-M44)</f>
        <v/>
      </c>
      <c r="O45" s="138">
        <f>IF(B45&lt;='VALOR POR PL'!$P$5,'CP RESUMO'!AR80,"")</f>
        <v/>
      </c>
      <c r="P45" s="72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9">
        <f>(IF(AND(41+$K$33&gt;=1,41+$K$33&lt;=72),INDEX($N$5:$N$76,41+$K$33),0)+IF(AND(41+$K$34&gt;=1,41+$K$34&lt;=72),INDEX($N$5:$N$76,41+$K$34),0)+IF(AND(41+$K$35&gt;=1,41+$K$35&lt;=72),INDEX($N$5:$N$76,41+$K$35),0))/3</f>
        <v/>
      </c>
      <c r="T45" s="139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40">
        <f>DATE(YEAR(B45),MONTH(B45)+1,1)</f>
        <v/>
      </c>
      <c r="C46" s="60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165720.96</v>
      </c>
      <c r="L46" s="49">
        <f>C46/IF(B46&lt;='VALOR POR PL'!$P$5,IFERROR(INDEX('"INCC-FGV"'!$B$2:$B$800,MATCH(B46,'"INCC-FGV"'!$A$2:$A$800,0)),$K$2),$K$2)</f>
        <v/>
      </c>
      <c r="M46" s="138">
        <f>'CP RESUMO'!AS38</f>
        <v/>
      </c>
      <c r="N46" s="139">
        <f>MAX(0,M46-M45)</f>
        <v/>
      </c>
      <c r="O46" s="138">
        <f>IF(B46&lt;='VALOR POR PL'!$P$5,'CP RESUMO'!AS80,"")</f>
        <v/>
      </c>
      <c r="P46" s="72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9">
        <f>(IF(AND(42+$K$33&gt;=1,42+$K$33&lt;=72),INDEX($N$5:$N$76,42+$K$33),0)+IF(AND(42+$K$34&gt;=1,42+$K$34&lt;=72),INDEX($N$5:$N$76,42+$K$34),0)+IF(AND(42+$K$35&gt;=1,42+$K$35&lt;=72),INDEX($N$5:$N$76,42+$K$35),0))/3</f>
        <v/>
      </c>
      <c r="T46" s="139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40">
        <f>DATE(YEAR(B46),MONTH(B46)+1,1)</f>
        <v/>
      </c>
      <c r="C47" s="60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105121.5</v>
      </c>
      <c r="L47" s="49">
        <f>C47/IF(B47&lt;='VALOR POR PL'!$P$5,IFERROR(INDEX('"INCC-FGV"'!$B$2:$B$800,MATCH(B47,'"INCC-FGV"'!$A$2:$A$800,0)),$K$2),$K$2)</f>
        <v/>
      </c>
      <c r="M47" s="138">
        <f>'CP RESUMO'!AT38</f>
        <v/>
      </c>
      <c r="N47" s="139">
        <f>MAX(0,M47-M46)</f>
        <v/>
      </c>
      <c r="O47" s="138">
        <f>IF(B47&lt;='VALOR POR PL'!$P$5,'CP RESUMO'!AT80,"")</f>
        <v/>
      </c>
      <c r="P47" s="72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9">
        <f>(IF(AND(43+$K$33&gt;=1,43+$K$33&lt;=72),INDEX($N$5:$N$76,43+$K$33),0)+IF(AND(43+$K$34&gt;=1,43+$K$34&lt;=72),INDEX($N$5:$N$76,43+$K$34),0)+IF(AND(43+$K$35&gt;=1,43+$K$35&lt;=72),INDEX($N$5:$N$76,43+$K$35),0))/3</f>
        <v/>
      </c>
      <c r="T47" s="139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40">
        <f>DATE(YEAR(B47),MONTH(B47)+1,1)</f>
        <v/>
      </c>
      <c r="C48" s="60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66288.38</v>
      </c>
      <c r="L48" s="49">
        <f>C48/IF(B48&lt;='VALOR POR PL'!$P$5,IFERROR(INDEX('"INCC-FGV"'!$B$2:$B$800,MATCH(B48,'"INCC-FGV"'!$A$2:$A$800,0)),$K$2),$K$2)</f>
        <v/>
      </c>
      <c r="M48" s="138">
        <f>'CP RESUMO'!AU38</f>
        <v/>
      </c>
      <c r="N48" s="139">
        <f>MAX(0,M48-M47)</f>
        <v/>
      </c>
      <c r="O48" s="138">
        <f>IF(B48&lt;='VALOR POR PL'!$P$5,'CP RESUMO'!AU80,"")</f>
        <v/>
      </c>
      <c r="P48" s="72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9">
        <f>(IF(AND(44+$K$33&gt;=1,44+$K$33&lt;=72),INDEX($N$5:$N$76,44+$K$33),0)+IF(AND(44+$K$34&gt;=1,44+$K$34&lt;=72),INDEX($N$5:$N$76,44+$K$34),0)+IF(AND(44+$K$35&gt;=1,44+$K$35&lt;=72),INDEX($N$5:$N$76,44+$K$35),0))/3</f>
        <v/>
      </c>
      <c r="T48" s="139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40">
        <f>DATE(YEAR(B48),MONTH(B48)+1,1)</f>
        <v/>
      </c>
      <c r="C49" s="60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RESUMO'!AV38</f>
        <v/>
      </c>
      <c r="N49" s="139">
        <f>MAX(0,M49-M48)</f>
        <v/>
      </c>
      <c r="O49" s="138">
        <f>IF(B49&lt;='VALOR POR PL'!$P$5,'CP RESUMO'!AV80,"")</f>
        <v/>
      </c>
      <c r="P49" s="72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9">
        <f>(IF(AND(45+$K$33&gt;=1,45+$K$33&lt;=72),INDEX($N$5:$N$76,45+$K$33),0)+IF(AND(45+$K$34&gt;=1,45+$K$34&lt;=72),INDEX($N$5:$N$76,45+$K$34),0)+IF(AND(45+$K$35&gt;=1,45+$K$35&lt;=72),INDEX($N$5:$N$76,45+$K$35),0))/3</f>
        <v/>
      </c>
      <c r="T49" s="139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40">
        <f>DATE(YEAR(B49),MONTH(B49)+1,1)</f>
        <v/>
      </c>
      <c r="C50" s="60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RESUMO'!AW38</f>
        <v/>
      </c>
      <c r="N50" s="139">
        <f>MAX(0,M50-M49)</f>
        <v/>
      </c>
      <c r="O50" s="138">
        <f>IF(B50&lt;='VALOR POR PL'!$P$5,'CP RESUMO'!AW80,"")</f>
        <v/>
      </c>
      <c r="P50" s="72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9">
        <f>(IF(AND(46+$K$33&gt;=1,46+$K$33&lt;=72),INDEX($N$5:$N$76,46+$K$33),0)+IF(AND(46+$K$34&gt;=1,46+$K$34&lt;=72),INDEX($N$5:$N$76,46+$K$34),0)+IF(AND(46+$K$35&gt;=1,46+$K$35&lt;=72),INDEX($N$5:$N$76,46+$K$35),0))/3</f>
        <v/>
      </c>
      <c r="T50" s="139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40">
        <f>DATE(YEAR(B50),MONTH(B50)+1,1)</f>
        <v/>
      </c>
      <c r="C51" s="60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RESUMO'!AX38</f>
        <v/>
      </c>
      <c r="N51" s="139">
        <f>MAX(0,M51-M50)</f>
        <v/>
      </c>
      <c r="O51" s="138">
        <f>IF(B51&lt;='VALOR POR PL'!$P$5,'CP RESUMO'!AX80,"")</f>
        <v/>
      </c>
      <c r="P51" s="72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9">
        <f>(IF(AND(47+$K$33&gt;=1,47+$K$33&lt;=72),INDEX($N$5:$N$76,47+$K$33),0)+IF(AND(47+$K$34&gt;=1,47+$K$34&lt;=72),INDEX($N$5:$N$76,47+$K$34),0)+IF(AND(47+$K$35&gt;=1,47+$K$35&lt;=72),INDEX($N$5:$N$76,47+$K$35),0))/3</f>
        <v/>
      </c>
      <c r="T51" s="139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40">
        <f>DATE(YEAR(B51),MONTH(B51)+1,1)</f>
        <v/>
      </c>
      <c r="C52" s="60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RESUMO'!AY38</f>
        <v/>
      </c>
      <c r="N52" s="139">
        <f>MAX(0,M52-M51)</f>
        <v/>
      </c>
      <c r="O52" s="138">
        <f>IF(B52&lt;='VALOR POR PL'!$P$5,'CP RESUMO'!AY80,"")</f>
        <v/>
      </c>
      <c r="P52" s="72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9">
        <f>(IF(AND(48+$K$33&gt;=1,48+$K$33&lt;=72),INDEX($N$5:$N$76,48+$K$33),0)+IF(AND(48+$K$34&gt;=1,48+$K$34&lt;=72),INDEX($N$5:$N$76,48+$K$34),0)+IF(AND(48+$K$35&gt;=1,48+$K$35&lt;=72),INDEX($N$5:$N$76,48+$K$35),0))/3</f>
        <v/>
      </c>
      <c r="T52" s="139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40">
        <f>DATE(YEAR(B52),MONTH(B52)+1,1)</f>
        <v/>
      </c>
      <c r="C53" s="60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RESUMO'!AZ38</f>
        <v/>
      </c>
      <c r="N53" s="139">
        <f>MAX(0,M53-M52)</f>
        <v/>
      </c>
      <c r="O53" s="138">
        <f>IF(B53&lt;='VALOR POR PL'!$P$5,'CP RESUMO'!AZ80,"")</f>
        <v/>
      </c>
      <c r="P53" s="72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9">
        <f>(IF(AND(49+$K$33&gt;=1,49+$K$33&lt;=72),INDEX($N$5:$N$76,49+$K$33),0)+IF(AND(49+$K$34&gt;=1,49+$K$34&lt;=72),INDEX($N$5:$N$76,49+$K$34),0)+IF(AND(49+$K$35&gt;=1,49+$K$35&lt;=72),INDEX($N$5:$N$76,49+$K$35),0))/3</f>
        <v/>
      </c>
      <c r="T53" s="139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40">
        <f>DATE(YEAR(B53),MONTH(B53)+1,1)</f>
        <v/>
      </c>
      <c r="C54" s="60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RESUMO'!BA38</f>
        <v/>
      </c>
      <c r="N54" s="139">
        <f>MAX(0,M54-M53)</f>
        <v/>
      </c>
      <c r="O54" s="138">
        <f>IF(B54&lt;='VALOR POR PL'!$P$5,'CP RESUMO'!BA80,"")</f>
        <v/>
      </c>
      <c r="P54" s="72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9">
        <f>(IF(AND(50+$K$33&gt;=1,50+$K$33&lt;=72),INDEX($N$5:$N$76,50+$K$33),0)+IF(AND(50+$K$34&gt;=1,50+$K$34&lt;=72),INDEX($N$5:$N$76,50+$K$34),0)+IF(AND(50+$K$35&gt;=1,50+$K$35&lt;=72),INDEX($N$5:$N$76,50+$K$35),0))/3</f>
        <v/>
      </c>
      <c r="T54" s="139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40">
        <f>DATE(YEAR(B54),MONTH(B54)+1,1)</f>
        <v/>
      </c>
      <c r="C55" s="60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RESUMO'!BB38</f>
        <v/>
      </c>
      <c r="N55" s="139">
        <f>MAX(0,M55-M54)</f>
        <v/>
      </c>
      <c r="O55" s="138">
        <f>IF(B55&lt;='VALOR POR PL'!$P$5,'CP RESUMO'!BB80,"")</f>
        <v/>
      </c>
      <c r="P55" s="72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9">
        <f>(IF(AND(51+$K$33&gt;=1,51+$K$33&lt;=72),INDEX($N$5:$N$76,51+$K$33),0)+IF(AND(51+$K$34&gt;=1,51+$K$34&lt;=72),INDEX($N$5:$N$76,51+$K$34),0)+IF(AND(51+$K$35&gt;=1,51+$K$35&lt;=72),INDEX($N$5:$N$76,51+$K$35),0))/3</f>
        <v/>
      </c>
      <c r="T55" s="139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40">
        <f>DATE(YEAR(B55),MONTH(B55)+1,1)</f>
        <v/>
      </c>
      <c r="C56" s="60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RESUMO'!BC38</f>
        <v/>
      </c>
      <c r="N56" s="139">
        <f>MAX(0,M56-M55)</f>
        <v/>
      </c>
      <c r="O56" s="138">
        <f>IF(B56&lt;='VALOR POR PL'!$P$5,'CP RESUMO'!BC80,"")</f>
        <v/>
      </c>
      <c r="P56" s="72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9">
        <f>(IF(AND(52+$K$33&gt;=1,52+$K$33&lt;=72),INDEX($N$5:$N$76,52+$K$33),0)+IF(AND(52+$K$34&gt;=1,52+$K$34&lt;=72),INDEX($N$5:$N$76,52+$K$34),0)+IF(AND(52+$K$35&gt;=1,52+$K$35&lt;=72),INDEX($N$5:$N$76,52+$K$35),0))/3</f>
        <v/>
      </c>
      <c r="T56" s="139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40">
        <f>DATE(YEAR(B56),MONTH(B56)+1,1)</f>
        <v/>
      </c>
      <c r="C57" s="60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RESUMO'!BD38</f>
        <v/>
      </c>
      <c r="N57" s="139">
        <f>MAX(0,M57-M56)</f>
        <v/>
      </c>
      <c r="O57" s="138">
        <f>IF(B57&lt;='VALOR POR PL'!$P$5,'CP RESUMO'!BD80,"")</f>
        <v/>
      </c>
      <c r="P57" s="72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9">
        <f>(IF(AND(53+$K$33&gt;=1,53+$K$33&lt;=72),INDEX($N$5:$N$76,53+$K$33),0)+IF(AND(53+$K$34&gt;=1,53+$K$34&lt;=72),INDEX($N$5:$N$76,53+$K$34),0)+IF(AND(53+$K$35&gt;=1,53+$K$35&lt;=72),INDEX($N$5:$N$76,53+$K$35),0))/3</f>
        <v/>
      </c>
      <c r="T57" s="139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40">
        <f>DATE(YEAR(B57),MONTH(B57)+1,1)</f>
        <v/>
      </c>
      <c r="C58" s="60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RESUMO'!BE38</f>
        <v/>
      </c>
      <c r="N58" s="139">
        <f>MAX(0,M58-M57)</f>
        <v/>
      </c>
      <c r="O58" s="138">
        <f>IF(B58&lt;='VALOR POR PL'!$P$5,'CP RESUMO'!BE80,"")</f>
        <v/>
      </c>
      <c r="P58" s="72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9">
        <f>(IF(AND(54+$K$33&gt;=1,54+$K$33&lt;=72),INDEX($N$5:$N$76,54+$K$33),0)+IF(AND(54+$K$34&gt;=1,54+$K$34&lt;=72),INDEX($N$5:$N$76,54+$K$34),0)+IF(AND(54+$K$35&gt;=1,54+$K$35&lt;=72),INDEX($N$5:$N$76,54+$K$35),0))/3</f>
        <v/>
      </c>
      <c r="T58" s="139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40">
        <f>DATE(YEAR(B58),MONTH(B58)+1,1)</f>
        <v/>
      </c>
      <c r="C59" s="60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RESUMO'!BF38</f>
        <v/>
      </c>
      <c r="N59" s="139">
        <f>MAX(0,M59-M58)</f>
        <v/>
      </c>
      <c r="O59" s="138">
        <f>IF(B59&lt;='VALOR POR PL'!$P$5,'CP RESUMO'!BF80,"")</f>
        <v/>
      </c>
      <c r="P59" s="72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9">
        <f>(IF(AND(55+$K$33&gt;=1,55+$K$33&lt;=72),INDEX($N$5:$N$76,55+$K$33),0)+IF(AND(55+$K$34&gt;=1,55+$K$34&lt;=72),INDEX($N$5:$N$76,55+$K$34),0)+IF(AND(55+$K$35&gt;=1,55+$K$35&lt;=72),INDEX($N$5:$N$76,55+$K$35),0))/3</f>
        <v/>
      </c>
      <c r="T59" s="139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40">
        <f>DATE(YEAR(B59),MONTH(B59)+1,1)</f>
        <v/>
      </c>
      <c r="C60" s="60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RESUMO'!BG38</f>
        <v/>
      </c>
      <c r="N60" s="139">
        <f>MAX(0,M60-M59)</f>
        <v/>
      </c>
      <c r="O60" s="138">
        <f>IF(B60&lt;='VALOR POR PL'!$P$5,'CP RESUMO'!BG80,"")</f>
        <v/>
      </c>
      <c r="P60" s="72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9">
        <f>(IF(AND(56+$K$33&gt;=1,56+$K$33&lt;=72),INDEX($N$5:$N$76,56+$K$33),0)+IF(AND(56+$K$34&gt;=1,56+$K$34&lt;=72),INDEX($N$5:$N$76,56+$K$34),0)+IF(AND(56+$K$35&gt;=1,56+$K$35&lt;=72),INDEX($N$5:$N$76,56+$K$35),0))/3</f>
        <v/>
      </c>
      <c r="T60" s="139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40">
        <f>DATE(YEAR(B60),MONTH(B60)+1,1)</f>
        <v/>
      </c>
      <c r="C61" s="60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RESUMO'!BH38</f>
        <v/>
      </c>
      <c r="N61" s="139">
        <f>MAX(0,M61-M60)</f>
        <v/>
      </c>
      <c r="O61" s="138">
        <f>IF(B61&lt;='VALOR POR PL'!$P$5,'CP RESUMO'!BH80,"")</f>
        <v/>
      </c>
      <c r="P61" s="72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9">
        <f>(IF(AND(57+$K$33&gt;=1,57+$K$33&lt;=72),INDEX($N$5:$N$76,57+$K$33),0)+IF(AND(57+$K$34&gt;=1,57+$K$34&lt;=72),INDEX($N$5:$N$76,57+$K$34),0)+IF(AND(57+$K$35&gt;=1,57+$K$35&lt;=72),INDEX($N$5:$N$76,57+$K$35),0))/3</f>
        <v/>
      </c>
      <c r="T61" s="139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40">
        <f>DATE(YEAR(B61),MONTH(B61)+1,1)</f>
        <v/>
      </c>
      <c r="C62" s="60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RESUMO'!BI38</f>
        <v/>
      </c>
      <c r="N62" s="139">
        <f>MAX(0,M62-M61)</f>
        <v/>
      </c>
      <c r="O62" s="138">
        <f>IF(B62&lt;='VALOR POR PL'!$P$5,'CP RESUMO'!BI80,"")</f>
        <v/>
      </c>
      <c r="P62" s="72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9">
        <f>(IF(AND(58+$K$33&gt;=1,58+$K$33&lt;=72),INDEX($N$5:$N$76,58+$K$33),0)+IF(AND(58+$K$34&gt;=1,58+$K$34&lt;=72),INDEX($N$5:$N$76,58+$K$34),0)+IF(AND(58+$K$35&gt;=1,58+$K$35&lt;=72),INDEX($N$5:$N$76,58+$K$35),0))/3</f>
        <v/>
      </c>
      <c r="T62" s="139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40">
        <f>DATE(YEAR(B62),MONTH(B62)+1,1)</f>
        <v/>
      </c>
      <c r="C63" s="60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RESUMO'!BJ38</f>
        <v/>
      </c>
      <c r="N63" s="139">
        <f>MAX(0,M63-M62)</f>
        <v/>
      </c>
      <c r="O63" s="138">
        <f>IF(B63&lt;='VALOR POR PL'!$P$5,'CP RESUMO'!BJ80,"")</f>
        <v/>
      </c>
      <c r="P63" s="72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9">
        <f>(IF(AND(59+$K$33&gt;=1,59+$K$33&lt;=72),INDEX($N$5:$N$76,59+$K$33),0)+IF(AND(59+$K$34&gt;=1,59+$K$34&lt;=72),INDEX($N$5:$N$76,59+$K$34),0)+IF(AND(59+$K$35&gt;=1,59+$K$35&lt;=72),INDEX($N$5:$N$76,59+$K$35),0))/3</f>
        <v/>
      </c>
      <c r="T63" s="139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40">
        <f>DATE(YEAR(B63),MONTH(B63)+1,1)</f>
        <v/>
      </c>
      <c r="C64" s="60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RESUMO'!BK38</f>
        <v/>
      </c>
      <c r="N64" s="139">
        <f>MAX(0,M64-M63)</f>
        <v/>
      </c>
      <c r="O64" s="138">
        <f>IF(B64&lt;='VALOR POR PL'!$P$5,'CP RESUMO'!BK80,"")</f>
        <v/>
      </c>
      <c r="P64" s="72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9">
        <f>(IF(AND(60+$K$33&gt;=1,60+$K$33&lt;=72),INDEX($N$5:$N$76,60+$K$33),0)+IF(AND(60+$K$34&gt;=1,60+$K$34&lt;=72),INDEX($N$5:$N$76,60+$K$34),0)+IF(AND(60+$K$35&gt;=1,60+$K$35&lt;=72),INDEX($N$5:$N$76,60+$K$35),0))/3</f>
        <v/>
      </c>
      <c r="T64" s="139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40">
        <f>DATE(YEAR(B64),MONTH(B64)+1,1)</f>
        <v/>
      </c>
      <c r="C65" s="60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RESUMO'!BL38</f>
        <v/>
      </c>
      <c r="N65" s="139">
        <f>MAX(0,M65-M64)</f>
        <v/>
      </c>
      <c r="O65" s="138">
        <f>IF(B65&lt;='VALOR POR PL'!$P$5,'CP RESUMO'!BL80,"")</f>
        <v/>
      </c>
      <c r="P65" s="72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9">
        <f>(IF(AND(61+$K$33&gt;=1,61+$K$33&lt;=72),INDEX($N$5:$N$76,61+$K$33),0)+IF(AND(61+$K$34&gt;=1,61+$K$34&lt;=72),INDEX($N$5:$N$76,61+$K$34),0)+IF(AND(61+$K$35&gt;=1,61+$K$35&lt;=72),INDEX($N$5:$N$76,61+$K$35),0))/3</f>
        <v/>
      </c>
      <c r="T65" s="139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40">
        <f>DATE(YEAR(B65),MONTH(B65)+1,1)</f>
        <v/>
      </c>
      <c r="C66" s="60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RESUMO'!BM38</f>
        <v/>
      </c>
      <c r="N66" s="139">
        <f>MAX(0,M66-M65)</f>
        <v/>
      </c>
      <c r="O66" s="138">
        <f>IF(B66&lt;='VALOR POR PL'!$P$5,'CP RESUMO'!BM80,"")</f>
        <v/>
      </c>
      <c r="P66" s="72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9">
        <f>(IF(AND(62+$K$33&gt;=1,62+$K$33&lt;=72),INDEX($N$5:$N$76,62+$K$33),0)+IF(AND(62+$K$34&gt;=1,62+$K$34&lt;=72),INDEX($N$5:$N$76,62+$K$34),0)+IF(AND(62+$K$35&gt;=1,62+$K$35&lt;=72),INDEX($N$5:$N$76,62+$K$35),0))/3</f>
        <v/>
      </c>
      <c r="T66" s="139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40">
        <f>DATE(YEAR(B66),MONTH(B66)+1,1)</f>
        <v/>
      </c>
      <c r="C67" s="60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RESUMO'!BN38</f>
        <v/>
      </c>
      <c r="N67" s="139">
        <f>MAX(0,M67-M66)</f>
        <v/>
      </c>
      <c r="O67" s="138">
        <f>IF(B67&lt;='VALOR POR PL'!$P$5,'CP RESUMO'!BN80,"")</f>
        <v/>
      </c>
      <c r="P67" s="72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9">
        <f>(IF(AND(63+$K$33&gt;=1,63+$K$33&lt;=72),INDEX($N$5:$N$76,63+$K$33),0)+IF(AND(63+$K$34&gt;=1,63+$K$34&lt;=72),INDEX($N$5:$N$76,63+$K$34),0)+IF(AND(63+$K$35&gt;=1,63+$K$35&lt;=72),INDEX($N$5:$N$76,63+$K$35),0))/3</f>
        <v/>
      </c>
      <c r="T67" s="139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40">
        <f>DATE(YEAR(B67),MONTH(B67)+1,1)</f>
        <v/>
      </c>
      <c r="C68" s="60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RESUMO'!BO38</f>
        <v/>
      </c>
      <c r="N68" s="139">
        <f>MAX(0,M68-M67)</f>
        <v/>
      </c>
      <c r="O68" s="138">
        <f>IF(B68&lt;='VALOR POR PL'!$P$5,'CP RESUMO'!BO80,"")</f>
        <v/>
      </c>
      <c r="P68" s="72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9">
        <f>(IF(AND(64+$K$33&gt;=1,64+$K$33&lt;=72),INDEX($N$5:$N$76,64+$K$33),0)+IF(AND(64+$K$34&gt;=1,64+$K$34&lt;=72),INDEX($N$5:$N$76,64+$K$34),0)+IF(AND(64+$K$35&gt;=1,64+$K$35&lt;=72),INDEX($N$5:$N$76,64+$K$35),0))/3</f>
        <v/>
      </c>
      <c r="T68" s="139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40">
        <f>DATE(YEAR(B68),MONTH(B68)+1,1)</f>
        <v/>
      </c>
      <c r="C69" s="60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RESUMO'!BP38</f>
        <v/>
      </c>
      <c r="N69" s="139">
        <f>MAX(0,M69-M68)</f>
        <v/>
      </c>
      <c r="O69" s="138">
        <f>IF(B69&lt;='VALOR POR PL'!$P$5,'CP RESUMO'!BP80,"")</f>
        <v/>
      </c>
      <c r="P69" s="72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9">
        <f>(IF(AND(65+$K$33&gt;=1,65+$K$33&lt;=72),INDEX($N$5:$N$76,65+$K$33),0)+IF(AND(65+$K$34&gt;=1,65+$K$34&lt;=72),INDEX($N$5:$N$76,65+$K$34),0)+IF(AND(65+$K$35&gt;=1,65+$K$35&lt;=72),INDEX($N$5:$N$76,65+$K$35),0))/3</f>
        <v/>
      </c>
      <c r="T69" s="139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40">
        <f>DATE(YEAR(B69),MONTH(B69)+1,1)</f>
        <v/>
      </c>
      <c r="C70" s="60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RESUMO'!BQ38</f>
        <v/>
      </c>
      <c r="N70" s="139">
        <f>MAX(0,M70-M69)</f>
        <v/>
      </c>
      <c r="O70" s="138">
        <f>IF(B70&lt;='VALOR POR PL'!$P$5,'CP RESUMO'!BQ80,"")</f>
        <v/>
      </c>
      <c r="P70" s="72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9">
        <f>(IF(AND(66+$K$33&gt;=1,66+$K$33&lt;=72),INDEX($N$5:$N$76,66+$K$33),0)+IF(AND(66+$K$34&gt;=1,66+$K$34&lt;=72),INDEX($N$5:$N$76,66+$K$34),0)+IF(AND(66+$K$35&gt;=1,66+$K$35&lt;=72),INDEX($N$5:$N$76,66+$K$35),0))/3</f>
        <v/>
      </c>
      <c r="T70" s="139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40">
        <f>DATE(YEAR(B70),MONTH(B70)+1,1)</f>
        <v/>
      </c>
      <c r="C71" s="60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RESUMO'!BR38</f>
        <v/>
      </c>
      <c r="N71" s="139">
        <f>MAX(0,M71-M70)</f>
        <v/>
      </c>
      <c r="O71" s="138">
        <f>IF(B71&lt;='VALOR POR PL'!$P$5,'CP RESUMO'!BR80,"")</f>
        <v/>
      </c>
      <c r="P71" s="72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9">
        <f>(IF(AND(67+$K$33&gt;=1,67+$K$33&lt;=72),INDEX($N$5:$N$76,67+$K$33),0)+IF(AND(67+$K$34&gt;=1,67+$K$34&lt;=72),INDEX($N$5:$N$76,67+$K$34),0)+IF(AND(67+$K$35&gt;=1,67+$K$35&lt;=72),INDEX($N$5:$N$76,67+$K$35),0))/3</f>
        <v/>
      </c>
      <c r="T71" s="139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40">
        <f>DATE(YEAR(B71),MONTH(B71)+1,1)</f>
        <v/>
      </c>
      <c r="C72" s="60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RESUMO'!BS38</f>
        <v/>
      </c>
      <c r="N72" s="139">
        <f>MAX(0,M72-M71)</f>
        <v/>
      </c>
      <c r="O72" s="138">
        <f>IF(B72&lt;='VALOR POR PL'!$P$5,'CP RESUMO'!BS80,"")</f>
        <v/>
      </c>
      <c r="P72" s="72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9">
        <f>(IF(AND(68+$K$33&gt;=1,68+$K$33&lt;=72),INDEX($N$5:$N$76,68+$K$33),0)+IF(AND(68+$K$34&gt;=1,68+$K$34&lt;=72),INDEX($N$5:$N$76,68+$K$34),0)+IF(AND(68+$K$35&gt;=1,68+$K$35&lt;=72),INDEX($N$5:$N$76,68+$K$35),0))/3</f>
        <v/>
      </c>
      <c r="T72" s="139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40">
        <f>DATE(YEAR(B72),MONTH(B72)+1,1)</f>
        <v/>
      </c>
      <c r="C73" s="60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RESUMO'!BT38</f>
        <v/>
      </c>
      <c r="N73" s="139">
        <f>MAX(0,M73-M72)</f>
        <v/>
      </c>
      <c r="O73" s="138">
        <f>IF(B73&lt;='VALOR POR PL'!$P$5,'CP RESUMO'!BT80,"")</f>
        <v/>
      </c>
      <c r="P73" s="72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9">
        <f>(IF(AND(69+$K$33&gt;=1,69+$K$33&lt;=72),INDEX($N$5:$N$76,69+$K$33),0)+IF(AND(69+$K$34&gt;=1,69+$K$34&lt;=72),INDEX($N$5:$N$76,69+$K$34),0)+IF(AND(69+$K$35&gt;=1,69+$K$35&lt;=72),INDEX($N$5:$N$76,69+$K$35),0))/3</f>
        <v/>
      </c>
      <c r="T73" s="139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40">
        <f>DATE(YEAR(B73),MONTH(B73)+1,1)</f>
        <v/>
      </c>
      <c r="C74" s="60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RESUMO'!BU38</f>
        <v/>
      </c>
      <c r="N74" s="139">
        <f>MAX(0,M74-M73)</f>
        <v/>
      </c>
      <c r="O74" s="138">
        <f>IF(B74&lt;='VALOR POR PL'!$P$5,'CP RESUMO'!BU80,"")</f>
        <v/>
      </c>
      <c r="P74" s="72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9">
        <f>(IF(AND(70+$K$33&gt;=1,70+$K$33&lt;=72),INDEX($N$5:$N$76,70+$K$33),0)+IF(AND(70+$K$34&gt;=1,70+$K$34&lt;=72),INDEX($N$5:$N$76,70+$K$34),0)+IF(AND(70+$K$35&gt;=1,70+$K$35&lt;=72),INDEX($N$5:$N$76,70+$K$35),0))/3</f>
        <v/>
      </c>
      <c r="T74" s="139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40">
        <f>DATE(YEAR(B74),MONTH(B74)+1,1)</f>
        <v/>
      </c>
      <c r="C75" s="60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RESUMO'!BV38</f>
        <v/>
      </c>
      <c r="N75" s="139">
        <f>MAX(0,M75-M74)</f>
        <v/>
      </c>
      <c r="O75" s="138">
        <f>IF(B75&lt;='VALOR POR PL'!$P$5,'CP RESUMO'!BV80,"")</f>
        <v/>
      </c>
      <c r="P75" s="72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9">
        <f>(IF(AND(71+$K$33&gt;=1,71+$K$33&lt;=72),INDEX($N$5:$N$76,71+$K$33),0)+IF(AND(71+$K$34&gt;=1,71+$K$34&lt;=72),INDEX($N$5:$N$76,71+$K$34),0)+IF(AND(71+$K$35&gt;=1,71+$K$35&lt;=72),INDEX($N$5:$N$76,71+$K$35),0))/3</f>
        <v/>
      </c>
      <c r="T75" s="139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40">
        <f>DATE(YEAR(B75),MONTH(B75)+1,1)</f>
        <v/>
      </c>
      <c r="C76" s="60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RESUMO'!BW38</f>
        <v/>
      </c>
      <c r="N76" s="139">
        <f>MAX(0,M76-M75)</f>
        <v/>
      </c>
      <c r="O76" s="138">
        <f>IF(B76&lt;='VALOR POR PL'!$P$5,'CP RESUMO'!BW80,"")</f>
        <v/>
      </c>
      <c r="P76" s="72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9">
        <f>(IF(AND(72+$K$33&gt;=1,72+$K$33&lt;=72),INDEX($N$5:$N$76,72+$K$33),0)+IF(AND(72+$K$34&gt;=1,72+$K$34&lt;=72),INDEX($N$5:$N$76,72+$K$34),0)+IF(AND(72+$K$35&gt;=1,72+$K$35&lt;=72),INDEX($N$5:$N$76,72+$K$35),0))/3</f>
        <v/>
      </c>
      <c r="T76" s="139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  <c r="R78" s="65">
        <f>SUM(R5:R76)</f>
        <v/>
      </c>
      <c r="U78" s="65">
        <f>SUM(U5:U76)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HISTORICOS'!D39)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PL'!F45</f>
        <v/>
      </c>
      <c r="K5" s="60">
        <f>'VALOR POR PL'!G45</f>
        <v/>
      </c>
      <c r="L5" s="60">
        <f>'DADOS HISTORICOS'!$BZ$39</f>
        <v/>
      </c>
      <c r="M5" s="138">
        <f>'CP RESUMO'!D39</f>
        <v/>
      </c>
      <c r="N5" s="139" t="n">
        <v>0</v>
      </c>
      <c r="O5" s="138">
        <f>IF(B5&lt;='VALOR POR PL'!$P$5,'CP RESUMO'!D81,"")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HISTORICOS'!E39)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PL'!H45</f>
        <v/>
      </c>
      <c r="L6" s="49">
        <f>C6/IF(B6&lt;='VALOR POR PL'!$P$5,IFERROR(INDEX('"INCC-FGV"'!$B$2:$B$800,MATCH(B6,'"INCC-FGV"'!$A$2:$A$800,0)),$K$2),$K$2)</f>
        <v/>
      </c>
      <c r="M6" s="138">
        <f>'CP RESUMO'!E39</f>
        <v/>
      </c>
      <c r="N6" s="139">
        <f>MAX(0,M6-M5)</f>
        <v/>
      </c>
      <c r="O6" s="138">
        <f>IF(B6&lt;='VALOR POR PL'!$P$5,'CP RESUMO'!E81,"")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HISTORICOS'!F39)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RESUMO'!F39</f>
        <v/>
      </c>
      <c r="N7" s="139">
        <f>MAX(0,M7-M6)</f>
        <v/>
      </c>
      <c r="O7" s="138">
        <f>IF(B7&lt;='VALOR POR PL'!$P$5,'CP RESUMO'!F81,"")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HISTORICOS'!G39)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RESUMO'!G39</f>
        <v/>
      </c>
      <c r="N8" s="139">
        <f>MAX(0,M8-M7)</f>
        <v/>
      </c>
      <c r="O8" s="138">
        <f>IF(B8&lt;='VALOR POR PL'!$P$5,'CP RESUMO'!G81,"")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HISTORICOS'!H39)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RESUMO'!H39</f>
        <v/>
      </c>
      <c r="N9" s="139">
        <f>MAX(0,M9-M8)</f>
        <v/>
      </c>
      <c r="O9" s="138">
        <f>IF(B9&lt;='VALOR POR PL'!$P$5,'CP RESUMO'!H81,"")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RESUMO'!I39</f>
        <v/>
      </c>
      <c r="N10" s="139">
        <f>MAX(0,M10-M9)</f>
        <v/>
      </c>
      <c r="O10" s="138">
        <f>IF(B10&lt;='VALOR POR PL'!$P$5,'CP RESUMO'!I81,"")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RESUMO'!J39</f>
        <v/>
      </c>
      <c r="N11" s="139">
        <f>MAX(0,M11-M10)</f>
        <v/>
      </c>
      <c r="O11" s="138">
        <f>IF(B11&lt;='VALOR POR PL'!$P$5,'CP RESUMO'!J81,"")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RESUMO'!K39</f>
        <v/>
      </c>
      <c r="N12" s="139">
        <f>MAX(0,M12-M11)</f>
        <v/>
      </c>
      <c r="O12" s="138">
        <f>IF(B12&lt;='VALOR POR PL'!$P$5,'CP RESUMO'!K81,"")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PL'!I45</f>
        <v/>
      </c>
      <c r="L13" s="49">
        <f>C13/IF(B13&lt;='VALOR POR PL'!$P$5,IFERROR(INDEX('"INCC-FGV"'!$B$2:$B$800,MATCH(B13,'"INCC-FGV"'!$A$2:$A$800,0)),$K$2),$K$2)</f>
        <v/>
      </c>
      <c r="M13" s="138">
        <f>'CP RESUMO'!L39</f>
        <v/>
      </c>
      <c r="N13" s="139">
        <f>MAX(0,M13-M12)</f>
        <v/>
      </c>
      <c r="O13" s="138">
        <f>IF(B13&lt;='VALOR POR PL'!$P$5,'CP RESUMO'!L81,"")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RESUMO'!$D$81:$BW$81,MATCH('VALOR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RESUMO'!M39</f>
        <v/>
      </c>
      <c r="N14" s="139">
        <f>MAX(0,M14-M13)</f>
        <v/>
      </c>
      <c r="O14" s="138">
        <f>IF(B14&lt;='VALOR POR PL'!$P$5,'CP RESUMO'!M81,"")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RESUMO'!N39</f>
        <v/>
      </c>
      <c r="N15" s="139">
        <f>MAX(0,M15-M14)</f>
        <v/>
      </c>
      <c r="O15" s="138">
        <f>IF(B15&lt;='VALOR POR PL'!$P$5,'CP RESUMO'!N81,"")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RESUMO'!O39</f>
        <v/>
      </c>
      <c r="N16" s="139">
        <f>MAX(0,M16-M15)</f>
        <v/>
      </c>
      <c r="O16" s="138">
        <f>IF(B16&lt;='VALOR POR PL'!$P$5,'CP RESUMO'!O81,"")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RESUMO'!P39</f>
        <v/>
      </c>
      <c r="N17" s="139">
        <f>MAX(0,M17-M16)</f>
        <v/>
      </c>
      <c r="O17" s="138">
        <f>IF(B17&lt;='VALOR POR PL'!$P$5,'CP RESUMO'!P81,"")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RESUMO'!Q39</f>
        <v/>
      </c>
      <c r="N18" s="139">
        <f>MAX(0,M18-M17)</f>
        <v/>
      </c>
      <c r="O18" s="138">
        <f>IF(B18&lt;='VALOR POR PL'!$P$5,'CP RESUMO'!Q81,"")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RESUMO'!R39</f>
        <v/>
      </c>
      <c r="N19" s="139">
        <f>MAX(0,M19-M18)</f>
        <v/>
      </c>
      <c r="O19" s="138">
        <f>IF(B19&lt;='VALOR POR PL'!$P$5,'CP RESUMO'!R81,"")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RESUMO'!S39</f>
        <v/>
      </c>
      <c r="N20" s="139">
        <f>MAX(0,M20-M19)</f>
        <v/>
      </c>
      <c r="O20" s="138">
        <f>IF(B20&lt;='VALOR POR PL'!$P$5,'CP RESUMO'!S81,"")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RESUMO'!T39</f>
        <v/>
      </c>
      <c r="N21" s="139">
        <f>MAX(0,M21-M20)</f>
        <v/>
      </c>
      <c r="O21" s="138">
        <f>IF(B21&lt;='VALOR POR PL'!$P$5,'CP RESUMO'!T81,"")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RESUMO'!U39</f>
        <v/>
      </c>
      <c r="N22" s="139">
        <f>MAX(0,M22-M21)</f>
        <v/>
      </c>
      <c r="O22" s="138">
        <f>IF(B22&lt;='VALOR POR PL'!$P$5,'CP RESUMO'!U81,"")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RESUMO'!V39</f>
        <v/>
      </c>
      <c r="N23" s="139">
        <f>MAX(0,M23-M22)</f>
        <v/>
      </c>
      <c r="O23" s="138">
        <f>IF(B23&lt;='VALOR POR PL'!$P$5,'CP RESUMO'!V81,"")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RESUMO'!W39</f>
        <v/>
      </c>
      <c r="N24" s="139">
        <f>MAX(0,M24-M23)</f>
        <v/>
      </c>
      <c r="O24" s="138">
        <f>IF(B24&lt;='VALOR POR PL'!$P$5,'CP RESUMO'!W81,"")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RESUMO'!X39</f>
        <v/>
      </c>
      <c r="N25" s="139">
        <f>MAX(0,M25-M24)</f>
        <v/>
      </c>
      <c r="O25" s="138">
        <f>IF(B25&lt;='VALOR POR PL'!$P$5,'CP RESUMO'!X81,"")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14633.75</v>
      </c>
      <c r="L26" s="49">
        <f>C26/IF(B26&lt;='VALOR POR PL'!$P$5,IFERROR(INDEX('"INCC-FGV"'!$B$2:$B$800,MATCH(B26,'"INCC-FGV"'!$A$2:$A$800,0)),$K$2),$K$2)</f>
        <v/>
      </c>
      <c r="M26" s="138">
        <f>'CP RESUMO'!Y39</f>
        <v/>
      </c>
      <c r="N26" s="139">
        <f>MAX(0,M26-M25)</f>
        <v/>
      </c>
      <c r="O26" s="138">
        <f>IF(B26&lt;='VALOR POR PL'!$P$5,'CP RESUMO'!Y81,"")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>
        <v>18041.66</v>
      </c>
      <c r="L27" s="49">
        <f>C27/IF(B27&lt;='VALOR POR PL'!$P$5,IFERROR(INDEX('"INCC-FGV"'!$B$2:$B$800,MATCH(B27,'"INCC-FGV"'!$A$2:$A$800,0)),$K$2),$K$2)</f>
        <v/>
      </c>
      <c r="M27" s="138">
        <f>'CP RESUMO'!Z39</f>
        <v/>
      </c>
      <c r="N27" s="139">
        <f>MAX(0,M27-M26)</f>
        <v/>
      </c>
      <c r="O27" s="138">
        <f>IF(B27&lt;='VALOR POR PL'!$P$5,'CP RESUMO'!Z81,"")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21347.66</v>
      </c>
      <c r="L28" s="49">
        <f>C28/IF(B28&lt;='VALOR POR PL'!$P$5,IFERROR(INDEX('"INCC-FGV"'!$B$2:$B$800,MATCH(B28,'"INCC-FGV"'!$A$2:$A$800,0)),$K$2),$K$2)</f>
        <v/>
      </c>
      <c r="M28" s="138">
        <f>'CP RESUMO'!AA39</f>
        <v/>
      </c>
      <c r="N28" s="139">
        <f>MAX(0,M28-M27)</f>
        <v/>
      </c>
      <c r="O28" s="138">
        <f>IF(B28&lt;='VALOR POR PL'!$P$5,'CP RESUMO'!AA81,"")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21347.66</v>
      </c>
      <c r="L29" s="49">
        <f>C29/IF(B29&lt;='VALOR POR PL'!$P$5,IFERROR(INDEX('"INCC-FGV"'!$B$2:$B$800,MATCH(B29,'"INCC-FGV"'!$A$2:$A$800,0)),$K$2),$K$2)</f>
        <v/>
      </c>
      <c r="M29" s="138">
        <f>'CP RESUMO'!AB39</f>
        <v/>
      </c>
      <c r="N29" s="139">
        <f>MAX(0,M29-M28)</f>
        <v/>
      </c>
      <c r="O29" s="138">
        <f>IF(B29&lt;='VALOR POR PL'!$P$5,'CP RESUMO'!AB81,"")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21347.66</v>
      </c>
      <c r="L30" s="49">
        <f>C30/IF(B30&lt;='VALOR POR PL'!$P$5,IFERROR(INDEX('"INCC-FGV"'!$B$2:$B$800,MATCH(B30,'"INCC-FGV"'!$A$2:$A$800,0)),$K$2),$K$2)</f>
        <v/>
      </c>
      <c r="M30" s="138">
        <f>'CP RESUMO'!AC39</f>
        <v/>
      </c>
      <c r="N30" s="139">
        <f>MAX(0,M30-M29)</f>
        <v/>
      </c>
      <c r="O30" s="138">
        <f>IF(B30&lt;='VALOR POR PL'!$P$5,'CP RESUMO'!AC81,"")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21347.66</v>
      </c>
      <c r="L31" s="49">
        <f>C31/IF(B31&lt;='VALOR POR PL'!$P$5,IFERROR(INDEX('"INCC-FGV"'!$B$2:$B$800,MATCH(B31,'"INCC-FGV"'!$A$2:$A$800,0)),$K$2),$K$2)</f>
        <v/>
      </c>
      <c r="M31" s="138">
        <f>'CP RESUMO'!AD39</f>
        <v/>
      </c>
      <c r="N31" s="139">
        <f>MAX(0,M31-M30)</f>
        <v/>
      </c>
      <c r="O31" s="138">
        <f>IF(B31&lt;='VALOR POR PL'!$P$5,'CP RESUMO'!AD81,"")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/>
      <c r="L32" s="49">
        <f>C32/IF(B32&lt;='VALOR POR PL'!$P$5,IFERROR(INDEX('"INCC-FGV"'!$B$2:$B$800,MATCH(B32,'"INCC-FGV"'!$A$2:$A$800,0)),$K$2),$K$2)</f>
        <v/>
      </c>
      <c r="M32" s="138">
        <f>'CP RESUMO'!AE39</f>
        <v/>
      </c>
      <c r="N32" s="139">
        <f>MAX(0,M32-M31)</f>
        <v/>
      </c>
      <c r="O32" s="138">
        <f>IF(B32&lt;='VALOR POR PL'!$P$5,'CP RESUMO'!AE81,"")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67312.5</v>
      </c>
      <c r="L33" s="49">
        <f>C33/IF(B33&lt;='VALOR POR PL'!$P$5,IFERROR(INDEX('"INCC-FGV"'!$B$2:$B$800,MATCH(B33,'"INCC-FGV"'!$A$2:$A$800,0)),$K$2),$K$2)</f>
        <v/>
      </c>
      <c r="M33" s="138">
        <f>'CP RESUMO'!AF39</f>
        <v/>
      </c>
      <c r="N33" s="139">
        <f>MAX(0,M33-M32)</f>
        <v/>
      </c>
      <c r="O33" s="138">
        <f>IF(B33&lt;='VALOR POR PL'!$P$5,'CP RESUMO'!AF81,"")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64677.49</v>
      </c>
      <c r="L34" s="49">
        <f>C34/IF(B34&lt;='VALOR POR PL'!$P$5,IFERROR(INDEX('"INCC-FGV"'!$B$2:$B$800,MATCH(B34,'"INCC-FGV"'!$A$2:$A$800,0)),$K$2),$K$2)</f>
        <v/>
      </c>
      <c r="M34" s="138">
        <f>'CP RESUMO'!AG39</f>
        <v/>
      </c>
      <c r="N34" s="139">
        <f>MAX(0,M34-M33)</f>
        <v/>
      </c>
      <c r="O34" s="138">
        <f>IF(B34&lt;='VALOR POR PL'!$P$5,'CP RESUMO'!AG81,"")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37608.76</v>
      </c>
      <c r="L35" s="49">
        <f>C35/IF(B35&lt;='VALOR POR PL'!$P$5,IFERROR(INDEX('"INCC-FGV"'!$B$2:$B$800,MATCH(B35,'"INCC-FGV"'!$A$2:$A$800,0)),$K$2),$K$2)</f>
        <v/>
      </c>
      <c r="M35" s="138">
        <f>'CP RESUMO'!AH39</f>
        <v/>
      </c>
      <c r="N35" s="139">
        <f>MAX(0,M35-M34)</f>
        <v/>
      </c>
      <c r="O35" s="138">
        <f>IF(B35&lt;='VALOR POR PL'!$P$5,'CP RESUMO'!AH81,"")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87194.84</v>
      </c>
      <c r="L36" s="49">
        <f>C36/IF(B36&lt;='VALOR POR PL'!$P$5,IFERROR(INDEX('"INCC-FGV"'!$B$2:$B$800,MATCH(B36,'"INCC-FGV"'!$A$2:$A$800,0)),$K$2),$K$2)</f>
        <v/>
      </c>
      <c r="M36" s="138">
        <f>'CP RESUMO'!AI39</f>
        <v/>
      </c>
      <c r="N36" s="139">
        <f>MAX(0,M36-M35)</f>
        <v/>
      </c>
      <c r="O36" s="138">
        <f>IF(B36&lt;='VALOR POR PL'!$P$5,'CP RESUMO'!AI81,"")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94860.32000000001</v>
      </c>
      <c r="L37" s="49">
        <f>C37/IF(B37&lt;='VALOR POR PL'!$P$5,IFERROR(INDEX('"INCC-FGV"'!$B$2:$B$800,MATCH(B37,'"INCC-FGV"'!$A$2:$A$800,0)),$K$2),$K$2)</f>
        <v/>
      </c>
      <c r="M37" s="138">
        <f>'CP RESUMO'!AJ39</f>
        <v/>
      </c>
      <c r="N37" s="139">
        <f>MAX(0,M37-M36)</f>
        <v/>
      </c>
      <c r="O37" s="138">
        <f>IF(B37&lt;='VALOR POR PL'!$P$5,'CP RESUMO'!AJ81,"")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100130.34</v>
      </c>
      <c r="L38" s="49">
        <f>C38/IF(B38&lt;='VALOR POR PL'!$P$5,IFERROR(INDEX('"INCC-FGV"'!$B$2:$B$800,MATCH(B38,'"INCC-FGV"'!$A$2:$A$800,0)),$K$2),$K$2)</f>
        <v/>
      </c>
      <c r="M38" s="138">
        <f>'CP RESUMO'!AK39</f>
        <v/>
      </c>
      <c r="N38" s="139">
        <f>MAX(0,M38-M37)</f>
        <v/>
      </c>
      <c r="O38" s="138">
        <f>IF(B38&lt;='VALOR POR PL'!$P$5,'CP RESUMO'!AK81,"")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284820.51</v>
      </c>
      <c r="L39" s="49">
        <f>C39/IF(B39&lt;='VALOR POR PL'!$P$5,IFERROR(INDEX('"INCC-FGV"'!$B$2:$B$800,MATCH(B39,'"INCC-FGV"'!$A$2:$A$800,0)),$K$2),$K$2)</f>
        <v/>
      </c>
      <c r="M39" s="138">
        <f>'CP RESUMO'!AL39</f>
        <v/>
      </c>
      <c r="N39" s="139">
        <f>MAX(0,M39-M38)</f>
        <v/>
      </c>
      <c r="O39" s="138">
        <f>IF(B39&lt;='VALOR POR PL'!$P$5,'CP RESUMO'!AL81,"")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321471.09</v>
      </c>
      <c r="L40" s="49">
        <f>C40/IF(B40&lt;='VALOR POR PL'!$P$5,IFERROR(INDEX('"INCC-FGV"'!$B$2:$B$800,MATCH(B40,'"INCC-FGV"'!$A$2:$A$800,0)),$K$2),$K$2)</f>
        <v/>
      </c>
      <c r="M40" s="138">
        <f>'CP RESUMO'!AM39</f>
        <v/>
      </c>
      <c r="N40" s="139">
        <f>MAX(0,M40-M39)</f>
        <v/>
      </c>
      <c r="O40" s="138">
        <f>IF(B40&lt;='VALOR POR PL'!$P$5,'CP RESUMO'!AM81,"")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150435.06</v>
      </c>
      <c r="L41" s="49">
        <f>C41/IF(B41&lt;='VALOR POR PL'!$P$5,IFERROR(INDEX('"INCC-FGV"'!$B$2:$B$800,MATCH(B41,'"INCC-FGV"'!$A$2:$A$800,0)),$K$2),$K$2)</f>
        <v/>
      </c>
      <c r="M41" s="138">
        <f>'CP RESUMO'!AN39</f>
        <v/>
      </c>
      <c r="N41" s="139">
        <f>MAX(0,M41-M40)</f>
        <v/>
      </c>
      <c r="O41" s="138">
        <f>IF(B41&lt;='VALOR POR PL'!$P$5,'CP RESUMO'!AN81,"")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274040.93</v>
      </c>
      <c r="L42" s="49">
        <f>C42/IF(B42&lt;='VALOR POR PL'!$P$5,IFERROR(INDEX('"INCC-FGV"'!$B$2:$B$800,MATCH(B42,'"INCC-FGV"'!$A$2:$A$800,0)),$K$2),$K$2)</f>
        <v/>
      </c>
      <c r="M42" s="138">
        <f>'CP RESUMO'!AO39</f>
        <v/>
      </c>
      <c r="N42" s="139">
        <f>MAX(0,M42-M41)</f>
        <v/>
      </c>
      <c r="O42" s="138">
        <f>IF(B42&lt;='VALOR POR PL'!$P$5,'CP RESUMO'!AO81,"")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431183.28</v>
      </c>
      <c r="L43" s="49">
        <f>C43/IF(B43&lt;='VALOR POR PL'!$P$5,IFERROR(INDEX('"INCC-FGV"'!$B$2:$B$800,MATCH(B43,'"INCC-FGV"'!$A$2:$A$800,0)),$K$2),$K$2)</f>
        <v/>
      </c>
      <c r="M43" s="138">
        <f>'CP RESUMO'!AP39</f>
        <v/>
      </c>
      <c r="N43" s="139">
        <f>MAX(0,M43-M42)</f>
        <v/>
      </c>
      <c r="O43" s="138">
        <f>IF(B43&lt;='VALOR POR PL'!$P$5,'CP RESUMO'!AP81,"")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182055.16</v>
      </c>
      <c r="L44" s="49">
        <f>C44/IF(B44&lt;='VALOR POR PL'!$P$5,IFERROR(INDEX('"INCC-FGV"'!$B$2:$B$800,MATCH(B44,'"INCC-FGV"'!$A$2:$A$800,0)),$K$2),$K$2)</f>
        <v/>
      </c>
      <c r="M44" s="138">
        <f>'CP RESUMO'!AQ39</f>
        <v/>
      </c>
      <c r="N44" s="139">
        <f>MAX(0,M44-M43)</f>
        <v/>
      </c>
      <c r="O44" s="138">
        <f>IF(B44&lt;='VALOR POR PL'!$P$5,'CP RESUMO'!AQ81,"")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66138.59</v>
      </c>
      <c r="L45" s="49">
        <f>C45/IF(B45&lt;='VALOR POR PL'!$P$5,IFERROR(INDEX('"INCC-FGV"'!$B$2:$B$800,MATCH(B45,'"INCC-FGV"'!$A$2:$A$800,0)),$K$2),$K$2)</f>
        <v/>
      </c>
      <c r="M45" s="138">
        <f>'CP RESUMO'!AR39</f>
        <v/>
      </c>
      <c r="N45" s="139">
        <f>MAX(0,M45-M44)</f>
        <v/>
      </c>
      <c r="O45" s="138">
        <f>IF(B45&lt;='VALOR POR PL'!$P$5,'CP RESUMO'!AR81,"")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/>
      <c r="L46" s="49">
        <f>C46/IF(B46&lt;='VALOR POR PL'!$P$5,IFERROR(INDEX('"INCC-FGV"'!$B$2:$B$800,MATCH(B46,'"INCC-FGV"'!$A$2:$A$800,0)),$K$2),$K$2)</f>
        <v/>
      </c>
      <c r="M46" s="138">
        <f>'CP RESUMO'!AS39</f>
        <v/>
      </c>
      <c r="N46" s="139">
        <f>MAX(0,M46-M45)</f>
        <v/>
      </c>
      <c r="O46" s="138">
        <f>IF(B46&lt;='VALOR POR PL'!$P$5,'CP RESUMO'!AS81,"")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/>
      <c r="L47" s="49">
        <f>C47/IF(B47&lt;='VALOR POR PL'!$P$5,IFERROR(INDEX('"INCC-FGV"'!$B$2:$B$800,MATCH(B47,'"INCC-FGV"'!$A$2:$A$800,0)),$K$2),$K$2)</f>
        <v/>
      </c>
      <c r="M47" s="138">
        <f>'CP RESUMO'!AT39</f>
        <v/>
      </c>
      <c r="N47" s="139">
        <f>MAX(0,M47-M46)</f>
        <v/>
      </c>
      <c r="O47" s="138">
        <f>IF(B47&lt;='VALOR POR PL'!$P$5,'CP RESUMO'!AT81,"")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RESUMO'!AU39</f>
        <v/>
      </c>
      <c r="N48" s="139">
        <f>MAX(0,M48-M47)</f>
        <v/>
      </c>
      <c r="O48" s="138">
        <f>IF(B48&lt;='VALOR POR PL'!$P$5,'CP RESUMO'!AU81,"")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RESUMO'!AV39</f>
        <v/>
      </c>
      <c r="N49" s="139">
        <f>MAX(0,M49-M48)</f>
        <v/>
      </c>
      <c r="O49" s="138">
        <f>IF(B49&lt;='VALOR POR PL'!$P$5,'CP RESUMO'!AV81,"")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RESUMO'!AW39</f>
        <v/>
      </c>
      <c r="N50" s="139">
        <f>MAX(0,M50-M49)</f>
        <v/>
      </c>
      <c r="O50" s="138">
        <f>IF(B50&lt;='VALOR POR PL'!$P$5,'CP RESUMO'!AW81,"")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RESUMO'!AX39</f>
        <v/>
      </c>
      <c r="N51" s="139">
        <f>MAX(0,M51-M50)</f>
        <v/>
      </c>
      <c r="O51" s="138">
        <f>IF(B51&lt;='VALOR POR PL'!$P$5,'CP RESUMO'!AX81,"")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RESUMO'!AY39</f>
        <v/>
      </c>
      <c r="N52" s="139">
        <f>MAX(0,M52-M51)</f>
        <v/>
      </c>
      <c r="O52" s="138">
        <f>IF(B52&lt;='VALOR POR PL'!$P$5,'CP RESUMO'!AY81,"")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RESUMO'!AZ39</f>
        <v/>
      </c>
      <c r="N53" s="139">
        <f>MAX(0,M53-M52)</f>
        <v/>
      </c>
      <c r="O53" s="138">
        <f>IF(B53&lt;='VALOR POR PL'!$P$5,'CP RESUMO'!AZ81,"")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RESUMO'!BA39</f>
        <v/>
      </c>
      <c r="N54" s="139">
        <f>MAX(0,M54-M53)</f>
        <v/>
      </c>
      <c r="O54" s="138">
        <f>IF(B54&lt;='VALOR POR PL'!$P$5,'CP RESUMO'!BA81,"")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RESUMO'!BB39</f>
        <v/>
      </c>
      <c r="N55" s="139">
        <f>MAX(0,M55-M54)</f>
        <v/>
      </c>
      <c r="O55" s="138">
        <f>IF(B55&lt;='VALOR POR PL'!$P$5,'CP RESUMO'!BB81,"")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RESUMO'!BC39</f>
        <v/>
      </c>
      <c r="N56" s="139">
        <f>MAX(0,M56-M55)</f>
        <v/>
      </c>
      <c r="O56" s="138">
        <f>IF(B56&lt;='VALOR POR PL'!$P$5,'CP RESUMO'!BC81,"")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RESUMO'!BD39</f>
        <v/>
      </c>
      <c r="N57" s="139">
        <f>MAX(0,M57-M56)</f>
        <v/>
      </c>
      <c r="O57" s="138">
        <f>IF(B57&lt;='VALOR POR PL'!$P$5,'CP RESUMO'!BD81,"")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RESUMO'!BE39</f>
        <v/>
      </c>
      <c r="N58" s="139">
        <f>MAX(0,M58-M57)</f>
        <v/>
      </c>
      <c r="O58" s="138">
        <f>IF(B58&lt;='VALOR POR PL'!$P$5,'CP RESUMO'!BE81,"")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RESUMO'!BF39</f>
        <v/>
      </c>
      <c r="N59" s="139">
        <f>MAX(0,M59-M58)</f>
        <v/>
      </c>
      <c r="O59" s="138">
        <f>IF(B59&lt;='VALOR POR PL'!$P$5,'CP RESUMO'!BF81,"")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RESUMO'!BG39</f>
        <v/>
      </c>
      <c r="N60" s="139">
        <f>MAX(0,M60-M59)</f>
        <v/>
      </c>
      <c r="O60" s="138">
        <f>IF(B60&lt;='VALOR POR PL'!$P$5,'CP RESUMO'!BG81,"")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RESUMO'!BH39</f>
        <v/>
      </c>
      <c r="N61" s="139">
        <f>MAX(0,M61-M60)</f>
        <v/>
      </c>
      <c r="O61" s="138">
        <f>IF(B61&lt;='VALOR POR PL'!$P$5,'CP RESUMO'!BH81,"")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RESUMO'!BI39</f>
        <v/>
      </c>
      <c r="N62" s="139">
        <f>MAX(0,M62-M61)</f>
        <v/>
      </c>
      <c r="O62" s="138">
        <f>IF(B62&lt;='VALOR POR PL'!$P$5,'CP RESUMO'!BI81,"")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RESUMO'!BJ39</f>
        <v/>
      </c>
      <c r="N63" s="139">
        <f>MAX(0,M63-M62)</f>
        <v/>
      </c>
      <c r="O63" s="138">
        <f>IF(B63&lt;='VALOR POR PL'!$P$5,'CP RESUMO'!BJ81,"")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RESUMO'!BK39</f>
        <v/>
      </c>
      <c r="N64" s="139">
        <f>MAX(0,M64-M63)</f>
        <v/>
      </c>
      <c r="O64" s="138">
        <f>IF(B64&lt;='VALOR POR PL'!$P$5,'CP RESUMO'!BK81,"")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RESUMO'!BL39</f>
        <v/>
      </c>
      <c r="N65" s="139">
        <f>MAX(0,M65-M64)</f>
        <v/>
      </c>
      <c r="O65" s="138">
        <f>IF(B65&lt;='VALOR POR PL'!$P$5,'CP RESUMO'!BL81,"")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RESUMO'!BM39</f>
        <v/>
      </c>
      <c r="N66" s="139">
        <f>MAX(0,M66-M65)</f>
        <v/>
      </c>
      <c r="O66" s="138">
        <f>IF(B66&lt;='VALOR POR PL'!$P$5,'CP RESUMO'!BM81,"")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RESUMO'!BN39</f>
        <v/>
      </c>
      <c r="N67" s="139">
        <f>MAX(0,M67-M66)</f>
        <v/>
      </c>
      <c r="O67" s="138">
        <f>IF(B67&lt;='VALOR POR PL'!$P$5,'CP RESUMO'!BN81,"")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RESUMO'!BO39</f>
        <v/>
      </c>
      <c r="N68" s="139">
        <f>MAX(0,M68-M67)</f>
        <v/>
      </c>
      <c r="O68" s="138">
        <f>IF(B68&lt;='VALOR POR PL'!$P$5,'CP RESUMO'!BO81,"")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RESUMO'!BP39</f>
        <v/>
      </c>
      <c r="N69" s="139">
        <f>MAX(0,M69-M68)</f>
        <v/>
      </c>
      <c r="O69" s="138">
        <f>IF(B69&lt;='VALOR POR PL'!$P$5,'CP RESUMO'!BP81,"")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RESUMO'!BQ39</f>
        <v/>
      </c>
      <c r="N70" s="139">
        <f>MAX(0,M70-M69)</f>
        <v/>
      </c>
      <c r="O70" s="138">
        <f>IF(B70&lt;='VALOR POR PL'!$P$5,'CP RESUMO'!BQ81,"")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RESUMO'!BR39</f>
        <v/>
      </c>
      <c r="N71" s="139">
        <f>MAX(0,M71-M70)</f>
        <v/>
      </c>
      <c r="O71" s="138">
        <f>IF(B71&lt;='VALOR POR PL'!$P$5,'CP RESUMO'!BR81,"")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RESUMO'!BS39</f>
        <v/>
      </c>
      <c r="N72" s="139">
        <f>MAX(0,M72-M71)</f>
        <v/>
      </c>
      <c r="O72" s="138">
        <f>IF(B72&lt;='VALOR POR PL'!$P$5,'CP RESUMO'!BS81,"")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RESUMO'!BT39</f>
        <v/>
      </c>
      <c r="N73" s="139">
        <f>MAX(0,M73-M72)</f>
        <v/>
      </c>
      <c r="O73" s="138">
        <f>IF(B73&lt;='VALOR POR PL'!$P$5,'CP RESUMO'!BT81,"")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RESUMO'!BU39</f>
        <v/>
      </c>
      <c r="N74" s="139">
        <f>MAX(0,M74-M73)</f>
        <v/>
      </c>
      <c r="O74" s="138">
        <f>IF(B74&lt;='VALOR POR PL'!$P$5,'CP RESUMO'!BU81,"")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RESUMO'!BV39</f>
        <v/>
      </c>
      <c r="N75" s="139">
        <f>MAX(0,M75-M74)</f>
        <v/>
      </c>
      <c r="O75" s="138">
        <f>IF(B75&lt;='VALOR POR PL'!$P$5,'CP RESUMO'!BV81,"")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RESUMO'!BW39</f>
        <v/>
      </c>
      <c r="N76" s="139">
        <f>MAX(0,M76-M75)</f>
        <v/>
      </c>
      <c r="O76" s="138">
        <f>IF(B76&lt;='VALOR POR PL'!$P$5,'CP RESUMO'!BW81,"")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HISTORICOS'!D40)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PL'!F46</f>
        <v/>
      </c>
      <c r="K5" s="60">
        <f>'VALOR POR PL'!G46</f>
        <v/>
      </c>
      <c r="L5" s="60">
        <f>'DADOS HISTORICOS'!$BZ$40</f>
        <v/>
      </c>
      <c r="M5" s="138">
        <f>'CP RESUMO'!D40</f>
        <v/>
      </c>
      <c r="N5" s="139" t="n">
        <v>0</v>
      </c>
      <c r="O5" s="138">
        <f>IF(B5&lt;='VALOR POR PL'!$P$5,'CP RESUMO'!D82,"")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HISTORICOS'!E40)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PL'!H46</f>
        <v/>
      </c>
      <c r="L6" s="49">
        <f>C6/IF(B6&lt;='VALOR POR PL'!$P$5,IFERROR(INDEX('"INCC-FGV"'!$B$2:$B$800,MATCH(B6,'"INCC-FGV"'!$A$2:$A$800,0)),$K$2),$K$2)</f>
        <v/>
      </c>
      <c r="M6" s="138">
        <f>'CP RESUMO'!E40</f>
        <v/>
      </c>
      <c r="N6" s="139">
        <f>MAX(0,M6-M5)</f>
        <v/>
      </c>
      <c r="O6" s="138">
        <f>IF(B6&lt;='VALOR POR PL'!$P$5,'CP RESUMO'!E82,"")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HISTORICOS'!F40)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RESUMO'!F40</f>
        <v/>
      </c>
      <c r="N7" s="139">
        <f>MAX(0,M7-M6)</f>
        <v/>
      </c>
      <c r="O7" s="138">
        <f>IF(B7&lt;='VALOR POR PL'!$P$5,'CP RESUMO'!F82,"")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HISTORICOS'!G40)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RESUMO'!G40</f>
        <v/>
      </c>
      <c r="N8" s="139">
        <f>MAX(0,M8-M7)</f>
        <v/>
      </c>
      <c r="O8" s="138">
        <f>IF(B8&lt;='VALOR POR PL'!$P$5,'CP RESUMO'!G82,"")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HISTORICOS'!H40)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RESUMO'!H40</f>
        <v/>
      </c>
      <c r="N9" s="139">
        <f>MAX(0,M9-M8)</f>
        <v/>
      </c>
      <c r="O9" s="138">
        <f>IF(B9&lt;='VALOR POR PL'!$P$5,'CP RESUMO'!H82,"")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RESUMO'!I40</f>
        <v/>
      </c>
      <c r="N10" s="139">
        <f>MAX(0,M10-M9)</f>
        <v/>
      </c>
      <c r="O10" s="138">
        <f>IF(B10&lt;='VALOR POR PL'!$P$5,'CP RESUMO'!I82,"")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RESUMO'!J40</f>
        <v/>
      </c>
      <c r="N11" s="139">
        <f>MAX(0,M11-M10)</f>
        <v/>
      </c>
      <c r="O11" s="138">
        <f>IF(B11&lt;='VALOR POR PL'!$P$5,'CP RESUMO'!J82,"")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RESUMO'!K40</f>
        <v/>
      </c>
      <c r="N12" s="139">
        <f>MAX(0,M12-M11)</f>
        <v/>
      </c>
      <c r="O12" s="138">
        <f>IF(B12&lt;='VALOR POR PL'!$P$5,'CP RESUMO'!K82,"")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PL'!I46</f>
        <v/>
      </c>
      <c r="L13" s="49">
        <f>C13/IF(B13&lt;='VALOR POR PL'!$P$5,IFERROR(INDEX('"INCC-FGV"'!$B$2:$B$800,MATCH(B13,'"INCC-FGV"'!$A$2:$A$800,0)),$K$2),$K$2)</f>
        <v/>
      </c>
      <c r="M13" s="138">
        <f>'CP RESUMO'!L40</f>
        <v/>
      </c>
      <c r="N13" s="139">
        <f>MAX(0,M13-M12)</f>
        <v/>
      </c>
      <c r="O13" s="138">
        <f>IF(B13&lt;='VALOR POR PL'!$P$5,'CP RESUMO'!L82,"")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RESUMO'!$D$82:$BW$82,MATCH('VALOR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RESUMO'!M40</f>
        <v/>
      </c>
      <c r="N14" s="139">
        <f>MAX(0,M14-M13)</f>
        <v/>
      </c>
      <c r="O14" s="138">
        <f>IF(B14&lt;='VALOR POR PL'!$P$5,'CP RESUMO'!M82,"")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RESUMO'!N40</f>
        <v/>
      </c>
      <c r="N15" s="139">
        <f>MAX(0,M15-M14)</f>
        <v/>
      </c>
      <c r="O15" s="138">
        <f>IF(B15&lt;='VALOR POR PL'!$P$5,'CP RESUMO'!N82,"")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RESUMO'!O40</f>
        <v/>
      </c>
      <c r="N16" s="139">
        <f>MAX(0,M16-M15)</f>
        <v/>
      </c>
      <c r="O16" s="138">
        <f>IF(B16&lt;='VALOR POR PL'!$P$5,'CP RESUMO'!O82,"")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RESUMO'!P40</f>
        <v/>
      </c>
      <c r="N17" s="139">
        <f>MAX(0,M17-M16)</f>
        <v/>
      </c>
      <c r="O17" s="138">
        <f>IF(B17&lt;='VALOR POR PL'!$P$5,'CP RESUMO'!P82,"")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RESUMO'!Q40</f>
        <v/>
      </c>
      <c r="N18" s="139">
        <f>MAX(0,M18-M17)</f>
        <v/>
      </c>
      <c r="O18" s="138">
        <f>IF(B18&lt;='VALOR POR PL'!$P$5,'CP RESUMO'!Q82,"")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RESUMO'!R40</f>
        <v/>
      </c>
      <c r="N19" s="139">
        <f>MAX(0,M19-M18)</f>
        <v/>
      </c>
      <c r="O19" s="138">
        <f>IF(B19&lt;='VALOR POR PL'!$P$5,'CP RESUMO'!R82,"")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RESUMO'!S40</f>
        <v/>
      </c>
      <c r="N20" s="139">
        <f>MAX(0,M20-M19)</f>
        <v/>
      </c>
      <c r="O20" s="138">
        <f>IF(B20&lt;='VALOR POR PL'!$P$5,'CP RESUMO'!S82,"")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RESUMO'!T40</f>
        <v/>
      </c>
      <c r="N21" s="139">
        <f>MAX(0,M21-M20)</f>
        <v/>
      </c>
      <c r="O21" s="138">
        <f>IF(B21&lt;='VALOR POR PL'!$P$5,'CP RESUMO'!T82,"")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RESUMO'!U40</f>
        <v/>
      </c>
      <c r="N22" s="139">
        <f>MAX(0,M22-M21)</f>
        <v/>
      </c>
      <c r="O22" s="138">
        <f>IF(B22&lt;='VALOR POR PL'!$P$5,'CP RESUMO'!U82,"")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RESUMO'!V40</f>
        <v/>
      </c>
      <c r="N23" s="139">
        <f>MAX(0,M23-M22)</f>
        <v/>
      </c>
      <c r="O23" s="138">
        <f>IF(B23&lt;='VALOR POR PL'!$P$5,'CP RESUMO'!V82,"")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RESUMO'!W40</f>
        <v/>
      </c>
      <c r="N24" s="139">
        <f>MAX(0,M24-M23)</f>
        <v/>
      </c>
      <c r="O24" s="138">
        <f>IF(B24&lt;='VALOR POR PL'!$P$5,'CP RESUMO'!W82,"")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RESUMO'!X40</f>
        <v/>
      </c>
      <c r="N25" s="139">
        <f>MAX(0,M25-M24)</f>
        <v/>
      </c>
      <c r="O25" s="138">
        <f>IF(B25&lt;='VALOR POR PL'!$P$5,'CP RESUMO'!X82,"")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>
        <v>69095.46000000001</v>
      </c>
      <c r="L26" s="49">
        <f>C26/IF(B26&lt;='VALOR POR PL'!$P$5,IFERROR(INDEX('"INCC-FGV"'!$B$2:$B$800,MATCH(B26,'"INCC-FGV"'!$A$2:$A$800,0)),$K$2),$K$2)</f>
        <v/>
      </c>
      <c r="M26" s="138">
        <f>'CP RESUMO'!Y40</f>
        <v/>
      </c>
      <c r="N26" s="139">
        <f>MAX(0,M26-M25)</f>
        <v/>
      </c>
      <c r="O26" s="138">
        <f>IF(B26&lt;='VALOR POR PL'!$P$5,'CP RESUMO'!Y82,"")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RESUMO'!Z40</f>
        <v/>
      </c>
      <c r="N27" s="139">
        <f>MAX(0,M27-M26)</f>
        <v/>
      </c>
      <c r="O27" s="138">
        <f>IF(B27&lt;='VALOR POR PL'!$P$5,'CP RESUMO'!Z82,"")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>
        <v>9230.309999999999</v>
      </c>
      <c r="L28" s="49">
        <f>C28/IF(B28&lt;='VALOR POR PL'!$P$5,IFERROR(INDEX('"INCC-FGV"'!$B$2:$B$800,MATCH(B28,'"INCC-FGV"'!$A$2:$A$800,0)),$K$2),$K$2)</f>
        <v/>
      </c>
      <c r="M28" s="138">
        <f>'CP RESUMO'!AA40</f>
        <v/>
      </c>
      <c r="N28" s="139">
        <f>MAX(0,M28-M27)</f>
        <v/>
      </c>
      <c r="O28" s="138">
        <f>IF(B28&lt;='VALOR POR PL'!$P$5,'CP RESUMO'!AA82,"")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>
        <v>196210.02</v>
      </c>
      <c r="L29" s="49">
        <f>C29/IF(B29&lt;='VALOR POR PL'!$P$5,IFERROR(INDEX('"INCC-FGV"'!$B$2:$B$800,MATCH(B29,'"INCC-FGV"'!$A$2:$A$800,0)),$K$2),$K$2)</f>
        <v/>
      </c>
      <c r="M29" s="138">
        <f>'CP RESUMO'!AB40</f>
        <v/>
      </c>
      <c r="N29" s="139">
        <f>MAX(0,M29-M28)</f>
        <v/>
      </c>
      <c r="O29" s="138">
        <f>IF(B29&lt;='VALOR POR PL'!$P$5,'CP RESUMO'!AB82,"")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>
        <v>195946.3</v>
      </c>
      <c r="L30" s="49">
        <f>C30/IF(B30&lt;='VALOR POR PL'!$P$5,IFERROR(INDEX('"INCC-FGV"'!$B$2:$B$800,MATCH(B30,'"INCC-FGV"'!$A$2:$A$800,0)),$K$2),$K$2)</f>
        <v/>
      </c>
      <c r="M30" s="138">
        <f>'CP RESUMO'!AC40</f>
        <v/>
      </c>
      <c r="N30" s="139">
        <f>MAX(0,M30-M29)</f>
        <v/>
      </c>
      <c r="O30" s="138">
        <f>IF(B30&lt;='VALOR POR PL'!$P$5,'CP RESUMO'!AC82,"")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>
        <v>207550.12</v>
      </c>
      <c r="L31" s="49">
        <f>C31/IF(B31&lt;='VALOR POR PL'!$P$5,IFERROR(INDEX('"INCC-FGV"'!$B$2:$B$800,MATCH(B31,'"INCC-FGV"'!$A$2:$A$800,0)),$K$2),$K$2)</f>
        <v/>
      </c>
      <c r="M31" s="138">
        <f>'CP RESUMO'!AD40</f>
        <v/>
      </c>
      <c r="N31" s="139">
        <f>MAX(0,M31-M30)</f>
        <v/>
      </c>
      <c r="O31" s="138">
        <f>IF(B31&lt;='VALOR POR PL'!$P$5,'CP RESUMO'!AD82,"")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170892.6</v>
      </c>
      <c r="L32" s="49">
        <f>C32/IF(B32&lt;='VALOR POR PL'!$P$5,IFERROR(INDEX('"INCC-FGV"'!$B$2:$B$800,MATCH(B32,'"INCC-FGV"'!$A$2:$A$800,0)),$K$2),$K$2)</f>
        <v/>
      </c>
      <c r="M32" s="138">
        <f>'CP RESUMO'!AE40</f>
        <v/>
      </c>
      <c r="N32" s="139">
        <f>MAX(0,M32-M31)</f>
        <v/>
      </c>
      <c r="O32" s="138">
        <f>IF(B32&lt;='VALOR POR PL'!$P$5,'CP RESUMO'!AE82,"")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19515.51</v>
      </c>
      <c r="L33" s="49">
        <f>C33/IF(B33&lt;='VALOR POR PL'!$P$5,IFERROR(INDEX('"INCC-FGV"'!$B$2:$B$800,MATCH(B33,'"INCC-FGV"'!$A$2:$A$800,0)),$K$2),$K$2)</f>
        <v/>
      </c>
      <c r="M33" s="138">
        <f>'CP RESUMO'!AF40</f>
        <v/>
      </c>
      <c r="N33" s="139">
        <f>MAX(0,M33-M32)</f>
        <v/>
      </c>
      <c r="O33" s="138">
        <f>IF(B33&lt;='VALOR POR PL'!$P$5,'CP RESUMO'!AF82,"")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>
        <v>27427.21</v>
      </c>
      <c r="L34" s="49">
        <f>C34/IF(B34&lt;='VALOR POR PL'!$P$5,IFERROR(INDEX('"INCC-FGV"'!$B$2:$B$800,MATCH(B34,'"INCC-FGV"'!$A$2:$A$800,0)),$K$2),$K$2)</f>
        <v/>
      </c>
      <c r="M34" s="138">
        <f>'CP RESUMO'!AG40</f>
        <v/>
      </c>
      <c r="N34" s="139">
        <f>MAX(0,M34-M33)</f>
        <v/>
      </c>
      <c r="O34" s="138">
        <f>IF(B34&lt;='VALOR POR PL'!$P$5,'CP RESUMO'!AG82,"")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113664.68</v>
      </c>
      <c r="L35" s="49">
        <f>C35/IF(B35&lt;='VALOR POR PL'!$P$5,IFERROR(INDEX('"INCC-FGV"'!$B$2:$B$800,MATCH(B35,'"INCC-FGV"'!$A$2:$A$800,0)),$K$2),$K$2)</f>
        <v/>
      </c>
      <c r="M35" s="138">
        <f>'CP RESUMO'!AH40</f>
        <v/>
      </c>
      <c r="N35" s="139">
        <f>MAX(0,M35-M34)</f>
        <v/>
      </c>
      <c r="O35" s="138">
        <f>IF(B35&lt;='VALOR POR PL'!$P$5,'CP RESUMO'!AH82,"")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27690.93</v>
      </c>
      <c r="L36" s="49">
        <f>C36/IF(B36&lt;='VALOR POR PL'!$P$5,IFERROR(INDEX('"INCC-FGV"'!$B$2:$B$800,MATCH(B36,'"INCC-FGV"'!$A$2:$A$800,0)),$K$2),$K$2)</f>
        <v/>
      </c>
      <c r="M36" s="138">
        <f>'CP RESUMO'!AI40</f>
        <v/>
      </c>
      <c r="N36" s="139">
        <f>MAX(0,M36-M35)</f>
        <v/>
      </c>
      <c r="O36" s="138">
        <f>IF(B36&lt;='VALOR POR PL'!$P$5,'CP RESUMO'!AI82,"")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99951.07000000001</v>
      </c>
      <c r="L37" s="49">
        <f>C37/IF(B37&lt;='VALOR POR PL'!$P$5,IFERROR(INDEX('"INCC-FGV"'!$B$2:$B$800,MATCH(B37,'"INCC-FGV"'!$A$2:$A$800,0)),$K$2),$K$2)</f>
        <v/>
      </c>
      <c r="M37" s="138">
        <f>'CP RESUMO'!AJ40</f>
        <v/>
      </c>
      <c r="N37" s="139">
        <f>MAX(0,M37-M36)</f>
        <v/>
      </c>
      <c r="O37" s="138">
        <f>IF(B37&lt;='VALOR POR PL'!$P$5,'CP RESUMO'!AJ82,"")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67513.13</v>
      </c>
      <c r="L38" s="49">
        <f>C38/IF(B38&lt;='VALOR POR PL'!$P$5,IFERROR(INDEX('"INCC-FGV"'!$B$2:$B$800,MATCH(B38,'"INCC-FGV"'!$A$2:$A$800,0)),$K$2),$K$2)</f>
        <v/>
      </c>
      <c r="M38" s="138">
        <f>'CP RESUMO'!AK40</f>
        <v/>
      </c>
      <c r="N38" s="139">
        <f>MAX(0,M38-M37)</f>
        <v/>
      </c>
      <c r="O38" s="138">
        <f>IF(B38&lt;='VALOR POR PL'!$P$5,'CP RESUMO'!AK82,"")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84918.85000000001</v>
      </c>
      <c r="L39" s="49">
        <f>C39/IF(B39&lt;='VALOR POR PL'!$P$5,IFERROR(INDEX('"INCC-FGV"'!$B$2:$B$800,MATCH(B39,'"INCC-FGV"'!$A$2:$A$800,0)),$K$2),$K$2)</f>
        <v/>
      </c>
      <c r="M39" s="138">
        <f>'CP RESUMO'!AL40</f>
        <v/>
      </c>
      <c r="N39" s="139">
        <f>MAX(0,M39-M38)</f>
        <v/>
      </c>
      <c r="O39" s="138">
        <f>IF(B39&lt;='VALOR POR PL'!$P$5,'CP RESUMO'!AL82,"")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84655.13</v>
      </c>
      <c r="L40" s="49">
        <f>C40/IF(B40&lt;='VALOR POR PL'!$P$5,IFERROR(INDEX('"INCC-FGV"'!$B$2:$B$800,MATCH(B40,'"INCC-FGV"'!$A$2:$A$800,0)),$K$2),$K$2)</f>
        <v/>
      </c>
      <c r="M40" s="138">
        <f>'CP RESUMO'!AM40</f>
        <v/>
      </c>
      <c r="N40" s="139">
        <f>MAX(0,M40-M39)</f>
        <v/>
      </c>
      <c r="O40" s="138">
        <f>IF(B40&lt;='VALOR POR PL'!$P$5,'CP RESUMO'!AM82,"")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152695.7</v>
      </c>
      <c r="L41" s="49">
        <f>C41/IF(B41&lt;='VALOR POR PL'!$P$5,IFERROR(INDEX('"INCC-FGV"'!$B$2:$B$800,MATCH(B41,'"INCC-FGV"'!$A$2:$A$800,0)),$K$2),$K$2)</f>
        <v/>
      </c>
      <c r="M41" s="138">
        <f>'CP RESUMO'!AN40</f>
        <v/>
      </c>
      <c r="N41" s="139">
        <f>MAX(0,M41-M40)</f>
        <v/>
      </c>
      <c r="O41" s="138">
        <f>IF(B41&lt;='VALOR POR PL'!$P$5,'CP RESUMO'!AN82,"")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163244.63</v>
      </c>
      <c r="L42" s="49">
        <f>C42/IF(B42&lt;='VALOR POR PL'!$P$5,IFERROR(INDEX('"INCC-FGV"'!$B$2:$B$800,MATCH(B42,'"INCC-FGV"'!$A$2:$A$800,0)),$K$2),$K$2)</f>
        <v/>
      </c>
      <c r="M42" s="138">
        <f>'CP RESUMO'!AO40</f>
        <v/>
      </c>
      <c r="N42" s="139">
        <f>MAX(0,M42-M41)</f>
        <v/>
      </c>
      <c r="O42" s="138">
        <f>IF(B42&lt;='VALOR POR PL'!$P$5,'CP RESUMO'!AO82,"")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70677.8</v>
      </c>
      <c r="L43" s="49">
        <f>C43/IF(B43&lt;='VALOR POR PL'!$P$5,IFERROR(INDEX('"INCC-FGV"'!$B$2:$B$800,MATCH(B43,'"INCC-FGV"'!$A$2:$A$800,0)),$K$2),$K$2)</f>
        <v/>
      </c>
      <c r="M43" s="138">
        <f>'CP RESUMO'!AP40</f>
        <v/>
      </c>
      <c r="N43" s="139">
        <f>MAX(0,M43-M42)</f>
        <v/>
      </c>
      <c r="O43" s="138">
        <f>IF(B43&lt;='VALOR POR PL'!$P$5,'CP RESUMO'!AP82,"")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113137.23</v>
      </c>
      <c r="L44" s="49">
        <f>C44/IF(B44&lt;='VALOR POR PL'!$P$5,IFERROR(INDEX('"INCC-FGV"'!$B$2:$B$800,MATCH(B44,'"INCC-FGV"'!$A$2:$A$800,0)),$K$2),$K$2)</f>
        <v/>
      </c>
      <c r="M44" s="138">
        <f>'CP RESUMO'!AQ40</f>
        <v/>
      </c>
      <c r="N44" s="139">
        <f>MAX(0,M44-M43)</f>
        <v/>
      </c>
      <c r="O44" s="138">
        <f>IF(B44&lt;='VALOR POR PL'!$P$5,'CP RESUMO'!AQ82,"")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98896.17999999999</v>
      </c>
      <c r="L45" s="49">
        <f>C45/IF(B45&lt;='VALOR POR PL'!$P$5,IFERROR(INDEX('"INCC-FGV"'!$B$2:$B$800,MATCH(B45,'"INCC-FGV"'!$A$2:$A$800,0)),$K$2),$K$2)</f>
        <v/>
      </c>
      <c r="M45" s="138">
        <f>'CP RESUMO'!AR40</f>
        <v/>
      </c>
      <c r="N45" s="139">
        <f>MAX(0,M45-M44)</f>
        <v/>
      </c>
      <c r="O45" s="138">
        <f>IF(B45&lt;='VALOR POR PL'!$P$5,'CP RESUMO'!AR82,"")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111027.45</v>
      </c>
      <c r="L46" s="49">
        <f>C46/IF(B46&lt;='VALOR POR PL'!$P$5,IFERROR(INDEX('"INCC-FGV"'!$B$2:$B$800,MATCH(B46,'"INCC-FGV"'!$A$2:$A$800,0)),$K$2),$K$2)</f>
        <v/>
      </c>
      <c r="M46" s="138">
        <f>'CP RESUMO'!AS40</f>
        <v/>
      </c>
      <c r="N46" s="139">
        <f>MAX(0,M46-M45)</f>
        <v/>
      </c>
      <c r="O46" s="138">
        <f>IF(B46&lt;='VALOR POR PL'!$P$5,'CP RESUMO'!AS82,"")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208948.58</v>
      </c>
      <c r="L47" s="49">
        <f>C47/IF(B47&lt;='VALOR POR PL'!$P$5,IFERROR(INDEX('"INCC-FGV"'!$B$2:$B$800,MATCH(B47,'"INCC-FGV"'!$A$2:$A$800,0)),$K$2),$K$2)</f>
        <v/>
      </c>
      <c r="M47" s="138">
        <f>'CP RESUMO'!AT40</f>
        <v/>
      </c>
      <c r="N47" s="139">
        <f>MAX(0,M47-M46)</f>
        <v/>
      </c>
      <c r="O47" s="138">
        <f>IF(B47&lt;='VALOR POR PL'!$P$5,'CP RESUMO'!AT82,"")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/>
      <c r="L48" s="49">
        <f>C48/IF(B48&lt;='VALOR POR PL'!$P$5,IFERROR(INDEX('"INCC-FGV"'!$B$2:$B$800,MATCH(B48,'"INCC-FGV"'!$A$2:$A$800,0)),$K$2),$K$2)</f>
        <v/>
      </c>
      <c r="M48" s="138">
        <f>'CP RESUMO'!AU40</f>
        <v/>
      </c>
      <c r="N48" s="139">
        <f>MAX(0,M48-M47)</f>
        <v/>
      </c>
      <c r="O48" s="138">
        <f>IF(B48&lt;='VALOR POR PL'!$P$5,'CP RESUMO'!AU82,"")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/>
      <c r="L49" s="49">
        <f>C49/IF(B49&lt;='VALOR POR PL'!$P$5,IFERROR(INDEX('"INCC-FGV"'!$B$2:$B$800,MATCH(B49,'"INCC-FGV"'!$A$2:$A$800,0)),$K$2),$K$2)</f>
        <v/>
      </c>
      <c r="M49" s="138">
        <f>'CP RESUMO'!AV40</f>
        <v/>
      </c>
      <c r="N49" s="139">
        <f>MAX(0,M49-M48)</f>
        <v/>
      </c>
      <c r="O49" s="138">
        <f>IF(B49&lt;='VALOR POR PL'!$P$5,'CP RESUMO'!AV82,"")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RESUMO'!AW40</f>
        <v/>
      </c>
      <c r="N50" s="139">
        <f>MAX(0,M50-M49)</f>
        <v/>
      </c>
      <c r="O50" s="138">
        <f>IF(B50&lt;='VALOR POR PL'!$P$5,'CP RESUMO'!AW82,"")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RESUMO'!AX40</f>
        <v/>
      </c>
      <c r="N51" s="139">
        <f>MAX(0,M51-M50)</f>
        <v/>
      </c>
      <c r="O51" s="138">
        <f>IF(B51&lt;='VALOR POR PL'!$P$5,'CP RESUMO'!AX82,"")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RESUMO'!AY40</f>
        <v/>
      </c>
      <c r="N52" s="139">
        <f>MAX(0,M52-M51)</f>
        <v/>
      </c>
      <c r="O52" s="138">
        <f>IF(B52&lt;='VALOR POR PL'!$P$5,'CP RESUMO'!AY82,"")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RESUMO'!AZ40</f>
        <v/>
      </c>
      <c r="N53" s="139">
        <f>MAX(0,M53-M52)</f>
        <v/>
      </c>
      <c r="O53" s="138">
        <f>IF(B53&lt;='VALOR POR PL'!$P$5,'CP RESUMO'!AZ82,"")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RESUMO'!BA40</f>
        <v/>
      </c>
      <c r="N54" s="139">
        <f>MAX(0,M54-M53)</f>
        <v/>
      </c>
      <c r="O54" s="138">
        <f>IF(B54&lt;='VALOR POR PL'!$P$5,'CP RESUMO'!BA82,"")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RESUMO'!BB40</f>
        <v/>
      </c>
      <c r="N55" s="139">
        <f>MAX(0,M55-M54)</f>
        <v/>
      </c>
      <c r="O55" s="138">
        <f>IF(B55&lt;='VALOR POR PL'!$P$5,'CP RESUMO'!BB82,"")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RESUMO'!BC40</f>
        <v/>
      </c>
      <c r="N56" s="139">
        <f>MAX(0,M56-M55)</f>
        <v/>
      </c>
      <c r="O56" s="138">
        <f>IF(B56&lt;='VALOR POR PL'!$P$5,'CP RESUMO'!BC82,"")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RESUMO'!BD40</f>
        <v/>
      </c>
      <c r="N57" s="139">
        <f>MAX(0,M57-M56)</f>
        <v/>
      </c>
      <c r="O57" s="138">
        <f>IF(B57&lt;='VALOR POR PL'!$P$5,'CP RESUMO'!BD82,"")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RESUMO'!BE40</f>
        <v/>
      </c>
      <c r="N58" s="139">
        <f>MAX(0,M58-M57)</f>
        <v/>
      </c>
      <c r="O58" s="138">
        <f>IF(B58&lt;='VALOR POR PL'!$P$5,'CP RESUMO'!BE82,"")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RESUMO'!BF40</f>
        <v/>
      </c>
      <c r="N59" s="139">
        <f>MAX(0,M59-M58)</f>
        <v/>
      </c>
      <c r="O59" s="138">
        <f>IF(B59&lt;='VALOR POR PL'!$P$5,'CP RESUMO'!BF82,"")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RESUMO'!BG40</f>
        <v/>
      </c>
      <c r="N60" s="139">
        <f>MAX(0,M60-M59)</f>
        <v/>
      </c>
      <c r="O60" s="138">
        <f>IF(B60&lt;='VALOR POR PL'!$P$5,'CP RESUMO'!BG82,"")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RESUMO'!BH40</f>
        <v/>
      </c>
      <c r="N61" s="139">
        <f>MAX(0,M61-M60)</f>
        <v/>
      </c>
      <c r="O61" s="138">
        <f>IF(B61&lt;='VALOR POR PL'!$P$5,'CP RESUMO'!BH82,"")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RESUMO'!BI40</f>
        <v/>
      </c>
      <c r="N62" s="139">
        <f>MAX(0,M62-M61)</f>
        <v/>
      </c>
      <c r="O62" s="138">
        <f>IF(B62&lt;='VALOR POR PL'!$P$5,'CP RESUMO'!BI82,"")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RESUMO'!BJ40</f>
        <v/>
      </c>
      <c r="N63" s="139">
        <f>MAX(0,M63-M62)</f>
        <v/>
      </c>
      <c r="O63" s="138">
        <f>IF(B63&lt;='VALOR POR PL'!$P$5,'CP RESUMO'!BJ82,"")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RESUMO'!BK40</f>
        <v/>
      </c>
      <c r="N64" s="139">
        <f>MAX(0,M64-M63)</f>
        <v/>
      </c>
      <c r="O64" s="138">
        <f>IF(B64&lt;='VALOR POR PL'!$P$5,'CP RESUMO'!BK82,"")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RESUMO'!BL40</f>
        <v/>
      </c>
      <c r="N65" s="139">
        <f>MAX(0,M65-M64)</f>
        <v/>
      </c>
      <c r="O65" s="138">
        <f>IF(B65&lt;='VALOR POR PL'!$P$5,'CP RESUMO'!BL82,"")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RESUMO'!BM40</f>
        <v/>
      </c>
      <c r="N66" s="139">
        <f>MAX(0,M66-M65)</f>
        <v/>
      </c>
      <c r="O66" s="138">
        <f>IF(B66&lt;='VALOR POR PL'!$P$5,'CP RESUMO'!BM82,"")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RESUMO'!BN40</f>
        <v/>
      </c>
      <c r="N67" s="139">
        <f>MAX(0,M67-M66)</f>
        <v/>
      </c>
      <c r="O67" s="138">
        <f>IF(B67&lt;='VALOR POR PL'!$P$5,'CP RESUMO'!BN82,"")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RESUMO'!BO40</f>
        <v/>
      </c>
      <c r="N68" s="139">
        <f>MAX(0,M68-M67)</f>
        <v/>
      </c>
      <c r="O68" s="138">
        <f>IF(B68&lt;='VALOR POR PL'!$P$5,'CP RESUMO'!BO82,"")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RESUMO'!BP40</f>
        <v/>
      </c>
      <c r="N69" s="139">
        <f>MAX(0,M69-M68)</f>
        <v/>
      </c>
      <c r="O69" s="138">
        <f>IF(B69&lt;='VALOR POR PL'!$P$5,'CP RESUMO'!BP82,"")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RESUMO'!BQ40</f>
        <v/>
      </c>
      <c r="N70" s="139">
        <f>MAX(0,M70-M69)</f>
        <v/>
      </c>
      <c r="O70" s="138">
        <f>IF(B70&lt;='VALOR POR PL'!$P$5,'CP RESUMO'!BQ82,"")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RESUMO'!BR40</f>
        <v/>
      </c>
      <c r="N71" s="139">
        <f>MAX(0,M71-M70)</f>
        <v/>
      </c>
      <c r="O71" s="138">
        <f>IF(B71&lt;='VALOR POR PL'!$P$5,'CP RESUMO'!BR82,"")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RESUMO'!BS40</f>
        <v/>
      </c>
      <c r="N72" s="139">
        <f>MAX(0,M72-M71)</f>
        <v/>
      </c>
      <c r="O72" s="138">
        <f>IF(B72&lt;='VALOR POR PL'!$P$5,'CP RESUMO'!BS82,"")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RESUMO'!BT40</f>
        <v/>
      </c>
      <c r="N73" s="139">
        <f>MAX(0,M73-M72)</f>
        <v/>
      </c>
      <c r="O73" s="138">
        <f>IF(B73&lt;='VALOR POR PL'!$P$5,'CP RESUMO'!BT82,"")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RESUMO'!BU40</f>
        <v/>
      </c>
      <c r="N74" s="139">
        <f>MAX(0,M74-M73)</f>
        <v/>
      </c>
      <c r="O74" s="138">
        <f>IF(B74&lt;='VALOR POR PL'!$P$5,'CP RESUMO'!BU82,"")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RESUMO'!BV40</f>
        <v/>
      </c>
      <c r="N75" s="139">
        <f>MAX(0,M75-M74)</f>
        <v/>
      </c>
      <c r="O75" s="138">
        <f>IF(B75&lt;='VALOR POR PL'!$P$5,'CP RESUMO'!BV82,"")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RESUMO'!BW40</f>
        <v/>
      </c>
      <c r="N76" s="139">
        <f>MAX(0,M76-M75)</f>
        <v/>
      </c>
      <c r="O76" s="138">
        <f>IF(B76&lt;='VALOR POR PL'!$P$5,'CP RESUMO'!BW82,"")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8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36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L4" s="58" t="inlineStr">
        <is>
          <t>INCORRIDO
(INCC do mês)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23" t="inlineStr">
        <is>
          <t>Acu até →</t>
        </is>
      </c>
      <c r="B5" s="119">
        <f>'VALOR POR PL'!$P$6</f>
        <v/>
      </c>
      <c r="C5" s="60">
        <f>IF(AND($K$22="NÃO",B5&gt;'VALOR POR PL'!$P$5),0,'DADOS HISTORICOS'!D41)</f>
        <v/>
      </c>
      <c r="D5" s="49">
        <f>IF(B5&lt;='VALOR POR PL'!$P$5,0,IF($K$17&gt;0,$K$18*P5/$K$17,0))</f>
        <v/>
      </c>
      <c r="E5" s="49">
        <f>L5+D5/$K$2</f>
        <v/>
      </c>
      <c r="F5" s="117">
        <f>IF($K$9=0,0,E5/$K$9)</f>
        <v/>
      </c>
      <c r="G5" s="117">
        <f>F5</f>
        <v/>
      </c>
      <c r="H5" s="137" t="n"/>
      <c r="I5" s="46" t="inlineStr">
        <is>
          <t>VALOR ORÇADO (R$ base / INCC)</t>
        </is>
      </c>
      <c r="J5" s="60">
        <f>'VALOR POR PL'!F47</f>
        <v/>
      </c>
      <c r="K5" s="60">
        <f>'VALOR POR PL'!G47</f>
        <v/>
      </c>
      <c r="L5" s="60">
        <f>'DADOS HISTORICOS'!$BZ$41</f>
        <v/>
      </c>
      <c r="M5" s="138">
        <f>'CP RESUMO'!D41</f>
        <v/>
      </c>
      <c r="N5" s="139" t="n">
        <v>0</v>
      </c>
      <c r="O5" s="138">
        <f>IF(B5&lt;='VALOR POR PL'!$P$5,'CP RESUMO'!D83,"")</f>
        <v/>
      </c>
      <c r="P5" s="72">
        <f>IF(B5&lt;='VALOR POR PL'!$P$5,0,IF(OR($K$16="CURVA PREVISION",$K$16="MDO PREVISION + MATERIAL PREMISSA"),N5,IF($K$16="PREVISÃO INFORMADA",MAX(0,H5),0)))</f>
        <v/>
      </c>
    </row>
    <row r="6">
      <c r="B6" s="140">
        <f>DATE(YEAR(B5),MONTH(B5)+1,1)</f>
        <v/>
      </c>
      <c r="C6" s="60">
        <f>IF(AND($K$22="NÃO",B6&gt;'VALOR POR PL'!$P$5),0,'DADOS HISTORICOS'!E41)</f>
        <v/>
      </c>
      <c r="D6" s="49">
        <f>IF(B6&lt;='VALOR POR PL'!$P$5,0,IF($K$17&gt;0,$K$18*P6/$K$17,0))</f>
        <v/>
      </c>
      <c r="E6" s="49">
        <f>L6+D6/$K$2</f>
        <v/>
      </c>
      <c r="F6" s="117">
        <f>IF($K$9=0,0,E6/$K$9)</f>
        <v/>
      </c>
      <c r="G6" s="117">
        <f>G5+F6</f>
        <v/>
      </c>
      <c r="H6" s="137" t="n"/>
      <c r="I6" s="46" t="inlineStr">
        <is>
          <t>META DA DISTRIBUIÇÃO (INCC)</t>
        </is>
      </c>
      <c r="K6" s="56">
        <f>'VALOR POR PL'!H47</f>
        <v/>
      </c>
      <c r="L6" s="49">
        <f>C6/IF(B6&lt;='VALOR POR PL'!$P$5,IFERROR(INDEX('"INCC-FGV"'!$B$2:$B$800,MATCH(B6,'"INCC-FGV"'!$A$2:$A$800,0)),$K$2),$K$2)</f>
        <v/>
      </c>
      <c r="M6" s="138">
        <f>'CP RESUMO'!E41</f>
        <v/>
      </c>
      <c r="N6" s="139">
        <f>MAX(0,M6-M5)</f>
        <v/>
      </c>
      <c r="O6" s="138">
        <f>IF(B6&lt;='VALOR POR PL'!$P$5,'CP RESUMO'!E83,"")</f>
        <v/>
      </c>
      <c r="P6" s="72">
        <f>IF(B6&lt;='VALOR POR PL'!$P$5,0,IF(OR($K$16="CURVA PREVISION",$K$16="MDO PREVISION + MATERIAL PREMISSA"),N6,IF($K$16="PREVISÃO INFORMADA",MAX(0,H6),0)))</f>
        <v/>
      </c>
    </row>
    <row r="7">
      <c r="B7" s="140">
        <f>DATE(YEAR(B6),MONTH(B6)+1,1)</f>
        <v/>
      </c>
      <c r="C7" s="60">
        <f>IF(AND($K$22="NÃO",B7&gt;'VALOR POR PL'!$P$5),0,'DADOS HISTORICOS'!F41)</f>
        <v/>
      </c>
      <c r="D7" s="49">
        <f>IF(B7&lt;='VALOR POR PL'!$P$5,0,IF($K$17&gt;0,$K$18*P7/$K$17,0))</f>
        <v/>
      </c>
      <c r="E7" s="49">
        <f>L7+D7/$K$2</f>
        <v/>
      </c>
      <c r="F7" s="117">
        <f>IF($K$9=0,0,E7/$K$9)</f>
        <v/>
      </c>
      <c r="G7" s="117">
        <f>G6+F7</f>
        <v/>
      </c>
      <c r="H7" s="137" t="n"/>
      <c r="I7" s="46" t="inlineStr">
        <is>
          <t>PROJEÇÃO (R$) = incorrido + saldo INCC × INCC do corte</t>
        </is>
      </c>
      <c r="J7" s="49">
        <f>C78+D78</f>
        <v/>
      </c>
      <c r="L7" s="49">
        <f>C7/IF(B7&lt;='VALOR POR PL'!$P$5,IFERROR(INDEX('"INCC-FGV"'!$B$2:$B$800,MATCH(B7,'"INCC-FGV"'!$A$2:$A$800,0)),$K$2),$K$2)</f>
        <v/>
      </c>
      <c r="M7" s="138">
        <f>'CP RESUMO'!F41</f>
        <v/>
      </c>
      <c r="N7" s="139">
        <f>MAX(0,M7-M6)</f>
        <v/>
      </c>
      <c r="O7" s="138">
        <f>IF(B7&lt;='VALOR POR PL'!$P$5,'CP RESUMO'!F83,"")</f>
        <v/>
      </c>
      <c r="P7" s="72">
        <f>IF(B7&lt;='VALOR POR PL'!$P$5,0,IF(OR($K$16="CURVA PREVISION",$K$16="MDO PREVISION + MATERIAL PREMISSA"),N7,IF($K$16="PREVISÃO INFORMADA",MAX(0,H7),0)))</f>
        <v/>
      </c>
    </row>
    <row r="8">
      <c r="B8" s="140">
        <f>DATE(YEAR(B7),MONTH(B7)+1,1)</f>
        <v/>
      </c>
      <c r="C8" s="60">
        <f>IF(AND($K$22="NÃO",B8&gt;'VALOR POR PL'!$P$5),0,'DADOS HISTORICOS'!G41)</f>
        <v/>
      </c>
      <c r="D8" s="49">
        <f>IF(B8&lt;='VALOR POR PL'!$P$5,0,IF($K$17&gt;0,$K$18*P8/$K$17,0))</f>
        <v/>
      </c>
      <c r="E8" s="49">
        <f>L8+D8/$K$2</f>
        <v/>
      </c>
      <c r="F8" s="117">
        <f>IF($K$9=0,0,E8/$K$9)</f>
        <v/>
      </c>
      <c r="G8" s="117">
        <f>G7+F8</f>
        <v/>
      </c>
      <c r="H8" s="137" t="n"/>
      <c r="I8" s="46" t="inlineStr">
        <is>
          <t>INCORRIDO + COMPROMISSOS DO ERP (INCC)</t>
        </is>
      </c>
      <c r="K8" s="72">
        <f>SUM(L5:L76)</f>
        <v/>
      </c>
      <c r="L8" s="49">
        <f>C8/IF(B8&lt;='VALOR POR PL'!$P$5,IFERROR(INDEX('"INCC-FGV"'!$B$2:$B$800,MATCH(B8,'"INCC-FGV"'!$A$2:$A$800,0)),$K$2),$K$2)</f>
        <v/>
      </c>
      <c r="M8" s="138">
        <f>'CP RESUMO'!G41</f>
        <v/>
      </c>
      <c r="N8" s="139">
        <f>MAX(0,M8-M7)</f>
        <v/>
      </c>
      <c r="O8" s="138">
        <f>IF(B8&lt;='VALOR POR PL'!$P$5,'CP RESUMO'!G83,"")</f>
        <v/>
      </c>
      <c r="P8" s="72">
        <f>IF(B8&lt;='VALOR POR PL'!$P$5,0,IF(OR($K$16="CURVA PREVISION",$K$16="MDO PREVISION + MATERIAL PREMISSA"),N8,IF($K$16="PREVISÃO INFORMADA",MAX(0,H8),0)))</f>
        <v/>
      </c>
    </row>
    <row r="9">
      <c r="B9" s="140">
        <f>DATE(YEAR(B8),MONTH(B8)+1,1)</f>
        <v/>
      </c>
      <c r="C9" s="60">
        <f>IF(AND($K$22="NÃO",B9&gt;'VALOR POR PL'!$P$5),0,'DADOS HISTORICOS'!H41)</f>
        <v/>
      </c>
      <c r="D9" s="49">
        <f>IF(B9&lt;='VALOR POR PL'!$P$5,0,IF($K$17&gt;0,$K$18*P9/$K$17,0))</f>
        <v/>
      </c>
      <c r="E9" s="49">
        <f>L9+D9/$K$2</f>
        <v/>
      </c>
      <c r="F9" s="117">
        <f>IF($K$9=0,0,E9/$K$9)</f>
        <v/>
      </c>
      <c r="G9" s="117">
        <f>G8+F9</f>
        <v/>
      </c>
      <c r="H9" s="137" t="n"/>
      <c r="I9" s="46" t="inlineStr">
        <is>
          <t>TOTAL NO FLUXO</t>
        </is>
      </c>
      <c r="J9" s="49">
        <f>C78+D78</f>
        <v/>
      </c>
      <c r="K9" s="49">
        <f>E78</f>
        <v/>
      </c>
      <c r="L9" s="49">
        <f>C9/IF(B9&lt;='VALOR POR PL'!$P$5,IFERROR(INDEX('"INCC-FGV"'!$B$2:$B$800,MATCH(B9,'"INCC-FGV"'!$A$2:$A$800,0)),$K$2),$K$2)</f>
        <v/>
      </c>
      <c r="M9" s="138">
        <f>'CP RESUMO'!H41</f>
        <v/>
      </c>
      <c r="N9" s="139">
        <f>MAX(0,M9-M8)</f>
        <v/>
      </c>
      <c r="O9" s="138">
        <f>IF(B9&lt;='VALOR POR PL'!$P$5,'CP RESUMO'!H83,"")</f>
        <v/>
      </c>
      <c r="P9" s="72">
        <f>IF(B9&lt;='VALOR POR PL'!$P$5,0,IF(OR($K$16="CURVA PREVISION",$K$16="MDO PREVISION + MATERIAL PREMISSA"),N9,IF($K$16="PREVISÃO INFORMADA",MAX(0,H9),0)))</f>
        <v/>
      </c>
    </row>
    <row r="10">
      <c r="B10" s="140">
        <f>DATE(YEAR(B9),MONTH(B9)+1,1)</f>
        <v/>
      </c>
      <c r="C10" s="60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L10+D10/$K$2</f>
        <v/>
      </c>
      <c r="F10" s="117">
        <f>IF($K$9=0,0,E10/$K$9)</f>
        <v/>
      </c>
      <c r="G10" s="117">
        <f>G9+F10</f>
        <v/>
      </c>
      <c r="H10" s="137" t="n"/>
      <c r="I10" s="46" t="inlineStr">
        <is>
          <t>SALDO A DISTRIBUIR (INCC)</t>
        </is>
      </c>
      <c r="K10" s="72">
        <f>K6-K8</f>
        <v/>
      </c>
      <c r="L10" s="49">
        <f>C10/IF(B10&lt;='VALOR POR PL'!$P$5,IFERROR(INDEX('"INCC-FGV"'!$B$2:$B$800,MATCH(B10,'"INCC-FGV"'!$A$2:$A$800,0)),$K$2),$K$2)</f>
        <v/>
      </c>
      <c r="M10" s="138">
        <f>'CP RESUMO'!I41</f>
        <v/>
      </c>
      <c r="N10" s="139">
        <f>MAX(0,M10-M9)</f>
        <v/>
      </c>
      <c r="O10" s="138">
        <f>IF(B10&lt;='VALOR POR PL'!$P$5,'CP RESUMO'!I83,"")</f>
        <v/>
      </c>
      <c r="P10" s="72">
        <f>IF(B10&lt;='VALOR POR PL'!$P$5,0,IF(OR($K$16="CURVA PREVISION",$K$16="MDO PREVISION + MATERIAL PREMISSA"),N10,IF($K$16="PREVISÃO INFORMADA",MAX(0,H10),0)))</f>
        <v/>
      </c>
    </row>
    <row r="11">
      <c r="B11" s="140">
        <f>DATE(YEAR(B10),MONTH(B10)+1,1)</f>
        <v/>
      </c>
      <c r="C11" s="60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L11+D11/$K$2</f>
        <v/>
      </c>
      <c r="F11" s="117">
        <f>IF($K$9=0,0,E11/$K$9)</f>
        <v/>
      </c>
      <c r="G11" s="117">
        <f>G10+F11</f>
        <v/>
      </c>
      <c r="H11" s="137" t="n"/>
      <c r="I11" s="46" t="inlineStr">
        <is>
          <t>Σ PREVISÃO INFORMADA (meses futuros)</t>
        </is>
      </c>
      <c r="K11" s="60">
        <f>SUMPRODUCT((B5:B76&gt;'VALOR POR PL'!$P$5)*H5:H76)</f>
        <v/>
      </c>
      <c r="L11" s="49">
        <f>C11/IF(B11&lt;='VALOR POR PL'!$P$5,IFERROR(INDEX('"INCC-FGV"'!$B$2:$B$800,MATCH(B11,'"INCC-FGV"'!$A$2:$A$800,0)),$K$2),$K$2)</f>
        <v/>
      </c>
      <c r="M11" s="138">
        <f>'CP RESUMO'!J41</f>
        <v/>
      </c>
      <c r="N11" s="139">
        <f>MAX(0,M11-M10)</f>
        <v/>
      </c>
      <c r="O11" s="138">
        <f>IF(B11&lt;='VALOR POR PL'!$P$5,'CP RESUMO'!J83,"")</f>
        <v/>
      </c>
      <c r="P11" s="72">
        <f>IF(B11&lt;='VALOR POR PL'!$P$5,0,IF(OR($K$16="CURVA PREVISION",$K$16="MDO PREVISION + MATERIAL PREMISSA"),N11,IF($K$16="PREVISÃO INFORMADA",MAX(0,H11),0)))</f>
        <v/>
      </c>
    </row>
    <row r="12">
      <c r="B12" s="140">
        <f>DATE(YEAR(B11),MONTH(B11)+1,1)</f>
        <v/>
      </c>
      <c r="C12" s="60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L12+D12/$K$2</f>
        <v/>
      </c>
      <c r="F12" s="117">
        <f>IF($K$9=0,0,E12/$K$9)</f>
        <v/>
      </c>
      <c r="G12" s="117">
        <f>G11+F12</f>
        <v/>
      </c>
      <c r="H12" s="137" t="n"/>
      <c r="I12" s="46" t="inlineStr">
        <is>
          <t>Σ CURVA PREVISION (meses futuros, %)</t>
        </is>
      </c>
      <c r="K12" s="138">
        <f>SUMPRODUCT((B5:B76&gt;'VALOR POR PL'!$P$5)*N5:N76)</f>
        <v/>
      </c>
      <c r="L12" s="49">
        <f>C12/IF(B12&lt;='VALOR POR PL'!$P$5,IFERROR(INDEX('"INCC-FGV"'!$B$2:$B$800,MATCH(B12,'"INCC-FGV"'!$A$2:$A$800,0)),$K$2),$K$2)</f>
        <v/>
      </c>
      <c r="M12" s="138">
        <f>'CP RESUMO'!K41</f>
        <v/>
      </c>
      <c r="N12" s="139">
        <f>MAX(0,M12-M11)</f>
        <v/>
      </c>
      <c r="O12" s="138">
        <f>IF(B12&lt;='VALOR POR PL'!$P$5,'CP RESUMO'!K83,"")</f>
        <v/>
      </c>
      <c r="P12" s="72">
        <f>IF(B12&lt;='VALOR POR PL'!$P$5,0,IF(OR($K$16="CURVA PREVISION",$K$16="MDO PREVISION + MATERIAL PREMISSA"),N12,IF($K$16="PREVISÃO INFORMADA",MAX(0,H12),0)))</f>
        <v/>
      </c>
    </row>
    <row r="13">
      <c r="B13" s="140">
        <f>DATE(YEAR(B12),MONTH(B12)+1,1)</f>
        <v/>
      </c>
      <c r="C13" s="60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L13+D13/$K$2</f>
        <v/>
      </c>
      <c r="F13" s="117">
        <f>IF($K$9=0,0,E13/$K$9)</f>
        <v/>
      </c>
      <c r="G13" s="117">
        <f>G12+F13</f>
        <v/>
      </c>
      <c r="H13" s="137" t="n"/>
      <c r="I13" s="46" t="inlineStr">
        <is>
          <t>TIPO DO ITEM</t>
        </is>
      </c>
      <c r="K13" s="60">
        <f>'VALOR POR PL'!I47</f>
        <v/>
      </c>
      <c r="L13" s="49">
        <f>C13/IF(B13&lt;='VALOR POR PL'!$P$5,IFERROR(INDEX('"INCC-FGV"'!$B$2:$B$800,MATCH(B13,'"INCC-FGV"'!$A$2:$A$800,0)),$K$2),$K$2)</f>
        <v/>
      </c>
      <c r="M13" s="138">
        <f>'CP RESUMO'!L41</f>
        <v/>
      </c>
      <c r="N13" s="139">
        <f>MAX(0,M13-M12)</f>
        <v/>
      </c>
      <c r="O13" s="138">
        <f>IF(B13&lt;='VALOR POR PL'!$P$5,'CP RESUMO'!L83,"")</f>
        <v/>
      </c>
      <c r="P13" s="72">
        <f>IF(B13&lt;='VALOR POR PL'!$P$5,0,IF(OR($K$16="CURVA PREVISION",$K$16="MDO PREVISION + MATERIAL PREMISSA"),N13,IF($K$16="PREVISÃO INFORMADA",MAX(0,H13),0)))</f>
        <v/>
      </c>
    </row>
    <row r="14">
      <c r="B14" s="140">
        <f>DATE(YEAR(B13),MONTH(B13)+1,1)</f>
        <v/>
      </c>
      <c r="C14" s="60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L14+D14/$K$2</f>
        <v/>
      </c>
      <c r="F14" s="117">
        <f>IF($K$9=0,0,E14/$K$9)</f>
        <v/>
      </c>
      <c r="G14" s="117">
        <f>G13+F14</f>
        <v/>
      </c>
      <c r="H14" s="137" t="n"/>
      <c r="I14" s="46" t="inlineStr">
        <is>
          <t>AVANÇO FÍSICO REALIZADO NO CORTE (Prevision)</t>
        </is>
      </c>
      <c r="K14" s="62">
        <f>IFERROR(INDEX('CP RESUMO'!$D$83:$BW$83,MATCH('VALOR POR PL'!$P$5,'CP RESUMO'!$D$4:$BW$4,0))/100,0)</f>
        <v/>
      </c>
      <c r="L14" s="49">
        <f>C14/IF(B14&lt;='VALOR POR PL'!$P$5,IFERROR(INDEX('"INCC-FGV"'!$B$2:$B$800,MATCH(B14,'"INCC-FGV"'!$A$2:$A$800,0)),$K$2),$K$2)</f>
        <v/>
      </c>
      <c r="M14" s="138">
        <f>'CP RESUMO'!M41</f>
        <v/>
      </c>
      <c r="N14" s="139">
        <f>MAX(0,M14-M13)</f>
        <v/>
      </c>
      <c r="O14" s="138">
        <f>IF(B14&lt;='VALOR POR PL'!$P$5,'CP RESUMO'!M83,"")</f>
        <v/>
      </c>
      <c r="P14" s="72">
        <f>IF(B14&lt;='VALOR POR PL'!$P$5,0,IF(OR($K$16="CURVA PREVISION",$K$16="MDO PREVISION + MATERIAL PREMISSA"),N14,IF($K$16="PREVISÃO INFORMADA",MAX(0,H14),0)))</f>
        <v/>
      </c>
    </row>
    <row r="15">
      <c r="B15" s="140">
        <f>DATE(YEAR(B14),MONTH(B14)+1,1)</f>
        <v/>
      </c>
      <c r="C15" s="60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L15+D15/$K$2</f>
        <v/>
      </c>
      <c r="F15" s="117">
        <f>IF($K$9=0,0,E15/$K$9)</f>
        <v/>
      </c>
      <c r="G15" s="117">
        <f>G14+F15</f>
        <v/>
      </c>
      <c r="H15" s="137" t="n"/>
      <c r="I15" s="46" t="inlineStr">
        <is>
          <t>FORÇAR FONTE (opcional)</t>
        </is>
      </c>
      <c r="K15" s="73" t="inlineStr">
        <is>
          <t>AUTOMÁTICO</t>
        </is>
      </c>
      <c r="L15" s="49">
        <f>C15/IF(B15&lt;='VALOR POR PL'!$P$5,IFERROR(INDEX('"INCC-FGV"'!$B$2:$B$800,MATCH(B15,'"INCC-FGV"'!$A$2:$A$800,0)),$K$2),$K$2)</f>
        <v/>
      </c>
      <c r="M15" s="138">
        <f>'CP RESUMO'!N41</f>
        <v/>
      </c>
      <c r="N15" s="139">
        <f>MAX(0,M15-M14)</f>
        <v/>
      </c>
      <c r="O15" s="138">
        <f>IF(B15&lt;='VALOR POR PL'!$P$5,'CP RESUMO'!N83,"")</f>
        <v/>
      </c>
      <c r="P15" s="72">
        <f>IF(B15&lt;='VALOR POR PL'!$P$5,0,IF(OR($K$16="CURVA PREVISION",$K$16="MDO PREVISION + MATERIAL PREMISSA"),N15,IF($K$16="PREVISÃO INFORMADA",MAX(0,H15),0)))</f>
        <v/>
      </c>
    </row>
    <row r="16">
      <c r="B16" s="140">
        <f>DATE(YEAR(B15),MONTH(B15)+1,1)</f>
        <v/>
      </c>
      <c r="C16" s="60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L16+D16/$K$2</f>
        <v/>
      </c>
      <c r="F16" s="117">
        <f>IF($K$9=0,0,E16/$K$9)</f>
        <v/>
      </c>
      <c r="G16" s="117">
        <f>G15+F16</f>
        <v/>
      </c>
      <c r="H16" s="137" t="n"/>
      <c r="I16" s="46" t="inlineStr">
        <is>
          <t>FONTE DA CURVA USADA</t>
        </is>
      </c>
      <c r="K16" s="60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L16" s="49">
        <f>C16/IF(B16&lt;='VALOR POR PL'!$P$5,IFERROR(INDEX('"INCC-FGV"'!$B$2:$B$800,MATCH(B16,'"INCC-FGV"'!$A$2:$A$800,0)),$K$2),$K$2)</f>
        <v/>
      </c>
      <c r="M16" s="138">
        <f>'CP RESUMO'!O41</f>
        <v/>
      </c>
      <c r="N16" s="139">
        <f>MAX(0,M16-M15)</f>
        <v/>
      </c>
      <c r="O16" s="138">
        <f>IF(B16&lt;='VALOR POR PL'!$P$5,'CP RESUMO'!O83,"")</f>
        <v/>
      </c>
      <c r="P16" s="72">
        <f>IF(B16&lt;='VALOR POR PL'!$P$5,0,IF(OR($K$16="CURVA PREVISION",$K$16="MDO PREVISION + MATERIAL PREMISSA"),N16,IF($K$16="PREVISÃO INFORMADA",MAX(0,H16),0)))</f>
        <v/>
      </c>
    </row>
    <row r="17">
      <c r="B17" s="140">
        <f>DATE(YEAR(B16),MONTH(B16)+1,1)</f>
        <v/>
      </c>
      <c r="C17" s="60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L17+D17/$K$2</f>
        <v/>
      </c>
      <c r="F17" s="117">
        <f>IF($K$9=0,0,E17/$K$9)</f>
        <v/>
      </c>
      <c r="G17" s="117">
        <f>G16+F17</f>
        <v/>
      </c>
      <c r="H17" s="137" t="n"/>
      <c r="I17" s="46" t="inlineStr">
        <is>
          <t>Σ PESOS USADOS</t>
        </is>
      </c>
      <c r="K17" s="49">
        <f>SUM(P5:P76)</f>
        <v/>
      </c>
      <c r="L17" s="49">
        <f>C17/IF(B17&lt;='VALOR POR PL'!$P$5,IFERROR(INDEX('"INCC-FGV"'!$B$2:$B$800,MATCH(B17,'"INCC-FGV"'!$A$2:$A$800,0)),$K$2),$K$2)</f>
        <v/>
      </c>
      <c r="M17" s="138">
        <f>'CP RESUMO'!P41</f>
        <v/>
      </c>
      <c r="N17" s="139">
        <f>MAX(0,M17-M16)</f>
        <v/>
      </c>
      <c r="O17" s="138">
        <f>IF(B17&lt;='VALOR POR PL'!$P$5,'CP RESUMO'!P83,"")</f>
        <v/>
      </c>
      <c r="P17" s="72">
        <f>IF(B17&lt;='VALOR POR PL'!$P$5,0,IF(OR($K$16="CURVA PREVISION",$K$16="MDO PREVISION + MATERIAL PREMISSA"),N17,IF($K$16="PREVISÃO INFORMADA",MAX(0,H17),0)))</f>
        <v/>
      </c>
    </row>
    <row r="18">
      <c r="B18" s="140">
        <f>DATE(YEAR(B17),MONTH(B17)+1,1)</f>
        <v/>
      </c>
      <c r="C18" s="60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L18+D18/$K$2</f>
        <v/>
      </c>
      <c r="F18" s="117">
        <f>IF($K$9=0,0,E18/$K$9)</f>
        <v/>
      </c>
      <c r="G18" s="117">
        <f>G17+F18</f>
        <v/>
      </c>
      <c r="H18" s="137" t="n"/>
      <c r="I18" s="46" t="inlineStr">
        <is>
          <t>SALDO A DISTRIBUIR (R$) = saldo INCC × INCC do corte</t>
        </is>
      </c>
      <c r="K18" s="49">
        <f>MAX(0,K10)*$K$2</f>
        <v/>
      </c>
      <c r="L18" s="49">
        <f>C18/IF(B18&lt;='VALOR POR PL'!$P$5,IFERROR(INDEX('"INCC-FGV"'!$B$2:$B$800,MATCH(B18,'"INCC-FGV"'!$A$2:$A$800,0)),$K$2),$K$2)</f>
        <v/>
      </c>
      <c r="M18" s="138">
        <f>'CP RESUMO'!Q41</f>
        <v/>
      </c>
      <c r="N18" s="139">
        <f>MAX(0,M18-M17)</f>
        <v/>
      </c>
      <c r="O18" s="138">
        <f>IF(B18&lt;='VALOR POR PL'!$P$5,'CP RESUMO'!Q83,"")</f>
        <v/>
      </c>
      <c r="P18" s="72">
        <f>IF(B18&lt;='VALOR POR PL'!$P$5,0,IF(OR($K$16="CURVA PREVISION",$K$16="MDO PREVISION + MATERIAL PREMISSA"),N18,IF($K$16="PREVISÃO INFORMADA",MAX(0,H18),0)))</f>
        <v/>
      </c>
    </row>
    <row r="19">
      <c r="B19" s="140">
        <f>DATE(YEAR(B18),MONTH(B18)+1,1)</f>
        <v/>
      </c>
      <c r="C19" s="60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L19+D19/$K$2</f>
        <v/>
      </c>
      <c r="F19" s="117">
        <f>IF($K$9=0,0,E19/$K$9)</f>
        <v/>
      </c>
      <c r="G19" s="117">
        <f>G18+F19</f>
        <v/>
      </c>
      <c r="H19" s="137" t="n"/>
      <c r="I19" s="46" t="inlineStr">
        <is>
          <t>AJUSTE APLICADO À PREVISÃO INFORMADA</t>
        </is>
      </c>
      <c r="K19" s="141">
        <f>IF(AND(K16="PREVISÃO INFORMADA",K11&gt;0),K18/K11-1,"")</f>
        <v/>
      </c>
      <c r="L19" s="49">
        <f>C19/IF(B19&lt;='VALOR POR PL'!$P$5,IFERROR(INDEX('"INCC-FGV"'!$B$2:$B$800,MATCH(B19,'"INCC-FGV"'!$A$2:$A$800,0)),$K$2),$K$2)</f>
        <v/>
      </c>
      <c r="M19" s="138">
        <f>'CP RESUMO'!R41</f>
        <v/>
      </c>
      <c r="N19" s="139">
        <f>MAX(0,M19-M18)</f>
        <v/>
      </c>
      <c r="O19" s="138">
        <f>IF(B19&lt;='VALOR POR PL'!$P$5,'CP RESUMO'!R83,"")</f>
        <v/>
      </c>
      <c r="P19" s="72">
        <f>IF(B19&lt;='VALOR POR PL'!$P$5,0,IF(OR($K$16="CURVA PREVISION",$K$16="MDO PREVISION + MATERIAL PREMISSA"),N19,IF($K$16="PREVISÃO INFORMADA",MAX(0,H19),0)))</f>
        <v/>
      </c>
    </row>
    <row r="20" ht="30" customHeight="1">
      <c r="B20" s="140">
        <f>DATE(YEAR(B19),MONTH(B19)+1,1)</f>
        <v/>
      </c>
      <c r="C20" s="60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L20+D20/$K$2</f>
        <v/>
      </c>
      <c r="F20" s="117">
        <f>IF($K$9=0,0,E20/$K$9)</f>
        <v/>
      </c>
      <c r="G20" s="117">
        <f>G19+F20</f>
        <v/>
      </c>
      <c r="H20" s="137" t="n"/>
      <c r="I20" s="46" t="inlineStr">
        <is>
          <t>MOTIVO</t>
        </is>
      </c>
      <c r="K20" s="142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L20" s="49">
        <f>C20/IF(B20&lt;='VALOR POR PL'!$P$5,IFERROR(INDEX('"INCC-FGV"'!$B$2:$B$800,MATCH(B20,'"INCC-FGV"'!$A$2:$A$800,0)),$K$2),$K$2)</f>
        <v/>
      </c>
      <c r="M20" s="138">
        <f>'CP RESUMO'!S41</f>
        <v/>
      </c>
      <c r="N20" s="139">
        <f>MAX(0,M20-M19)</f>
        <v/>
      </c>
      <c r="O20" s="138">
        <f>IF(B20&lt;='VALOR POR PL'!$P$5,'CP RESUMO'!S83,"")</f>
        <v/>
      </c>
      <c r="P20" s="72">
        <f>IF(B20&lt;='VALOR POR PL'!$P$5,0,IF(OR($K$16="CURVA PREVISION",$K$16="MDO PREVISION + MATERIAL PREMISSA"),N20,IF($K$16="PREVISÃO INFORMADA",MAX(0,H20),0)))</f>
        <v/>
      </c>
    </row>
    <row r="21">
      <c r="B21" s="140">
        <f>DATE(YEAR(B20),MONTH(B20)+1,1)</f>
        <v/>
      </c>
      <c r="C21" s="60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L21+D21/$K$2</f>
        <v/>
      </c>
      <c r="F21" s="117">
        <f>IF($K$9=0,0,E21/$K$9)</f>
        <v/>
      </c>
      <c r="G21" s="117">
        <f>G20+F21</f>
        <v/>
      </c>
      <c r="H21" s="137" t="n"/>
      <c r="K21" s="143" t="n"/>
      <c r="L21" s="49">
        <f>C21/IF(B21&lt;='VALOR POR PL'!$P$5,IFERROR(INDEX('"INCC-FGV"'!$B$2:$B$800,MATCH(B21,'"INCC-FGV"'!$A$2:$A$800,0)),$K$2),$K$2)</f>
        <v/>
      </c>
      <c r="M21" s="138">
        <f>'CP RESUMO'!T41</f>
        <v/>
      </c>
      <c r="N21" s="139">
        <f>MAX(0,M21-M20)</f>
        <v/>
      </c>
      <c r="O21" s="138">
        <f>IF(B21&lt;='VALOR POR PL'!$P$5,'CP RESUMO'!T83,"")</f>
        <v/>
      </c>
      <c r="P21" s="72">
        <f>IF(B21&lt;='VALOR POR PL'!$P$5,0,IF(OR($K$16="CURVA PREVISION",$K$16="MDO PREVISION + MATERIAL PREMISSA"),N21,IF($K$16="PREVISÃO INFORMADA",MAX(0,H21),0)))</f>
        <v/>
      </c>
    </row>
    <row r="22">
      <c r="B22" s="140">
        <f>DATE(YEAR(B21),MONTH(B21)+1,1)</f>
        <v/>
      </c>
      <c r="C22" s="60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L22+D22/$K$2</f>
        <v/>
      </c>
      <c r="F22" s="117">
        <f>IF($K$9=0,0,E22/$K$9)</f>
        <v/>
      </c>
      <c r="G22" s="117">
        <f>G21+F22</f>
        <v/>
      </c>
      <c r="H22" s="137" t="n"/>
      <c r="I22" s="46" t="inlineStr">
        <is>
          <t>CONSIDERAR LANÇAMENTOS DO ERP APÓS O CORTE?</t>
        </is>
      </c>
      <c r="K22" s="57" t="inlineStr">
        <is>
          <t>SIM</t>
        </is>
      </c>
      <c r="L22" s="49">
        <f>C22/IF(B22&lt;='VALOR POR PL'!$P$5,IFERROR(INDEX('"INCC-FGV"'!$B$2:$B$800,MATCH(B22,'"INCC-FGV"'!$A$2:$A$800,0)),$K$2),$K$2)</f>
        <v/>
      </c>
      <c r="M22" s="138">
        <f>'CP RESUMO'!U41</f>
        <v/>
      </c>
      <c r="N22" s="139">
        <f>MAX(0,M22-M21)</f>
        <v/>
      </c>
      <c r="O22" s="138">
        <f>IF(B22&lt;='VALOR POR PL'!$P$5,'CP RESUMO'!U83,"")</f>
        <v/>
      </c>
      <c r="P22" s="72">
        <f>IF(B22&lt;='VALOR POR PL'!$P$5,0,IF(OR($K$16="CURVA PREVISION",$K$16="MDO PREVISION + MATERIAL PREMISSA"),N22,IF($K$16="PREVISÃO INFORMADA",MAX(0,H22),0)))</f>
        <v/>
      </c>
    </row>
    <row r="23">
      <c r="B23" s="140">
        <f>DATE(YEAR(B22),MONTH(B22)+1,1)</f>
        <v/>
      </c>
      <c r="C23" s="60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L23+D23/$K$2</f>
        <v/>
      </c>
      <c r="F23" s="117">
        <f>IF($K$9=0,0,E23/$K$9)</f>
        <v/>
      </c>
      <c r="G23" s="117">
        <f>G22+F23</f>
        <v/>
      </c>
      <c r="H23" s="137" t="n"/>
      <c r="I23" s="3" t="inlineStr">
        <is>
          <t>Critério / observações:</t>
        </is>
      </c>
      <c r="L23" s="49">
        <f>C23/IF(B23&lt;='VALOR POR PL'!$P$5,IFERROR(INDEX('"INCC-FGV"'!$B$2:$B$800,MATCH(B23,'"INCC-FGV"'!$A$2:$A$800,0)),$K$2),$K$2)</f>
        <v/>
      </c>
      <c r="M23" s="138">
        <f>'CP RESUMO'!V41</f>
        <v/>
      </c>
      <c r="N23" s="139">
        <f>MAX(0,M23-M22)</f>
        <v/>
      </c>
      <c r="O23" s="138">
        <f>IF(B23&lt;='VALOR POR PL'!$P$5,'CP RESUMO'!V83,"")</f>
        <v/>
      </c>
      <c r="P23" s="72">
        <f>IF(B23&lt;='VALOR POR PL'!$P$5,0,IF(OR($K$16="CURVA PREVISION",$K$16="MDO PREVISION + MATERIAL PREMISSA"),N23,IF($K$16="PREVISÃO INFORMADA",MAX(0,H23),0)))</f>
        <v/>
      </c>
    </row>
    <row r="24" ht="45" customHeight="1">
      <c r="B24" s="140">
        <f>DATE(YEAR(B23),MONTH(B23)+1,1)</f>
        <v/>
      </c>
      <c r="C24" s="60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L24+D24/$K$2</f>
        <v/>
      </c>
      <c r="F24" s="117">
        <f>IF($K$9=0,0,E24/$K$9)</f>
        <v/>
      </c>
      <c r="G24" s="117">
        <f>G23+F24</f>
        <v/>
      </c>
      <c r="H24" s="137" t="n"/>
      <c r="I24" s="144" t="n"/>
      <c r="L24" s="49">
        <f>C24/IF(B24&lt;='VALOR POR PL'!$P$5,IFERROR(INDEX('"INCC-FGV"'!$B$2:$B$800,MATCH(B24,'"INCC-FGV"'!$A$2:$A$800,0)),$K$2),$K$2)</f>
        <v/>
      </c>
      <c r="M24" s="138">
        <f>'CP RESUMO'!W41</f>
        <v/>
      </c>
      <c r="N24" s="139">
        <f>MAX(0,M24-M23)</f>
        <v/>
      </c>
      <c r="O24" s="138">
        <f>IF(B24&lt;='VALOR POR PL'!$P$5,'CP RESUMO'!W83,"")</f>
        <v/>
      </c>
      <c r="P24" s="72">
        <f>IF(B24&lt;='VALOR POR PL'!$P$5,0,IF(OR($K$16="CURVA PREVISION",$K$16="MDO PREVISION + MATERIAL PREMISSA"),N24,IF($K$16="PREVISÃO INFORMADA",MAX(0,H24),0)))</f>
        <v/>
      </c>
    </row>
    <row r="25">
      <c r="B25" s="140">
        <f>DATE(YEAR(B24),MONTH(B24)+1,1)</f>
        <v/>
      </c>
      <c r="C25" s="60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L25+D25/$K$2</f>
        <v/>
      </c>
      <c r="F25" s="117">
        <f>IF($K$9=0,0,E25/$K$9)</f>
        <v/>
      </c>
      <c r="G25" s="117">
        <f>G24+F25</f>
        <v/>
      </c>
      <c r="H25" s="137" t="n"/>
      <c r="L25" s="49">
        <f>C25/IF(B25&lt;='VALOR POR PL'!$P$5,IFERROR(INDEX('"INCC-FGV"'!$B$2:$B$800,MATCH(B25,'"INCC-FGV"'!$A$2:$A$800,0)),$K$2),$K$2)</f>
        <v/>
      </c>
      <c r="M25" s="138">
        <f>'CP RESUMO'!X41</f>
        <v/>
      </c>
      <c r="N25" s="139">
        <f>MAX(0,M25-M24)</f>
        <v/>
      </c>
      <c r="O25" s="138">
        <f>IF(B25&lt;='VALOR POR PL'!$P$5,'CP RESUMO'!X83,"")</f>
        <v/>
      </c>
      <c r="P25" s="72">
        <f>IF(B25&lt;='VALOR POR PL'!$P$5,0,IF(OR($K$16="CURVA PREVISION",$K$16="MDO PREVISION + MATERIAL PREMISSA"),N25,IF($K$16="PREVISÃO INFORMADA",MAX(0,H25),0)))</f>
        <v/>
      </c>
    </row>
    <row r="26">
      <c r="B26" s="140">
        <f>DATE(YEAR(B25),MONTH(B25)+1,1)</f>
        <v/>
      </c>
      <c r="C26" s="60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L26+D26/$K$2</f>
        <v/>
      </c>
      <c r="F26" s="117">
        <f>IF($K$9=0,0,E26/$K$9)</f>
        <v/>
      </c>
      <c r="G26" s="117">
        <f>G25+F26</f>
        <v/>
      </c>
      <c r="H26" s="137" t="n"/>
      <c r="L26" s="49">
        <f>C26/IF(B26&lt;='VALOR POR PL'!$P$5,IFERROR(INDEX('"INCC-FGV"'!$B$2:$B$800,MATCH(B26,'"INCC-FGV"'!$A$2:$A$800,0)),$K$2),$K$2)</f>
        <v/>
      </c>
      <c r="M26" s="138">
        <f>'CP RESUMO'!Y41</f>
        <v/>
      </c>
      <c r="N26" s="139">
        <f>MAX(0,M26-M25)</f>
        <v/>
      </c>
      <c r="O26" s="138">
        <f>IF(B26&lt;='VALOR POR PL'!$P$5,'CP RESUMO'!Y83,"")</f>
        <v/>
      </c>
      <c r="P26" s="72">
        <f>IF(B26&lt;='VALOR POR PL'!$P$5,0,IF(OR($K$16="CURVA PREVISION",$K$16="MDO PREVISION + MATERIAL PREMISSA"),N26,IF($K$16="PREVISÃO INFORMADA",MAX(0,H26),0)))</f>
        <v/>
      </c>
    </row>
    <row r="27">
      <c r="B27" s="140">
        <f>DATE(YEAR(B26),MONTH(B26)+1,1)</f>
        <v/>
      </c>
      <c r="C27" s="60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L27+D27/$K$2</f>
        <v/>
      </c>
      <c r="F27" s="117">
        <f>IF($K$9=0,0,E27/$K$9)</f>
        <v/>
      </c>
      <c r="G27" s="117">
        <f>G26+F27</f>
        <v/>
      </c>
      <c r="H27" s="137" t="n"/>
      <c r="L27" s="49">
        <f>C27/IF(B27&lt;='VALOR POR PL'!$P$5,IFERROR(INDEX('"INCC-FGV"'!$B$2:$B$800,MATCH(B27,'"INCC-FGV"'!$A$2:$A$800,0)),$K$2),$K$2)</f>
        <v/>
      </c>
      <c r="M27" s="138">
        <f>'CP RESUMO'!Z41</f>
        <v/>
      </c>
      <c r="N27" s="139">
        <f>MAX(0,M27-M26)</f>
        <v/>
      </c>
      <c r="O27" s="138">
        <f>IF(B27&lt;='VALOR POR PL'!$P$5,'CP RESUMO'!Z83,"")</f>
        <v/>
      </c>
      <c r="P27" s="72">
        <f>IF(B27&lt;='VALOR POR PL'!$P$5,0,IF(OR($K$16="CURVA PREVISION",$K$16="MDO PREVISION + MATERIAL PREMISSA"),N27,IF($K$16="PREVISÃO INFORMADA",MAX(0,H27),0)))</f>
        <v/>
      </c>
    </row>
    <row r="28">
      <c r="B28" s="140">
        <f>DATE(YEAR(B27),MONTH(B27)+1,1)</f>
        <v/>
      </c>
      <c r="C28" s="60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L28+D28/$K$2</f>
        <v/>
      </c>
      <c r="F28" s="117">
        <f>IF($K$9=0,0,E28/$K$9)</f>
        <v/>
      </c>
      <c r="G28" s="117">
        <f>G27+F28</f>
        <v/>
      </c>
      <c r="H28" s="137" t="n"/>
      <c r="L28" s="49">
        <f>C28/IF(B28&lt;='VALOR POR PL'!$P$5,IFERROR(INDEX('"INCC-FGV"'!$B$2:$B$800,MATCH(B28,'"INCC-FGV"'!$A$2:$A$800,0)),$K$2),$K$2)</f>
        <v/>
      </c>
      <c r="M28" s="138">
        <f>'CP RESUMO'!AA41</f>
        <v/>
      </c>
      <c r="N28" s="139">
        <f>MAX(0,M28-M27)</f>
        <v/>
      </c>
      <c r="O28" s="138">
        <f>IF(B28&lt;='VALOR POR PL'!$P$5,'CP RESUMO'!AA83,"")</f>
        <v/>
      </c>
      <c r="P28" s="72">
        <f>IF(B28&lt;='VALOR POR PL'!$P$5,0,IF(OR($K$16="CURVA PREVISION",$K$16="MDO PREVISION + MATERIAL PREMISSA"),N28,IF($K$16="PREVISÃO INFORMADA",MAX(0,H28),0)))</f>
        <v/>
      </c>
    </row>
    <row r="29">
      <c r="B29" s="140">
        <f>DATE(YEAR(B28),MONTH(B28)+1,1)</f>
        <v/>
      </c>
      <c r="C29" s="60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L29+D29/$K$2</f>
        <v/>
      </c>
      <c r="F29" s="117">
        <f>IF($K$9=0,0,E29/$K$9)</f>
        <v/>
      </c>
      <c r="G29" s="117">
        <f>G28+F29</f>
        <v/>
      </c>
      <c r="H29" s="137" t="n"/>
      <c r="L29" s="49">
        <f>C29/IF(B29&lt;='VALOR POR PL'!$P$5,IFERROR(INDEX('"INCC-FGV"'!$B$2:$B$800,MATCH(B29,'"INCC-FGV"'!$A$2:$A$800,0)),$K$2),$K$2)</f>
        <v/>
      </c>
      <c r="M29" s="138">
        <f>'CP RESUMO'!AB41</f>
        <v/>
      </c>
      <c r="N29" s="139">
        <f>MAX(0,M29-M28)</f>
        <v/>
      </c>
      <c r="O29" s="138">
        <f>IF(B29&lt;='VALOR POR PL'!$P$5,'CP RESUMO'!AB83,"")</f>
        <v/>
      </c>
      <c r="P29" s="72">
        <f>IF(B29&lt;='VALOR POR PL'!$P$5,0,IF(OR($K$16="CURVA PREVISION",$K$16="MDO PREVISION + MATERIAL PREMISSA"),N29,IF($K$16="PREVISÃO INFORMADA",MAX(0,H29),0)))</f>
        <v/>
      </c>
    </row>
    <row r="30">
      <c r="B30" s="140">
        <f>DATE(YEAR(B29),MONTH(B29)+1,1)</f>
        <v/>
      </c>
      <c r="C30" s="60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L30+D30/$K$2</f>
        <v/>
      </c>
      <c r="F30" s="117">
        <f>IF($K$9=0,0,E30/$K$9)</f>
        <v/>
      </c>
      <c r="G30" s="117">
        <f>G29+F30</f>
        <v/>
      </c>
      <c r="H30" s="137" t="n"/>
      <c r="L30" s="49">
        <f>C30/IF(B30&lt;='VALOR POR PL'!$P$5,IFERROR(INDEX('"INCC-FGV"'!$B$2:$B$800,MATCH(B30,'"INCC-FGV"'!$A$2:$A$800,0)),$K$2),$K$2)</f>
        <v/>
      </c>
      <c r="M30" s="138">
        <f>'CP RESUMO'!AC41</f>
        <v/>
      </c>
      <c r="N30" s="139">
        <f>MAX(0,M30-M29)</f>
        <v/>
      </c>
      <c r="O30" s="138">
        <f>IF(B30&lt;='VALOR POR PL'!$P$5,'CP RESUMO'!AC83,"")</f>
        <v/>
      </c>
      <c r="P30" s="72">
        <f>IF(B30&lt;='VALOR POR PL'!$P$5,0,IF(OR($K$16="CURVA PREVISION",$K$16="MDO PREVISION + MATERIAL PREMISSA"),N30,IF($K$16="PREVISÃO INFORMADA",MAX(0,H30),0)))</f>
        <v/>
      </c>
    </row>
    <row r="31">
      <c r="B31" s="140">
        <f>DATE(YEAR(B30),MONTH(B30)+1,1)</f>
        <v/>
      </c>
      <c r="C31" s="60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L31+D31/$K$2</f>
        <v/>
      </c>
      <c r="F31" s="117">
        <f>IF($K$9=0,0,E31/$K$9)</f>
        <v/>
      </c>
      <c r="G31" s="117">
        <f>G30+F31</f>
        <v/>
      </c>
      <c r="H31" s="137" t="n"/>
      <c r="L31" s="49">
        <f>C31/IF(B31&lt;='VALOR POR PL'!$P$5,IFERROR(INDEX('"INCC-FGV"'!$B$2:$B$800,MATCH(B31,'"INCC-FGV"'!$A$2:$A$800,0)),$K$2),$K$2)</f>
        <v/>
      </c>
      <c r="M31" s="138">
        <f>'CP RESUMO'!AD41</f>
        <v/>
      </c>
      <c r="N31" s="139">
        <f>MAX(0,M31-M30)</f>
        <v/>
      </c>
      <c r="O31" s="138">
        <f>IF(B31&lt;='VALOR POR PL'!$P$5,'CP RESUMO'!AD83,"")</f>
        <v/>
      </c>
      <c r="P31" s="72">
        <f>IF(B31&lt;='VALOR POR PL'!$P$5,0,IF(OR($K$16="CURVA PREVISION",$K$16="MDO PREVISION + MATERIAL PREMISSA"),N31,IF($K$16="PREVISÃO INFORMADA",MAX(0,H31),0)))</f>
        <v/>
      </c>
    </row>
    <row r="32">
      <c r="B32" s="140">
        <f>DATE(YEAR(B31),MONTH(B31)+1,1)</f>
        <v/>
      </c>
      <c r="C32" s="60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L32+D32/$K$2</f>
        <v/>
      </c>
      <c r="F32" s="117">
        <f>IF($K$9=0,0,E32/$K$9)</f>
        <v/>
      </c>
      <c r="G32" s="117">
        <f>G31+F32</f>
        <v/>
      </c>
      <c r="H32" s="137" t="n">
        <v>3111.68</v>
      </c>
      <c r="L32" s="49">
        <f>C32/IF(B32&lt;='VALOR POR PL'!$P$5,IFERROR(INDEX('"INCC-FGV"'!$B$2:$B$800,MATCH(B32,'"INCC-FGV"'!$A$2:$A$800,0)),$K$2),$K$2)</f>
        <v/>
      </c>
      <c r="M32" s="138">
        <f>'CP RESUMO'!AE41</f>
        <v/>
      </c>
      <c r="N32" s="139">
        <f>MAX(0,M32-M31)</f>
        <v/>
      </c>
      <c r="O32" s="138">
        <f>IF(B32&lt;='VALOR POR PL'!$P$5,'CP RESUMO'!AE83,"")</f>
        <v/>
      </c>
      <c r="P32" s="72">
        <f>IF(B32&lt;='VALOR POR PL'!$P$5,0,IF(OR($K$16="CURVA PREVISION",$K$16="MDO PREVISION + MATERIAL PREMISSA"),N32,IF($K$16="PREVISÃO INFORMADA",MAX(0,H32),0)))</f>
        <v/>
      </c>
    </row>
    <row r="33">
      <c r="B33" s="140">
        <f>DATE(YEAR(B32),MONTH(B32)+1,1)</f>
        <v/>
      </c>
      <c r="C33" s="60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L33+D33/$K$2</f>
        <v/>
      </c>
      <c r="F33" s="117">
        <f>IF($K$9=0,0,E33/$K$9)</f>
        <v/>
      </c>
      <c r="G33" s="117">
        <f>G32+F33</f>
        <v/>
      </c>
      <c r="H33" s="137" t="n">
        <v>11648.85</v>
      </c>
      <c r="L33" s="49">
        <f>C33/IF(B33&lt;='VALOR POR PL'!$P$5,IFERROR(INDEX('"INCC-FGV"'!$B$2:$B$800,MATCH(B33,'"INCC-FGV"'!$A$2:$A$800,0)),$K$2),$K$2)</f>
        <v/>
      </c>
      <c r="M33" s="138">
        <f>'CP RESUMO'!AF41</f>
        <v/>
      </c>
      <c r="N33" s="139">
        <f>MAX(0,M33-M32)</f>
        <v/>
      </c>
      <c r="O33" s="138">
        <f>IF(B33&lt;='VALOR POR PL'!$P$5,'CP RESUMO'!AF83,"")</f>
        <v/>
      </c>
      <c r="P33" s="72">
        <f>IF(B33&lt;='VALOR POR PL'!$P$5,0,IF(OR($K$16="CURVA PREVISION",$K$16="MDO PREVISION + MATERIAL PREMISSA"),N33,IF($K$16="PREVISÃO INFORMADA",MAX(0,H33),0)))</f>
        <v/>
      </c>
    </row>
    <row r="34">
      <c r="B34" s="140">
        <f>DATE(YEAR(B33),MONTH(B33)+1,1)</f>
        <v/>
      </c>
      <c r="C34" s="60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L34+D34/$K$2</f>
        <v/>
      </c>
      <c r="F34" s="117">
        <f>IF($K$9=0,0,E34/$K$9)</f>
        <v/>
      </c>
      <c r="G34" s="117">
        <f>G33+F34</f>
        <v/>
      </c>
      <c r="H34" s="137" t="n"/>
      <c r="L34" s="49">
        <f>C34/IF(B34&lt;='VALOR POR PL'!$P$5,IFERROR(INDEX('"INCC-FGV"'!$B$2:$B$800,MATCH(B34,'"INCC-FGV"'!$A$2:$A$800,0)),$K$2),$K$2)</f>
        <v/>
      </c>
      <c r="M34" s="138">
        <f>'CP RESUMO'!AG41</f>
        <v/>
      </c>
      <c r="N34" s="139">
        <f>MAX(0,M34-M33)</f>
        <v/>
      </c>
      <c r="O34" s="138">
        <f>IF(B34&lt;='VALOR POR PL'!$P$5,'CP RESUMO'!AG83,"")</f>
        <v/>
      </c>
      <c r="P34" s="72">
        <f>IF(B34&lt;='VALOR POR PL'!$P$5,0,IF(OR($K$16="CURVA PREVISION",$K$16="MDO PREVISION + MATERIAL PREMISSA"),N34,IF($K$16="PREVISÃO INFORMADA",MAX(0,H34),0)))</f>
        <v/>
      </c>
    </row>
    <row r="35">
      <c r="B35" s="140">
        <f>DATE(YEAR(B34),MONTH(B34)+1,1)</f>
        <v/>
      </c>
      <c r="C35" s="60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L35+D35/$K$2</f>
        <v/>
      </c>
      <c r="F35" s="117">
        <f>IF($K$9=0,0,E35/$K$9)</f>
        <v/>
      </c>
      <c r="G35" s="117">
        <f>G34+F35</f>
        <v/>
      </c>
      <c r="H35" s="137" t="n">
        <v>6861.65</v>
      </c>
      <c r="L35" s="49">
        <f>C35/IF(B35&lt;='VALOR POR PL'!$P$5,IFERROR(INDEX('"INCC-FGV"'!$B$2:$B$800,MATCH(B35,'"INCC-FGV"'!$A$2:$A$800,0)),$K$2),$K$2)</f>
        <v/>
      </c>
      <c r="M35" s="138">
        <f>'CP RESUMO'!AH41</f>
        <v/>
      </c>
      <c r="N35" s="139">
        <f>MAX(0,M35-M34)</f>
        <v/>
      </c>
      <c r="O35" s="138">
        <f>IF(B35&lt;='VALOR POR PL'!$P$5,'CP RESUMO'!AH83,"")</f>
        <v/>
      </c>
      <c r="P35" s="72">
        <f>IF(B35&lt;='VALOR POR PL'!$P$5,0,IF(OR($K$16="CURVA PREVISION",$K$16="MDO PREVISION + MATERIAL PREMISSA"),N35,IF($K$16="PREVISÃO INFORMADA",MAX(0,H35),0)))</f>
        <v/>
      </c>
    </row>
    <row r="36">
      <c r="B36" s="140">
        <f>DATE(YEAR(B35),MONTH(B35)+1,1)</f>
        <v/>
      </c>
      <c r="C36" s="60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L36+D36/$K$2</f>
        <v/>
      </c>
      <c r="F36" s="117">
        <f>IF($K$9=0,0,E36/$K$9)</f>
        <v/>
      </c>
      <c r="G36" s="117">
        <f>G35+F36</f>
        <v/>
      </c>
      <c r="H36" s="137" t="n">
        <v>12925.43</v>
      </c>
      <c r="L36" s="49">
        <f>C36/IF(B36&lt;='VALOR POR PL'!$P$5,IFERROR(INDEX('"INCC-FGV"'!$B$2:$B$800,MATCH(B36,'"INCC-FGV"'!$A$2:$A$800,0)),$K$2),$K$2)</f>
        <v/>
      </c>
      <c r="M36" s="138">
        <f>'CP RESUMO'!AI41</f>
        <v/>
      </c>
      <c r="N36" s="139">
        <f>MAX(0,M36-M35)</f>
        <v/>
      </c>
      <c r="O36" s="138">
        <f>IF(B36&lt;='VALOR POR PL'!$P$5,'CP RESUMO'!AI83,"")</f>
        <v/>
      </c>
      <c r="P36" s="72">
        <f>IF(B36&lt;='VALOR POR PL'!$P$5,0,IF(OR($K$16="CURVA PREVISION",$K$16="MDO PREVISION + MATERIAL PREMISSA"),N36,IF($K$16="PREVISÃO INFORMADA",MAX(0,H36),0)))</f>
        <v/>
      </c>
    </row>
    <row r="37">
      <c r="B37" s="140">
        <f>DATE(YEAR(B36),MONTH(B36)+1,1)</f>
        <v/>
      </c>
      <c r="C37" s="60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L37+D37/$K$2</f>
        <v/>
      </c>
      <c r="F37" s="117">
        <f>IF($K$9=0,0,E37/$K$9)</f>
        <v/>
      </c>
      <c r="G37" s="117">
        <f>G36+F37</f>
        <v/>
      </c>
      <c r="H37" s="137" t="n">
        <v>6223.36</v>
      </c>
      <c r="L37" s="49">
        <f>C37/IF(B37&lt;='VALOR POR PL'!$P$5,IFERROR(INDEX('"INCC-FGV"'!$B$2:$B$800,MATCH(B37,'"INCC-FGV"'!$A$2:$A$800,0)),$K$2),$K$2)</f>
        <v/>
      </c>
      <c r="M37" s="138">
        <f>'CP RESUMO'!AJ41</f>
        <v/>
      </c>
      <c r="N37" s="139">
        <f>MAX(0,M37-M36)</f>
        <v/>
      </c>
      <c r="O37" s="138">
        <f>IF(B37&lt;='VALOR POR PL'!$P$5,'CP RESUMO'!AJ83,"")</f>
        <v/>
      </c>
      <c r="P37" s="72">
        <f>IF(B37&lt;='VALOR POR PL'!$P$5,0,IF(OR($K$16="CURVA PREVISION",$K$16="MDO PREVISION + MATERIAL PREMISSA"),N37,IF($K$16="PREVISÃO INFORMADA",MAX(0,H37),0)))</f>
        <v/>
      </c>
    </row>
    <row r="38">
      <c r="B38" s="140">
        <f>DATE(YEAR(B37),MONTH(B37)+1,1)</f>
        <v/>
      </c>
      <c r="C38" s="60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L38+D38/$K$2</f>
        <v/>
      </c>
      <c r="F38" s="117">
        <f>IF($K$9=0,0,E38/$K$9)</f>
        <v/>
      </c>
      <c r="G38" s="117">
        <f>G37+F38</f>
        <v/>
      </c>
      <c r="H38" s="137" t="n">
        <v>22818.97</v>
      </c>
      <c r="L38" s="49">
        <f>C38/IF(B38&lt;='VALOR POR PL'!$P$5,IFERROR(INDEX('"INCC-FGV"'!$B$2:$B$800,MATCH(B38,'"INCC-FGV"'!$A$2:$A$800,0)),$K$2),$K$2)</f>
        <v/>
      </c>
      <c r="M38" s="138">
        <f>'CP RESUMO'!AK41</f>
        <v/>
      </c>
      <c r="N38" s="139">
        <f>MAX(0,M38-M37)</f>
        <v/>
      </c>
      <c r="O38" s="138">
        <f>IF(B38&lt;='VALOR POR PL'!$P$5,'CP RESUMO'!AK83,"")</f>
        <v/>
      </c>
      <c r="P38" s="72">
        <f>IF(B38&lt;='VALOR POR PL'!$P$5,0,IF(OR($K$16="CURVA PREVISION",$K$16="MDO PREVISION + MATERIAL PREMISSA"),N38,IF($K$16="PREVISÃO INFORMADA",MAX(0,H38),0)))</f>
        <v/>
      </c>
    </row>
    <row r="39">
      <c r="B39" s="140">
        <f>DATE(YEAR(B38),MONTH(B38)+1,1)</f>
        <v/>
      </c>
      <c r="C39" s="60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L39+D39/$K$2</f>
        <v/>
      </c>
      <c r="F39" s="117">
        <f>IF($K$9=0,0,E39/$K$9)</f>
        <v/>
      </c>
      <c r="G39" s="117">
        <f>G38+F39</f>
        <v/>
      </c>
      <c r="H39" s="137" t="n">
        <v>17393.48</v>
      </c>
      <c r="L39" s="49">
        <f>C39/IF(B39&lt;='VALOR POR PL'!$P$5,IFERROR(INDEX('"INCC-FGV"'!$B$2:$B$800,MATCH(B39,'"INCC-FGV"'!$A$2:$A$800,0)),$K$2),$K$2)</f>
        <v/>
      </c>
      <c r="M39" s="138">
        <f>'CP RESUMO'!AL41</f>
        <v/>
      </c>
      <c r="N39" s="139">
        <f>MAX(0,M39-M38)</f>
        <v/>
      </c>
      <c r="O39" s="138">
        <f>IF(B39&lt;='VALOR POR PL'!$P$5,'CP RESUMO'!AL83,"")</f>
        <v/>
      </c>
      <c r="P39" s="72">
        <f>IF(B39&lt;='VALOR POR PL'!$P$5,0,IF(OR($K$16="CURVA PREVISION",$K$16="MDO PREVISION + MATERIAL PREMISSA"),N39,IF($K$16="PREVISÃO INFORMADA",MAX(0,H39),0)))</f>
        <v/>
      </c>
    </row>
    <row r="40">
      <c r="B40" s="140">
        <f>DATE(YEAR(B39),MONTH(B39)+1,1)</f>
        <v/>
      </c>
      <c r="C40" s="60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L40+D40/$K$2</f>
        <v/>
      </c>
      <c r="F40" s="117">
        <f>IF($K$9=0,0,E40/$K$9)</f>
        <v/>
      </c>
      <c r="G40" s="117">
        <f>G39+F40</f>
        <v/>
      </c>
      <c r="H40" s="137" t="n">
        <v>28882.76</v>
      </c>
      <c r="L40" s="49">
        <f>C40/IF(B40&lt;='VALOR POR PL'!$P$5,IFERROR(INDEX('"INCC-FGV"'!$B$2:$B$800,MATCH(B40,'"INCC-FGV"'!$A$2:$A$800,0)),$K$2),$K$2)</f>
        <v/>
      </c>
      <c r="M40" s="138">
        <f>'CP RESUMO'!AM41</f>
        <v/>
      </c>
      <c r="N40" s="139">
        <f>MAX(0,M40-M39)</f>
        <v/>
      </c>
      <c r="O40" s="138">
        <f>IF(B40&lt;='VALOR POR PL'!$P$5,'CP RESUMO'!AM83,"")</f>
        <v/>
      </c>
      <c r="P40" s="72">
        <f>IF(B40&lt;='VALOR POR PL'!$P$5,0,IF(OR($K$16="CURVA PREVISION",$K$16="MDO PREVISION + MATERIAL PREMISSA"),N40,IF($K$16="PREVISÃO INFORMADA",MAX(0,H40),0)))</f>
        <v/>
      </c>
    </row>
    <row r="41">
      <c r="B41" s="140">
        <f>DATE(YEAR(B40),MONTH(B40)+1,1)</f>
        <v/>
      </c>
      <c r="C41" s="60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L41+D41/$K$2</f>
        <v/>
      </c>
      <c r="F41" s="117">
        <f>IF($K$9=0,0,E41/$K$9)</f>
        <v/>
      </c>
      <c r="G41" s="117">
        <f>G40+F41</f>
        <v/>
      </c>
      <c r="H41" s="137" t="n">
        <v>30478.49</v>
      </c>
      <c r="L41" s="49">
        <f>C41/IF(B41&lt;='VALOR POR PL'!$P$5,IFERROR(INDEX('"INCC-FGV"'!$B$2:$B$800,MATCH(B41,'"INCC-FGV"'!$A$2:$A$800,0)),$K$2),$K$2)</f>
        <v/>
      </c>
      <c r="M41" s="138">
        <f>'CP RESUMO'!AN41</f>
        <v/>
      </c>
      <c r="N41" s="139">
        <f>MAX(0,M41-M40)</f>
        <v/>
      </c>
      <c r="O41" s="138">
        <f>IF(B41&lt;='VALOR POR PL'!$P$5,'CP RESUMO'!AN83,"")</f>
        <v/>
      </c>
      <c r="P41" s="72">
        <f>IF(B41&lt;='VALOR POR PL'!$P$5,0,IF(OR($K$16="CURVA PREVISION",$K$16="MDO PREVISION + MATERIAL PREMISSA"),N41,IF($K$16="PREVISÃO INFORMADA",MAX(0,H41),0)))</f>
        <v/>
      </c>
    </row>
    <row r="42">
      <c r="B42" s="140">
        <f>DATE(YEAR(B41),MONTH(B41)+1,1)</f>
        <v/>
      </c>
      <c r="C42" s="60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L42+D42/$K$2</f>
        <v/>
      </c>
      <c r="F42" s="117">
        <f>IF($K$9=0,0,E42/$K$9)</f>
        <v/>
      </c>
      <c r="G42" s="117">
        <f>G41+F42</f>
        <v/>
      </c>
      <c r="H42" s="137" t="n">
        <v>49707.07</v>
      </c>
      <c r="L42" s="49">
        <f>C42/IF(B42&lt;='VALOR POR PL'!$P$5,IFERROR(INDEX('"INCC-FGV"'!$B$2:$B$800,MATCH(B42,'"INCC-FGV"'!$A$2:$A$800,0)),$K$2),$K$2)</f>
        <v/>
      </c>
      <c r="M42" s="138">
        <f>'CP RESUMO'!AO41</f>
        <v/>
      </c>
      <c r="N42" s="139">
        <f>MAX(0,M42-M41)</f>
        <v/>
      </c>
      <c r="O42" s="138">
        <f>IF(B42&lt;='VALOR POR PL'!$P$5,'CP RESUMO'!AO83,"")</f>
        <v/>
      </c>
      <c r="P42" s="72">
        <f>IF(B42&lt;='VALOR POR PL'!$P$5,0,IF(OR($K$16="CURVA PREVISION",$K$16="MDO PREVISION + MATERIAL PREMISSA"),N42,IF($K$16="PREVISÃO INFORMADA",MAX(0,H42),0)))</f>
        <v/>
      </c>
    </row>
    <row r="43">
      <c r="B43" s="140">
        <f>DATE(YEAR(B42),MONTH(B42)+1,1)</f>
        <v/>
      </c>
      <c r="C43" s="60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L43+D43/$K$2</f>
        <v/>
      </c>
      <c r="F43" s="117">
        <f>IF($K$9=0,0,E43/$K$9)</f>
        <v/>
      </c>
      <c r="G43" s="117">
        <f>G42+F43</f>
        <v/>
      </c>
      <c r="H43" s="137" t="n">
        <v>52579.39</v>
      </c>
      <c r="L43" s="49">
        <f>C43/IF(B43&lt;='VALOR POR PL'!$P$5,IFERROR(INDEX('"INCC-FGV"'!$B$2:$B$800,MATCH(B43,'"INCC-FGV"'!$A$2:$A$800,0)),$K$2),$K$2)</f>
        <v/>
      </c>
      <c r="M43" s="138">
        <f>'CP RESUMO'!AP41</f>
        <v/>
      </c>
      <c r="N43" s="139">
        <f>MAX(0,M43-M42)</f>
        <v/>
      </c>
      <c r="O43" s="138">
        <f>IF(B43&lt;='VALOR POR PL'!$P$5,'CP RESUMO'!AP83,"")</f>
        <v/>
      </c>
      <c r="P43" s="72">
        <f>IF(B43&lt;='VALOR POR PL'!$P$5,0,IF(OR($K$16="CURVA PREVISION",$K$16="MDO PREVISION + MATERIAL PREMISSA"),N43,IF($K$16="PREVISÃO INFORMADA",MAX(0,H43),0)))</f>
        <v/>
      </c>
    </row>
    <row r="44">
      <c r="B44" s="140">
        <f>DATE(YEAR(B43),MONTH(B43)+1,1)</f>
        <v/>
      </c>
      <c r="C44" s="60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L44+D44/$K$2</f>
        <v/>
      </c>
      <c r="F44" s="117">
        <f>IF($K$9=0,0,E44/$K$9)</f>
        <v/>
      </c>
      <c r="G44" s="117">
        <f>G43+F44</f>
        <v/>
      </c>
      <c r="H44" s="137" t="n">
        <v>143216.99</v>
      </c>
      <c r="L44" s="49">
        <f>C44/IF(B44&lt;='VALOR POR PL'!$P$5,IFERROR(INDEX('"INCC-FGV"'!$B$2:$B$800,MATCH(B44,'"INCC-FGV"'!$A$2:$A$800,0)),$K$2),$K$2)</f>
        <v/>
      </c>
      <c r="M44" s="138">
        <f>'CP RESUMO'!AQ41</f>
        <v/>
      </c>
      <c r="N44" s="139">
        <f>MAX(0,M44-M43)</f>
        <v/>
      </c>
      <c r="O44" s="138">
        <f>IF(B44&lt;='VALOR POR PL'!$P$5,'CP RESUMO'!AQ83,"")</f>
        <v/>
      </c>
      <c r="P44" s="72">
        <f>IF(B44&lt;='VALOR POR PL'!$P$5,0,IF(OR($K$16="CURVA PREVISION",$K$16="MDO PREVISION + MATERIAL PREMISSA"),N44,IF($K$16="PREVISÃO INFORMADA",MAX(0,H44),0)))</f>
        <v/>
      </c>
    </row>
    <row r="45">
      <c r="B45" s="140">
        <f>DATE(YEAR(B44),MONTH(B44)+1,1)</f>
        <v/>
      </c>
      <c r="C45" s="60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L45+D45/$K$2</f>
        <v/>
      </c>
      <c r="F45" s="117">
        <f>IF($K$9=0,0,E45/$K$9)</f>
        <v/>
      </c>
      <c r="G45" s="117">
        <f>G44+F45</f>
        <v/>
      </c>
      <c r="H45" s="137" t="n">
        <v>145371.23</v>
      </c>
      <c r="L45" s="49">
        <f>C45/IF(B45&lt;='VALOR POR PL'!$P$5,IFERROR(INDEX('"INCC-FGV"'!$B$2:$B$800,MATCH(B45,'"INCC-FGV"'!$A$2:$A$800,0)),$K$2),$K$2)</f>
        <v/>
      </c>
      <c r="M45" s="138">
        <f>'CP RESUMO'!AR41</f>
        <v/>
      </c>
      <c r="N45" s="139">
        <f>MAX(0,M45-M44)</f>
        <v/>
      </c>
      <c r="O45" s="138">
        <f>IF(B45&lt;='VALOR POR PL'!$P$5,'CP RESUMO'!AR83,"")</f>
        <v/>
      </c>
      <c r="P45" s="72">
        <f>IF(B45&lt;='VALOR POR PL'!$P$5,0,IF(OR($K$16="CURVA PREVISION",$K$16="MDO PREVISION + MATERIAL PREMISSA"),N45,IF($K$16="PREVISÃO INFORMADA",MAX(0,H45),0)))</f>
        <v/>
      </c>
    </row>
    <row r="46">
      <c r="B46" s="140">
        <f>DATE(YEAR(B45),MONTH(B45)+1,1)</f>
        <v/>
      </c>
      <c r="C46" s="60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L46+D46/$K$2</f>
        <v/>
      </c>
      <c r="F46" s="117">
        <f>IF($K$9=0,0,E46/$K$9)</f>
        <v/>
      </c>
      <c r="G46" s="117">
        <f>G45+F46</f>
        <v/>
      </c>
      <c r="H46" s="137" t="n">
        <v>168988.07</v>
      </c>
      <c r="L46" s="49">
        <f>C46/IF(B46&lt;='VALOR POR PL'!$P$5,IFERROR(INDEX('"INCC-FGV"'!$B$2:$B$800,MATCH(B46,'"INCC-FGV"'!$A$2:$A$800,0)),$K$2),$K$2)</f>
        <v/>
      </c>
      <c r="M46" s="138">
        <f>'CP RESUMO'!AS41</f>
        <v/>
      </c>
      <c r="N46" s="139">
        <f>MAX(0,M46-M45)</f>
        <v/>
      </c>
      <c r="O46" s="138">
        <f>IF(B46&lt;='VALOR POR PL'!$P$5,'CP RESUMO'!AS83,"")</f>
        <v/>
      </c>
      <c r="P46" s="72">
        <f>IF(B46&lt;='VALOR POR PL'!$P$5,0,IF(OR($K$16="CURVA PREVISION",$K$16="MDO PREVISION + MATERIAL PREMISSA"),N46,IF($K$16="PREVISÃO INFORMADA",MAX(0,H46),0)))</f>
        <v/>
      </c>
    </row>
    <row r="47">
      <c r="B47" s="140">
        <f>DATE(YEAR(B46),MONTH(B46)+1,1)</f>
        <v/>
      </c>
      <c r="C47" s="60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L47+D47/$K$2</f>
        <v/>
      </c>
      <c r="F47" s="117">
        <f>IF($K$9=0,0,E47/$K$9)</f>
        <v/>
      </c>
      <c r="G47" s="117">
        <f>G46+F47</f>
        <v/>
      </c>
      <c r="H47" s="137" t="n">
        <v>47792.19</v>
      </c>
      <c r="L47" s="49">
        <f>C47/IF(B47&lt;='VALOR POR PL'!$P$5,IFERROR(INDEX('"INCC-FGV"'!$B$2:$B$800,MATCH(B47,'"INCC-FGV"'!$A$2:$A$800,0)),$K$2),$K$2)</f>
        <v/>
      </c>
      <c r="M47" s="138">
        <f>'CP RESUMO'!AT41</f>
        <v/>
      </c>
      <c r="N47" s="139">
        <f>MAX(0,M47-M46)</f>
        <v/>
      </c>
      <c r="O47" s="138">
        <f>IF(B47&lt;='VALOR POR PL'!$P$5,'CP RESUMO'!AT83,"")</f>
        <v/>
      </c>
      <c r="P47" s="72">
        <f>IF(B47&lt;='VALOR POR PL'!$P$5,0,IF(OR($K$16="CURVA PREVISION",$K$16="MDO PREVISION + MATERIAL PREMISSA"),N47,IF($K$16="PREVISÃO INFORMADA",MAX(0,H47),0)))</f>
        <v/>
      </c>
    </row>
    <row r="48">
      <c r="B48" s="140">
        <f>DATE(YEAR(B47),MONTH(B47)+1,1)</f>
        <v/>
      </c>
      <c r="C48" s="60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L48+D48/$K$2</f>
        <v/>
      </c>
      <c r="F48" s="117">
        <f>IF($K$9=0,0,E48/$K$9)</f>
        <v/>
      </c>
      <c r="G48" s="117">
        <f>G47+F48</f>
        <v/>
      </c>
      <c r="H48" s="137" t="n">
        <v>30079.56</v>
      </c>
      <c r="L48" s="49">
        <f>C48/IF(B48&lt;='VALOR POR PL'!$P$5,IFERROR(INDEX('"INCC-FGV"'!$B$2:$B$800,MATCH(B48,'"INCC-FGV"'!$A$2:$A$800,0)),$K$2),$K$2)</f>
        <v/>
      </c>
      <c r="M48" s="138">
        <f>'CP RESUMO'!AU41</f>
        <v/>
      </c>
      <c r="N48" s="139">
        <f>MAX(0,M48-M47)</f>
        <v/>
      </c>
      <c r="O48" s="138">
        <f>IF(B48&lt;='VALOR POR PL'!$P$5,'CP RESUMO'!AU83,"")</f>
        <v/>
      </c>
      <c r="P48" s="72">
        <f>IF(B48&lt;='VALOR POR PL'!$P$5,0,IF(OR($K$16="CURVA PREVISION",$K$16="MDO PREVISION + MATERIAL PREMISSA"),N48,IF($K$16="PREVISÃO INFORMADA",MAX(0,H48),0)))</f>
        <v/>
      </c>
    </row>
    <row r="49">
      <c r="B49" s="140">
        <f>DATE(YEAR(B48),MONTH(B48)+1,1)</f>
        <v/>
      </c>
      <c r="C49" s="60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L49+D49/$K$2</f>
        <v/>
      </c>
      <c r="F49" s="117">
        <f>IF($K$9=0,0,E49/$K$9)</f>
        <v/>
      </c>
      <c r="G49" s="117">
        <f>G48+F49</f>
        <v/>
      </c>
      <c r="H49" s="137" t="n">
        <v>19787.08</v>
      </c>
      <c r="L49" s="49">
        <f>C49/IF(B49&lt;='VALOR POR PL'!$P$5,IFERROR(INDEX('"INCC-FGV"'!$B$2:$B$800,MATCH(B49,'"INCC-FGV"'!$A$2:$A$800,0)),$K$2),$K$2)</f>
        <v/>
      </c>
      <c r="M49" s="138">
        <f>'CP RESUMO'!AV41</f>
        <v/>
      </c>
      <c r="N49" s="139">
        <f>MAX(0,M49-M48)</f>
        <v/>
      </c>
      <c r="O49" s="138">
        <f>IF(B49&lt;='VALOR POR PL'!$P$5,'CP RESUMO'!AV83,"")</f>
        <v/>
      </c>
      <c r="P49" s="72">
        <f>IF(B49&lt;='VALOR POR PL'!$P$5,0,IF(OR($K$16="CURVA PREVISION",$K$16="MDO PREVISION + MATERIAL PREMISSA"),N49,IF($K$16="PREVISÃO INFORMADA",MAX(0,H49),0)))</f>
        <v/>
      </c>
    </row>
    <row r="50">
      <c r="B50" s="140">
        <f>DATE(YEAR(B49),MONTH(B49)+1,1)</f>
        <v/>
      </c>
      <c r="C50" s="60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L50+D50/$K$2</f>
        <v/>
      </c>
      <c r="F50" s="117">
        <f>IF($K$9=0,0,E50/$K$9)</f>
        <v/>
      </c>
      <c r="G50" s="117">
        <f>G49+F50</f>
        <v/>
      </c>
      <c r="H50" s="137" t="n"/>
      <c r="L50" s="49">
        <f>C50/IF(B50&lt;='VALOR POR PL'!$P$5,IFERROR(INDEX('"INCC-FGV"'!$B$2:$B$800,MATCH(B50,'"INCC-FGV"'!$A$2:$A$800,0)),$K$2),$K$2)</f>
        <v/>
      </c>
      <c r="M50" s="138">
        <f>'CP RESUMO'!AW41</f>
        <v/>
      </c>
      <c r="N50" s="139">
        <f>MAX(0,M50-M49)</f>
        <v/>
      </c>
      <c r="O50" s="138">
        <f>IF(B50&lt;='VALOR POR PL'!$P$5,'CP RESUMO'!AW83,"")</f>
        <v/>
      </c>
      <c r="P50" s="72">
        <f>IF(B50&lt;='VALOR POR PL'!$P$5,0,IF(OR($K$16="CURVA PREVISION",$K$16="MDO PREVISION + MATERIAL PREMISSA"),N50,IF($K$16="PREVISÃO INFORMADA",MAX(0,H50),0)))</f>
        <v/>
      </c>
    </row>
    <row r="51">
      <c r="B51" s="140">
        <f>DATE(YEAR(B50),MONTH(B50)+1,1)</f>
        <v/>
      </c>
      <c r="C51" s="60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L51+D51/$K$2</f>
        <v/>
      </c>
      <c r="F51" s="117">
        <f>IF($K$9=0,0,E51/$K$9)</f>
        <v/>
      </c>
      <c r="G51" s="117">
        <f>G50+F51</f>
        <v/>
      </c>
      <c r="H51" s="137" t="n"/>
      <c r="L51" s="49">
        <f>C51/IF(B51&lt;='VALOR POR PL'!$P$5,IFERROR(INDEX('"INCC-FGV"'!$B$2:$B$800,MATCH(B51,'"INCC-FGV"'!$A$2:$A$800,0)),$K$2),$K$2)</f>
        <v/>
      </c>
      <c r="M51" s="138">
        <f>'CP RESUMO'!AX41</f>
        <v/>
      </c>
      <c r="N51" s="139">
        <f>MAX(0,M51-M50)</f>
        <v/>
      </c>
      <c r="O51" s="138">
        <f>IF(B51&lt;='VALOR POR PL'!$P$5,'CP RESUMO'!AX83,"")</f>
        <v/>
      </c>
      <c r="P51" s="72">
        <f>IF(B51&lt;='VALOR POR PL'!$P$5,0,IF(OR($K$16="CURVA PREVISION",$K$16="MDO PREVISION + MATERIAL PREMISSA"),N51,IF($K$16="PREVISÃO INFORMADA",MAX(0,H51),0)))</f>
        <v/>
      </c>
    </row>
    <row r="52">
      <c r="B52" s="140">
        <f>DATE(YEAR(B51),MONTH(B51)+1,1)</f>
        <v/>
      </c>
      <c r="C52" s="60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L52+D52/$K$2</f>
        <v/>
      </c>
      <c r="F52" s="117">
        <f>IF($K$9=0,0,E52/$K$9)</f>
        <v/>
      </c>
      <c r="G52" s="117">
        <f>G51+F52</f>
        <v/>
      </c>
      <c r="H52" s="137" t="n"/>
      <c r="L52" s="49">
        <f>C52/IF(B52&lt;='VALOR POR PL'!$P$5,IFERROR(INDEX('"INCC-FGV"'!$B$2:$B$800,MATCH(B52,'"INCC-FGV"'!$A$2:$A$800,0)),$K$2),$K$2)</f>
        <v/>
      </c>
      <c r="M52" s="138">
        <f>'CP RESUMO'!AY41</f>
        <v/>
      </c>
      <c r="N52" s="139">
        <f>MAX(0,M52-M51)</f>
        <v/>
      </c>
      <c r="O52" s="138">
        <f>IF(B52&lt;='VALOR POR PL'!$P$5,'CP RESUMO'!AY83,"")</f>
        <v/>
      </c>
      <c r="P52" s="72">
        <f>IF(B52&lt;='VALOR POR PL'!$P$5,0,IF(OR($K$16="CURVA PREVISION",$K$16="MDO PREVISION + MATERIAL PREMISSA"),N52,IF($K$16="PREVISÃO INFORMADA",MAX(0,H52),0)))</f>
        <v/>
      </c>
    </row>
    <row r="53">
      <c r="B53" s="140">
        <f>DATE(YEAR(B52),MONTH(B52)+1,1)</f>
        <v/>
      </c>
      <c r="C53" s="60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L53+D53/$K$2</f>
        <v/>
      </c>
      <c r="F53" s="117">
        <f>IF($K$9=0,0,E53/$K$9)</f>
        <v/>
      </c>
      <c r="G53" s="117">
        <f>G52+F53</f>
        <v/>
      </c>
      <c r="H53" s="137" t="n"/>
      <c r="L53" s="49">
        <f>C53/IF(B53&lt;='VALOR POR PL'!$P$5,IFERROR(INDEX('"INCC-FGV"'!$B$2:$B$800,MATCH(B53,'"INCC-FGV"'!$A$2:$A$800,0)),$K$2),$K$2)</f>
        <v/>
      </c>
      <c r="M53" s="138">
        <f>'CP RESUMO'!AZ41</f>
        <v/>
      </c>
      <c r="N53" s="139">
        <f>MAX(0,M53-M52)</f>
        <v/>
      </c>
      <c r="O53" s="138">
        <f>IF(B53&lt;='VALOR POR PL'!$P$5,'CP RESUMO'!AZ83,"")</f>
        <v/>
      </c>
      <c r="P53" s="72">
        <f>IF(B53&lt;='VALOR POR PL'!$P$5,0,IF(OR($K$16="CURVA PREVISION",$K$16="MDO PREVISION + MATERIAL PREMISSA"),N53,IF($K$16="PREVISÃO INFORMADA",MAX(0,H53),0)))</f>
        <v/>
      </c>
    </row>
    <row r="54">
      <c r="B54" s="140">
        <f>DATE(YEAR(B53),MONTH(B53)+1,1)</f>
        <v/>
      </c>
      <c r="C54" s="60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L54+D54/$K$2</f>
        <v/>
      </c>
      <c r="F54" s="117">
        <f>IF($K$9=0,0,E54/$K$9)</f>
        <v/>
      </c>
      <c r="G54" s="117">
        <f>G53+F54</f>
        <v/>
      </c>
      <c r="H54" s="137" t="n"/>
      <c r="L54" s="49">
        <f>C54/IF(B54&lt;='VALOR POR PL'!$P$5,IFERROR(INDEX('"INCC-FGV"'!$B$2:$B$800,MATCH(B54,'"INCC-FGV"'!$A$2:$A$800,0)),$K$2),$K$2)</f>
        <v/>
      </c>
      <c r="M54" s="138">
        <f>'CP RESUMO'!BA41</f>
        <v/>
      </c>
      <c r="N54" s="139">
        <f>MAX(0,M54-M53)</f>
        <v/>
      </c>
      <c r="O54" s="138">
        <f>IF(B54&lt;='VALOR POR PL'!$P$5,'CP RESUMO'!BA83,"")</f>
        <v/>
      </c>
      <c r="P54" s="72">
        <f>IF(B54&lt;='VALOR POR PL'!$P$5,0,IF(OR($K$16="CURVA PREVISION",$K$16="MDO PREVISION + MATERIAL PREMISSA"),N54,IF($K$16="PREVISÃO INFORMADA",MAX(0,H54),0)))</f>
        <v/>
      </c>
    </row>
    <row r="55">
      <c r="B55" s="140">
        <f>DATE(YEAR(B54),MONTH(B54)+1,1)</f>
        <v/>
      </c>
      <c r="C55" s="60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L55+D55/$K$2</f>
        <v/>
      </c>
      <c r="F55" s="117">
        <f>IF($K$9=0,0,E55/$K$9)</f>
        <v/>
      </c>
      <c r="G55" s="117">
        <f>G54+F55</f>
        <v/>
      </c>
      <c r="H55" s="137" t="n"/>
      <c r="L55" s="49">
        <f>C55/IF(B55&lt;='VALOR POR PL'!$P$5,IFERROR(INDEX('"INCC-FGV"'!$B$2:$B$800,MATCH(B55,'"INCC-FGV"'!$A$2:$A$800,0)),$K$2),$K$2)</f>
        <v/>
      </c>
      <c r="M55" s="138">
        <f>'CP RESUMO'!BB41</f>
        <v/>
      </c>
      <c r="N55" s="139">
        <f>MAX(0,M55-M54)</f>
        <v/>
      </c>
      <c r="O55" s="138">
        <f>IF(B55&lt;='VALOR POR PL'!$P$5,'CP RESUMO'!BB83,"")</f>
        <v/>
      </c>
      <c r="P55" s="72">
        <f>IF(B55&lt;='VALOR POR PL'!$P$5,0,IF(OR($K$16="CURVA PREVISION",$K$16="MDO PREVISION + MATERIAL PREMISSA"),N55,IF($K$16="PREVISÃO INFORMADA",MAX(0,H55),0)))</f>
        <v/>
      </c>
    </row>
    <row r="56">
      <c r="B56" s="140">
        <f>DATE(YEAR(B55),MONTH(B55)+1,1)</f>
        <v/>
      </c>
      <c r="C56" s="60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L56+D56/$K$2</f>
        <v/>
      </c>
      <c r="F56" s="117">
        <f>IF($K$9=0,0,E56/$K$9)</f>
        <v/>
      </c>
      <c r="G56" s="117">
        <f>G55+F56</f>
        <v/>
      </c>
      <c r="H56" s="137" t="n"/>
      <c r="L56" s="49">
        <f>C56/IF(B56&lt;='VALOR POR PL'!$P$5,IFERROR(INDEX('"INCC-FGV"'!$B$2:$B$800,MATCH(B56,'"INCC-FGV"'!$A$2:$A$800,0)),$K$2),$K$2)</f>
        <v/>
      </c>
      <c r="M56" s="138">
        <f>'CP RESUMO'!BC41</f>
        <v/>
      </c>
      <c r="N56" s="139">
        <f>MAX(0,M56-M55)</f>
        <v/>
      </c>
      <c r="O56" s="138">
        <f>IF(B56&lt;='VALOR POR PL'!$P$5,'CP RESUMO'!BC83,"")</f>
        <v/>
      </c>
      <c r="P56" s="72">
        <f>IF(B56&lt;='VALOR POR PL'!$P$5,0,IF(OR($K$16="CURVA PREVISION",$K$16="MDO PREVISION + MATERIAL PREMISSA"),N56,IF($K$16="PREVISÃO INFORMADA",MAX(0,H56),0)))</f>
        <v/>
      </c>
    </row>
    <row r="57">
      <c r="B57" s="140">
        <f>DATE(YEAR(B56),MONTH(B56)+1,1)</f>
        <v/>
      </c>
      <c r="C57" s="60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L57+D57/$K$2</f>
        <v/>
      </c>
      <c r="F57" s="117">
        <f>IF($K$9=0,0,E57/$K$9)</f>
        <v/>
      </c>
      <c r="G57" s="117">
        <f>G56+F57</f>
        <v/>
      </c>
      <c r="H57" s="137" t="n"/>
      <c r="L57" s="49">
        <f>C57/IF(B57&lt;='VALOR POR PL'!$P$5,IFERROR(INDEX('"INCC-FGV"'!$B$2:$B$800,MATCH(B57,'"INCC-FGV"'!$A$2:$A$800,0)),$K$2),$K$2)</f>
        <v/>
      </c>
      <c r="M57" s="138">
        <f>'CP RESUMO'!BD41</f>
        <v/>
      </c>
      <c r="N57" s="139">
        <f>MAX(0,M57-M56)</f>
        <v/>
      </c>
      <c r="O57" s="138">
        <f>IF(B57&lt;='VALOR POR PL'!$P$5,'CP RESUMO'!BD83,"")</f>
        <v/>
      </c>
      <c r="P57" s="72">
        <f>IF(B57&lt;='VALOR POR PL'!$P$5,0,IF(OR($K$16="CURVA PREVISION",$K$16="MDO PREVISION + MATERIAL PREMISSA"),N57,IF($K$16="PREVISÃO INFORMADA",MAX(0,H57),0)))</f>
        <v/>
      </c>
    </row>
    <row r="58">
      <c r="B58" s="140">
        <f>DATE(YEAR(B57),MONTH(B57)+1,1)</f>
        <v/>
      </c>
      <c r="C58" s="60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L58+D58/$K$2</f>
        <v/>
      </c>
      <c r="F58" s="117">
        <f>IF($K$9=0,0,E58/$K$9)</f>
        <v/>
      </c>
      <c r="G58" s="117">
        <f>G57+F58</f>
        <v/>
      </c>
      <c r="H58" s="137" t="n"/>
      <c r="L58" s="49">
        <f>C58/IF(B58&lt;='VALOR POR PL'!$P$5,IFERROR(INDEX('"INCC-FGV"'!$B$2:$B$800,MATCH(B58,'"INCC-FGV"'!$A$2:$A$800,0)),$K$2),$K$2)</f>
        <v/>
      </c>
      <c r="M58" s="138">
        <f>'CP RESUMO'!BE41</f>
        <v/>
      </c>
      <c r="N58" s="139">
        <f>MAX(0,M58-M57)</f>
        <v/>
      </c>
      <c r="O58" s="138">
        <f>IF(B58&lt;='VALOR POR PL'!$P$5,'CP RESUMO'!BE83,"")</f>
        <v/>
      </c>
      <c r="P58" s="72">
        <f>IF(B58&lt;='VALOR POR PL'!$P$5,0,IF(OR($K$16="CURVA PREVISION",$K$16="MDO PREVISION + MATERIAL PREMISSA"),N58,IF($K$16="PREVISÃO INFORMADA",MAX(0,H58),0)))</f>
        <v/>
      </c>
    </row>
    <row r="59">
      <c r="B59" s="140">
        <f>DATE(YEAR(B58),MONTH(B58)+1,1)</f>
        <v/>
      </c>
      <c r="C59" s="60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L59+D59/$K$2</f>
        <v/>
      </c>
      <c r="F59" s="117">
        <f>IF($K$9=0,0,E59/$K$9)</f>
        <v/>
      </c>
      <c r="G59" s="117">
        <f>G58+F59</f>
        <v/>
      </c>
      <c r="H59" s="137" t="n"/>
      <c r="L59" s="49">
        <f>C59/IF(B59&lt;='VALOR POR PL'!$P$5,IFERROR(INDEX('"INCC-FGV"'!$B$2:$B$800,MATCH(B59,'"INCC-FGV"'!$A$2:$A$800,0)),$K$2),$K$2)</f>
        <v/>
      </c>
      <c r="M59" s="138">
        <f>'CP RESUMO'!BF41</f>
        <v/>
      </c>
      <c r="N59" s="139">
        <f>MAX(0,M59-M58)</f>
        <v/>
      </c>
      <c r="O59" s="138">
        <f>IF(B59&lt;='VALOR POR PL'!$P$5,'CP RESUMO'!BF83,"")</f>
        <v/>
      </c>
      <c r="P59" s="72">
        <f>IF(B59&lt;='VALOR POR PL'!$P$5,0,IF(OR($K$16="CURVA PREVISION",$K$16="MDO PREVISION + MATERIAL PREMISSA"),N59,IF($K$16="PREVISÃO INFORMADA",MAX(0,H59),0)))</f>
        <v/>
      </c>
    </row>
    <row r="60">
      <c r="B60" s="140">
        <f>DATE(YEAR(B59),MONTH(B59)+1,1)</f>
        <v/>
      </c>
      <c r="C60" s="60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L60+D60/$K$2</f>
        <v/>
      </c>
      <c r="F60" s="117">
        <f>IF($K$9=0,0,E60/$K$9)</f>
        <v/>
      </c>
      <c r="G60" s="117">
        <f>G59+F60</f>
        <v/>
      </c>
      <c r="H60" s="137" t="n"/>
      <c r="L60" s="49">
        <f>C60/IF(B60&lt;='VALOR POR PL'!$P$5,IFERROR(INDEX('"INCC-FGV"'!$B$2:$B$800,MATCH(B60,'"INCC-FGV"'!$A$2:$A$800,0)),$K$2),$K$2)</f>
        <v/>
      </c>
      <c r="M60" s="138">
        <f>'CP RESUMO'!BG41</f>
        <v/>
      </c>
      <c r="N60" s="139">
        <f>MAX(0,M60-M59)</f>
        <v/>
      </c>
      <c r="O60" s="138">
        <f>IF(B60&lt;='VALOR POR PL'!$P$5,'CP RESUMO'!BG83,"")</f>
        <v/>
      </c>
      <c r="P60" s="72">
        <f>IF(B60&lt;='VALOR POR PL'!$P$5,0,IF(OR($K$16="CURVA PREVISION",$K$16="MDO PREVISION + MATERIAL PREMISSA"),N60,IF($K$16="PREVISÃO INFORMADA",MAX(0,H60),0)))</f>
        <v/>
      </c>
    </row>
    <row r="61">
      <c r="B61" s="140">
        <f>DATE(YEAR(B60),MONTH(B60)+1,1)</f>
        <v/>
      </c>
      <c r="C61" s="60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L61+D61/$K$2</f>
        <v/>
      </c>
      <c r="F61" s="117">
        <f>IF($K$9=0,0,E61/$K$9)</f>
        <v/>
      </c>
      <c r="G61" s="117">
        <f>G60+F61</f>
        <v/>
      </c>
      <c r="H61" s="137" t="n"/>
      <c r="L61" s="49">
        <f>C61/IF(B61&lt;='VALOR POR PL'!$P$5,IFERROR(INDEX('"INCC-FGV"'!$B$2:$B$800,MATCH(B61,'"INCC-FGV"'!$A$2:$A$800,0)),$K$2),$K$2)</f>
        <v/>
      </c>
      <c r="M61" s="138">
        <f>'CP RESUMO'!BH41</f>
        <v/>
      </c>
      <c r="N61" s="139">
        <f>MAX(0,M61-M60)</f>
        <v/>
      </c>
      <c r="O61" s="138">
        <f>IF(B61&lt;='VALOR POR PL'!$P$5,'CP RESUMO'!BH83,"")</f>
        <v/>
      </c>
      <c r="P61" s="72">
        <f>IF(B61&lt;='VALOR POR PL'!$P$5,0,IF(OR($K$16="CURVA PREVISION",$K$16="MDO PREVISION + MATERIAL PREMISSA"),N61,IF($K$16="PREVISÃO INFORMADA",MAX(0,H61),0)))</f>
        <v/>
      </c>
    </row>
    <row r="62">
      <c r="B62" s="140">
        <f>DATE(YEAR(B61),MONTH(B61)+1,1)</f>
        <v/>
      </c>
      <c r="C62" s="60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L62+D62/$K$2</f>
        <v/>
      </c>
      <c r="F62" s="117">
        <f>IF($K$9=0,0,E62/$K$9)</f>
        <v/>
      </c>
      <c r="G62" s="117">
        <f>G61+F62</f>
        <v/>
      </c>
      <c r="H62" s="137" t="n"/>
      <c r="L62" s="49">
        <f>C62/IF(B62&lt;='VALOR POR PL'!$P$5,IFERROR(INDEX('"INCC-FGV"'!$B$2:$B$800,MATCH(B62,'"INCC-FGV"'!$A$2:$A$800,0)),$K$2),$K$2)</f>
        <v/>
      </c>
      <c r="M62" s="138">
        <f>'CP RESUMO'!BI41</f>
        <v/>
      </c>
      <c r="N62" s="139">
        <f>MAX(0,M62-M61)</f>
        <v/>
      </c>
      <c r="O62" s="138">
        <f>IF(B62&lt;='VALOR POR PL'!$P$5,'CP RESUMO'!BI83,"")</f>
        <v/>
      </c>
      <c r="P62" s="72">
        <f>IF(B62&lt;='VALOR POR PL'!$P$5,0,IF(OR($K$16="CURVA PREVISION",$K$16="MDO PREVISION + MATERIAL PREMISSA"),N62,IF($K$16="PREVISÃO INFORMADA",MAX(0,H62),0)))</f>
        <v/>
      </c>
    </row>
    <row r="63">
      <c r="B63" s="140">
        <f>DATE(YEAR(B62),MONTH(B62)+1,1)</f>
        <v/>
      </c>
      <c r="C63" s="60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L63+D63/$K$2</f>
        <v/>
      </c>
      <c r="F63" s="117">
        <f>IF($K$9=0,0,E63/$K$9)</f>
        <v/>
      </c>
      <c r="G63" s="117">
        <f>G62+F63</f>
        <v/>
      </c>
      <c r="H63" s="137" t="n"/>
      <c r="L63" s="49">
        <f>C63/IF(B63&lt;='VALOR POR PL'!$P$5,IFERROR(INDEX('"INCC-FGV"'!$B$2:$B$800,MATCH(B63,'"INCC-FGV"'!$A$2:$A$800,0)),$K$2),$K$2)</f>
        <v/>
      </c>
      <c r="M63" s="138">
        <f>'CP RESUMO'!BJ41</f>
        <v/>
      </c>
      <c r="N63" s="139">
        <f>MAX(0,M63-M62)</f>
        <v/>
      </c>
      <c r="O63" s="138">
        <f>IF(B63&lt;='VALOR POR PL'!$P$5,'CP RESUMO'!BJ83,"")</f>
        <v/>
      </c>
      <c r="P63" s="72">
        <f>IF(B63&lt;='VALOR POR PL'!$P$5,0,IF(OR($K$16="CURVA PREVISION",$K$16="MDO PREVISION + MATERIAL PREMISSA"),N63,IF($K$16="PREVISÃO INFORMADA",MAX(0,H63),0)))</f>
        <v/>
      </c>
    </row>
    <row r="64">
      <c r="B64" s="140">
        <f>DATE(YEAR(B63),MONTH(B63)+1,1)</f>
        <v/>
      </c>
      <c r="C64" s="60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L64+D64/$K$2</f>
        <v/>
      </c>
      <c r="F64" s="117">
        <f>IF($K$9=0,0,E64/$K$9)</f>
        <v/>
      </c>
      <c r="G64" s="117">
        <f>G63+F64</f>
        <v/>
      </c>
      <c r="H64" s="137" t="n"/>
      <c r="L64" s="49">
        <f>C64/IF(B64&lt;='VALOR POR PL'!$P$5,IFERROR(INDEX('"INCC-FGV"'!$B$2:$B$800,MATCH(B64,'"INCC-FGV"'!$A$2:$A$800,0)),$K$2),$K$2)</f>
        <v/>
      </c>
      <c r="M64" s="138">
        <f>'CP RESUMO'!BK41</f>
        <v/>
      </c>
      <c r="N64" s="139">
        <f>MAX(0,M64-M63)</f>
        <v/>
      </c>
      <c r="O64" s="138">
        <f>IF(B64&lt;='VALOR POR PL'!$P$5,'CP RESUMO'!BK83,"")</f>
        <v/>
      </c>
      <c r="P64" s="72">
        <f>IF(B64&lt;='VALOR POR PL'!$P$5,0,IF(OR($K$16="CURVA PREVISION",$K$16="MDO PREVISION + MATERIAL PREMISSA"),N64,IF($K$16="PREVISÃO INFORMADA",MAX(0,H64),0)))</f>
        <v/>
      </c>
    </row>
    <row r="65">
      <c r="B65" s="140">
        <f>DATE(YEAR(B64),MONTH(B64)+1,1)</f>
        <v/>
      </c>
      <c r="C65" s="60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L65+D65/$K$2</f>
        <v/>
      </c>
      <c r="F65" s="117">
        <f>IF($K$9=0,0,E65/$K$9)</f>
        <v/>
      </c>
      <c r="G65" s="117">
        <f>G64+F65</f>
        <v/>
      </c>
      <c r="H65" s="137" t="n"/>
      <c r="L65" s="49">
        <f>C65/IF(B65&lt;='VALOR POR PL'!$P$5,IFERROR(INDEX('"INCC-FGV"'!$B$2:$B$800,MATCH(B65,'"INCC-FGV"'!$A$2:$A$800,0)),$K$2),$K$2)</f>
        <v/>
      </c>
      <c r="M65" s="138">
        <f>'CP RESUMO'!BL41</f>
        <v/>
      </c>
      <c r="N65" s="139">
        <f>MAX(0,M65-M64)</f>
        <v/>
      </c>
      <c r="O65" s="138">
        <f>IF(B65&lt;='VALOR POR PL'!$P$5,'CP RESUMO'!BL83,"")</f>
        <v/>
      </c>
      <c r="P65" s="72">
        <f>IF(B65&lt;='VALOR POR PL'!$P$5,0,IF(OR($K$16="CURVA PREVISION",$K$16="MDO PREVISION + MATERIAL PREMISSA"),N65,IF($K$16="PREVISÃO INFORMADA",MAX(0,H65),0)))</f>
        <v/>
      </c>
    </row>
    <row r="66">
      <c r="B66" s="140">
        <f>DATE(YEAR(B65),MONTH(B65)+1,1)</f>
        <v/>
      </c>
      <c r="C66" s="60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L66+D66/$K$2</f>
        <v/>
      </c>
      <c r="F66" s="117">
        <f>IF($K$9=0,0,E66/$K$9)</f>
        <v/>
      </c>
      <c r="G66" s="117">
        <f>G65+F66</f>
        <v/>
      </c>
      <c r="H66" s="137" t="n"/>
      <c r="L66" s="49">
        <f>C66/IF(B66&lt;='VALOR POR PL'!$P$5,IFERROR(INDEX('"INCC-FGV"'!$B$2:$B$800,MATCH(B66,'"INCC-FGV"'!$A$2:$A$800,0)),$K$2),$K$2)</f>
        <v/>
      </c>
      <c r="M66" s="138">
        <f>'CP RESUMO'!BM41</f>
        <v/>
      </c>
      <c r="N66" s="139">
        <f>MAX(0,M66-M65)</f>
        <v/>
      </c>
      <c r="O66" s="138">
        <f>IF(B66&lt;='VALOR POR PL'!$P$5,'CP RESUMO'!BM83,"")</f>
        <v/>
      </c>
      <c r="P66" s="72">
        <f>IF(B66&lt;='VALOR POR PL'!$P$5,0,IF(OR($K$16="CURVA PREVISION",$K$16="MDO PREVISION + MATERIAL PREMISSA"),N66,IF($K$16="PREVISÃO INFORMADA",MAX(0,H66),0)))</f>
        <v/>
      </c>
    </row>
    <row r="67">
      <c r="B67" s="140">
        <f>DATE(YEAR(B66),MONTH(B66)+1,1)</f>
        <v/>
      </c>
      <c r="C67" s="60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L67+D67/$K$2</f>
        <v/>
      </c>
      <c r="F67" s="117">
        <f>IF($K$9=0,0,E67/$K$9)</f>
        <v/>
      </c>
      <c r="G67" s="117">
        <f>G66+F67</f>
        <v/>
      </c>
      <c r="H67" s="137" t="n"/>
      <c r="L67" s="49">
        <f>C67/IF(B67&lt;='VALOR POR PL'!$P$5,IFERROR(INDEX('"INCC-FGV"'!$B$2:$B$800,MATCH(B67,'"INCC-FGV"'!$A$2:$A$800,0)),$K$2),$K$2)</f>
        <v/>
      </c>
      <c r="M67" s="138">
        <f>'CP RESUMO'!BN41</f>
        <v/>
      </c>
      <c r="N67" s="139">
        <f>MAX(0,M67-M66)</f>
        <v/>
      </c>
      <c r="O67" s="138">
        <f>IF(B67&lt;='VALOR POR PL'!$P$5,'CP RESUMO'!BN83,"")</f>
        <v/>
      </c>
      <c r="P67" s="72">
        <f>IF(B67&lt;='VALOR POR PL'!$P$5,0,IF(OR($K$16="CURVA PREVISION",$K$16="MDO PREVISION + MATERIAL PREMISSA"),N67,IF($K$16="PREVISÃO INFORMADA",MAX(0,H67),0)))</f>
        <v/>
      </c>
    </row>
    <row r="68">
      <c r="B68" s="140">
        <f>DATE(YEAR(B67),MONTH(B67)+1,1)</f>
        <v/>
      </c>
      <c r="C68" s="60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L68+D68/$K$2</f>
        <v/>
      </c>
      <c r="F68" s="117">
        <f>IF($K$9=0,0,E68/$K$9)</f>
        <v/>
      </c>
      <c r="G68" s="117">
        <f>G67+F68</f>
        <v/>
      </c>
      <c r="H68" s="137" t="n"/>
      <c r="L68" s="49">
        <f>C68/IF(B68&lt;='VALOR POR PL'!$P$5,IFERROR(INDEX('"INCC-FGV"'!$B$2:$B$800,MATCH(B68,'"INCC-FGV"'!$A$2:$A$800,0)),$K$2),$K$2)</f>
        <v/>
      </c>
      <c r="M68" s="138">
        <f>'CP RESUMO'!BO41</f>
        <v/>
      </c>
      <c r="N68" s="139">
        <f>MAX(0,M68-M67)</f>
        <v/>
      </c>
      <c r="O68" s="138">
        <f>IF(B68&lt;='VALOR POR PL'!$P$5,'CP RESUMO'!BO83,"")</f>
        <v/>
      </c>
      <c r="P68" s="72">
        <f>IF(B68&lt;='VALOR POR PL'!$P$5,0,IF(OR($K$16="CURVA PREVISION",$K$16="MDO PREVISION + MATERIAL PREMISSA"),N68,IF($K$16="PREVISÃO INFORMADA",MAX(0,H68),0)))</f>
        <v/>
      </c>
    </row>
    <row r="69">
      <c r="B69" s="140">
        <f>DATE(YEAR(B68),MONTH(B68)+1,1)</f>
        <v/>
      </c>
      <c r="C69" s="60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L69+D69/$K$2</f>
        <v/>
      </c>
      <c r="F69" s="117">
        <f>IF($K$9=0,0,E69/$K$9)</f>
        <v/>
      </c>
      <c r="G69" s="117">
        <f>G68+F69</f>
        <v/>
      </c>
      <c r="H69" s="137" t="n"/>
      <c r="L69" s="49">
        <f>C69/IF(B69&lt;='VALOR POR PL'!$P$5,IFERROR(INDEX('"INCC-FGV"'!$B$2:$B$800,MATCH(B69,'"INCC-FGV"'!$A$2:$A$800,0)),$K$2),$K$2)</f>
        <v/>
      </c>
      <c r="M69" s="138">
        <f>'CP RESUMO'!BP41</f>
        <v/>
      </c>
      <c r="N69" s="139">
        <f>MAX(0,M69-M68)</f>
        <v/>
      </c>
      <c r="O69" s="138">
        <f>IF(B69&lt;='VALOR POR PL'!$P$5,'CP RESUMO'!BP83,"")</f>
        <v/>
      </c>
      <c r="P69" s="72">
        <f>IF(B69&lt;='VALOR POR PL'!$P$5,0,IF(OR($K$16="CURVA PREVISION",$K$16="MDO PREVISION + MATERIAL PREMISSA"),N69,IF($K$16="PREVISÃO INFORMADA",MAX(0,H69),0)))</f>
        <v/>
      </c>
    </row>
    <row r="70">
      <c r="B70" s="140">
        <f>DATE(YEAR(B69),MONTH(B69)+1,1)</f>
        <v/>
      </c>
      <c r="C70" s="60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L70+D70/$K$2</f>
        <v/>
      </c>
      <c r="F70" s="117">
        <f>IF($K$9=0,0,E70/$K$9)</f>
        <v/>
      </c>
      <c r="G70" s="117">
        <f>G69+F70</f>
        <v/>
      </c>
      <c r="H70" s="137" t="n"/>
      <c r="L70" s="49">
        <f>C70/IF(B70&lt;='VALOR POR PL'!$P$5,IFERROR(INDEX('"INCC-FGV"'!$B$2:$B$800,MATCH(B70,'"INCC-FGV"'!$A$2:$A$800,0)),$K$2),$K$2)</f>
        <v/>
      </c>
      <c r="M70" s="138">
        <f>'CP RESUMO'!BQ41</f>
        <v/>
      </c>
      <c r="N70" s="139">
        <f>MAX(0,M70-M69)</f>
        <v/>
      </c>
      <c r="O70" s="138">
        <f>IF(B70&lt;='VALOR POR PL'!$P$5,'CP RESUMO'!BQ83,"")</f>
        <v/>
      </c>
      <c r="P70" s="72">
        <f>IF(B70&lt;='VALOR POR PL'!$P$5,0,IF(OR($K$16="CURVA PREVISION",$K$16="MDO PREVISION + MATERIAL PREMISSA"),N70,IF($K$16="PREVISÃO INFORMADA",MAX(0,H70),0)))</f>
        <v/>
      </c>
    </row>
    <row r="71">
      <c r="B71" s="140">
        <f>DATE(YEAR(B70),MONTH(B70)+1,1)</f>
        <v/>
      </c>
      <c r="C71" s="60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L71+D71/$K$2</f>
        <v/>
      </c>
      <c r="F71" s="117">
        <f>IF($K$9=0,0,E71/$K$9)</f>
        <v/>
      </c>
      <c r="G71" s="117">
        <f>G70+F71</f>
        <v/>
      </c>
      <c r="H71" s="137" t="n"/>
      <c r="L71" s="49">
        <f>C71/IF(B71&lt;='VALOR POR PL'!$P$5,IFERROR(INDEX('"INCC-FGV"'!$B$2:$B$800,MATCH(B71,'"INCC-FGV"'!$A$2:$A$800,0)),$K$2),$K$2)</f>
        <v/>
      </c>
      <c r="M71" s="138">
        <f>'CP RESUMO'!BR41</f>
        <v/>
      </c>
      <c r="N71" s="139">
        <f>MAX(0,M71-M70)</f>
        <v/>
      </c>
      <c r="O71" s="138">
        <f>IF(B71&lt;='VALOR POR PL'!$P$5,'CP RESUMO'!BR83,"")</f>
        <v/>
      </c>
      <c r="P71" s="72">
        <f>IF(B71&lt;='VALOR POR PL'!$P$5,0,IF(OR($K$16="CURVA PREVISION",$K$16="MDO PREVISION + MATERIAL PREMISSA"),N71,IF($K$16="PREVISÃO INFORMADA",MAX(0,H71),0)))</f>
        <v/>
      </c>
    </row>
    <row r="72">
      <c r="B72" s="140">
        <f>DATE(YEAR(B71),MONTH(B71)+1,1)</f>
        <v/>
      </c>
      <c r="C72" s="60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L72+D72/$K$2</f>
        <v/>
      </c>
      <c r="F72" s="117">
        <f>IF($K$9=0,0,E72/$K$9)</f>
        <v/>
      </c>
      <c r="G72" s="117">
        <f>G71+F72</f>
        <v/>
      </c>
      <c r="H72" s="137" t="n"/>
      <c r="L72" s="49">
        <f>C72/IF(B72&lt;='VALOR POR PL'!$P$5,IFERROR(INDEX('"INCC-FGV"'!$B$2:$B$800,MATCH(B72,'"INCC-FGV"'!$A$2:$A$800,0)),$K$2),$K$2)</f>
        <v/>
      </c>
      <c r="M72" s="138">
        <f>'CP RESUMO'!BS41</f>
        <v/>
      </c>
      <c r="N72" s="139">
        <f>MAX(0,M72-M71)</f>
        <v/>
      </c>
      <c r="O72" s="138">
        <f>IF(B72&lt;='VALOR POR PL'!$P$5,'CP RESUMO'!BS83,"")</f>
        <v/>
      </c>
      <c r="P72" s="72">
        <f>IF(B72&lt;='VALOR POR PL'!$P$5,0,IF(OR($K$16="CURVA PREVISION",$K$16="MDO PREVISION + MATERIAL PREMISSA"),N72,IF($K$16="PREVISÃO INFORMADA",MAX(0,H72),0)))</f>
        <v/>
      </c>
    </row>
    <row r="73">
      <c r="B73" s="140">
        <f>DATE(YEAR(B72),MONTH(B72)+1,1)</f>
        <v/>
      </c>
      <c r="C73" s="60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L73+D73/$K$2</f>
        <v/>
      </c>
      <c r="F73" s="117">
        <f>IF($K$9=0,0,E73/$K$9)</f>
        <v/>
      </c>
      <c r="G73" s="117">
        <f>G72+F73</f>
        <v/>
      </c>
      <c r="H73" s="137" t="n"/>
      <c r="L73" s="49">
        <f>C73/IF(B73&lt;='VALOR POR PL'!$P$5,IFERROR(INDEX('"INCC-FGV"'!$B$2:$B$800,MATCH(B73,'"INCC-FGV"'!$A$2:$A$800,0)),$K$2),$K$2)</f>
        <v/>
      </c>
      <c r="M73" s="138">
        <f>'CP RESUMO'!BT41</f>
        <v/>
      </c>
      <c r="N73" s="139">
        <f>MAX(0,M73-M72)</f>
        <v/>
      </c>
      <c r="O73" s="138">
        <f>IF(B73&lt;='VALOR POR PL'!$P$5,'CP RESUMO'!BT83,"")</f>
        <v/>
      </c>
      <c r="P73" s="72">
        <f>IF(B73&lt;='VALOR POR PL'!$P$5,0,IF(OR($K$16="CURVA PREVISION",$K$16="MDO PREVISION + MATERIAL PREMISSA"),N73,IF($K$16="PREVISÃO INFORMADA",MAX(0,H73),0)))</f>
        <v/>
      </c>
    </row>
    <row r="74">
      <c r="B74" s="140">
        <f>DATE(YEAR(B73),MONTH(B73)+1,1)</f>
        <v/>
      </c>
      <c r="C74" s="60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L74+D74/$K$2</f>
        <v/>
      </c>
      <c r="F74" s="117">
        <f>IF($K$9=0,0,E74/$K$9)</f>
        <v/>
      </c>
      <c r="G74" s="117">
        <f>G73+F74</f>
        <v/>
      </c>
      <c r="H74" s="137" t="n"/>
      <c r="L74" s="49">
        <f>C74/IF(B74&lt;='VALOR POR PL'!$P$5,IFERROR(INDEX('"INCC-FGV"'!$B$2:$B$800,MATCH(B74,'"INCC-FGV"'!$A$2:$A$800,0)),$K$2),$K$2)</f>
        <v/>
      </c>
      <c r="M74" s="138">
        <f>'CP RESUMO'!BU41</f>
        <v/>
      </c>
      <c r="N74" s="139">
        <f>MAX(0,M74-M73)</f>
        <v/>
      </c>
      <c r="O74" s="138">
        <f>IF(B74&lt;='VALOR POR PL'!$P$5,'CP RESUMO'!BU83,"")</f>
        <v/>
      </c>
      <c r="P74" s="72">
        <f>IF(B74&lt;='VALOR POR PL'!$P$5,0,IF(OR($K$16="CURVA PREVISION",$K$16="MDO PREVISION + MATERIAL PREMISSA"),N74,IF($K$16="PREVISÃO INFORMADA",MAX(0,H74),0)))</f>
        <v/>
      </c>
    </row>
    <row r="75">
      <c r="B75" s="140">
        <f>DATE(YEAR(B74),MONTH(B74)+1,1)</f>
        <v/>
      </c>
      <c r="C75" s="60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L75+D75/$K$2</f>
        <v/>
      </c>
      <c r="F75" s="117">
        <f>IF($K$9=0,0,E75/$K$9)</f>
        <v/>
      </c>
      <c r="G75" s="117">
        <f>G74+F75</f>
        <v/>
      </c>
      <c r="H75" s="137" t="n"/>
      <c r="L75" s="49">
        <f>C75/IF(B75&lt;='VALOR POR PL'!$P$5,IFERROR(INDEX('"INCC-FGV"'!$B$2:$B$800,MATCH(B75,'"INCC-FGV"'!$A$2:$A$800,0)),$K$2),$K$2)</f>
        <v/>
      </c>
      <c r="M75" s="138">
        <f>'CP RESUMO'!BV41</f>
        <v/>
      </c>
      <c r="N75" s="139">
        <f>MAX(0,M75-M74)</f>
        <v/>
      </c>
      <c r="O75" s="138">
        <f>IF(B75&lt;='VALOR POR PL'!$P$5,'CP RESUMO'!BV83,"")</f>
        <v/>
      </c>
      <c r="P75" s="72">
        <f>IF(B75&lt;='VALOR POR PL'!$P$5,0,IF(OR($K$16="CURVA PREVISION",$K$16="MDO PREVISION + MATERIAL PREMISSA"),N75,IF($K$16="PREVISÃO INFORMADA",MAX(0,H75),0)))</f>
        <v/>
      </c>
    </row>
    <row r="76">
      <c r="B76" s="140">
        <f>DATE(YEAR(B75),MONTH(B75)+1,1)</f>
        <v/>
      </c>
      <c r="C76" s="60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L76+D76/$K$2</f>
        <v/>
      </c>
      <c r="F76" s="117">
        <f>IF($K$9=0,0,E76/$K$9)</f>
        <v/>
      </c>
      <c r="G76" s="117">
        <f>G75+F76</f>
        <v/>
      </c>
      <c r="H76" s="137" t="n"/>
      <c r="L76" s="49">
        <f>C76/IF(B76&lt;='VALOR POR PL'!$P$5,IFERROR(INDEX('"INCC-FGV"'!$B$2:$B$800,MATCH(B76,'"INCC-FGV"'!$A$2:$A$800,0)),$K$2),$K$2)</f>
        <v/>
      </c>
      <c r="M76" s="138">
        <f>'CP RESUMO'!BW41</f>
        <v/>
      </c>
      <c r="N76" s="139">
        <f>MAX(0,M76-M75)</f>
        <v/>
      </c>
      <c r="O76" s="138">
        <f>IF(B76&lt;='VALOR POR PL'!$P$5,'CP RESUMO'!BW83,"")</f>
        <v/>
      </c>
      <c r="P76" s="72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5">
        <f>SUM(C5:C76)</f>
        <v/>
      </c>
      <c r="D78" s="65">
        <f>SUM(D5:D76)</f>
        <v/>
      </c>
      <c r="E78" s="65">
        <f>SUM(E5:E76)</f>
        <v/>
      </c>
      <c r="F78" s="145">
        <f>SUM(F5:F76)</f>
        <v/>
      </c>
      <c r="H78" s="65">
        <f>SUM(H5:H76)</f>
        <v/>
      </c>
      <c r="L78" s="65">
        <f>SUM(L5:L76)</f>
        <v/>
      </c>
    </row>
    <row r="80">
      <c r="B80" s="46" t="inlineStr">
        <is>
          <t>DIFERENÇA (fluxo em INCC − meta em INCC)</t>
        </is>
      </c>
      <c r="D80" s="76">
        <f>E78-K6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ABS(D80)&gt;0.01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2026-09-29T19:59:50Z</dcterms:created>
  <dcterms:modified xsi:type="dcterms:W3CDTF">2026-09-29T19:59:54Z</dcterms:modified>
</cp:coreProperties>
</file>